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"/>
    </mc:Choice>
  </mc:AlternateContent>
  <xr:revisionPtr revIDLastSave="0" documentId="13_ncr:1_{F7F9A401-4938-4111-AC38-B90E7F98BF37}" xr6:coauthVersionLast="43" xr6:coauthVersionMax="43" xr10:uidLastSave="{00000000-0000-0000-0000-000000000000}"/>
  <bookViews>
    <workbookView xWindow="-120" yWindow="-120" windowWidth="24240" windowHeight="13290" tabRatio="936" activeTab="6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Power!$A$1:$Y$145</definedName>
    <definedName name="_Order1" hidden="1">255</definedName>
    <definedName name="_Sort" hidden="1">[1]Sheet1!$G$40:$K$40</definedName>
    <definedName name="EBNUMBER">'[2]LDC Info'!$E$16</definedName>
    <definedName name="_xlnm.Print_Area" localSheetId="6">'20COP-Z'!$A$1:$F$92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5" i="59" l="1"/>
  <c r="O144" i="59"/>
  <c r="O143" i="59"/>
  <c r="O142" i="59"/>
  <c r="O141" i="59"/>
  <c r="O140" i="59"/>
  <c r="O139" i="59"/>
  <c r="O138" i="59"/>
  <c r="O137" i="59"/>
  <c r="O136" i="59"/>
  <c r="O135" i="59"/>
  <c r="O134" i="59"/>
  <c r="O133" i="59"/>
  <c r="O132" i="59"/>
  <c r="O131" i="59"/>
  <c r="O130" i="59"/>
  <c r="O129" i="59"/>
  <c r="O128" i="59"/>
  <c r="O127" i="59"/>
  <c r="O126" i="59"/>
  <c r="O125" i="59"/>
  <c r="O124" i="59"/>
  <c r="O123" i="59"/>
  <c r="O122" i="59"/>
  <c r="O121" i="59"/>
  <c r="O120" i="59"/>
  <c r="O119" i="59"/>
  <c r="O118" i="59"/>
  <c r="O117" i="59"/>
  <c r="O116" i="59"/>
  <c r="O115" i="59"/>
  <c r="O114" i="59"/>
  <c r="O113" i="59"/>
  <c r="O112" i="59"/>
  <c r="O111" i="59"/>
  <c r="O110" i="59"/>
  <c r="O109" i="59"/>
  <c r="O108" i="59"/>
  <c r="O107" i="59"/>
  <c r="O106" i="59"/>
  <c r="O105" i="59"/>
  <c r="O104" i="59"/>
  <c r="O103" i="59"/>
  <c r="O102" i="59"/>
  <c r="O101" i="59"/>
  <c r="O100" i="59"/>
  <c r="O99" i="59"/>
  <c r="O98" i="59"/>
  <c r="O97" i="59"/>
  <c r="O96" i="59"/>
  <c r="O95" i="59"/>
  <c r="O94" i="59"/>
  <c r="O93" i="59"/>
  <c r="O92" i="59"/>
  <c r="O91" i="59"/>
  <c r="O90" i="59"/>
  <c r="O89" i="59"/>
  <c r="O88" i="59"/>
  <c r="O87" i="59"/>
  <c r="O86" i="59"/>
  <c r="O85" i="59"/>
  <c r="O84" i="59"/>
  <c r="O83" i="59"/>
  <c r="O82" i="59"/>
  <c r="O81" i="59"/>
  <c r="O80" i="59"/>
  <c r="O79" i="59"/>
  <c r="O78" i="59"/>
  <c r="O77" i="59"/>
  <c r="O76" i="59"/>
  <c r="O75" i="59"/>
  <c r="O74" i="59"/>
  <c r="O73" i="59"/>
  <c r="O72" i="59"/>
  <c r="O71" i="59"/>
  <c r="O70" i="59"/>
  <c r="O69" i="59"/>
  <c r="O68" i="59"/>
  <c r="O67" i="59"/>
  <c r="O66" i="59"/>
  <c r="O65" i="59"/>
  <c r="O64" i="59"/>
  <c r="O63" i="59"/>
  <c r="O62" i="59"/>
  <c r="O61" i="59"/>
  <c r="O60" i="59"/>
  <c r="O59" i="59"/>
  <c r="O58" i="59"/>
  <c r="O57" i="59"/>
  <c r="O56" i="59"/>
  <c r="O55" i="59"/>
  <c r="O54" i="59"/>
  <c r="O53" i="59"/>
  <c r="O52" i="59"/>
  <c r="O51" i="59"/>
  <c r="O50" i="59"/>
  <c r="O49" i="59"/>
  <c r="O48" i="59"/>
  <c r="O47" i="59"/>
  <c r="O46" i="59"/>
  <c r="O45" i="59"/>
  <c r="O44" i="59"/>
  <c r="O43" i="59"/>
  <c r="O42" i="59"/>
  <c r="O41" i="59"/>
  <c r="O40" i="59"/>
  <c r="O39" i="59"/>
  <c r="O38" i="59"/>
  <c r="O37" i="59"/>
  <c r="O36" i="59"/>
  <c r="O35" i="59"/>
  <c r="O34" i="59"/>
  <c r="O33" i="59"/>
  <c r="O32" i="59"/>
  <c r="O31" i="59"/>
  <c r="O30" i="59"/>
  <c r="O29" i="59"/>
  <c r="O28" i="59"/>
  <c r="O27" i="59"/>
  <c r="O26" i="59"/>
  <c r="O25" i="59"/>
  <c r="O24" i="59"/>
  <c r="O23" i="59"/>
  <c r="O22" i="59"/>
  <c r="O21" i="59"/>
  <c r="O20" i="59"/>
  <c r="O19" i="59"/>
  <c r="O18" i="59"/>
  <c r="O17" i="59"/>
  <c r="O16" i="59"/>
  <c r="O15" i="59"/>
  <c r="O14" i="59"/>
  <c r="O13" i="59"/>
  <c r="O12" i="59"/>
  <c r="O11" i="59"/>
  <c r="O10" i="59"/>
  <c r="O9" i="59"/>
  <c r="O8" i="59"/>
  <c r="O7" i="59"/>
  <c r="O6" i="59"/>
  <c r="O5" i="59"/>
  <c r="O4" i="59"/>
  <c r="O3" i="59"/>
  <c r="O2" i="59"/>
  <c r="M33" i="62" l="1"/>
  <c r="M50" i="62"/>
  <c r="D14" i="71" l="1"/>
  <c r="D13" i="71"/>
  <c r="K33" i="63"/>
  <c r="K27" i="63"/>
  <c r="B15" i="62" l="1"/>
  <c r="B14" i="62"/>
  <c r="B13" i="62"/>
  <c r="B12" i="62"/>
  <c r="B11" i="62"/>
  <c r="B10" i="62"/>
  <c r="B9" i="62"/>
  <c r="B8" i="62"/>
  <c r="B7" i="62"/>
  <c r="B6" i="62"/>
  <c r="E13" i="62" l="1"/>
  <c r="E6" i="62"/>
  <c r="E7" i="62"/>
  <c r="E8" i="62"/>
  <c r="E9" i="62"/>
  <c r="E10" i="62"/>
  <c r="E11" i="62"/>
  <c r="E12" i="62"/>
  <c r="E14" i="62"/>
  <c r="E15" i="62"/>
  <c r="D83" i="78" l="1"/>
  <c r="D82" i="78"/>
  <c r="D83" i="79"/>
  <c r="D82" i="79"/>
  <c r="E44" i="79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B6" i="79"/>
  <c r="F6" i="79" s="1"/>
  <c r="C10" i="78"/>
  <c r="B10" i="78"/>
  <c r="B6" i="78"/>
  <c r="F6" i="78" s="1"/>
  <c r="L21" i="64" l="1"/>
  <c r="L31" i="64" s="1"/>
  <c r="L20" i="64"/>
  <c r="L19" i="64"/>
  <c r="L18" i="64"/>
  <c r="L17" i="64"/>
  <c r="L26" i="64"/>
  <c r="L25" i="64"/>
  <c r="L24" i="64"/>
  <c r="L23" i="64"/>
  <c r="L22" i="64"/>
  <c r="B158" i="59" l="1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 l="1"/>
  <c r="C13" i="64"/>
  <c r="P86" i="62"/>
  <c r="L84" i="62"/>
  <c r="L83" i="62"/>
  <c r="C14" i="64" l="1"/>
  <c r="C5" i="79" s="1"/>
  <c r="C5" i="78"/>
  <c r="J68" i="62"/>
  <c r="K68" i="62"/>
  <c r="E22" i="79" l="1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A73" i="79" l="1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F83" i="79"/>
  <c r="F83" i="78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22" i="78" l="1"/>
  <c r="D66" i="78"/>
  <c r="F66" i="78" s="1"/>
  <c r="F55" i="78"/>
  <c r="D77" i="78"/>
  <c r="F77" i="78" s="1"/>
  <c r="F33" i="78"/>
  <c r="D44" i="78"/>
  <c r="F44" i="78" s="1"/>
  <c r="D22" i="70" l="1"/>
  <c r="C22" i="70"/>
  <c r="B22" i="70"/>
  <c r="D21" i="70"/>
  <c r="C21" i="70"/>
  <c r="B21" i="70"/>
  <c r="D20" i="70"/>
  <c r="C20" i="70"/>
  <c r="B20" i="70"/>
  <c r="D13" i="63" l="1"/>
  <c r="K20" i="70" s="1"/>
  <c r="U35" i="72" l="1"/>
  <c r="S33" i="72" l="1"/>
  <c r="T33" i="72"/>
  <c r="U34" i="72"/>
  <c r="U33" i="72"/>
  <c r="T34" i="72"/>
  <c r="V35" i="72"/>
  <c r="V34" i="72" l="1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 l="1"/>
  <c r="H79" i="62"/>
  <c r="I79" i="62"/>
  <c r="G80" i="62"/>
  <c r="V32" i="72"/>
  <c r="V31" i="72"/>
  <c r="V30" i="72"/>
  <c r="P79" i="62" l="1"/>
  <c r="J80" i="62"/>
  <c r="I80" i="62"/>
  <c r="H80" i="62"/>
  <c r="P80" i="62" l="1"/>
  <c r="I10" i="62" l="1"/>
  <c r="I11" i="62"/>
  <c r="I12" i="62"/>
  <c r="I13" i="62"/>
  <c r="I14" i="62"/>
  <c r="I15" i="62"/>
  <c r="I21" i="70" l="1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7" i="63"/>
  <c r="F26" i="63"/>
  <c r="F25" i="63"/>
  <c r="F24" i="63"/>
  <c r="F23" i="63"/>
  <c r="F22" i="63"/>
  <c r="I9" i="62"/>
  <c r="F20" i="70" l="1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D14" i="64" l="1"/>
  <c r="C6" i="79" s="1"/>
  <c r="D13" i="64"/>
  <c r="C6" i="78" s="1"/>
  <c r="K50" i="62"/>
  <c r="K48" i="62" l="1"/>
  <c r="K32" i="62" s="1"/>
  <c r="L59" i="62" s="1"/>
  <c r="L63" i="62" s="1"/>
  <c r="K33" i="62" l="1"/>
  <c r="L60" i="62" s="1"/>
  <c r="L64" i="62" s="1"/>
  <c r="C26" i="64" l="1"/>
  <c r="C25" i="64"/>
  <c r="C24" i="64"/>
  <c r="C23" i="64"/>
  <c r="C22" i="64"/>
  <c r="C21" i="64"/>
  <c r="C20" i="64"/>
  <c r="O9" i="62" l="1"/>
  <c r="O10" i="62"/>
  <c r="O11" i="62"/>
  <c r="O12" i="62"/>
  <c r="O13" i="62"/>
  <c r="O14" i="62"/>
  <c r="O15" i="62"/>
  <c r="G31" i="62" l="1"/>
  <c r="J12" i="64" l="1"/>
  <c r="J5" i="64"/>
  <c r="J4" i="64"/>
  <c r="J3" i="64"/>
  <c r="E26" i="64" l="1"/>
  <c r="B26" i="64"/>
  <c r="H67" i="62" l="1"/>
  <c r="J7" i="64"/>
  <c r="J6" i="64"/>
  <c r="J8" i="64" l="1"/>
  <c r="J11" i="64"/>
  <c r="J9" i="64"/>
  <c r="J10" i="64"/>
  <c r="I67" i="62"/>
  <c r="J31" i="62"/>
  <c r="J30" i="62"/>
  <c r="J29" i="62"/>
  <c r="J28" i="62"/>
  <c r="J27" i="62"/>
  <c r="J26" i="62"/>
  <c r="J25" i="62"/>
  <c r="J13" i="64" l="1"/>
  <c r="J14" i="64" s="1"/>
  <c r="J43" i="62"/>
  <c r="J40" i="62"/>
  <c r="J41" i="62"/>
  <c r="J42" i="62"/>
  <c r="J44" i="62"/>
  <c r="E27" i="63"/>
  <c r="E26" i="63"/>
  <c r="E25" i="63"/>
  <c r="E24" i="63"/>
  <c r="E23" i="63"/>
  <c r="E22" i="63"/>
  <c r="E33" i="63" l="1"/>
  <c r="J50" i="62"/>
  <c r="J48" i="62" s="1"/>
  <c r="X20" i="72"/>
  <c r="W20" i="72"/>
  <c r="V20" i="72"/>
  <c r="U20" i="72"/>
  <c r="T20" i="72"/>
  <c r="S20" i="72"/>
  <c r="R20" i="72"/>
  <c r="Q20" i="72"/>
  <c r="J32" i="62" l="1"/>
  <c r="K59" i="62" s="1"/>
  <c r="C31" i="64"/>
  <c r="J33" i="62" l="1"/>
  <c r="K60" i="62" s="1"/>
  <c r="K69" i="6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 l="1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 l="1"/>
  <c r="I48" i="62" s="1"/>
  <c r="H50" i="62"/>
  <c r="H48" i="62" s="1"/>
  <c r="G50" i="62"/>
  <c r="G48" i="62" s="1"/>
  <c r="Q21" i="72" l="1"/>
  <c r="R21" i="72"/>
  <c r="S21" i="72"/>
  <c r="T21" i="72"/>
  <c r="U21" i="72"/>
  <c r="V21" i="72"/>
  <c r="W21" i="72"/>
  <c r="X21" i="72"/>
  <c r="N14" i="72" l="1"/>
  <c r="D6" i="72" l="1"/>
  <c r="E6" i="72" s="1"/>
  <c r="K6" i="72" s="1"/>
  <c r="D14" i="72"/>
  <c r="E14" i="72" s="1"/>
  <c r="K14" i="72" s="1"/>
  <c r="D7" i="72"/>
  <c r="E7" i="72" s="1"/>
  <c r="K7" i="72" s="1"/>
  <c r="D9" i="72"/>
  <c r="E9" i="72" s="1"/>
  <c r="K9" i="72" s="1"/>
  <c r="D16" i="72"/>
  <c r="E16" i="72" s="1"/>
  <c r="K16" i="72" s="1"/>
  <c r="C19" i="72"/>
  <c r="D2" i="72"/>
  <c r="E2" i="72" s="1"/>
  <c r="K2" i="72" s="1"/>
  <c r="D10" i="72"/>
  <c r="E10" i="72" s="1"/>
  <c r="K10" i="72" s="1"/>
  <c r="D17" i="72"/>
  <c r="E17" i="72" s="1"/>
  <c r="K17" i="72" s="1"/>
  <c r="D8" i="72"/>
  <c r="E8" i="72" s="1"/>
  <c r="K8" i="72" s="1"/>
  <c r="D15" i="72"/>
  <c r="E15" i="72" s="1"/>
  <c r="K15" i="72" s="1"/>
  <c r="D3" i="72"/>
  <c r="E3" i="72" s="1"/>
  <c r="K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K5" i="72" s="1"/>
  <c r="D13" i="72"/>
  <c r="E13" i="72" s="1"/>
  <c r="K13" i="72" s="1"/>
  <c r="K19" i="72" l="1"/>
  <c r="F2" i="72"/>
  <c r="G2" i="72" s="1"/>
  <c r="D26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E19" i="72"/>
  <c r="F37" i="72" l="1"/>
  <c r="E37" i="72"/>
  <c r="J2" i="72" s="1"/>
  <c r="F3" i="72" l="1"/>
  <c r="G3" i="72" s="1"/>
  <c r="D38" i="72" s="1"/>
  <c r="D39" i="72" s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F49" i="72" l="1"/>
  <c r="E49" i="72"/>
  <c r="J3" i="72" s="1"/>
  <c r="F4" i="72" l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61" i="72" l="1"/>
  <c r="J4" i="72" s="1"/>
  <c r="F61" i="72"/>
  <c r="L4" i="72" l="1"/>
  <c r="F5" i="72"/>
  <c r="G5" i="72" s="1"/>
  <c r="D62" i="72" s="1"/>
  <c r="D63" i="72" s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F73" i="72" l="1"/>
  <c r="E73" i="72"/>
  <c r="J5" i="72" s="1"/>
  <c r="F6" i="72" l="1"/>
  <c r="G6" i="72" s="1"/>
  <c r="D74" i="72" s="1"/>
  <c r="D75" i="72" s="1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F85" i="72" l="1"/>
  <c r="E85" i="72"/>
  <c r="J6" i="72" s="1"/>
  <c r="F7" i="72" l="1"/>
  <c r="G7" i="72" s="1"/>
  <c r="D86" i="72" s="1"/>
  <c r="D87" i="72" s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97" i="72" l="1"/>
  <c r="E97" i="72"/>
  <c r="J7" i="72" s="1"/>
  <c r="F8" i="72" l="1"/>
  <c r="G8" i="72" s="1"/>
  <c r="D98" i="72" s="1"/>
  <c r="D99" i="72" s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L7" i="72"/>
  <c r="F109" i="72" l="1"/>
  <c r="E109" i="72"/>
  <c r="J8" i="72" s="1"/>
  <c r="L8" i="72" s="1"/>
  <c r="F9" i="72" l="1"/>
  <c r="G9" i="72" s="1"/>
  <c r="D110" i="72" s="1"/>
  <c r="D111" i="72" s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E121" i="72" l="1"/>
  <c r="J9" i="72" s="1"/>
  <c r="L9" i="72" s="1"/>
  <c r="F121" i="72"/>
  <c r="F10" i="72" l="1"/>
  <c r="G10" i="72" s="1"/>
  <c r="D122" i="72" s="1"/>
  <c r="D123" i="72" s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F133" i="72" l="1"/>
  <c r="E133" i="72"/>
  <c r="J10" i="72" s="1"/>
  <c r="L10" i="72" s="1"/>
  <c r="F11" i="72" l="1"/>
  <c r="G11" i="72" s="1"/>
  <c r="D134" i="72" s="1"/>
  <c r="D135" i="72" s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F145" i="72" l="1"/>
  <c r="E145" i="72"/>
  <c r="J11" i="72" s="1"/>
  <c r="L11" i="72" s="1"/>
  <c r="F12" i="72" l="1"/>
  <c r="G12" i="72" s="1"/>
  <c r="D146" i="72" s="1"/>
  <c r="D147" i="72" s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E157" i="72"/>
  <c r="J12" i="72" s="1"/>
  <c r="L12" i="72" s="1"/>
  <c r="F13" i="72" l="1"/>
  <c r="G13" i="72" s="1"/>
  <c r="D158" i="72" s="1"/>
  <c r="D159" i="72" s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E169" i="72" l="1"/>
  <c r="J13" i="72" s="1"/>
  <c r="L13" i="72" s="1"/>
  <c r="F169" i="72"/>
  <c r="F14" i="72" l="1"/>
  <c r="G14" i="72" s="1"/>
  <c r="D170" i="72" s="1"/>
  <c r="D171" i="72" s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F181" i="72" l="1"/>
  <c r="E181" i="72"/>
  <c r="J14" i="72" s="1"/>
  <c r="L14" i="72" s="1"/>
  <c r="F15" i="72" l="1"/>
  <c r="G15" i="72" s="1"/>
  <c r="D182" i="72" s="1"/>
  <c r="D183" i="72" s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L15" i="72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D18" i="62" l="1"/>
  <c r="C149" i="59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F19" i="59"/>
  <c r="F31" i="59"/>
  <c r="F43" i="59"/>
  <c r="F47" i="59"/>
  <c r="F59" i="59"/>
  <c r="F63" i="59"/>
  <c r="F71" i="59"/>
  <c r="F75" i="59"/>
  <c r="F79" i="59"/>
  <c r="F83" i="59"/>
  <c r="F87" i="59"/>
  <c r="F91" i="59"/>
  <c r="F95" i="59"/>
  <c r="F99" i="59"/>
  <c r="F103" i="59"/>
  <c r="F107" i="59"/>
  <c r="F111" i="59"/>
  <c r="F115" i="59"/>
  <c r="F119" i="59"/>
  <c r="F123" i="59"/>
  <c r="F127" i="59"/>
  <c r="F131" i="59"/>
  <c r="F135" i="59"/>
  <c r="F139" i="59"/>
  <c r="F143" i="59"/>
  <c r="F7" i="59"/>
  <c r="F11" i="59"/>
  <c r="F23" i="59"/>
  <c r="F67" i="59"/>
  <c r="F3" i="59"/>
  <c r="F15" i="59"/>
  <c r="F27" i="59"/>
  <c r="F35" i="59"/>
  <c r="F39" i="59"/>
  <c r="F51" i="59"/>
  <c r="F55" i="59"/>
  <c r="F4" i="59"/>
  <c r="F8" i="59"/>
  <c r="F12" i="59"/>
  <c r="F16" i="59"/>
  <c r="F20" i="59"/>
  <c r="F24" i="59"/>
  <c r="F28" i="59"/>
  <c r="F32" i="59"/>
  <c r="F36" i="59"/>
  <c r="F40" i="59"/>
  <c r="F44" i="59"/>
  <c r="F48" i="59"/>
  <c r="F52" i="59"/>
  <c r="F56" i="59"/>
  <c r="F60" i="59"/>
  <c r="F64" i="59"/>
  <c r="F68" i="59"/>
  <c r="F72" i="59"/>
  <c r="F76" i="59"/>
  <c r="F80" i="59"/>
  <c r="F84" i="59"/>
  <c r="F88" i="59"/>
  <c r="F92" i="59"/>
  <c r="F96" i="59"/>
  <c r="F100" i="59"/>
  <c r="F104" i="59"/>
  <c r="F108" i="59"/>
  <c r="F112" i="59"/>
  <c r="F116" i="59"/>
  <c r="F120" i="59"/>
  <c r="F124" i="59"/>
  <c r="F128" i="59"/>
  <c r="F132" i="59"/>
  <c r="F136" i="59"/>
  <c r="F140" i="59"/>
  <c r="F144" i="59"/>
  <c r="F10" i="59"/>
  <c r="F18" i="59"/>
  <c r="F22" i="59"/>
  <c r="F26" i="59"/>
  <c r="F30" i="59"/>
  <c r="F34" i="59"/>
  <c r="F38" i="59"/>
  <c r="F42" i="59"/>
  <c r="F46" i="59"/>
  <c r="F50" i="59"/>
  <c r="F54" i="59"/>
  <c r="F58" i="59"/>
  <c r="F62" i="59"/>
  <c r="F66" i="59"/>
  <c r="F70" i="59"/>
  <c r="F74" i="59"/>
  <c r="F78" i="59"/>
  <c r="F82" i="59"/>
  <c r="F86" i="59"/>
  <c r="F90" i="59"/>
  <c r="F94" i="59"/>
  <c r="F98" i="59"/>
  <c r="F102" i="59"/>
  <c r="F106" i="59"/>
  <c r="F110" i="59"/>
  <c r="F114" i="59"/>
  <c r="F118" i="59"/>
  <c r="F122" i="59"/>
  <c r="F126" i="59"/>
  <c r="F130" i="59"/>
  <c r="F134" i="59"/>
  <c r="F138" i="59"/>
  <c r="F142" i="59"/>
  <c r="F2" i="59"/>
  <c r="F6" i="59"/>
  <c r="F14" i="59"/>
  <c r="C18" i="79" l="1"/>
  <c r="C20" i="79"/>
  <c r="C22" i="79"/>
  <c r="D22" i="79" s="1"/>
  <c r="D55" i="79" s="1"/>
  <c r="C21" i="79"/>
  <c r="C17" i="79"/>
  <c r="F154" i="59"/>
  <c r="F159" i="59"/>
  <c r="F156" i="59"/>
  <c r="F155" i="59"/>
  <c r="F151" i="59"/>
  <c r="O158" i="59"/>
  <c r="O154" i="59"/>
  <c r="O150" i="59"/>
  <c r="C7" i="62" s="1"/>
  <c r="F160" i="59"/>
  <c r="O147" i="59"/>
  <c r="O160" i="59"/>
  <c r="O156" i="59"/>
  <c r="O152" i="59"/>
  <c r="C9" i="62" s="1"/>
  <c r="O159" i="59"/>
  <c r="O155" i="59"/>
  <c r="O151" i="59"/>
  <c r="C8" i="62" s="1"/>
  <c r="F149" i="59"/>
  <c r="F158" i="59"/>
  <c r="F157" i="59"/>
  <c r="F153" i="59"/>
  <c r="F150" i="59"/>
  <c r="F152" i="59"/>
  <c r="O157" i="59"/>
  <c r="O153" i="59"/>
  <c r="C10" i="62" s="1"/>
  <c r="O149" i="59"/>
  <c r="C14" i="62" l="1"/>
  <c r="C12" i="62"/>
  <c r="C11" i="62"/>
  <c r="C16" i="62"/>
  <c r="C15" i="62"/>
  <c r="C13" i="62"/>
  <c r="C17" i="62"/>
  <c r="F22" i="79"/>
  <c r="F162" i="59"/>
  <c r="O164" i="59"/>
  <c r="C6" i="62"/>
  <c r="O162" i="59"/>
  <c r="B17" i="64"/>
  <c r="B18" i="64"/>
  <c r="B19" i="64"/>
  <c r="B20" i="64"/>
  <c r="B21" i="64"/>
  <c r="B22" i="64"/>
  <c r="B23" i="64"/>
  <c r="B24" i="64"/>
  <c r="B25" i="64"/>
  <c r="R14" i="62" l="1"/>
  <c r="U14" i="62"/>
  <c r="W14" i="62"/>
  <c r="X14" i="62"/>
  <c r="V14" i="62"/>
  <c r="S14" i="62"/>
  <c r="Q14" i="62"/>
  <c r="T14" i="62"/>
  <c r="W13" i="62"/>
  <c r="R13" i="62"/>
  <c r="U13" i="62"/>
  <c r="X13" i="62"/>
  <c r="S13" i="62"/>
  <c r="V13" i="62"/>
  <c r="T13" i="62"/>
  <c r="Q13" i="62"/>
  <c r="Q11" i="62"/>
  <c r="T11" i="62"/>
  <c r="W11" i="62"/>
  <c r="R11" i="62"/>
  <c r="U11" i="62"/>
  <c r="X11" i="62"/>
  <c r="S11" i="62"/>
  <c r="V11" i="62"/>
  <c r="U15" i="62"/>
  <c r="X15" i="62"/>
  <c r="S15" i="62"/>
  <c r="Q15" i="62"/>
  <c r="T15" i="62"/>
  <c r="V15" i="62"/>
  <c r="R15" i="62"/>
  <c r="W15" i="62"/>
  <c r="T12" i="62"/>
  <c r="W12" i="62"/>
  <c r="S12" i="62"/>
  <c r="Q12" i="62"/>
  <c r="R12" i="62"/>
  <c r="U12" i="62"/>
  <c r="X12" i="62"/>
  <c r="V12" i="62"/>
  <c r="E17" i="62"/>
  <c r="G64" i="62" s="1"/>
  <c r="G84" i="62" s="1"/>
  <c r="E16" i="62"/>
  <c r="G63" i="62" s="1"/>
  <c r="G83" i="62" s="1"/>
  <c r="D66" i="79"/>
  <c r="F66" i="79" s="1"/>
  <c r="D77" i="79"/>
  <c r="F77" i="79" s="1"/>
  <c r="F55" i="79"/>
  <c r="B31" i="64"/>
  <c r="F26" i="64"/>
  <c r="Y14" i="62" l="1"/>
  <c r="Z14" i="62" s="1"/>
  <c r="Y13" i="62"/>
  <c r="Z13" i="62" s="1"/>
  <c r="Y15" i="62"/>
  <c r="Z15" i="62" s="1"/>
  <c r="Y12" i="62"/>
  <c r="Z12" i="62" s="1"/>
  <c r="Y11" i="62"/>
  <c r="Z11" i="62" s="1"/>
  <c r="P143" i="59"/>
  <c r="P133" i="59"/>
  <c r="P95" i="59"/>
  <c r="P93" i="59" l="1"/>
  <c r="P127" i="59"/>
  <c r="P79" i="59"/>
  <c r="P31" i="59"/>
  <c r="P111" i="59"/>
  <c r="P131" i="59"/>
  <c r="P15" i="59"/>
  <c r="P115" i="59"/>
  <c r="P145" i="59"/>
  <c r="P65" i="59"/>
  <c r="P29" i="59"/>
  <c r="P141" i="59"/>
  <c r="P117" i="59"/>
  <c r="P109" i="59"/>
  <c r="P113" i="59"/>
  <c r="P47" i="59"/>
  <c r="P110" i="59"/>
  <c r="P38" i="59"/>
  <c r="P138" i="59"/>
  <c r="P69" i="59"/>
  <c r="P37" i="59"/>
  <c r="P53" i="59"/>
  <c r="P61" i="59"/>
  <c r="P68" i="59"/>
  <c r="P124" i="59"/>
  <c r="P60" i="59"/>
  <c r="P22" i="59"/>
  <c r="P122" i="59"/>
  <c r="P62" i="59"/>
  <c r="P86" i="59"/>
  <c r="P114" i="59"/>
  <c r="P46" i="59"/>
  <c r="P132" i="59"/>
  <c r="P83" i="59"/>
  <c r="P90" i="59"/>
  <c r="P6" i="59"/>
  <c r="P3" i="59"/>
  <c r="P35" i="59"/>
  <c r="P11" i="59"/>
  <c r="P18" i="59"/>
  <c r="P54" i="59"/>
  <c r="P130" i="59"/>
  <c r="P12" i="59"/>
  <c r="P34" i="59"/>
  <c r="P98" i="59"/>
  <c r="P106" i="59"/>
  <c r="P82" i="59"/>
  <c r="P50" i="59"/>
  <c r="P116" i="59"/>
  <c r="P100" i="59"/>
  <c r="P58" i="59"/>
  <c r="P42" i="59"/>
  <c r="P70" i="59"/>
  <c r="P52" i="59"/>
  <c r="P94" i="59"/>
  <c r="P134" i="59"/>
  <c r="P118" i="59"/>
  <c r="P78" i="59"/>
  <c r="P30" i="59"/>
  <c r="P102" i="59"/>
  <c r="P92" i="59"/>
  <c r="P84" i="59"/>
  <c r="P74" i="59"/>
  <c r="P66" i="59"/>
  <c r="P10" i="59"/>
  <c r="P2" i="59"/>
  <c r="P142" i="59"/>
  <c r="P126" i="59"/>
  <c r="P77" i="59"/>
  <c r="P67" i="59"/>
  <c r="P13" i="59"/>
  <c r="F4" i="70"/>
  <c r="F70" i="70" s="1"/>
  <c r="P63" i="59"/>
  <c r="P140" i="59"/>
  <c r="P108" i="59"/>
  <c r="P76" i="59"/>
  <c r="P43" i="59"/>
  <c r="P9" i="59"/>
  <c r="P23" i="59"/>
  <c r="P40" i="59"/>
  <c r="G4" i="70"/>
  <c r="G70" i="70" s="1"/>
  <c r="P120" i="59"/>
  <c r="P88" i="59"/>
  <c r="P129" i="59"/>
  <c r="K4" i="70"/>
  <c r="K70" i="70" s="1"/>
  <c r="P139" i="59"/>
  <c r="I4" i="70"/>
  <c r="I70" i="70" s="1"/>
  <c r="E4" i="70"/>
  <c r="E70" i="70" s="1"/>
  <c r="H4" i="70"/>
  <c r="H70" i="70" s="1"/>
  <c r="P59" i="59"/>
  <c r="P27" i="59"/>
  <c r="J4" i="70"/>
  <c r="J70" i="70" s="1"/>
  <c r="P107" i="59"/>
  <c r="P51" i="59"/>
  <c r="P56" i="59"/>
  <c r="P71" i="59"/>
  <c r="B4" i="70"/>
  <c r="B70" i="70" s="1"/>
  <c r="P123" i="59"/>
  <c r="P73" i="59"/>
  <c r="P20" i="59"/>
  <c r="P136" i="59"/>
  <c r="P104" i="59"/>
  <c r="P72" i="59"/>
  <c r="P55" i="59"/>
  <c r="P16" i="59"/>
  <c r="P103" i="59"/>
  <c r="P57" i="59"/>
  <c r="P36" i="59"/>
  <c r="P14" i="59"/>
  <c r="P121" i="59"/>
  <c r="P45" i="59"/>
  <c r="P99" i="59"/>
  <c r="P49" i="59"/>
  <c r="P137" i="59"/>
  <c r="C4" i="70"/>
  <c r="C70" i="70" s="1"/>
  <c r="P105" i="59"/>
  <c r="P87" i="59"/>
  <c r="P32" i="59"/>
  <c r="P41" i="59"/>
  <c r="P48" i="59"/>
  <c r="P8" i="59"/>
  <c r="P101" i="59"/>
  <c r="P33" i="59"/>
  <c r="P135" i="59"/>
  <c r="P91" i="59"/>
  <c r="P19" i="59"/>
  <c r="P7" i="59"/>
  <c r="D4" i="70"/>
  <c r="D70" i="70" s="1"/>
  <c r="P85" i="59"/>
  <c r="P144" i="59"/>
  <c r="P128" i="59"/>
  <c r="P112" i="59"/>
  <c r="P96" i="59"/>
  <c r="P80" i="59"/>
  <c r="P64" i="59"/>
  <c r="P28" i="59"/>
  <c r="P4" i="59"/>
  <c r="P97" i="59"/>
  <c r="P25" i="59"/>
  <c r="P125" i="59"/>
  <c r="P81" i="59"/>
  <c r="P5" i="59"/>
  <c r="P39" i="59"/>
  <c r="P17" i="59"/>
  <c r="P26" i="59"/>
  <c r="P44" i="59"/>
  <c r="P24" i="59"/>
  <c r="P89" i="59"/>
  <c r="P21" i="59"/>
  <c r="P119" i="59"/>
  <c r="P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Q158" i="59"/>
  <c r="P158" i="59"/>
  <c r="D6" i="70" l="1"/>
  <c r="F6" i="70"/>
  <c r="J71" i="70"/>
  <c r="K71" i="70"/>
  <c r="H6" i="70"/>
  <c r="G71" i="70"/>
  <c r="I6" i="70"/>
  <c r="C6" i="70"/>
  <c r="E71" i="70"/>
  <c r="B71" i="70"/>
  <c r="P147" i="59"/>
  <c r="Q154" i="59"/>
  <c r="P150" i="59"/>
  <c r="P152" i="59"/>
  <c r="Q156" i="59"/>
  <c r="P154" i="59" l="1"/>
  <c r="Q152" i="59"/>
  <c r="P156" i="59"/>
  <c r="Q150" i="59"/>
  <c r="Q151" i="59" l="1"/>
  <c r="P151" i="59"/>
  <c r="P155" i="59"/>
  <c r="Q155" i="59"/>
  <c r="Q149" i="59"/>
  <c r="P149" i="59"/>
  <c r="P153" i="59"/>
  <c r="Q153" i="59"/>
  <c r="P157" i="59"/>
  <c r="Q157" i="59"/>
  <c r="Q162" i="59" l="1"/>
  <c r="Q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6" i="63"/>
  <c r="K25" i="63"/>
  <c r="K24" i="63"/>
  <c r="K23" i="63"/>
  <c r="K22" i="63"/>
  <c r="G6" i="64" l="1"/>
  <c r="G5" i="64"/>
  <c r="G4" i="64"/>
  <c r="G3" i="64"/>
  <c r="K21" i="63"/>
  <c r="K20" i="63"/>
  <c r="K19" i="63"/>
  <c r="K18" i="63"/>
  <c r="I7" i="63"/>
  <c r="I6" i="63"/>
  <c r="I20" i="63" l="1"/>
  <c r="N24" i="62"/>
  <c r="N37" i="62" s="1"/>
  <c r="D35" i="70"/>
  <c r="J6" i="63"/>
  <c r="N25" i="62"/>
  <c r="I21" i="63"/>
  <c r="I22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1" i="63"/>
  <c r="D31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3" i="63"/>
  <c r="F56" i="70"/>
  <c r="F61" i="70"/>
  <c r="F66" i="70" s="1"/>
  <c r="G56" i="70"/>
  <c r="G61" i="70"/>
  <c r="G66" i="70" s="1"/>
  <c r="C31" i="63"/>
  <c r="C14" i="63" s="1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 l="1"/>
  <c r="B14" i="63"/>
  <c r="E64" i="70"/>
  <c r="N50" i="62"/>
  <c r="N48" i="62" s="1"/>
  <c r="I31" i="63"/>
  <c r="I14" i="63" s="1"/>
  <c r="D64" i="70"/>
  <c r="L16" i="70"/>
  <c r="C15" i="63"/>
  <c r="L12" i="70" l="1"/>
  <c r="B15" i="63"/>
  <c r="M12" i="70" s="1"/>
  <c r="I15" i="63"/>
  <c r="L35" i="70"/>
  <c r="M16" i="70"/>
  <c r="D84" i="78" l="1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0" i="62" s="1"/>
  <c r="O69" i="62" s="1"/>
  <c r="I32" i="62"/>
  <c r="I33" i="62" s="1"/>
  <c r="J60" i="62" s="1"/>
  <c r="J69" i="62" l="1"/>
  <c r="J59" i="62"/>
  <c r="O59" i="62"/>
  <c r="I59" i="62"/>
  <c r="O68" i="62" l="1"/>
  <c r="I68" i="62"/>
  <c r="I60" i="62"/>
  <c r="I69" i="62" s="1"/>
  <c r="G32" i="62" l="1"/>
  <c r="G33" i="62" l="1"/>
  <c r="H59" i="62"/>
  <c r="H68" i="62" l="1"/>
  <c r="H60" i="62"/>
  <c r="H69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7" i="63"/>
  <c r="H33" i="63" s="1"/>
  <c r="M31" i="62"/>
  <c r="M44" i="62" s="1"/>
  <c r="K49" i="70" l="1"/>
  <c r="K54" i="70"/>
  <c r="M32" i="62"/>
  <c r="H31" i="63"/>
  <c r="H14" i="63" s="1"/>
  <c r="L13" i="63"/>
  <c r="K59" i="70" s="1"/>
  <c r="N59" i="62" l="1"/>
  <c r="K64" i="70"/>
  <c r="L30" i="70"/>
  <c r="H15" i="63"/>
  <c r="N68" i="62" l="1"/>
  <c r="N60" i="62"/>
  <c r="M30" i="70"/>
  <c r="N69" i="62" l="1"/>
  <c r="G27" i="63" l="1"/>
  <c r="G33" i="63"/>
  <c r="G31" i="63" s="1"/>
  <c r="G14" i="63" s="1"/>
  <c r="M59" i="62" l="1"/>
  <c r="G15" i="63"/>
  <c r="L25" i="70"/>
  <c r="J14" i="63"/>
  <c r="L54" i="70" s="1"/>
  <c r="L49" i="70" l="1"/>
  <c r="L44" i="70"/>
  <c r="L14" i="63"/>
  <c r="L59" i="70" s="1"/>
  <c r="M25" i="70"/>
  <c r="M60" i="62"/>
  <c r="J15" i="63"/>
  <c r="P59" i="62"/>
  <c r="M68" i="62"/>
  <c r="G59" i="62"/>
  <c r="G68" i="62" s="1"/>
  <c r="L64" i="70" l="1"/>
  <c r="P68" i="62"/>
  <c r="G60" i="62"/>
  <c r="G69" i="62" s="1"/>
  <c r="P60" i="62"/>
  <c r="M69" i="62"/>
  <c r="L15" i="63"/>
  <c r="M59" i="70" s="1"/>
  <c r="M54" i="70"/>
  <c r="M49" i="70"/>
  <c r="M44" i="70"/>
  <c r="M64" i="70" l="1"/>
  <c r="H72" i="62"/>
  <c r="J72" i="62"/>
  <c r="N72" i="62"/>
  <c r="N63" i="62" s="1"/>
  <c r="I72" i="62"/>
  <c r="K72" i="62"/>
  <c r="K63" i="62" s="1"/>
  <c r="O72" i="62"/>
  <c r="O63" i="62" s="1"/>
  <c r="O83" i="62" s="1"/>
  <c r="B9" i="78" s="1"/>
  <c r="P69" i="62"/>
  <c r="M73" i="62" s="1"/>
  <c r="M64" i="62" s="1"/>
  <c r="M72" i="62"/>
  <c r="M63" i="62" s="1"/>
  <c r="N83" i="62" l="1"/>
  <c r="B8" i="78" s="1"/>
  <c r="F13" i="64"/>
  <c r="C8" i="78" s="1"/>
  <c r="D31" i="78" s="1"/>
  <c r="M84" i="62"/>
  <c r="B7" i="79" s="1"/>
  <c r="B19" i="79" s="1"/>
  <c r="E14" i="64"/>
  <c r="M83" i="62"/>
  <c r="B7" i="78" s="1"/>
  <c r="B19" i="78" s="1"/>
  <c r="E13" i="64"/>
  <c r="K83" i="62"/>
  <c r="B5" i="78" s="1"/>
  <c r="L36" i="70"/>
  <c r="J63" i="62"/>
  <c r="I63" i="62"/>
  <c r="N73" i="62"/>
  <c r="N64" i="62" s="1"/>
  <c r="O73" i="62"/>
  <c r="O64" i="62" s="1"/>
  <c r="O84" i="62" s="1"/>
  <c r="B9" i="79" s="1"/>
  <c r="J73" i="62"/>
  <c r="H73" i="62"/>
  <c r="K73" i="62"/>
  <c r="K64" i="62" s="1"/>
  <c r="I73" i="62"/>
  <c r="P72" i="62"/>
  <c r="H63" i="62"/>
  <c r="M26" i="70" l="1"/>
  <c r="L31" i="70"/>
  <c r="C7" i="78"/>
  <c r="D30" i="78" s="1"/>
  <c r="I13" i="64"/>
  <c r="C7" i="79"/>
  <c r="I14" i="64"/>
  <c r="L26" i="70"/>
  <c r="N84" i="62"/>
  <c r="B8" i="79" s="1"/>
  <c r="B20" i="79" s="1"/>
  <c r="F14" i="64"/>
  <c r="C8" i="79" s="1"/>
  <c r="J83" i="62"/>
  <c r="D19" i="79"/>
  <c r="D19" i="78"/>
  <c r="H83" i="62"/>
  <c r="B2" i="78" s="1"/>
  <c r="K84" i="62"/>
  <c r="B5" i="79" s="1"/>
  <c r="I83" i="62"/>
  <c r="B20" i="78"/>
  <c r="B21" i="78"/>
  <c r="M36" i="70"/>
  <c r="I64" i="62"/>
  <c r="J64" i="62"/>
  <c r="P63" i="62"/>
  <c r="L27" i="70"/>
  <c r="M27" i="70"/>
  <c r="L32" i="70"/>
  <c r="P73" i="62"/>
  <c r="H64" i="62"/>
  <c r="M31" i="70" l="1"/>
  <c r="D52" i="79"/>
  <c r="D74" i="79" s="1"/>
  <c r="F74" i="79" s="1"/>
  <c r="B4" i="78"/>
  <c r="B18" i="78" s="1"/>
  <c r="D18" i="78" s="1"/>
  <c r="B13" i="64"/>
  <c r="C4" i="78" s="1"/>
  <c r="C11" i="78" s="1"/>
  <c r="L21" i="70"/>
  <c r="L13" i="70"/>
  <c r="B3" i="78"/>
  <c r="D20" i="79"/>
  <c r="D52" i="78"/>
  <c r="D74" i="78" s="1"/>
  <c r="F74" i="78" s="1"/>
  <c r="D21" i="78"/>
  <c r="D20" i="78"/>
  <c r="L17" i="70"/>
  <c r="I84" i="62"/>
  <c r="M17" i="70" s="1"/>
  <c r="H84" i="62"/>
  <c r="P83" i="62"/>
  <c r="Q83" i="62" s="1"/>
  <c r="J75" i="62"/>
  <c r="J84" i="62"/>
  <c r="B4" i="79" s="1"/>
  <c r="B18" i="79" s="1"/>
  <c r="F31" i="78"/>
  <c r="D42" i="78"/>
  <c r="F42" i="78" s="1"/>
  <c r="F52" i="79"/>
  <c r="D31" i="79"/>
  <c r="B16" i="78"/>
  <c r="D16" i="78" s="1"/>
  <c r="B21" i="79"/>
  <c r="D30" i="79"/>
  <c r="P64" i="62"/>
  <c r="M32" i="70"/>
  <c r="L55" i="70"/>
  <c r="G13" i="64" l="1"/>
  <c r="L56" i="70" s="1"/>
  <c r="L22" i="70"/>
  <c r="L51" i="70" s="1"/>
  <c r="F52" i="78"/>
  <c r="D29" i="78"/>
  <c r="F29" i="78" s="1"/>
  <c r="H13" i="64"/>
  <c r="B11" i="78"/>
  <c r="L45" i="70"/>
  <c r="L50" i="70"/>
  <c r="M21" i="70"/>
  <c r="D53" i="79"/>
  <c r="D64" i="79" s="1"/>
  <c r="F64" i="79" s="1"/>
  <c r="P84" i="62"/>
  <c r="P87" i="62" s="1"/>
  <c r="B2" i="79"/>
  <c r="F20" i="79"/>
  <c r="B3" i="79"/>
  <c r="D21" i="79"/>
  <c r="F21" i="79" s="1"/>
  <c r="D18" i="79"/>
  <c r="D51" i="78"/>
  <c r="D62" i="78" s="1"/>
  <c r="F62" i="78" s="1"/>
  <c r="D53" i="78"/>
  <c r="F53" i="78" s="1"/>
  <c r="D54" i="78"/>
  <c r="D76" i="78" s="1"/>
  <c r="F76" i="78" s="1"/>
  <c r="D32" i="78"/>
  <c r="D49" i="78"/>
  <c r="D27" i="78"/>
  <c r="F21" i="78"/>
  <c r="F20" i="78"/>
  <c r="L60" i="70"/>
  <c r="B17" i="78"/>
  <c r="M13" i="70"/>
  <c r="J87" i="62"/>
  <c r="J86" i="62"/>
  <c r="J88" i="62"/>
  <c r="B14" i="64"/>
  <c r="D41" i="79"/>
  <c r="F41" i="79" s="1"/>
  <c r="F30" i="79"/>
  <c r="D41" i="78"/>
  <c r="F41" i="78" s="1"/>
  <c r="F30" i="78"/>
  <c r="F54" i="78"/>
  <c r="F31" i="79"/>
  <c r="D42" i="79"/>
  <c r="F42" i="79" s="1"/>
  <c r="M55" i="70"/>
  <c r="D40" i="78" l="1"/>
  <c r="F40" i="78" s="1"/>
  <c r="L61" i="70"/>
  <c r="L66" i="70" s="1"/>
  <c r="L46" i="70"/>
  <c r="D51" i="79"/>
  <c r="D62" i="79" s="1"/>
  <c r="F62" i="79" s="1"/>
  <c r="F18" i="79"/>
  <c r="B16" i="79"/>
  <c r="D16" i="79" s="1"/>
  <c r="D27" i="79" s="1"/>
  <c r="D75" i="78"/>
  <c r="F75" i="78" s="1"/>
  <c r="D64" i="78"/>
  <c r="F64" i="78" s="1"/>
  <c r="D65" i="78"/>
  <c r="F65" i="78" s="1"/>
  <c r="B17" i="79"/>
  <c r="D17" i="79" s="1"/>
  <c r="F17" i="79" s="1"/>
  <c r="M50" i="70"/>
  <c r="D73" i="78"/>
  <c r="F73" i="78" s="1"/>
  <c r="L65" i="70"/>
  <c r="M45" i="70"/>
  <c r="F51" i="78"/>
  <c r="F53" i="79"/>
  <c r="D75" i="79"/>
  <c r="F75" i="79" s="1"/>
  <c r="M22" i="70"/>
  <c r="M51" i="70" s="1"/>
  <c r="C4" i="79"/>
  <c r="C11" i="79" s="1"/>
  <c r="Q84" i="62"/>
  <c r="M60" i="70"/>
  <c r="D54" i="79"/>
  <c r="D32" i="79"/>
  <c r="B11" i="79"/>
  <c r="D17" i="78"/>
  <c r="B23" i="78"/>
  <c r="L14" i="64"/>
  <c r="L13" i="64"/>
  <c r="H14" i="64"/>
  <c r="G14" i="64"/>
  <c r="G16" i="64" s="1"/>
  <c r="F32" i="78"/>
  <c r="D43" i="78"/>
  <c r="F43" i="78" s="1"/>
  <c r="F16" i="78"/>
  <c r="D49" i="79" l="1"/>
  <c r="B23" i="79"/>
  <c r="D73" i="79"/>
  <c r="F73" i="79" s="1"/>
  <c r="F51" i="79"/>
  <c r="M65" i="70"/>
  <c r="M46" i="70"/>
  <c r="D23" i="79"/>
  <c r="D23" i="78"/>
  <c r="F17" i="78"/>
  <c r="D50" i="79"/>
  <c r="D28" i="79"/>
  <c r="D50" i="78"/>
  <c r="F50" i="78" s="1"/>
  <c r="D28" i="78"/>
  <c r="D39" i="78" s="1"/>
  <c r="F39" i="78" s="1"/>
  <c r="D29" i="79"/>
  <c r="D40" i="79" s="1"/>
  <c r="F40" i="79" s="1"/>
  <c r="M61" i="70"/>
  <c r="M66" i="70" s="1"/>
  <c r="M56" i="70"/>
  <c r="F32" i="79"/>
  <c r="D43" i="79"/>
  <c r="F43" i="79" s="1"/>
  <c r="D38" i="78"/>
  <c r="F38" i="78" s="1"/>
  <c r="F27" i="78"/>
  <c r="D71" i="78"/>
  <c r="F49" i="78"/>
  <c r="D60" i="78"/>
  <c r="F16" i="79"/>
  <c r="D65" i="79"/>
  <c r="F65" i="79" s="1"/>
  <c r="F54" i="79"/>
  <c r="D76" i="79"/>
  <c r="F76" i="79" s="1"/>
  <c r="D61" i="78" l="1"/>
  <c r="F61" i="78" s="1"/>
  <c r="F28" i="78"/>
  <c r="F34" i="78" s="1"/>
  <c r="B88" i="78" s="1"/>
  <c r="D56" i="78"/>
  <c r="D72" i="78"/>
  <c r="F72" i="78" s="1"/>
  <c r="F19" i="79"/>
  <c r="F29" i="79"/>
  <c r="D38" i="79"/>
  <c r="F38" i="79" s="1"/>
  <c r="F56" i="78"/>
  <c r="F45" i="78"/>
  <c r="B89" i="78" s="1"/>
  <c r="D56" i="79"/>
  <c r="D60" i="79"/>
  <c r="F49" i="79"/>
  <c r="D71" i="79"/>
  <c r="F71" i="78"/>
  <c r="F60" i="78"/>
  <c r="F67" i="78" l="1"/>
  <c r="B87" i="78" s="1"/>
  <c r="D67" i="78"/>
  <c r="D78" i="78"/>
  <c r="F23" i="79"/>
  <c r="B86" i="79" s="1"/>
  <c r="F27" i="79"/>
  <c r="F60" i="79"/>
  <c r="F28" i="79"/>
  <c r="D39" i="79"/>
  <c r="F39" i="79" s="1"/>
  <c r="F78" i="78"/>
  <c r="B90" i="78" s="1"/>
  <c r="F50" i="79"/>
  <c r="D72" i="79"/>
  <c r="F72" i="79" s="1"/>
  <c r="D61" i="79"/>
  <c r="F61" i="79" s="1"/>
  <c r="F71" i="79"/>
  <c r="F34" i="79" l="1"/>
  <c r="B88" i="79" s="1"/>
  <c r="F45" i="79"/>
  <c r="B89" i="79" s="1"/>
  <c r="F23" i="78"/>
  <c r="B86" i="78" s="1"/>
  <c r="D78" i="79"/>
  <c r="F78" i="79"/>
  <c r="B90" i="79" s="1"/>
  <c r="F67" i="79"/>
  <c r="D67" i="79"/>
  <c r="F56" i="79"/>
  <c r="B92" i="78" l="1"/>
  <c r="B87" i="79"/>
  <c r="C90" i="79" l="1"/>
  <c r="B92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<sst xmlns="http://schemas.openxmlformats.org/spreadsheetml/2006/main" count="420" uniqueCount="185">
  <si>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</si>
  <si>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</si>
  <si>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</si>
  <si>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</si>
  <si>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</si>
  <si>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</si>
  <si>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</si>
  <si>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</si>
  <si>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Residential Customers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</si>
  <si>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</si>
  <si>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</si>
  <si>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</si>
  <si>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</si>
  <si>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</si>
  <si>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</si>
  <si>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</si>
  <si>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</si>
  <si>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</si>
  <si>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</si>
  <si>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</si>
  <si>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</si>
  <si>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</si>
  <si>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</si>
  <si>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</si>
  <si>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</si>
  <si>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</si>
  <si>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</si>
  <si>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</si>
  <si>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</si>
  <si>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</si>
  <si>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</si>
  <si>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</si>
  <si>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</si>
  <si>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</si>
  <si>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</si>
  <si>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</si>
  <si>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</si>
  <si>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</si>
  <si>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</si>
  <si>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</si>
  <si>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</si>
  <si>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</si>
  <si>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</si>
  <si>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</si>
  <si>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</si>
  <si>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</si>
  <si>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</si>
  <si>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</si>
  <si>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</si>
  <si>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</si>
  <si>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</si>
  <si>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</si>
  <si>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</si>
  <si>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</si>
  <si>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</si>
  <si>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</si>
  <si>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</si>
  <si>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</si>
  <si>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</si>
  <si>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</si>
  <si>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</si>
  <si>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</si>
  <si>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</si>
  <si>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</si>
  <si>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</si>
  <si>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</si>
  <si>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</si>
  <si>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</si>
  <si>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</si>
  <si>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</si>
  <si>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</si>
  <si>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</si>
  <si>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</si>
  <si>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</si>
  <si>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</si>
  <si>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</si>
  <si>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</si>
  <si>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</si>
  <si>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</si>
  <si>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</si>
  <si>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</si>
  <si>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</si>
  <si>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</si>
  <si>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</si>
  <si>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</si>
  <si>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</si>
  <si>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</si>
  <si>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</si>
  <si>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</si>
  <si>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</si>
  <si>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</si>
  <si>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</si>
  <si>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Total to 2018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</si>
  <si>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</si>
  <si>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</si>
  <si>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</si>
  <si>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</si>
  <si>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</si>
  <si>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</si>
  <si>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</si>
  <si>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</si>
  <si>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</si>
  <si>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</si>
  <si>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</si>
  <si>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</si>
  <si>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</si>
  <si>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</si>
  <si>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</si>
  <si>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</si>
  <si>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</si>
  <si>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</si>
  <si>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</si>
  <si>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</si>
  <si>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</si>
  <si>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</si>
  <si>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</si>
  <si>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</si>
  <si>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</si>
  <si>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</si>
  <si>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</si>
  <si>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</si>
  <si>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</si>
  <si>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</si>
  <si>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</si>
  <si>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</si>
  <si>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</si>
  <si>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</si>
  <si>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</si>
  <si>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</si>
  <si>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</si>
  <si>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</si>
  <si>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</si>
  <si>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</si>
  <si>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</si>
  <si>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</si>
  <si>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</si>
  <si>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</si>
  <si>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</si>
  <si>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</si>
  <si>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</si>
  <si>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</si>
  <si>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</si>
  <si>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</si>
  <si>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</si>
  <si>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</si>
  <si>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</si>
  <si>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</si>
  <si>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</si>
  <si>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</si>
  <si>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</si>
  <si>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</si>
  <si>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</si>
  <si>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</si>
  <si>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</si>
  <si>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</si>
  <si>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</si>
  <si>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</si>
  <si>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</si>
  <si>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</si>
  <si>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</si>
  <si>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</si>
  <si>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</si>
  <si>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</si>
  <si>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</si>
  <si>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</si>
  <si>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</si>
  <si>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</si>
  <si>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</si>
  <si>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</si>
  <si>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</si>
  <si>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</si>
  <si>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</si>
  <si>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</si>
  <si>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</si>
  <si>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</si>
  <si>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</si>
  <si>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</si>
  <si>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</si>
  <si>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</si>
  <si>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</si>
  <si>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</si>
  <si>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</si>
  <si>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3.1.7-1 CDM Activity Variable Supporting Data</t>
  </si>
  <si>
    <t>GS&gt;50 kW
Cl A</t>
  </si>
  <si>
    <t>Ontario Real GDP Monthly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</si>
</sst>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;\(#,##0.0\)"/>
    <numFmt numFmtId="180" formatCode="000000000#"/>
    <numFmt numFmtId="181" formatCode="yyyy/mm/dd"/>
    <numFmt numFmtId="182" formatCode="0.00000"/>
    <numFmt numFmtId="183" formatCode="_-* #,##0.00_-;\-* #,##0.00_-;_-* &quot;-&quot;??_-;_-@_-"/>
    <numFmt numFmtId="184" formatCode="_-* #,##0_-;\-* #,##0_-;_-* &quot;-&quot;??_-;_-@_-"/>
    <numFmt numFmtId="185" formatCode="_-* #,##0.00_-;\-* #,##0.00_-;_-* \-??_-;_-@_-"/>
    <numFmt numFmtId="186" formatCode="0.000"/>
    <numFmt numFmtId="187" formatCode="0.00000%"/>
    <numFmt numFmtId="188" formatCode="0.0000000%"/>
    <numFmt numFmtId="189" formatCode="_(* #,##0.0_);_(* \(#,##0.0\);_(* &quot;-&quot;??_);_(@_)"/>
    <numFmt numFmtId="190" formatCode="mm/dd/yyyy"/>
    <numFmt numFmtId="191" formatCode="0\-0"/>
    <numFmt numFmtId="192" formatCode="##\-#"/>
    <numFmt numFmtId="193" formatCode="&quot;£ &quot;#,##0.00;[Red]\-&quot;£ &quot;#,##0.00"/>
    <numFmt numFmtId="194" formatCode="#,##0.00000000;\(#,##0.00000000\)"/>
    <numFmt numFmtId="195" formatCode="#,##0.0_);\(#,##0.0\)"/>
  </numFmts>
  <fonts count="44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3" fontId="3" fillId="0" borderId="0" applyFont="0" applyFill="0" applyBorder="0" applyAlignment="0" applyProtection="0"/>
    <xf numFmtId="185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3" fillId="0" borderId="0"/>
    <xf numFmtId="164" fontId="3" fillId="0" borderId="0"/>
    <xf numFmtId="189" fontId="3" fillId="0" borderId="0"/>
    <xf numFmtId="189" fontId="3" fillId="0" borderId="0"/>
    <xf numFmtId="189" fontId="3" fillId="0" borderId="0"/>
    <xf numFmtId="189" fontId="3" fillId="0" borderId="0"/>
    <xf numFmtId="190" fontId="3" fillId="0" borderId="0"/>
    <xf numFmtId="191" fontId="3" fillId="0" borderId="0"/>
    <xf numFmtId="190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192" fontId="3" fillId="0" borderId="0"/>
    <xf numFmtId="175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2" fillId="11" borderId="0" applyNumberFormat="0" applyBorder="0" applyAlignment="0" applyProtection="0"/>
    <xf numFmtId="193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38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1" fillId="0" borderId="8" xfId="0" applyFont="1" applyBorder="1" applyAlignment="1">
      <alignment horizontal="left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11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0" fontId="1" fillId="0" borderId="0" xfId="0" applyNumberFormat="1" applyFont="1" applyAlignment="1">
      <alignment horizontal="center"/>
    </xf>
    <xf numFmtId="181" fontId="1" fillId="0" borderId="0" xfId="0" applyNumberFormat="1" applyFont="1" applyAlignment="1">
      <alignment horizontal="center"/>
    </xf>
    <xf numFmtId="175" fontId="0" fillId="0" borderId="0" xfId="0" applyNumberFormat="1"/>
    <xf numFmtId="184" fontId="3" fillId="0" borderId="0" xfId="12" applyNumberFormat="1"/>
    <xf numFmtId="184" fontId="0" fillId="0" borderId="0" xfId="0" applyNumberFormat="1"/>
    <xf numFmtId="0" fontId="3" fillId="7" borderId="8" xfId="0" applyFont="1" applyFill="1" applyBorder="1" applyAlignment="1">
      <alignment horizontal="right" indent="1"/>
    </xf>
    <xf numFmtId="184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10" applyNumberFormat="1" applyFont="1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2" fontId="0" fillId="0" borderId="0" xfId="0" applyNumberFormat="1"/>
    <xf numFmtId="186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7" fontId="0" fillId="0" borderId="0" xfId="0" applyNumberFormat="1"/>
    <xf numFmtId="188" fontId="0" fillId="0" borderId="0" xfId="0" applyNumberFormat="1"/>
    <xf numFmtId="0" fontId="14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79" fontId="0" fillId="0" borderId="0" xfId="0" applyNumberFormat="1" applyAlignment="1">
      <alignment horizontal="right" indent="1"/>
    </xf>
    <xf numFmtId="194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0" fontId="14" fillId="6" borderId="12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195" fontId="3" fillId="0" borderId="0" xfId="0" applyNumberFormat="1" applyFont="1" applyAlignment="1">
      <alignment horizontal="center"/>
    </xf>
    <xf numFmtId="195" fontId="3" fillId="0" borderId="2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03"/>
  <sheetViews>
    <sheetView topLeftCell="E1" workbookViewId="0">
      <selection activeCell="R26" sqref="R26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42578125" style="191" customWidth="1"/>
    <col min="14" max="14" width="11.7109375" style="11" customWidth="1"/>
    <col min="15" max="15" width="15" style="11" bestFit="1" customWidth="1"/>
    <col min="16" max="16" width="10.7109375" style="7" customWidth="1"/>
    <col min="17" max="17" width="25.7109375" style="11" customWidth="1"/>
    <col min="18" max="18" width="13.140625" bestFit="1" customWidth="1"/>
    <col min="19" max="19" width="13.7109375" customWidth="1"/>
    <col min="20" max="20" width="12.5703125" bestFit="1" customWidth="1"/>
    <col min="21" max="21" width="12.42578125" customWidth="1"/>
    <col min="22" max="22" width="13.5703125" customWidth="1"/>
    <col min="23" max="25" width="12.5703125" customWidth="1"/>
  </cols>
  <sheetData>
    <row r="1" spans="1:25" ht="38.25" x14ac:dyDescent="0.2">
      <c r="B1" s="12" t="s">
        <v>7</v>
      </c>
      <c r="C1" s="12" t="s">
        <v>6</v>
      </c>
      <c r="D1" s="13" t="s">
        <v>9</v>
      </c>
      <c r="E1" s="13" t="s">
        <v>38</v>
      </c>
      <c r="F1" s="12" t="s">
        <v>10</v>
      </c>
      <c r="G1" s="16" t="s">
        <v>0</v>
      </c>
      <c r="H1" s="4" t="s">
        <v>1</v>
      </c>
      <c r="I1" s="4" t="s">
        <v>2</v>
      </c>
      <c r="J1" s="4" t="s">
        <v>4</v>
      </c>
      <c r="K1" s="4" t="s">
        <v>5</v>
      </c>
      <c r="L1" s="4" t="s">
        <v>91</v>
      </c>
      <c r="M1" s="192" t="s">
        <v>184</v>
      </c>
      <c r="N1" s="4" t="s">
        <v>8</v>
      </c>
      <c r="O1" s="4" t="s">
        <v>11</v>
      </c>
      <c r="P1" s="19" t="s">
        <v>12</v>
      </c>
      <c r="Q1" t="s">
        <v>13</v>
      </c>
    </row>
    <row r="2" spans="1:25" ht="13.5" thickBot="1" x14ac:dyDescent="0.25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336</v>
      </c>
      <c r="L2" s="3">
        <v>2295812.7907442786</v>
      </c>
      <c r="M2" s="193">
        <v>99.433978692486576</v>
      </c>
      <c r="N2" s="1">
        <v>75899</v>
      </c>
      <c r="O2" s="1">
        <f>ROUND(($R$17+G2*$R$18+H2*$R$19+I2*$R$20+J2*$R$21+K2*$R$22+L2*$R$23+M2*$R$24+N2*$R$25),4)</f>
        <v>168241949.55689999</v>
      </c>
      <c r="P2" s="22">
        <f>IFERROR((ABS(O2/F2-1)),0)</f>
        <v>3.0190957502550853E-2</v>
      </c>
      <c r="Q2"/>
    </row>
    <row r="3" spans="1:25" x14ac:dyDescent="0.2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0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304</v>
      </c>
      <c r="L3" s="3">
        <v>2361077.317847278</v>
      </c>
      <c r="M3" s="193">
        <v>99.156180345574114</v>
      </c>
      <c r="N3" s="1">
        <v>75958</v>
      </c>
      <c r="O3" s="1">
        <f>ROUND(($R$17+G3*$R$18+H3*$R$19+I3*$R$20+J3*$R$21+K3*$R$22+L3*$R$23+M3*$R$24+N3*$R$25),4)</f>
        <v>149550065.4059</v>
      </c>
      <c r="P3" s="22">
        <f>IFERROR((ABS(O3/F3-1)),0)</f>
        <v>3.1705623404700845E-3</v>
      </c>
      <c r="Q3" s="198" t="s">
        <v>14</v>
      </c>
      <c r="R3" s="198"/>
    </row>
    <row r="4" spans="1:25" x14ac:dyDescent="0.2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0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352</v>
      </c>
      <c r="L4" s="3">
        <v>2426341.8449502774</v>
      </c>
      <c r="M4" s="193">
        <v>98.879158110837409</v>
      </c>
      <c r="N4" s="1">
        <v>75998</v>
      </c>
      <c r="O4" s="1">
        <f>ROUND(($R$17+G4*$R$18+H4*$R$19+I4*$R$20+J4*$R$21+K4*$R$22+L4*$R$23+M4*$R$24+N4*$R$25),4)</f>
        <v>151583513.98820001</v>
      </c>
      <c r="P4" s="22">
        <f>IFERROR((ABS(O4/F4-1)),0)</f>
        <v>1.7919413084723113E-2</v>
      </c>
      <c r="Q4" s="195" t="s">
        <v>15</v>
      </c>
      <c r="R4" s="195">
        <v>0.96472072984817192</v>
      </c>
    </row>
    <row r="5" spans="1:25" x14ac:dyDescent="0.2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0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336</v>
      </c>
      <c r="L5" s="3">
        <v>2491606.3720532767</v>
      </c>
      <c r="M5" s="193">
        <v>98.602909819976631</v>
      </c>
      <c r="N5" s="1">
        <v>76028</v>
      </c>
      <c r="O5" s="1">
        <f>ROUND(($R$17+G5*$R$18+H5*$R$19+I5*$R$20+J5*$R$21+K5*$R$22+L5*$R$23+M5*$R$24+N5*$R$25),4)</f>
        <v>139699288.77970001</v>
      </c>
      <c r="P5" s="22">
        <f>IFERROR((ABS(O5/F5-1)),0)</f>
        <v>1.8288266824442845E-2</v>
      </c>
      <c r="Q5" s="195" t="s">
        <v>16</v>
      </c>
      <c r="R5" s="195">
        <v>0.9306860865987896</v>
      </c>
    </row>
    <row r="6" spans="1:25" x14ac:dyDescent="0.2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0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320</v>
      </c>
      <c r="L6" s="3">
        <v>2556870.8991562761</v>
      </c>
      <c r="M6" s="193">
        <v>98.32743331074974</v>
      </c>
      <c r="N6" s="1">
        <v>76065</v>
      </c>
      <c r="O6" s="1">
        <f>ROUND(($R$17+G6*$R$18+H6*$R$19+I6*$R$20+J6*$R$21+K6*$R$22+L6*$R$23+M6*$R$24+N6*$R$25),4)</f>
        <v>136355313.86660001</v>
      </c>
      <c r="P6" s="22">
        <f>IFERROR((ABS(O6/F6-1)),0)</f>
        <v>2.1672902178880626E-2</v>
      </c>
      <c r="Q6" s="195" t="s">
        <v>17</v>
      </c>
      <c r="R6" s="195">
        <v>0.92569048923654018</v>
      </c>
    </row>
    <row r="7" spans="1:25" x14ac:dyDescent="0.2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0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352</v>
      </c>
      <c r="L7" s="3">
        <v>2622135.4262592755</v>
      </c>
      <c r="M7" s="193">
        <v>98.052726426955545</v>
      </c>
      <c r="N7" s="1">
        <v>76141</v>
      </c>
      <c r="O7" s="1">
        <f>ROUND(($R$17+G7*$R$18+H7*$R$19+I7*$R$20+J7*$R$21+K7*$R$22+L7*$R$23+M7*$R$24+N7*$R$25),4)</f>
        <v>145675231.67039999</v>
      </c>
      <c r="P7" s="22">
        <f>IFERROR((ABS(O7/F7-1)),0)</f>
        <v>3.1214560566457772E-2</v>
      </c>
      <c r="Q7" s="195" t="s">
        <v>18</v>
      </c>
      <c r="R7" s="195">
        <v>3133502.3906188072</v>
      </c>
    </row>
    <row r="8" spans="1:25" ht="13.5" thickBot="1" x14ac:dyDescent="0.25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0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352</v>
      </c>
      <c r="L8" s="3">
        <v>2687399.9533622749</v>
      </c>
      <c r="M8" s="193">
        <v>97.778787018416864</v>
      </c>
      <c r="N8" s="1">
        <v>76250</v>
      </c>
      <c r="O8" s="1">
        <f>ROUND(($R$17+G8*$R$18+H8*$R$19+I8*$R$20+J8*$R$21+K8*$R$22+L8*$R$23+M8*$R$24+N8*$R$25),4)</f>
        <v>143993426.24270001</v>
      </c>
      <c r="P8" s="22">
        <f>IFERROR((ABS(O8/F8-1)),0)</f>
        <v>1.3242822301882784E-2</v>
      </c>
      <c r="Q8" s="196" t="s">
        <v>19</v>
      </c>
      <c r="R8" s="196">
        <v>120</v>
      </c>
    </row>
    <row r="9" spans="1:25" x14ac:dyDescent="0.2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0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320</v>
      </c>
      <c r="L9" s="3">
        <v>2752664.4804652743</v>
      </c>
      <c r="M9" s="193">
        <v>97.505612940963658</v>
      </c>
      <c r="N9" s="1">
        <v>76340</v>
      </c>
      <c r="O9" s="1">
        <f>ROUND(($R$17+G9*$R$18+H9*$R$19+I9*$R$20+J9*$R$21+K9*$R$22+L9*$R$23+M9*$R$24+N9*$R$25),4)</f>
        <v>157946457.21810001</v>
      </c>
      <c r="P9" s="22">
        <f>IFERROR((ABS(O9/F9-1)),0)</f>
        <v>1.0250998981300441E-2</v>
      </c>
      <c r="Q9"/>
    </row>
    <row r="10" spans="1:25" ht="13.5" thickBot="1" x14ac:dyDescent="0.25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0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336</v>
      </c>
      <c r="L10" s="3">
        <v>2817929.0075682737</v>
      </c>
      <c r="M10" s="193">
        <v>97.233202056416275</v>
      </c>
      <c r="N10" s="1">
        <v>76437</v>
      </c>
      <c r="O10" s="1">
        <f>ROUND(($R$17+G10*$R$18+H10*$R$19+I10*$R$20+J10*$R$21+K10*$R$22+L10*$R$23+M10*$R$24+N10*$R$25),4)</f>
        <v>133712588.6736</v>
      </c>
      <c r="P10" s="22">
        <f>IFERROR((ABS(O10/F10-1)),0)</f>
        <v>4.3525442902144107E-2</v>
      </c>
      <c r="Q10" t="s">
        <v>20</v>
      </c>
    </row>
    <row r="11" spans="1:25" x14ac:dyDescent="0.2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0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336</v>
      </c>
      <c r="L11" s="3">
        <v>2883193.5346712731</v>
      </c>
      <c r="M11" s="193">
        <v>96.961552232568707</v>
      </c>
      <c r="N11" s="1">
        <v>76536</v>
      </c>
      <c r="O11" s="1">
        <f>ROUND(($R$17+G11*$R$18+H11*$R$19+I11*$R$20+J11*$R$21+K11*$R$22+L11*$R$23+M11*$R$24+N11*$R$25),4)</f>
        <v>145062267.097</v>
      </c>
      <c r="P11" s="22">
        <f>IFERROR((ABS(O11/F11-1)),0)</f>
        <v>1.0420862870197389E-4</v>
      </c>
      <c r="Q11" s="197"/>
      <c r="R11" s="197" t="s">
        <v>24</v>
      </c>
      <c r="S11" s="197" t="s">
        <v>25</v>
      </c>
      <c r="T11" s="197" t="s">
        <v>26</v>
      </c>
      <c r="U11" s="197" t="s">
        <v>27</v>
      </c>
      <c r="V11" s="197" t="s">
        <v>28</v>
      </c>
    </row>
    <row r="12" spans="1:25" x14ac:dyDescent="0.2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0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336</v>
      </c>
      <c r="L12" s="3">
        <v>2948458.0617742725</v>
      </c>
      <c r="M12" s="193">
        <v>96.690661343171868</v>
      </c>
      <c r="N12" s="1">
        <v>76655</v>
      </c>
      <c r="O12" s="1">
        <f>ROUND(($R$17+G12*$R$18+H12*$R$19+I12*$R$20+J12*$R$21+K12*$R$22+L12*$R$23+M12*$R$24+N12*$R$25),4)</f>
        <v>144760783.23390001</v>
      </c>
      <c r="P12" s="22">
        <f>IFERROR((ABS(O12/F12-1)),0)</f>
        <v>2.9443846772402305E-3</v>
      </c>
      <c r="Q12" s="195" t="s">
        <v>21</v>
      </c>
      <c r="R12" s="195">
        <v>8</v>
      </c>
      <c r="S12" s="195">
        <v>1.4634094040435098E+16</v>
      </c>
      <c r="T12" s="195">
        <v>1829261755054387.3</v>
      </c>
      <c r="U12" s="195">
        <v>186.30126071243751</v>
      </c>
      <c r="V12" s="195">
        <v>1.1868130456672872E-60</v>
      </c>
    </row>
    <row r="13" spans="1:25" x14ac:dyDescent="0.2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0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352</v>
      </c>
      <c r="L13" s="5">
        <v>3013722.5888772719</v>
      </c>
      <c r="M13" s="194">
        <v>96.420527267917038</v>
      </c>
      <c r="N13" s="10">
        <v>76755</v>
      </c>
      <c r="O13" s="10">
        <f>ROUND(($R$17+G13*$R$18+H13*$R$19+I13*$R$20+J13*$R$21+K13*$R$22+L13*$R$23+M13*$R$24+N13*$R$25),4)</f>
        <v>166768040.57780001</v>
      </c>
      <c r="P13" s="25">
        <f>IFERROR((ABS(O13/F13-1)),0)</f>
        <v>3.3422025636380415E-3</v>
      </c>
      <c r="Q13" s="195" t="s">
        <v>22</v>
      </c>
      <c r="R13" s="195">
        <v>111</v>
      </c>
      <c r="S13" s="195">
        <v>1089890932753529.5</v>
      </c>
      <c r="T13" s="195">
        <v>9818837232013.7793</v>
      </c>
      <c r="U13" s="195"/>
      <c r="V13" s="195"/>
    </row>
    <row r="14" spans="1:25" ht="13.5" thickBot="1" x14ac:dyDescent="0.25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0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320</v>
      </c>
      <c r="L14" s="3">
        <v>3039169.8407848449</v>
      </c>
      <c r="M14" s="193">
        <v>96.663230603235476</v>
      </c>
      <c r="N14" s="1">
        <v>76818</v>
      </c>
      <c r="O14" s="1">
        <f>ROUND(($R$17+G14*$R$18+H14*$R$19+I14*$R$20+J14*$R$21+K14*$R$22+L14*$R$23+M14*$R$24+N14*$R$25),4)</f>
        <v>167512699.42789999</v>
      </c>
      <c r="P14" s="22">
        <f>IFERROR((ABS(O14/F14-1)),0)</f>
        <v>2.0879311291993607E-2</v>
      </c>
      <c r="Q14" s="196" t="s">
        <v>3</v>
      </c>
      <c r="R14" s="196">
        <v>119</v>
      </c>
      <c r="S14" s="196">
        <v>1.5723984973188628E+16</v>
      </c>
      <c r="T14" s="196"/>
      <c r="U14" s="196"/>
      <c r="V14" s="196"/>
    </row>
    <row r="15" spans="1:25" ht="13.5" thickBot="1" x14ac:dyDescent="0.25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0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304</v>
      </c>
      <c r="L15" s="3">
        <v>3064617.092692418</v>
      </c>
      <c r="M15" s="193">
        <v>96.906544855239844</v>
      </c>
      <c r="N15" s="1">
        <v>76927</v>
      </c>
      <c r="O15" s="1">
        <f>ROUND(($R$17+G15*$R$18+H15*$R$19+I15*$R$20+J15*$R$21+K15*$R$22+L15*$R$23+M15*$R$24+N15*$R$25),4)</f>
        <v>151029174.27129999</v>
      </c>
      <c r="P15" s="22">
        <f>IFERROR((ABS(O15/F15-1)),0)</f>
        <v>6.2237710868867646E-3</v>
      </c>
      <c r="Q15"/>
    </row>
    <row r="16" spans="1:25" x14ac:dyDescent="0.2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0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368</v>
      </c>
      <c r="L16" s="3">
        <v>3090064.3445999911</v>
      </c>
      <c r="M16" s="193">
        <v>97.150471561688988</v>
      </c>
      <c r="N16" s="1">
        <v>77054</v>
      </c>
      <c r="O16" s="1">
        <f>ROUND(($R$17+G16*$R$18+H16*$R$19+I16*$R$20+J16*$R$21+K16*$R$22+L16*$R$23+M16*$R$24+N16*$R$25),4)</f>
        <v>153912201.35929999</v>
      </c>
      <c r="P16" s="22">
        <f>IFERROR((ABS(O16/F16-1)),0)</f>
        <v>1.0369762702942875E-2</v>
      </c>
      <c r="Q16" s="197"/>
      <c r="R16" s="197" t="s">
        <v>29</v>
      </c>
      <c r="S16" s="197" t="s">
        <v>18</v>
      </c>
      <c r="T16" s="197" t="s">
        <v>30</v>
      </c>
      <c r="U16" s="197" t="s">
        <v>31</v>
      </c>
      <c r="V16" s="197" t="s">
        <v>32</v>
      </c>
      <c r="W16" s="197" t="s">
        <v>33</v>
      </c>
      <c r="X16" s="197" t="s">
        <v>34</v>
      </c>
      <c r="Y16" s="197" t="s">
        <v>35</v>
      </c>
    </row>
    <row r="17" spans="1:25" x14ac:dyDescent="0.2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0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336</v>
      </c>
      <c r="L17" s="3">
        <v>3115511.5965075642</v>
      </c>
      <c r="M17" s="193">
        <v>97.395012264212468</v>
      </c>
      <c r="N17" s="1">
        <v>77210</v>
      </c>
      <c r="O17" s="1">
        <f>ROUND(($R$17+G17*$R$18+H17*$R$19+I17*$R$20+J17*$R$21+K17*$R$22+L17*$R$23+M17*$R$24+N17*$R$25),4)</f>
        <v>139723543.60699999</v>
      </c>
      <c r="P17" s="22">
        <f>IFERROR((ABS(O17/F17-1)),0)</f>
        <v>3.7615771077416982E-2</v>
      </c>
      <c r="Q17" s="195" t="s">
        <v>23</v>
      </c>
      <c r="R17" s="195">
        <v>-22770198.455709189</v>
      </c>
      <c r="S17" s="195">
        <v>28945202.855709732</v>
      </c>
      <c r="T17" s="195">
        <v>-0.78666570654962742</v>
      </c>
      <c r="U17" s="195">
        <v>0.43315390160502687</v>
      </c>
      <c r="V17" s="195">
        <v>-80127050.211373091</v>
      </c>
      <c r="W17" s="195">
        <v>34586653.299954705</v>
      </c>
      <c r="X17" s="195">
        <v>-80127050.211373091</v>
      </c>
      <c r="Y17" s="195">
        <v>34586653.299954705</v>
      </c>
    </row>
    <row r="18" spans="1:25" x14ac:dyDescent="0.2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0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320</v>
      </c>
      <c r="L18" s="3">
        <v>3140958.8484151373</v>
      </c>
      <c r="M18" s="193">
        <v>97.640168508320357</v>
      </c>
      <c r="N18" s="1">
        <v>77319</v>
      </c>
      <c r="O18" s="1">
        <f>ROUND(($R$17+G18*$R$18+H18*$R$19+I18*$R$20+J18*$R$21+K18*$R$22+L18*$R$23+M18*$R$24+N18*$R$25),4)</f>
        <v>144956308.69440001</v>
      </c>
      <c r="P18" s="22">
        <f>IFERROR((ABS(O18/F18-1)),0)</f>
        <v>1.7345466485300109E-2</v>
      </c>
      <c r="Q18" s="195" t="s">
        <v>0</v>
      </c>
      <c r="R18" s="195">
        <v>39686.51572763006</v>
      </c>
      <c r="S18" s="195">
        <v>1667.9369808930442</v>
      </c>
      <c r="T18" s="195">
        <v>23.793774094738982</v>
      </c>
      <c r="U18" s="195">
        <v>2.1333703613548702E-45</v>
      </c>
      <c r="V18" s="195">
        <v>36381.387253396526</v>
      </c>
      <c r="W18" s="195">
        <v>42991.644201863593</v>
      </c>
      <c r="X18" s="195">
        <v>36381.387253396526</v>
      </c>
      <c r="Y18" s="195">
        <v>42991.644201863593</v>
      </c>
    </row>
    <row r="19" spans="1:25" x14ac:dyDescent="0.2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0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352</v>
      </c>
      <c r="L19" s="3">
        <v>3166406.1003227104</v>
      </c>
      <c r="M19" s="193">
        <v>97.885941843412965</v>
      </c>
      <c r="N19" s="1">
        <v>77427</v>
      </c>
      <c r="O19" s="1">
        <f>ROUND(($R$17+G19*$R$18+H19*$R$19+I19*$R$20+J19*$R$21+K19*$R$22+L19*$R$23+M19*$R$24+N19*$R$25),4)</f>
        <v>149363882.47459999</v>
      </c>
      <c r="P19" s="22">
        <f>IFERROR((ABS(O19/F19-1)),0)</f>
        <v>1.4485950998549546E-2</v>
      </c>
      <c r="Q19" s="195" t="s">
        <v>1</v>
      </c>
      <c r="R19" s="195">
        <v>371570.40535649</v>
      </c>
      <c r="S19" s="195">
        <v>16611.776161265017</v>
      </c>
      <c r="T19" s="195">
        <v>22.367891413255968</v>
      </c>
      <c r="U19" s="195">
        <v>6.2860611230496738E-43</v>
      </c>
      <c r="V19" s="195">
        <v>338653.0619393579</v>
      </c>
      <c r="W19" s="195">
        <v>404487.74877362209</v>
      </c>
      <c r="X19" s="195">
        <v>338653.0619393579</v>
      </c>
      <c r="Y19" s="195">
        <v>404487.74877362209</v>
      </c>
    </row>
    <row r="20" spans="1:25" x14ac:dyDescent="0.2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0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336</v>
      </c>
      <c r="L20" s="3">
        <v>3191853.3522302834</v>
      </c>
      <c r="M20" s="193">
        <v>98.132333822790656</v>
      </c>
      <c r="N20" s="1">
        <v>77585</v>
      </c>
      <c r="O20" s="1">
        <f>ROUND(($R$17+G20*$R$18+H20*$R$19+I20*$R$20+J20*$R$21+K20*$R$22+L20*$R$23+M20*$R$24+N20*$R$25),4)</f>
        <v>177868792.01359999</v>
      </c>
      <c r="P20" s="22">
        <f>IFERROR((ABS(O20/F20-1)),0)</f>
        <v>2.8990533153614662E-2</v>
      </c>
      <c r="Q20" s="195" t="s">
        <v>2</v>
      </c>
      <c r="R20" s="195">
        <v>3624269.3027665731</v>
      </c>
      <c r="S20" s="195">
        <v>411330.36359729763</v>
      </c>
      <c r="T20" s="195">
        <v>8.8110910924991188</v>
      </c>
      <c r="U20" s="195">
        <v>1.9235137729589428E-14</v>
      </c>
      <c r="V20" s="195">
        <v>2809190.7280866364</v>
      </c>
      <c r="W20" s="195">
        <v>4439347.8774465099</v>
      </c>
      <c r="X20" s="195">
        <v>2809190.7280866364</v>
      </c>
      <c r="Y20" s="195">
        <v>4439347.8774465099</v>
      </c>
    </row>
    <row r="21" spans="1:25" x14ac:dyDescent="0.2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0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336</v>
      </c>
      <c r="L21" s="3">
        <v>3217300.6041378565</v>
      </c>
      <c r="M21" s="193">
        <v>98.37934600366367</v>
      </c>
      <c r="N21" s="1">
        <v>77725</v>
      </c>
      <c r="O21" s="1">
        <f>ROUND(($R$17+G21*$R$18+H21*$R$19+I21*$R$20+J21*$R$21+K21*$R$22+L21*$R$23+M21*$R$24+N21*$R$25),4)</f>
        <v>170499515.8811</v>
      </c>
      <c r="P21" s="22">
        <f>IFERROR((ABS(O21/F21-1)),0)</f>
        <v>1.1627187040591513E-2</v>
      </c>
      <c r="Q21" s="195" t="s">
        <v>4</v>
      </c>
      <c r="R21" s="195">
        <v>-5809382.7744664205</v>
      </c>
      <c r="S21" s="195">
        <v>719543.94118761423</v>
      </c>
      <c r="T21" s="195">
        <v>-8.0737011903372817</v>
      </c>
      <c r="U21" s="195">
        <v>8.9555101863287835E-13</v>
      </c>
      <c r="V21" s="195">
        <v>-7235207.1285784543</v>
      </c>
      <c r="W21" s="195">
        <v>-4383558.4203543868</v>
      </c>
      <c r="X21" s="195">
        <v>-7235207.1285784543</v>
      </c>
      <c r="Y21" s="195">
        <v>-4383558.4203543868</v>
      </c>
    </row>
    <row r="22" spans="1:25" x14ac:dyDescent="0.2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0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336</v>
      </c>
      <c r="L22" s="3">
        <v>3242747.8560454296</v>
      </c>
      <c r="M22" s="193">
        <v>98.626979947161928</v>
      </c>
      <c r="N22" s="1">
        <v>77864</v>
      </c>
      <c r="O22" s="1">
        <f>ROUND(($R$17+G22*$R$18+H22*$R$19+I22*$R$20+J22*$R$21+K22*$R$22+L22*$R$23+M22*$R$24+N22*$R$25),4)</f>
        <v>142392614.73629999</v>
      </c>
      <c r="P22" s="22">
        <f>IFERROR((ABS(O22/F22-1)),0)</f>
        <v>1.268158278210163E-2</v>
      </c>
      <c r="Q22" s="195" t="s">
        <v>5</v>
      </c>
      <c r="R22" s="195">
        <v>73929.445327934998</v>
      </c>
      <c r="S22" s="195">
        <v>19316.617919606484</v>
      </c>
      <c r="T22" s="195">
        <v>3.8272458271743401</v>
      </c>
      <c r="U22" s="195">
        <v>2.1473481005590154E-4</v>
      </c>
      <c r="V22" s="195">
        <v>35652.27739932546</v>
      </c>
      <c r="W22" s="195">
        <v>112206.61325654454</v>
      </c>
      <c r="X22" s="195">
        <v>35652.27739932546</v>
      </c>
      <c r="Y22" s="195">
        <v>112206.61325654454</v>
      </c>
    </row>
    <row r="23" spans="1:25" x14ac:dyDescent="0.2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0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320</v>
      </c>
      <c r="L23" s="3">
        <v>3268195.1079530027</v>
      </c>
      <c r="M23" s="193">
        <v>98.875237218344949</v>
      </c>
      <c r="N23" s="1">
        <v>77942</v>
      </c>
      <c r="O23" s="1">
        <f>ROUND(($R$17+G23*$R$18+H23*$R$19+I23*$R$20+J23*$R$21+K23*$R$22+L23*$R$23+M23*$R$24+N23*$R$25),4)</f>
        <v>142478300.5557</v>
      </c>
      <c r="P23" s="22">
        <f>IFERROR((ABS(O23/F23-1)),0)</f>
        <v>1.1263779629149928E-2</v>
      </c>
      <c r="Q23" s="195" t="s">
        <v>91</v>
      </c>
      <c r="R23" s="195">
        <v>0.31162425001832655</v>
      </c>
      <c r="S23" s="195">
        <v>0.44337130055751384</v>
      </c>
      <c r="T23" s="195">
        <v>0.7028516496816033</v>
      </c>
      <c r="U23" s="195">
        <v>0.48361968007672695</v>
      </c>
      <c r="V23" s="195">
        <v>-0.5669455802075074</v>
      </c>
      <c r="W23" s="195">
        <v>1.1901940802441604</v>
      </c>
      <c r="X23" s="195">
        <v>-0.5669455802075074</v>
      </c>
      <c r="Y23" s="195">
        <v>1.1901940802441604</v>
      </c>
    </row>
    <row r="24" spans="1:25" x14ac:dyDescent="0.2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0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352</v>
      </c>
      <c r="L24" s="3">
        <v>3293642.3598605758</v>
      </c>
      <c r="M24" s="193">
        <v>99.124119386211689</v>
      </c>
      <c r="N24" s="1">
        <v>78058</v>
      </c>
      <c r="O24" s="1">
        <f>ROUND(($R$17+G24*$R$18+H24*$R$19+I24*$R$20+J24*$R$21+K24*$R$22+L24*$R$23+M24*$R$24+N24*$R$25),4)</f>
        <v>147799661.0677</v>
      </c>
      <c r="P24" s="22">
        <f>IFERROR((ABS(O24/F24-1)),0)</f>
        <v>6.4497927388689202E-3</v>
      </c>
      <c r="Q24" s="195" t="s">
        <v>184</v>
      </c>
      <c r="R24" s="195">
        <v>-1386703.0384148555</v>
      </c>
      <c r="S24" s="195">
        <v>398304.61376639159</v>
      </c>
      <c r="T24" s="195">
        <v>-3.4815138727671542</v>
      </c>
      <c r="U24" s="195">
        <v>7.1400044848817521E-4</v>
      </c>
      <c r="V24" s="195">
        <v>-2175970.220243895</v>
      </c>
      <c r="W24" s="195">
        <v>-597435.85658581601</v>
      </c>
      <c r="X24" s="195">
        <v>-2175970.220243895</v>
      </c>
      <c r="Y24" s="195">
        <v>-597435.85658581601</v>
      </c>
    </row>
    <row r="25" spans="1:25" ht="13.5" thickBot="1" x14ac:dyDescent="0.25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0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336</v>
      </c>
      <c r="L25" s="5">
        <v>3319089.6117681488</v>
      </c>
      <c r="M25" s="194">
        <v>99.373628023710623</v>
      </c>
      <c r="N25" s="10">
        <v>78142</v>
      </c>
      <c r="O25" s="10">
        <f>ROUND(($R$17+G25*$R$18+H25*$R$19+I25*$R$20+J25*$R$21+K25*$R$22+L25*$R$23+M25*$R$24+N25*$R$25),4)</f>
        <v>166401535.16330001</v>
      </c>
      <c r="P25" s="25">
        <f>IFERROR((ABS(O25/F25-1)),0)</f>
        <v>5.9299131864720689E-4</v>
      </c>
      <c r="Q25" s="196" t="s">
        <v>8</v>
      </c>
      <c r="R25" s="196">
        <v>2050.3676282384986</v>
      </c>
      <c r="S25" s="196">
        <v>669.94835200005889</v>
      </c>
      <c r="T25" s="196">
        <v>3.0604861137688393</v>
      </c>
      <c r="U25" s="196">
        <v>2.7714237122800278E-3</v>
      </c>
      <c r="V25" s="196">
        <v>722.82024495806763</v>
      </c>
      <c r="W25" s="196">
        <v>3377.9150115189295</v>
      </c>
      <c r="X25" s="196">
        <v>722.82024495806763</v>
      </c>
      <c r="Y25" s="196">
        <v>3377.9150115189295</v>
      </c>
    </row>
    <row r="26" spans="1:25" x14ac:dyDescent="0.2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0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320</v>
      </c>
      <c r="L26" s="3">
        <v>3387075.6844317247</v>
      </c>
      <c r="M26" s="193">
        <v>99.590361550963763</v>
      </c>
      <c r="N26" s="1">
        <v>78212</v>
      </c>
      <c r="O26" s="1">
        <f>ROUND(($R$17+G26*$R$18+H26*$R$19+I26*$R$20+J26*$R$21+K26*$R$22+L26*$R$23+M26*$R$24+N26*$R$25),4)</f>
        <v>169333256.67460001</v>
      </c>
      <c r="P26" s="22">
        <f>IFERROR((ABS(O26/F26-1)),0)</f>
        <v>1.9820037647439004E-2</v>
      </c>
      <c r="Q26"/>
    </row>
    <row r="27" spans="1:25" x14ac:dyDescent="0.2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0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304</v>
      </c>
      <c r="L27" s="3">
        <v>3455061.7570953006</v>
      </c>
      <c r="M27" s="193">
        <v>99.807567773264566</v>
      </c>
      <c r="N27" s="1">
        <v>78243</v>
      </c>
      <c r="O27" s="1">
        <f>ROUND(($R$17+G27*$R$18+H27*$R$19+I27*$R$20+J27*$R$21+K27*$R$22+L27*$R$23+M27*$R$24+N27*$R$25),4)</f>
        <v>151524855.67399999</v>
      </c>
      <c r="P27" s="22">
        <f>IFERROR((ABS(O27/F27-1)),0)</f>
        <v>1.5923147000946991E-2</v>
      </c>
      <c r="Q27"/>
    </row>
    <row r="28" spans="1:25" x14ac:dyDescent="0.2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0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368</v>
      </c>
      <c r="L28" s="3">
        <v>3523047.8297588765</v>
      </c>
      <c r="M28" s="193">
        <v>100.02524772155924</v>
      </c>
      <c r="N28" s="1">
        <v>78316</v>
      </c>
      <c r="O28" s="1">
        <f>ROUND(($R$17+G28*$R$18+H28*$R$19+I28*$R$20+J28*$R$21+K28*$R$22+L28*$R$23+M28*$R$24+N28*$R$25),4)</f>
        <v>158704394.92429999</v>
      </c>
      <c r="P28" s="22">
        <f>IFERROR((ABS(O28/F28-1)),0)</f>
        <v>1.5208743903409649E-2</v>
      </c>
      <c r="Q28"/>
    </row>
    <row r="29" spans="1:25" x14ac:dyDescent="0.2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0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320</v>
      </c>
      <c r="L29" s="3">
        <v>3591033.9024224523</v>
      </c>
      <c r="M29" s="193">
        <v>100.24340242904249</v>
      </c>
      <c r="N29" s="1">
        <v>78430</v>
      </c>
      <c r="O29" s="1">
        <f>ROUND(($R$17+G29*$R$18+H29*$R$19+I29*$R$20+J29*$R$21+K29*$R$22+L29*$R$23+M29*$R$24+N29*$R$25),4)</f>
        <v>141046370.83230001</v>
      </c>
      <c r="P29" s="22">
        <f>IFERROR((ABS(O29/F29-1)),0)</f>
        <v>5.8664583929795011E-3</v>
      </c>
      <c r="Q29"/>
    </row>
    <row r="30" spans="1:25" x14ac:dyDescent="0.2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0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336</v>
      </c>
      <c r="L30" s="3">
        <v>3659019.9750860282</v>
      </c>
      <c r="M30" s="193">
        <v>100.46203293116241</v>
      </c>
      <c r="N30" s="1">
        <v>78515</v>
      </c>
      <c r="O30" s="1">
        <f>ROUND(($R$17+G30*$R$18+H30*$R$19+I30*$R$20+J30*$R$21+K30*$R$22+L30*$R$23+M30*$R$24+N30*$R$25),4)</f>
        <v>142501451.53150001</v>
      </c>
      <c r="P30" s="22">
        <f>IFERROR((ABS(O30/F30-1)),0)</f>
        <v>1.6571333520338793E-3</v>
      </c>
    </row>
    <row r="31" spans="1:25" x14ac:dyDescent="0.2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0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352</v>
      </c>
      <c r="L31" s="3">
        <v>3727006.0477496041</v>
      </c>
      <c r="M31" s="193">
        <v>100.6811402656254</v>
      </c>
      <c r="N31" s="1">
        <v>78683</v>
      </c>
      <c r="O31" s="1">
        <f>ROUND(($R$17+G31*$R$18+H31*$R$19+I31*$R$20+J31*$R$21+K31*$R$22+L31*$R$23+M31*$R$24+N31*$R$25),4)</f>
        <v>144786138.15669999</v>
      </c>
      <c r="P31" s="22">
        <f>IFERROR((ABS(O31/F31-1)),0)</f>
        <v>2.5153686294861033E-2</v>
      </c>
    </row>
    <row r="32" spans="1:25" x14ac:dyDescent="0.2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0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320</v>
      </c>
      <c r="L32" s="3">
        <v>3794992.12041318</v>
      </c>
      <c r="M32" s="193">
        <v>100.90072547240109</v>
      </c>
      <c r="N32" s="1">
        <v>78827</v>
      </c>
      <c r="O32" s="1">
        <f>ROUND(($R$17+G32*$R$18+H32*$R$19+I32*$R$20+J32*$R$21+K32*$R$22+L32*$R$23+M32*$R$24+N32*$R$25),4)</f>
        <v>183723900.19839999</v>
      </c>
      <c r="P32" s="22">
        <f>IFERROR((ABS(O32/F32-1)),0)</f>
        <v>3.1990045859644489E-2</v>
      </c>
    </row>
    <row r="33" spans="1:16" x14ac:dyDescent="0.2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0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352</v>
      </c>
      <c r="L33" s="3">
        <v>3862978.1930767559</v>
      </c>
      <c r="M33" s="193">
        <v>101.12078959372728</v>
      </c>
      <c r="N33" s="1">
        <v>78974</v>
      </c>
      <c r="O33" s="1">
        <f>ROUND(($R$17+G33*$R$18+H33*$R$19+I33*$R$20+J33*$R$21+K33*$R$22+L33*$R$23+M33*$R$24+N33*$R$25),4)</f>
        <v>161933012.47589999</v>
      </c>
      <c r="P33" s="22">
        <f>IFERROR((ABS(O33/F33-1)),0)</f>
        <v>7.8509825891762697E-3</v>
      </c>
    </row>
    <row r="34" spans="1:16" x14ac:dyDescent="0.2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0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336</v>
      </c>
      <c r="L34" s="3">
        <v>3930964.2657403317</v>
      </c>
      <c r="M34" s="193">
        <v>101.34133367411491</v>
      </c>
      <c r="N34" s="1">
        <v>79048</v>
      </c>
      <c r="O34" s="1">
        <f>ROUND(($R$17+G34*$R$18+H34*$R$19+I34*$R$20+J34*$R$21+K34*$R$22+L34*$R$23+M34*$R$24+N34*$R$25),4)</f>
        <v>139526032.18669999</v>
      </c>
      <c r="P34" s="22">
        <f>IFERROR((ABS(O34/F34-1)),0)</f>
        <v>1.9011404482262906E-2</v>
      </c>
    </row>
    <row r="35" spans="1:16" x14ac:dyDescent="0.2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0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320</v>
      </c>
      <c r="L35" s="3">
        <v>3998950.3384039076</v>
      </c>
      <c r="M35" s="193">
        <v>101.56235876035295</v>
      </c>
      <c r="N35" s="1">
        <v>79169</v>
      </c>
      <c r="O35" s="1">
        <f>ROUND(($R$17+G35*$R$18+H35*$R$19+I35*$R$20+J35*$R$21+K35*$R$22+L35*$R$23+M35*$R$24+N35*$R$25),4)</f>
        <v>141297150.50060001</v>
      </c>
      <c r="P35" s="22">
        <f>IFERROR((ABS(O35/F35-1)),0)</f>
        <v>1.140568069158987E-2</v>
      </c>
    </row>
    <row r="36" spans="1:16" x14ac:dyDescent="0.2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0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352</v>
      </c>
      <c r="L36" s="3">
        <v>4066936.4110674835</v>
      </c>
      <c r="M36" s="193">
        <v>101.78386590151345</v>
      </c>
      <c r="N36" s="1">
        <v>79320</v>
      </c>
      <c r="O36" s="1">
        <f>ROUND(($R$17+G36*$R$18+H36*$R$19+I36*$R$20+J36*$R$21+K36*$R$22+L36*$R$23+M36*$R$24+N36*$R$25),4)</f>
        <v>144134086.9571</v>
      </c>
      <c r="P36" s="22">
        <f>IFERROR((ABS(O36/F36-1)),0)</f>
        <v>8.4330926267039974E-3</v>
      </c>
    </row>
    <row r="37" spans="1:16" x14ac:dyDescent="0.2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0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320</v>
      </c>
      <c r="L37" s="5">
        <v>4134922.4837310594</v>
      </c>
      <c r="M37" s="194">
        <v>102.00585614895643</v>
      </c>
      <c r="N37" s="10">
        <v>79391</v>
      </c>
      <c r="O37" s="10">
        <f>ROUND(($R$17+G37*$R$18+H37*$R$19+I37*$R$20+J37*$R$21+K37*$R$22+L37*$R$23+M37*$R$24+N37*$R$25),4)</f>
        <v>158680735.46340001</v>
      </c>
      <c r="P37" s="25">
        <f>IFERROR((ABS(O37/F37-1)),0)</f>
        <v>3.7931836611494463E-3</v>
      </c>
    </row>
    <row r="38" spans="1:16" x14ac:dyDescent="0.2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0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336</v>
      </c>
      <c r="L38" s="3">
        <v>4186232.8172772932</v>
      </c>
      <c r="M38" s="193">
        <v>102.12663756738075</v>
      </c>
      <c r="N38" s="1">
        <v>79527</v>
      </c>
      <c r="O38" s="1">
        <f>ROUND(($R$17+G38*$R$18+H38*$R$19+I38*$R$20+J38*$R$21+K38*$R$22+L38*$R$23+M38*$R$24+N38*$R$25),4)</f>
        <v>163213503.2475</v>
      </c>
      <c r="P38" s="22">
        <f>IFERROR((ABS(O38/F38-1)),0)</f>
        <v>2.1521392489511237E-2</v>
      </c>
    </row>
    <row r="39" spans="1:16" x14ac:dyDescent="0.2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0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320</v>
      </c>
      <c r="L39" s="3">
        <v>4237543.150823527</v>
      </c>
      <c r="M39" s="193">
        <v>102.24756199868284</v>
      </c>
      <c r="N39" s="1">
        <v>79677</v>
      </c>
      <c r="O39" s="1">
        <f>ROUND(($R$17+G39*$R$18+H39*$R$19+I39*$R$20+J39*$R$21+K39*$R$22+L39*$R$23+M39*$R$24+N39*$R$25),4)</f>
        <v>151616190.5625</v>
      </c>
      <c r="P39" s="22">
        <f>IFERROR((ABS(O39/F39-1)),0)</f>
        <v>1.9346945454810083E-3</v>
      </c>
    </row>
    <row r="40" spans="1:16" x14ac:dyDescent="0.2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0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352</v>
      </c>
      <c r="L40" s="3">
        <v>4288853.4843697613</v>
      </c>
      <c r="M40" s="193">
        <v>102.36862961219903</v>
      </c>
      <c r="N40" s="1">
        <v>79729</v>
      </c>
      <c r="O40" s="1">
        <f>ROUND(($R$17+G40*$R$18+H40*$R$19+I40*$R$20+J40*$R$21+K40*$R$22+L40*$R$23+M40*$R$24+N40*$R$25),4)</f>
        <v>147343261.69409999</v>
      </c>
      <c r="P40" s="22">
        <f>IFERROR((ABS(O40/F40-1)),0)</f>
        <v>1.0290866248455321E-2</v>
      </c>
    </row>
    <row r="41" spans="1:16" x14ac:dyDescent="0.2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0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320</v>
      </c>
      <c r="L41" s="3">
        <v>4340163.8179159956</v>
      </c>
      <c r="M41" s="193">
        <v>102.48984057746617</v>
      </c>
      <c r="N41" s="1">
        <v>79814</v>
      </c>
      <c r="O41" s="1">
        <f>ROUND(($R$17+G41*$R$18+H41*$R$19+I41*$R$20+J41*$R$21+K41*$R$22+L41*$R$23+M41*$R$24+N41*$R$25),4)</f>
        <v>141204785.30199999</v>
      </c>
      <c r="P41" s="22">
        <f>IFERROR((ABS(O41/F41-1)),0)</f>
        <v>3.0848249598753208E-2</v>
      </c>
    </row>
    <row r="42" spans="1:16" x14ac:dyDescent="0.2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0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352</v>
      </c>
      <c r="L42" s="3">
        <v>4391474.1514622299</v>
      </c>
      <c r="M42" s="193">
        <v>102.61119506422183</v>
      </c>
      <c r="N42" s="1">
        <v>79902</v>
      </c>
      <c r="O42" s="1">
        <f>ROUND(($R$17+G42*$R$18+H42*$R$19+I42*$R$20+J42*$R$21+K42*$R$22+L42*$R$23+M42*$R$24+N42*$R$25),4)</f>
        <v>143705270.74290001</v>
      </c>
      <c r="P42" s="22">
        <f>IFERROR((ABS(O42/F42-1)),0)</f>
        <v>1.1832765127712364E-2</v>
      </c>
    </row>
    <row r="43" spans="1:16" x14ac:dyDescent="0.2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0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336</v>
      </c>
      <c r="L43" s="3">
        <v>4442784.4850084642</v>
      </c>
      <c r="M43" s="193">
        <v>102.73269324240461</v>
      </c>
      <c r="N43" s="1">
        <v>79956</v>
      </c>
      <c r="O43" s="1">
        <f>ROUND(($R$17+G43*$R$18+H43*$R$19+I43*$R$20+J43*$R$21+K43*$R$22+L43*$R$23+M43*$R$24+N43*$R$25),4)</f>
        <v>157783701.95910001</v>
      </c>
      <c r="P43" s="22">
        <f>IFERROR((ABS(O43/F43-1)),0)</f>
        <v>1.051140669392403E-2</v>
      </c>
    </row>
    <row r="44" spans="1:16" x14ac:dyDescent="0.2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0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336</v>
      </c>
      <c r="L44" s="3">
        <v>4494094.8185546985</v>
      </c>
      <c r="M44" s="193">
        <v>102.85433528215427</v>
      </c>
      <c r="N44" s="1">
        <v>80039</v>
      </c>
      <c r="O44" s="1">
        <f>ROUND(($R$17+G44*$R$18+H44*$R$19+I44*$R$20+J44*$R$21+K44*$R$22+L44*$R$23+M44*$R$24+N44*$R$25),4)</f>
        <v>184294178.9808</v>
      </c>
      <c r="P44" s="22">
        <f>IFERROR((ABS(O44/F44-1)),0)</f>
        <v>2.1694492862065262E-2</v>
      </c>
    </row>
    <row r="45" spans="1:16" x14ac:dyDescent="0.2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0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352</v>
      </c>
      <c r="L45" s="3">
        <v>4545405.1521009328</v>
      </c>
      <c r="M45" s="193">
        <v>102.97612135381205</v>
      </c>
      <c r="N45" s="1">
        <v>80099</v>
      </c>
      <c r="O45" s="1">
        <f>ROUND(($R$17+G45*$R$18+H45*$R$19+I45*$R$20+J45*$R$21+K45*$R$22+L45*$R$23+M45*$R$24+N45*$R$25),4)</f>
        <v>160856154.09419999</v>
      </c>
      <c r="P45" s="22">
        <f>IFERROR((ABS(O45/F45-1)),0)</f>
        <v>1.5046382230857303E-2</v>
      </c>
    </row>
    <row r="46" spans="1:16" x14ac:dyDescent="0.2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0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304</v>
      </c>
      <c r="L46" s="3">
        <v>4596715.4856471671</v>
      </c>
      <c r="M46" s="193">
        <v>103.09805162792088</v>
      </c>
      <c r="N46" s="1">
        <v>80189</v>
      </c>
      <c r="O46" s="1">
        <f>ROUND(($R$17+G46*$R$18+H46*$R$19+I46*$R$20+J46*$R$21+K46*$R$22+L46*$R$23+M46*$R$24+N46*$R$25),4)</f>
        <v>136518049.78729999</v>
      </c>
      <c r="P46" s="22">
        <f>IFERROR((ABS(O46/F46-1)),0)</f>
        <v>3.8273161150604196E-2</v>
      </c>
    </row>
    <row r="47" spans="1:16" x14ac:dyDescent="0.2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0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352</v>
      </c>
      <c r="L47" s="3">
        <v>4648025.8191934014</v>
      </c>
      <c r="M47" s="193">
        <v>103.22012627522565</v>
      </c>
      <c r="N47" s="1">
        <v>80266</v>
      </c>
      <c r="O47" s="1">
        <f>ROUND(($R$17+G47*$R$18+H47*$R$19+I47*$R$20+J47*$R$21+K47*$R$22+L47*$R$23+M47*$R$24+N47*$R$25),4)</f>
        <v>143815582.44940001</v>
      </c>
      <c r="P47" s="22">
        <f>IFERROR((ABS(O47/F47-1)),0)</f>
        <v>5.0776440230109188E-3</v>
      </c>
    </row>
    <row r="48" spans="1:16" x14ac:dyDescent="0.2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0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352</v>
      </c>
      <c r="L48" s="3">
        <v>4699336.1527396357</v>
      </c>
      <c r="M48" s="193">
        <v>103.34234546667339</v>
      </c>
      <c r="N48" s="1">
        <v>80345</v>
      </c>
      <c r="O48" s="1">
        <f>ROUND(($R$17+G48*$R$18+H48*$R$19+I48*$R$20+J48*$R$21+K48*$R$22+L48*$R$23+M48*$R$24+N48*$R$25),4)</f>
        <v>148276005.95989999</v>
      </c>
      <c r="P48" s="22">
        <f>IFERROR((ABS(O48/F48-1)),0)</f>
        <v>5.21446404790471E-3</v>
      </c>
    </row>
    <row r="49" spans="1:16" x14ac:dyDescent="0.2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0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304</v>
      </c>
      <c r="L49" s="5">
        <v>4750646.48628587</v>
      </c>
      <c r="M49" s="194">
        <v>103.46470937341351</v>
      </c>
      <c r="N49" s="10">
        <v>80415</v>
      </c>
      <c r="O49" s="10">
        <f>ROUND(($R$17+G49*$R$18+H49*$R$19+I49*$R$20+J49*$R$21+K49*$R$22+L49*$R$23+M49*$R$24+N49*$R$25),4)</f>
        <v>157373422.61539999</v>
      </c>
      <c r="P49" s="25">
        <f>IFERROR((ABS(O49/F49-1)),0)</f>
        <v>2.6747981370325302E-3</v>
      </c>
    </row>
    <row r="50" spans="1:16" x14ac:dyDescent="0.2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0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352</v>
      </c>
      <c r="L50" s="3">
        <v>4775749.6932738069</v>
      </c>
      <c r="M50" s="193">
        <v>103.58488412885494</v>
      </c>
      <c r="N50" s="1">
        <v>80473</v>
      </c>
      <c r="O50" s="1">
        <f>ROUND(($R$17+G50*$R$18+H50*$R$19+I50*$R$20+J50*$R$21+K50*$R$22+L50*$R$23+M50*$R$24+N50*$R$25),4)</f>
        <v>165465925.94960001</v>
      </c>
      <c r="P50" s="22">
        <f>IFERROR((ABS(O50/F50-1)),0)</f>
        <v>5.7374773403351398E-3</v>
      </c>
    </row>
    <row r="51" spans="1:16" x14ac:dyDescent="0.2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0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304</v>
      </c>
      <c r="L51" s="3">
        <v>4800852.9002617439</v>
      </c>
      <c r="M51" s="193">
        <v>103.70519846785034</v>
      </c>
      <c r="N51" s="1">
        <v>80540</v>
      </c>
      <c r="O51" s="1">
        <f>ROUND(($R$17+G51*$R$18+H51*$R$19+I51*$R$20+J51*$R$21+K51*$R$22+L51*$R$23+M51*$R$24+N51*$R$25),4)</f>
        <v>155290052.66280001</v>
      </c>
      <c r="P51" s="22">
        <f>IFERROR((ABS(O51/F51-1)),0)</f>
        <v>2.4336103782201857E-2</v>
      </c>
    </row>
    <row r="52" spans="1:16" x14ac:dyDescent="0.2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0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320</v>
      </c>
      <c r="L52" s="3">
        <v>4825956.1072496809</v>
      </c>
      <c r="M52" s="193">
        <v>103.82565255252668</v>
      </c>
      <c r="N52" s="1">
        <v>80596</v>
      </c>
      <c r="O52" s="1">
        <f>ROUND(($R$17+G52*$R$18+H52*$R$19+I52*$R$20+J52*$R$21+K52*$R$22+L52*$R$23+M52*$R$24+N52*$R$25),4)</f>
        <v>154498303.7439</v>
      </c>
      <c r="P52" s="22">
        <f>IFERROR((ABS(O52/F52-1)),0)</f>
        <v>1.2272242573377334E-2</v>
      </c>
    </row>
    <row r="53" spans="1:16" x14ac:dyDescent="0.2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0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352</v>
      </c>
      <c r="L53" s="3">
        <v>4851059.3142376179</v>
      </c>
      <c r="M53" s="193">
        <v>103.94624654519923</v>
      </c>
      <c r="N53" s="1">
        <v>80632</v>
      </c>
      <c r="O53" s="1">
        <f>ROUND(($R$17+G53*$R$18+H53*$R$19+I53*$R$20+J53*$R$21+K53*$R$22+L53*$R$23+M53*$R$24+N53*$R$25),4)</f>
        <v>144141376.9165</v>
      </c>
      <c r="P53" s="22">
        <f>IFERROR((ABS(O53/F53-1)),0)</f>
        <v>1.6417812682903321E-2</v>
      </c>
    </row>
    <row r="54" spans="1:16" x14ac:dyDescent="0.2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0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352</v>
      </c>
      <c r="L54" s="3">
        <v>4876162.5212255549</v>
      </c>
      <c r="M54" s="193">
        <v>104.06698060837182</v>
      </c>
      <c r="N54" s="1">
        <v>80705</v>
      </c>
      <c r="O54" s="1">
        <f>ROUND(($R$17+G54*$R$18+H54*$R$19+I54*$R$20+J54*$R$21+K54*$R$22+L54*$R$23+M54*$R$24+N54*$R$25),4)</f>
        <v>145805980.7423</v>
      </c>
      <c r="P54" s="22">
        <f>IFERROR((ABS(O54/F54-1)),0)</f>
        <v>3.441545533602719E-2</v>
      </c>
    </row>
    <row r="55" spans="1:16" x14ac:dyDescent="0.2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0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320</v>
      </c>
      <c r="L55" s="3">
        <v>4901265.7282134918</v>
      </c>
      <c r="M55" s="193">
        <v>104.18785490473699</v>
      </c>
      <c r="N55" s="1">
        <v>80830</v>
      </c>
      <c r="O55" s="1">
        <f>ROUND(($R$17+G55*$R$18+H55*$R$19+I55*$R$20+J55*$R$21+K55*$R$22+L55*$R$23+M55*$R$24+N55*$R$25),4)</f>
        <v>148274088.53349999</v>
      </c>
      <c r="P55" s="22">
        <f>IFERROR((ABS(O55/F55-1)),0)</f>
        <v>7.9146774987521873E-3</v>
      </c>
    </row>
    <row r="56" spans="1:16" x14ac:dyDescent="0.2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0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352</v>
      </c>
      <c r="L56" s="3">
        <v>4926368.9352014288</v>
      </c>
      <c r="M56" s="193">
        <v>104.30886959717627</v>
      </c>
      <c r="N56" s="1">
        <v>80929</v>
      </c>
      <c r="O56" s="1">
        <f>ROUND(($R$17+G56*$R$18+H56*$R$19+I56*$R$20+J56*$R$21+K56*$R$22+L56*$R$23+M56*$R$24+N56*$R$25),4)</f>
        <v>170772551.05160001</v>
      </c>
      <c r="P56" s="22">
        <f>IFERROR((ABS(O56/F56-1)),0)</f>
        <v>1.803634095368345E-2</v>
      </c>
    </row>
    <row r="57" spans="1:16" x14ac:dyDescent="0.2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0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336</v>
      </c>
      <c r="L57" s="3">
        <v>4951472.1421893658</v>
      </c>
      <c r="M57" s="193">
        <v>104.43002484876037</v>
      </c>
      <c r="N57" s="1">
        <v>80985</v>
      </c>
      <c r="O57" s="1">
        <f>ROUND(($R$17+G57*$R$18+H57*$R$19+I57*$R$20+J57*$R$21+K57*$R$22+L57*$R$23+M57*$R$24+N57*$R$25),4)</f>
        <v>154046298.58090001</v>
      </c>
      <c r="P57" s="22">
        <f>IFERROR((ABS(O57/F57-1)),0)</f>
        <v>1.324256257168932E-2</v>
      </c>
    </row>
    <row r="58" spans="1:16" x14ac:dyDescent="0.2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0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320</v>
      </c>
      <c r="L58" s="3">
        <v>4976575.3491773028</v>
      </c>
      <c r="M58" s="193">
        <v>104.5513208227494</v>
      </c>
      <c r="N58" s="1">
        <v>81159</v>
      </c>
      <c r="O58" s="1">
        <f>ROUND(($R$17+G58*$R$18+H58*$R$19+I58*$R$20+J58*$R$21+K58*$R$22+L58*$R$23+M58*$R$24+N58*$R$25),4)</f>
        <v>139589083.5706</v>
      </c>
      <c r="P58" s="22">
        <f>IFERROR((ABS(O58/F58-1)),0)</f>
        <v>9.5694650456654706E-3</v>
      </c>
    </row>
    <row r="59" spans="1:16" x14ac:dyDescent="0.2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0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352</v>
      </c>
      <c r="L59" s="3">
        <v>5001678.5561652398</v>
      </c>
      <c r="M59" s="193">
        <v>104.67275768259313</v>
      </c>
      <c r="N59" s="1">
        <v>81234</v>
      </c>
      <c r="O59" s="1">
        <f>ROUND(($R$17+G59*$R$18+H59*$R$19+I59*$R$20+J59*$R$21+K59*$R$22+L59*$R$23+M59*$R$24+N59*$R$25),4)</f>
        <v>143126258.29100001</v>
      </c>
      <c r="P59" s="22">
        <f>IFERROR((ABS(O59/F59-1)),0)</f>
        <v>3.7241702468908677E-3</v>
      </c>
    </row>
    <row r="60" spans="1:16" x14ac:dyDescent="0.2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0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336</v>
      </c>
      <c r="L60" s="3">
        <v>5026781.7631531768</v>
      </c>
      <c r="M60" s="193">
        <v>104.79433559193114</v>
      </c>
      <c r="N60" s="1">
        <v>81279</v>
      </c>
      <c r="O60" s="1">
        <f>ROUND(($R$17+G60*$R$18+H60*$R$19+I60*$R$20+J60*$R$21+K60*$R$22+L60*$R$23+M60*$R$24+N60*$R$25),4)</f>
        <v>148434174.65380001</v>
      </c>
      <c r="P60" s="22">
        <f>IFERROR((ABS(O60/F60-1)),0)</f>
        <v>1.2660732506044603E-2</v>
      </c>
    </row>
    <row r="61" spans="1:16" x14ac:dyDescent="0.2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0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320</v>
      </c>
      <c r="L61" s="5">
        <v>5051884.9701411137</v>
      </c>
      <c r="M61" s="194">
        <v>104.9160547145932</v>
      </c>
      <c r="N61" s="10">
        <v>81351</v>
      </c>
      <c r="O61" s="10">
        <f>ROUND(($R$17+G61*$R$18+H61*$R$19+I61*$R$20+J61*$R$21+K61*$R$22+L61*$R$23+M61*$R$24+N61*$R$25),4)</f>
        <v>164962129.7013</v>
      </c>
      <c r="P61" s="25">
        <f>IFERROR((ABS(O61/F61-1)),0)</f>
        <v>5.6883589295335657E-3</v>
      </c>
    </row>
    <row r="62" spans="1:16" x14ac:dyDescent="0.2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0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352</v>
      </c>
      <c r="L62" s="3">
        <v>5118165.0729239378</v>
      </c>
      <c r="M62" s="193">
        <v>105.12864221491799</v>
      </c>
      <c r="N62" s="1">
        <v>81405</v>
      </c>
      <c r="O62" s="1">
        <f>ROUND(($R$17+G62*$R$18+H62*$R$19+I62*$R$20+J62*$R$21+K62*$R$22+L62*$R$23+M62*$R$24+N62*$R$25),4)</f>
        <v>172760249.27599999</v>
      </c>
      <c r="P62" s="22">
        <f>IFERROR((ABS(O62/F62-1)),0)</f>
        <v>2.0829952545578845E-2</v>
      </c>
    </row>
    <row r="63" spans="1:16" x14ac:dyDescent="0.2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0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304</v>
      </c>
      <c r="L63" s="3">
        <v>5184445.1757067619</v>
      </c>
      <c r="M63" s="193">
        <v>105.34166047338954</v>
      </c>
      <c r="N63" s="1">
        <v>81457</v>
      </c>
      <c r="O63" s="1">
        <f>ROUND(($R$17+G63*$R$18+H63*$R$19+I63*$R$20+J63*$R$21+K63*$R$22+L63*$R$23+M63*$R$24+N63*$R$25),4)</f>
        <v>156714213.4025</v>
      </c>
      <c r="P63" s="22">
        <f>IFERROR((ABS(O63/F63-1)),0)</f>
        <v>7.1319251420625118E-3</v>
      </c>
    </row>
    <row r="64" spans="1:16" x14ac:dyDescent="0.2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0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336</v>
      </c>
      <c r="L64" s="3">
        <v>5250725.278489586</v>
      </c>
      <c r="M64" s="193">
        <v>105.55511036283706</v>
      </c>
      <c r="N64" s="1">
        <v>81528</v>
      </c>
      <c r="O64" s="1">
        <f>ROUND(($R$17+G64*$R$18+H64*$R$19+I64*$R$20+J64*$R$21+K64*$R$22+L64*$R$23+M64*$R$24+N64*$R$25),4)</f>
        <v>161084754.9048</v>
      </c>
      <c r="P64" s="22">
        <f>IFERROR((ABS(O64/F64-1)),0)</f>
        <v>1.8635392605165446E-2</v>
      </c>
    </row>
    <row r="65" spans="1:16" x14ac:dyDescent="0.2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0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336</v>
      </c>
      <c r="L65" s="3">
        <v>5317005.38127241</v>
      </c>
      <c r="M65" s="193">
        <v>105.76899275785836</v>
      </c>
      <c r="N65" s="1">
        <v>81614</v>
      </c>
      <c r="O65" s="1">
        <f>ROUND(($R$17+G65*$R$18+H65*$R$19+I65*$R$20+J65*$R$21+K65*$R$22+L65*$R$23+M65*$R$24+N65*$R$25),4)</f>
        <v>142819740.97569999</v>
      </c>
      <c r="P65" s="22">
        <f>IFERROR((ABS(O65/F65-1)),0)</f>
        <v>2.3869270307529611E-2</v>
      </c>
    </row>
    <row r="66" spans="1:16" x14ac:dyDescent="0.2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0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336</v>
      </c>
      <c r="L66" s="3">
        <v>5383285.4840552341</v>
      </c>
      <c r="M66" s="193">
        <v>105.98330853482338</v>
      </c>
      <c r="N66" s="1">
        <v>81675</v>
      </c>
      <c r="O66" s="1">
        <f>ROUND(($R$17+G66*$R$18+H66*$R$19+I66*$R$20+J66*$R$21+K66*$R$22+L66*$R$23+M66*$R$24+N66*$R$25),4)</f>
        <v>140812578</v>
      </c>
      <c r="P66" s="22">
        <f>IFERROR((ABS(O66/F66-1)),0)</f>
        <v>1.4434324353463479E-2</v>
      </c>
    </row>
    <row r="67" spans="1:16" x14ac:dyDescent="0.2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1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336</v>
      </c>
      <c r="L67" s="3">
        <v>5449565.5868380582</v>
      </c>
      <c r="M67" s="193">
        <v>106.19805857187787</v>
      </c>
      <c r="N67" s="1">
        <v>81753</v>
      </c>
      <c r="O67" s="1">
        <f>ROUND(($R$17+G67*$R$18+H67*$R$19+I67*$R$20+J67*$R$21+K67*$R$22+L67*$R$23+M67*$R$24+N67*$R$25),4)</f>
        <v>150667016.35210001</v>
      </c>
      <c r="P67" s="22">
        <f>IFERROR((ABS(O67/F67-1)),0)</f>
        <v>2.9850157780109132E-3</v>
      </c>
    </row>
    <row r="68" spans="1:16" x14ac:dyDescent="0.2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1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352</v>
      </c>
      <c r="L68" s="3">
        <v>5515845.6896208823</v>
      </c>
      <c r="M68" s="193">
        <v>106.41324374894687</v>
      </c>
      <c r="N68" s="1">
        <v>81852</v>
      </c>
      <c r="O68" s="1">
        <f>ROUND(($R$17+G68*$R$18+H68*$R$19+I68*$R$20+J68*$R$21+K68*$R$22+L68*$R$23+M68*$R$24+N68*$R$25),4)</f>
        <v>153075819.9526</v>
      </c>
      <c r="P68" s="22">
        <f>IFERROR((ABS(O68/F68-1)),0)</f>
        <v>1.4380075491984279E-2</v>
      </c>
    </row>
    <row r="69" spans="1:16" x14ac:dyDescent="0.2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1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320</v>
      </c>
      <c r="L69" s="3">
        <v>5582125.7924037063</v>
      </c>
      <c r="M69" s="193">
        <v>106.62886494773842</v>
      </c>
      <c r="N69" s="1">
        <v>82014</v>
      </c>
      <c r="O69" s="1">
        <f>ROUND(($R$17+G69*$R$18+H69*$R$19+I69*$R$20+J69*$R$21+K69*$R$22+L69*$R$23+M69*$R$24+N69*$R$25),4)</f>
        <v>146610935.692</v>
      </c>
      <c r="P69" s="22">
        <f>IFERROR((ABS(O69/F69-1)),0)</f>
        <v>1.8966715758207187E-2</v>
      </c>
    </row>
    <row r="70" spans="1:16" x14ac:dyDescent="0.2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1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336</v>
      </c>
      <c r="L70" s="3">
        <v>5648405.8951865304</v>
      </c>
      <c r="M70" s="193">
        <v>106.84492305174713</v>
      </c>
      <c r="N70" s="1">
        <v>82117</v>
      </c>
      <c r="O70" s="1">
        <f>ROUND(($R$17+G70*$R$18+H70*$R$19+I70*$R$20+J70*$R$21+K70*$R$22+L70*$R$23+M70*$R$24+N70*$R$25),4)</f>
        <v>135785553.61649999</v>
      </c>
      <c r="P70" s="22">
        <f>IFERROR((ABS(O70/F70-1)),0)</f>
        <v>3.1217296205938161E-2</v>
      </c>
    </row>
    <row r="71" spans="1:16" x14ac:dyDescent="0.2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1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352</v>
      </c>
      <c r="L71" s="3">
        <v>5714685.9979693545</v>
      </c>
      <c r="M71" s="193">
        <v>107.06141894625779</v>
      </c>
      <c r="N71" s="1">
        <v>82238</v>
      </c>
      <c r="O71" s="1">
        <f>ROUND(($R$17+G71*$R$18+H71*$R$19+I71*$R$20+J71*$R$21+K71*$R$22+L71*$R$23+M71*$R$24+N71*$R$25),4)</f>
        <v>142515331.03369999</v>
      </c>
      <c r="P71" s="22">
        <f>IFERROR((ABS(O71/F71-1)),0)</f>
        <v>2.2292608868009767E-2</v>
      </c>
    </row>
    <row r="72" spans="1:16" x14ac:dyDescent="0.2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1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320</v>
      </c>
      <c r="L72" s="3">
        <v>5780966.1007521786</v>
      </c>
      <c r="M72" s="193">
        <v>107.27835351834901</v>
      </c>
      <c r="N72" s="1">
        <v>82340</v>
      </c>
      <c r="O72" s="1">
        <f>ROUND(($R$17+G72*$R$18+H72*$R$19+I72*$R$20+J72*$R$21+K72*$R$22+L72*$R$23+M72*$R$24+N72*$R$25),4)</f>
        <v>146792624.98269999</v>
      </c>
      <c r="P72" s="22">
        <f>IFERROR((ABS(O72/F72-1)),0)</f>
        <v>2.0075234869684544E-2</v>
      </c>
    </row>
    <row r="73" spans="1:16" x14ac:dyDescent="0.2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1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336</v>
      </c>
      <c r="L73" s="5">
        <v>5847246.2035350027</v>
      </c>
      <c r="M73" s="194">
        <v>107.49572765689692</v>
      </c>
      <c r="N73" s="10">
        <v>82425</v>
      </c>
      <c r="O73" s="10">
        <f>ROUND(($R$17+G73*$R$18+H73*$R$19+I73*$R$20+J73*$R$21+K73*$R$22+L73*$R$23+M73*$R$24+N73*$R$25),4)</f>
        <v>159906085.97420001</v>
      </c>
      <c r="P73" s="25">
        <f>IFERROR((ABS(O73/F73-1)),0)</f>
        <v>9.9780354270126992E-3</v>
      </c>
    </row>
    <row r="74" spans="1:16" x14ac:dyDescent="0.2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1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336</v>
      </c>
      <c r="L74" s="3">
        <v>5979908.2824305128</v>
      </c>
      <c r="M74" s="193">
        <v>107.74149103994844</v>
      </c>
      <c r="N74" s="1">
        <v>82551</v>
      </c>
      <c r="O74" s="1">
        <f>ROUND(($R$17+G74*$R$18+H74*$R$19+I74*$R$20+J74*$R$21+K74*$R$22+L74*$R$23+M74*$R$24+N74*$R$25),4)</f>
        <v>169572293.9332</v>
      </c>
      <c r="P74" s="22">
        <f>IFERROR((ABS(O74/F74-1)),0)</f>
        <v>5.5228047512225764E-3</v>
      </c>
    </row>
    <row r="75" spans="1:16" x14ac:dyDescent="0.2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1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304</v>
      </c>
      <c r="L75" s="3">
        <v>6112570.361326023</v>
      </c>
      <c r="M75" s="193">
        <v>107.98781630245104</v>
      </c>
      <c r="N75" s="1">
        <v>82614</v>
      </c>
      <c r="O75" s="1">
        <f>ROUND(($R$17+G75*$R$18+H75*$R$19+I75*$R$20+J75*$R$21+K75*$R$22+L75*$R$23+M75*$R$24+N75*$R$25),4)</f>
        <v>159127260.39070001</v>
      </c>
      <c r="P75" s="22">
        <f>IFERROR((ABS(O75/F75-1)),0)</f>
        <v>4.4365179078520445E-3</v>
      </c>
    </row>
    <row r="76" spans="1:16" x14ac:dyDescent="0.2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1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352</v>
      </c>
      <c r="L76" s="3">
        <v>6245232.4402215332</v>
      </c>
      <c r="M76" s="193">
        <v>108.23470472900827</v>
      </c>
      <c r="N76" s="1">
        <v>82707</v>
      </c>
      <c r="O76" s="1">
        <f>ROUND(($R$17+G76*$R$18+H76*$R$19+I76*$R$20+J76*$R$21+K76*$R$22+L76*$R$23+M76*$R$24+N76*$R$25),4)</f>
        <v>157318406.0932</v>
      </c>
      <c r="P76" s="22">
        <f>IFERROR((ABS(O76/F76-1)),0)</f>
        <v>1.477889140160904E-2</v>
      </c>
    </row>
    <row r="77" spans="1:16" x14ac:dyDescent="0.2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1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336</v>
      </c>
      <c r="L77" s="3">
        <v>6377894.5191170434</v>
      </c>
      <c r="M77" s="193">
        <v>108.48215760716066</v>
      </c>
      <c r="N77" s="1">
        <v>82847</v>
      </c>
      <c r="O77" s="1">
        <f>ROUND(($R$17+G77*$R$18+H77*$R$19+I77*$R$20+J77*$R$21+K77*$R$22+L77*$R$23+M77*$R$24+N77*$R$25),4)</f>
        <v>140673901.16080001</v>
      </c>
      <c r="P77" s="22">
        <f>IFERROR((ABS(O77/F77-1)),0)</f>
        <v>2.0306623720741213E-2</v>
      </c>
    </row>
    <row r="78" spans="1:16" x14ac:dyDescent="0.2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1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320</v>
      </c>
      <c r="L78" s="3">
        <v>6510556.5980125535</v>
      </c>
      <c r="M78" s="193">
        <v>108.73017622739235</v>
      </c>
      <c r="N78" s="1">
        <v>82982</v>
      </c>
      <c r="O78" s="1">
        <f>ROUND(($R$17+G78*$R$18+H78*$R$19+I78*$R$20+J78*$R$21+K78*$R$22+L78*$R$23+M78*$R$24+N78*$R$25),4)</f>
        <v>144303481.33239999</v>
      </c>
      <c r="P78" s="22">
        <f>IFERROR((ABS(O78/F78-1)),0)</f>
        <v>1.515749747079731E-2</v>
      </c>
    </row>
    <row r="79" spans="1:16" x14ac:dyDescent="0.2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1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352</v>
      </c>
      <c r="L79" s="3">
        <v>6643218.6769080637</v>
      </c>
      <c r="M79" s="193">
        <v>108.97876188313788</v>
      </c>
      <c r="N79" s="1">
        <v>83063</v>
      </c>
      <c r="O79" s="1">
        <f>ROUND(($R$17+G79*$R$18+H79*$R$19+I79*$R$20+J79*$R$21+K79*$R$22+L79*$R$23+M79*$R$24+N79*$R$25),4)</f>
        <v>140869798.51519999</v>
      </c>
      <c r="P79" s="22">
        <f>IFERROR((ABS(O79/F79-1)),0)</f>
        <v>1.7116602476262122E-2</v>
      </c>
    </row>
    <row r="80" spans="1:16" x14ac:dyDescent="0.2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1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352</v>
      </c>
      <c r="L80" s="3">
        <v>6775880.7558035739</v>
      </c>
      <c r="M80" s="193">
        <v>109.22791587078892</v>
      </c>
      <c r="N80" s="1">
        <v>83165</v>
      </c>
      <c r="O80" s="1">
        <f>ROUND(($R$17+G80*$R$18+H80*$R$19+I80*$R$20+J80*$R$21+K80*$R$22+L80*$R$23+M80*$R$24+N80*$R$25),4)</f>
        <v>158738259.1972</v>
      </c>
      <c r="P80" s="22">
        <f>IFERROR((ABS(O80/F80-1)),0)</f>
        <v>9.9654072268066107E-3</v>
      </c>
    </row>
    <row r="81" spans="1:16" x14ac:dyDescent="0.2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1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320</v>
      </c>
      <c r="L81" s="3">
        <v>6908542.8346990841</v>
      </c>
      <c r="M81" s="193">
        <v>109.47763948970105</v>
      </c>
      <c r="N81" s="1">
        <v>83275</v>
      </c>
      <c r="O81" s="1">
        <f>ROUND(($R$17+G81*$R$18+H81*$R$19+I81*$R$20+J81*$R$21+K81*$R$22+L81*$R$23+M81*$R$24+N81*$R$25),4)</f>
        <v>153267554.382</v>
      </c>
      <c r="P81" s="22">
        <f>IFERROR((ABS(O81/F81-1)),0)</f>
        <v>1.0563360167825664E-4</v>
      </c>
    </row>
    <row r="82" spans="1:16" x14ac:dyDescent="0.2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1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336</v>
      </c>
      <c r="L82" s="3">
        <v>7041204.9135945942</v>
      </c>
      <c r="M82" s="193">
        <v>109.72793404220049</v>
      </c>
      <c r="N82" s="1">
        <v>83382</v>
      </c>
      <c r="O82" s="1">
        <f>ROUND(($R$17+G82*$R$18+H82*$R$19+I82*$R$20+J82*$R$21+K82*$R$22+L82*$R$23+M82*$R$24+N82*$R$25),4)</f>
        <v>144913585.36379999</v>
      </c>
      <c r="P82" s="22">
        <f>IFERROR((ABS(O82/F82-1)),0)</f>
        <v>2.7794681021890644E-2</v>
      </c>
    </row>
    <row r="83" spans="1:16" x14ac:dyDescent="0.2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1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336</v>
      </c>
      <c r="L83" s="3">
        <v>7173866.9924901044</v>
      </c>
      <c r="M83" s="193">
        <v>109.97880083359092</v>
      </c>
      <c r="N83" s="1">
        <v>83492</v>
      </c>
      <c r="O83" s="1">
        <f>ROUND(($R$17+G83*$R$18+H83*$R$19+I83*$R$20+J83*$R$21+K83*$R$22+L83*$R$23+M83*$R$24+N83*$R$25),4)</f>
        <v>141074775.87189999</v>
      </c>
      <c r="P83" s="22">
        <f>IFERROR((ABS(O83/F83-1)),0)</f>
        <v>2.3113326093948006E-2</v>
      </c>
    </row>
    <row r="84" spans="1:16" x14ac:dyDescent="0.2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1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336</v>
      </c>
      <c r="L84" s="3">
        <v>7306529.0713856146</v>
      </c>
      <c r="M84" s="193">
        <v>110.23024117216032</v>
      </c>
      <c r="N84" s="1">
        <v>83554</v>
      </c>
      <c r="O84" s="1">
        <f>ROUND(($R$17+G84*$R$18+H84*$R$19+I84*$R$20+J84*$R$21+K84*$R$22+L84*$R$23+M84*$R$24+N84*$R$25),4)</f>
        <v>141270697.7868</v>
      </c>
      <c r="P84" s="22">
        <f>IFERROR((ABS(O84/F84-1)),0)</f>
        <v>1.3699688489275275E-2</v>
      </c>
    </row>
    <row r="85" spans="1:16" x14ac:dyDescent="0.2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1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336</v>
      </c>
      <c r="L85" s="5">
        <v>7439191.1502811247</v>
      </c>
      <c r="M85" s="194">
        <v>110.48225636918768</v>
      </c>
      <c r="N85" s="10">
        <v>83642</v>
      </c>
      <c r="O85" s="10">
        <f>ROUND(($R$17+G85*$R$18+H85*$R$19+I85*$R$20+J85*$R$21+K85*$R$22+L85*$R$23+M85*$R$24+N85*$R$25),4)</f>
        <v>153612671.14989999</v>
      </c>
      <c r="P85" s="25">
        <f>IFERROR((ABS(O85/F85-1)),0)</f>
        <v>3.3109153208059405E-2</v>
      </c>
    </row>
    <row r="86" spans="1:16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1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320</v>
      </c>
      <c r="L86" s="3">
        <v>7582385.6605449002</v>
      </c>
      <c r="M86" s="193">
        <v>110.72083148819483</v>
      </c>
      <c r="N86" s="1">
        <v>83744.75589354735</v>
      </c>
      <c r="O86" s="1">
        <f>ROUND(($R$17+G86*$R$18+H86*$R$19+I86*$R$20+J86*$R$21+K86*$R$22+L86*$R$23+M86*$R$24+N86*$R$25),4)</f>
        <v>162228282.53490001</v>
      </c>
      <c r="P86" s="22">
        <f>IFERROR((ABS(O86/F86-1)),0)</f>
        <v>3.5799148718909102E-3</v>
      </c>
    </row>
    <row r="87" spans="1:16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1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320</v>
      </c>
      <c r="L87" s="3">
        <v>7725580.1708086757</v>
      </c>
      <c r="M87" s="193">
        <v>110.95992178574087</v>
      </c>
      <c r="N87" s="1">
        <v>83847.638024794171</v>
      </c>
      <c r="O87" s="1">
        <f>ROUND(($R$17+G87*$R$18+H87*$R$19+I87*$R$20+J87*$R$21+K87*$R$22+L87*$R$23+M87*$R$24+N87*$R$25),4)</f>
        <v>151335947.99669999</v>
      </c>
      <c r="P87" s="22">
        <f>IFERROR((ABS(O87/F87-1)),0)</f>
        <v>2.1246516447785524E-2</v>
      </c>
    </row>
    <row r="88" spans="1:16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1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352</v>
      </c>
      <c r="L88" s="3">
        <v>7868774.6810724512</v>
      </c>
      <c r="M88" s="193">
        <v>111.1995283743011</v>
      </c>
      <c r="N88" s="1">
        <v>83950.646548826029</v>
      </c>
      <c r="O88" s="1">
        <f>ROUND(($R$17+G88*$R$18+H88*$R$19+I88*$R$20+J88*$R$21+K88*$R$22+L88*$R$23+M88*$R$24+N88*$R$25),4)</f>
        <v>149726574.75350001</v>
      </c>
      <c r="P88" s="22">
        <f>IFERROR((ABS(O88/F88-1)),0)</f>
        <v>2.163989756599527E-2</v>
      </c>
    </row>
    <row r="89" spans="1:16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1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336</v>
      </c>
      <c r="L89" s="3">
        <v>8011969.1913362266</v>
      </c>
      <c r="M89" s="193">
        <v>111.43965236875309</v>
      </c>
      <c r="N89" s="1">
        <v>84053.78162091902</v>
      </c>
      <c r="O89" s="1">
        <f>ROUND(($R$17+G89*$R$18+H89*$R$19+I89*$R$20+J89*$R$21+K89*$R$22+L89*$R$23+M89*$R$24+N89*$R$25),4)</f>
        <v>142449444.44940001</v>
      </c>
      <c r="P89" s="22">
        <f>IFERROR((ABS(O89/F89-1)),0)</f>
        <v>4.0425629205564473E-2</v>
      </c>
    </row>
    <row r="90" spans="1:16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1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336</v>
      </c>
      <c r="L90" s="3">
        <v>8155163.7016000021</v>
      </c>
      <c r="M90" s="193">
        <v>111.68029488638187</v>
      </c>
      <c r="N90" s="1">
        <v>84157.043396540015</v>
      </c>
      <c r="O90" s="1">
        <f>ROUND(($R$17+G90*$R$18+H90*$R$19+I90*$R$20+J90*$R$21+K90*$R$22+L90*$R$23+M90*$R$24+N90*$R$25),4)</f>
        <v>142588728.09850001</v>
      </c>
      <c r="P90" s="22">
        <f>IFERROR((ABS(O90/F90-1)),0)</f>
        <v>2.2319177897330844E-2</v>
      </c>
    </row>
    <row r="91" spans="1:16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1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352</v>
      </c>
      <c r="L91" s="3">
        <v>8298358.2118637776</v>
      </c>
      <c r="M91" s="193">
        <v>111.92145704688517</v>
      </c>
      <c r="N91" s="1">
        <v>84260.432031346863</v>
      </c>
      <c r="O91" s="1">
        <f>ROUND(($R$17+G91*$R$18+H91*$R$19+I91*$R$20+J91*$R$21+K91*$R$22+L91*$R$23+M91*$R$24+N91*$R$25),4)</f>
        <v>146729019.27410001</v>
      </c>
      <c r="P91" s="22">
        <f>IFERROR((ABS(O91/F91-1)),0)</f>
        <v>1.7116037536562212E-2</v>
      </c>
    </row>
    <row r="92" spans="1:16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1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320</v>
      </c>
      <c r="L92" s="3">
        <v>8441552.7221275531</v>
      </c>
      <c r="M92" s="193">
        <v>112.16313997237854</v>
      </c>
      <c r="N92" s="1">
        <v>84690</v>
      </c>
      <c r="O92" s="1">
        <f>ROUND(($R$17+G92*$R$18+H92*$R$19+I92*$R$20+J92*$R$21+K92*$R$22+L92*$R$23+M92*$R$24+N92*$R$25),4)</f>
        <v>172188917.4553</v>
      </c>
      <c r="P92" s="22">
        <f>IFERROR((ABS(O92/F92-1)),0)</f>
        <v>1.5314742160321915E-2</v>
      </c>
    </row>
    <row r="93" spans="1:16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1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352</v>
      </c>
      <c r="L93" s="3">
        <v>8584747.2323913276</v>
      </c>
      <c r="M93" s="193">
        <v>112.40534478740067</v>
      </c>
      <c r="N93" s="1">
        <v>84785</v>
      </c>
      <c r="O93" s="1">
        <f>ROUND(($R$17+G93*$R$18+H93*$R$19+I93*$R$20+J93*$R$21+K93*$R$22+L93*$R$23+M93*$R$24+N93*$R$25),4)</f>
        <v>175123408.31510001</v>
      </c>
      <c r="P93" s="22">
        <f>IFERROR((ABS(O93/F93-1)),0)</f>
        <v>9.3225805762585656E-3</v>
      </c>
    </row>
    <row r="94" spans="1:16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1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336</v>
      </c>
      <c r="L94" s="3">
        <v>8727941.7426551022</v>
      </c>
      <c r="M94" s="193">
        <v>112.64807261891853</v>
      </c>
      <c r="N94" s="1">
        <v>84919</v>
      </c>
      <c r="O94" s="1">
        <f>ROUND(($R$17+G94*$R$18+H94*$R$19+I94*$R$20+J94*$R$21+K94*$R$22+L94*$R$23+M94*$R$24+N94*$R$25),4)</f>
        <v>138132982.38209999</v>
      </c>
      <c r="P94" s="22">
        <f>IFERROR((ABS(O94/F94-1)),0)</f>
        <v>6.2389887064355554E-2</v>
      </c>
    </row>
    <row r="95" spans="1:16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1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320</v>
      </c>
      <c r="L95" s="3">
        <v>8871136.2529188767</v>
      </c>
      <c r="M95" s="193">
        <v>112.89132459633271</v>
      </c>
      <c r="N95" s="1">
        <v>85012</v>
      </c>
      <c r="O95" s="1">
        <f>ROUND(($R$17+G95*$R$18+H95*$R$19+I95*$R$20+J95*$R$21+K95*$R$22+L95*$R$23+M95*$R$24+N95*$R$25),4)</f>
        <v>138452937.5009</v>
      </c>
      <c r="P95" s="22">
        <f>IFERROR((ABS(O95/F95-1)),0)</f>
        <v>1.674305857749081E-3</v>
      </c>
    </row>
    <row r="96" spans="1:16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1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352</v>
      </c>
      <c r="L96" s="3">
        <v>9014330.7631826513</v>
      </c>
      <c r="M96" s="193">
        <v>113.13510185148257</v>
      </c>
      <c r="N96" s="1">
        <v>85166</v>
      </c>
      <c r="O96" s="1">
        <f>ROUND(($R$17+G96*$R$18+H96*$R$19+I96*$R$20+J96*$R$21+K96*$R$22+L96*$R$23+M96*$R$24+N96*$R$25),4)</f>
        <v>142147683.9244</v>
      </c>
      <c r="P96" s="22">
        <f>IFERROR((ABS(O96/F96-1)),0)</f>
        <v>1.8289205656230045E-2</v>
      </c>
    </row>
    <row r="97" spans="1:16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1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320</v>
      </c>
      <c r="L97" s="5">
        <v>9157525.2734464258</v>
      </c>
      <c r="M97" s="194">
        <v>113.37940551865177</v>
      </c>
      <c r="N97" s="10">
        <v>85248</v>
      </c>
      <c r="O97" s="10">
        <f>ROUND(($R$17+G97*$R$18+H97*$R$19+I97*$R$20+J97*$R$21+K97*$R$22+L97*$R$23+M97*$R$24+N97*$R$25),4)</f>
        <v>159372346.366</v>
      </c>
      <c r="P97" s="25">
        <f>IFERROR((ABS(O97/F97-1)),0)</f>
        <v>7.9185675281705503E-3</v>
      </c>
    </row>
    <row r="98" spans="1:16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1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336</v>
      </c>
      <c r="L98" s="3">
        <v>9401387.9564559143</v>
      </c>
      <c r="M98" s="193">
        <v>113.58520081289385</v>
      </c>
      <c r="N98" s="1">
        <v>85338</v>
      </c>
      <c r="O98" s="1">
        <f>ROUND(($R$17+G98*$R$18+H98*$R$19+I98*$R$20+J98*$R$21+K98*$R$22+L98*$R$23+M98*$R$24+N98*$R$25),4)</f>
        <v>160689113.20660001</v>
      </c>
      <c r="P98" s="22">
        <f>IFERROR((ABS(O98/F98-1)),0)</f>
        <v>1.7305369045583774E-3</v>
      </c>
    </row>
    <row r="99" spans="1:16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1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304</v>
      </c>
      <c r="L99" s="3">
        <v>9645250.6394654028</v>
      </c>
      <c r="M99" s="193">
        <v>113.79136964678308</v>
      </c>
      <c r="N99" s="1">
        <v>85498</v>
      </c>
      <c r="O99" s="1">
        <f>ROUND(($R$17+G99*$R$18+H99*$R$19+I99*$R$20+J99*$R$21+K99*$R$22+L99*$R$23+M99*$R$24+N99*$R$25),4)</f>
        <v>143044457.65270001</v>
      </c>
      <c r="P99" s="22">
        <f>IFERROR((ABS(O99/F99-1)),0)</f>
        <v>2.332216590931746E-2</v>
      </c>
    </row>
    <row r="100" spans="1:16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1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368</v>
      </c>
      <c r="L100" s="3">
        <v>9889113.3224748913</v>
      </c>
      <c r="M100" s="193">
        <v>113.99791269833239</v>
      </c>
      <c r="N100" s="1">
        <v>85646</v>
      </c>
      <c r="O100" s="1">
        <f>ROUND(($R$17+G100*$R$18+H100*$R$19+I100*$R$20+J100*$R$21+K100*$R$22+L100*$R$23+M100*$R$24+N100*$R$25),4)</f>
        <v>155301686.3339</v>
      </c>
      <c r="P100" s="22">
        <f>IFERROR((ABS(O100/F100-1)),0)</f>
        <v>8.2715075757120449E-3</v>
      </c>
    </row>
    <row r="101" spans="1:16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1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304</v>
      </c>
      <c r="L101" s="3">
        <v>10132976.00548438</v>
      </c>
      <c r="M101" s="193">
        <v>114.20483064678535</v>
      </c>
      <c r="N101" s="1">
        <v>85773</v>
      </c>
      <c r="O101" s="1">
        <f>ROUND(($R$17+G101*$R$18+H101*$R$19+I101*$R$20+J101*$R$21+K101*$R$22+L101*$R$23+M101*$R$24+N101*$R$25),4)</f>
        <v>134454450.02689999</v>
      </c>
      <c r="P101" s="22">
        <f>IFERROR((ABS(O101/F101-1)),0)</f>
        <v>2.6191465207786813E-2</v>
      </c>
    </row>
    <row r="102" spans="1:16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1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352</v>
      </c>
      <c r="L102" s="3">
        <v>10376838.688493868</v>
      </c>
      <c r="M102" s="193">
        <v>114.41212417261845</v>
      </c>
      <c r="N102" s="1">
        <v>85929</v>
      </c>
      <c r="O102" s="1">
        <f>ROUND(($R$17+G102*$R$18+H102*$R$19+I102*$R$20+J102*$R$21+K102*$R$22+L102*$R$23+M102*$R$24+N102*$R$25),4)</f>
        <v>140072035.25659999</v>
      </c>
      <c r="P102" s="22">
        <f>IFERROR((ABS(O102/F102-1)),0)</f>
        <v>3.5385420459270955E-2</v>
      </c>
    </row>
    <row r="103" spans="1:16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1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352</v>
      </c>
      <c r="L103" s="3">
        <v>10620701.371503357</v>
      </c>
      <c r="M103" s="193">
        <v>114.61979395754329</v>
      </c>
      <c r="N103" s="1">
        <v>86044</v>
      </c>
      <c r="O103" s="1">
        <f>ROUND(($R$17+G103*$R$18+H103*$R$19+I103*$R$20+J103*$R$21+K103*$R$22+L103*$R$23+M103*$R$24+N103*$R$25),4)</f>
        <v>150540287.08419999</v>
      </c>
      <c r="P103" s="22">
        <f>IFERROR((ABS(O103/F103-1)),0)</f>
        <v>3.2705253116638078E-2</v>
      </c>
    </row>
    <row r="104" spans="1:16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1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320</v>
      </c>
      <c r="L104" s="3">
        <v>10864564.054512845</v>
      </c>
      <c r="M104" s="193">
        <v>114.82784068450889</v>
      </c>
      <c r="N104" s="1">
        <v>86130</v>
      </c>
      <c r="O104" s="1">
        <f>ROUND(($R$17+G104*$R$18+H104*$R$19+I104*$R$20+J104*$R$21+K104*$R$22+L104*$R$23+M104*$R$24+N104*$R$25),4)</f>
        <v>155855147.8723</v>
      </c>
      <c r="P104" s="22">
        <f>IFERROR((ABS(O104/F104-1)),0)</f>
        <v>2.5597642632955164E-3</v>
      </c>
    </row>
    <row r="105" spans="1:16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1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352</v>
      </c>
      <c r="L105" s="3">
        <v>11108426.737522334</v>
      </c>
      <c r="M105" s="193">
        <v>115.03626503770381</v>
      </c>
      <c r="N105" s="1">
        <v>86233</v>
      </c>
      <c r="O105" s="1">
        <f>ROUND(($R$17+G105*$R$18+H105*$R$19+I105*$R$20+J105*$R$21+K105*$R$22+L105*$R$23+M105*$R$24+N105*$R$25),4)</f>
        <v>148351281.6525</v>
      </c>
      <c r="P105" s="22">
        <f>IFERROR((ABS(O105/F105-1)),0)</f>
        <v>1.7117568897344393E-2</v>
      </c>
    </row>
    <row r="106" spans="1:16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1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320</v>
      </c>
      <c r="L106" s="3">
        <v>11352289.420531822</v>
      </c>
      <c r="M106" s="193">
        <v>115.24506770255859</v>
      </c>
      <c r="N106" s="1">
        <v>86301</v>
      </c>
      <c r="O106" s="1">
        <f>ROUND(($R$17+G106*$R$18+H106*$R$19+I106*$R$20+J106*$R$21+K106*$R$22+L106*$R$23+M106*$R$24+N106*$R$25),4)</f>
        <v>141188242.31349999</v>
      </c>
      <c r="P106" s="22">
        <f>IFERROR((ABS(O106/F106-1)),0)</f>
        <v>2.1852142475731751E-2</v>
      </c>
    </row>
    <row r="107" spans="1:16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1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336</v>
      </c>
      <c r="L107" s="3">
        <v>11596152.103541311</v>
      </c>
      <c r="M107" s="193">
        <v>115.4542493657478</v>
      </c>
      <c r="N107" s="1">
        <v>86429</v>
      </c>
      <c r="O107" s="1">
        <f>ROUND(($R$17+G107*$R$18+H107*$R$19+I107*$R$20+J107*$R$21+K107*$R$22+L107*$R$23+M107*$R$24+N107*$R$25),4)</f>
        <v>138816706.76840001</v>
      </c>
      <c r="P107" s="22">
        <f>IFERROR((ABS(O107/F107-1)),0)</f>
        <v>1.5331616737903175E-2</v>
      </c>
    </row>
    <row r="108" spans="1:16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1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352</v>
      </c>
      <c r="L108" s="3">
        <v>11840014.786550799</v>
      </c>
      <c r="M108" s="193">
        <v>115.66381071519247</v>
      </c>
      <c r="N108" s="1">
        <v>86606</v>
      </c>
      <c r="O108" s="1">
        <f>ROUND(($R$17+G108*$R$18+H108*$R$19+I108*$R$20+J108*$R$21+K108*$R$22+L108*$R$23+M108*$R$24+N108*$R$25),4)</f>
        <v>146093606.9434</v>
      </c>
      <c r="P108" s="22">
        <f>IFERROR((ABS(O108/F108-1)),0)</f>
        <v>1.2942074297480177E-2</v>
      </c>
    </row>
    <row r="109" spans="1:16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1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304</v>
      </c>
      <c r="L109" s="5">
        <v>12083877.469560288</v>
      </c>
      <c r="M109" s="194">
        <v>115.87375244006211</v>
      </c>
      <c r="N109" s="10">
        <v>86846</v>
      </c>
      <c r="O109" s="10">
        <f>ROUND(($R$17+G109*$R$18+H109*$R$19+I109*$R$20+J109*$R$21+K109*$R$22+L109*$R$23+M109*$R$24+N109*$R$25),4)</f>
        <v>163197172.95969999</v>
      </c>
      <c r="P109" s="25">
        <f>IFERROR((ABS(O109/F109-1)),0)</f>
        <v>2.1114399668038519E-2</v>
      </c>
    </row>
    <row r="110" spans="1:16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1"/>
        <v>168346060.52169999</v>
      </c>
      <c r="G110" s="21">
        <v>791.1</v>
      </c>
      <c r="H110" s="21">
        <v>0</v>
      </c>
      <c r="I110" s="3">
        <v>31</v>
      </c>
      <c r="J110" s="3">
        <v>0</v>
      </c>
      <c r="K110" s="3">
        <v>352</v>
      </c>
      <c r="L110" s="3">
        <v>12067181.71438046</v>
      </c>
      <c r="M110" s="193">
        <v>116.08407523077751</v>
      </c>
      <c r="N110" s="1">
        <v>86890</v>
      </c>
      <c r="O110" s="1">
        <f>ROUND(($R$17+G110*$R$18+H110*$R$19+I110*$R$20+J110*$R$21+K110*$R$22+L110*$R$23+M110*$R$24+N110*$R$25),4)</f>
        <v>167944047.11269999</v>
      </c>
      <c r="P110" s="22">
        <f>IFERROR((ABS(O110/F110-1)),0)</f>
        <v>2.3880179182939054E-3</v>
      </c>
    </row>
    <row r="111" spans="1:16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1"/>
        <v>143615060.03690001</v>
      </c>
      <c r="G111" s="21">
        <v>594.9</v>
      </c>
      <c r="H111" s="21">
        <v>0</v>
      </c>
      <c r="I111" s="3">
        <v>28</v>
      </c>
      <c r="J111" s="3">
        <v>0</v>
      </c>
      <c r="K111" s="3">
        <v>304</v>
      </c>
      <c r="L111" s="3">
        <v>12050485.959200632</v>
      </c>
      <c r="M111" s="193">
        <v>116.29477977901232</v>
      </c>
      <c r="N111" s="1">
        <v>86950</v>
      </c>
      <c r="O111" s="1">
        <f>ROUND(($R$17+G111*$R$18+H111*$R$19+I111*$R$20+J111*$R$21+K111*$R$22+L111*$R$23+M111*$R$24+N111*$R$25),4)</f>
        <v>145561766.06119999</v>
      </c>
      <c r="P111" s="22">
        <f>IFERROR((ABS(O111/F111-1)),0)</f>
        <v>1.35550270549607E-2</v>
      </c>
    </row>
    <row r="112" spans="1:16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1"/>
        <v>152332441.54840001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336</v>
      </c>
      <c r="L112" s="3">
        <v>12033790.204020804</v>
      </c>
      <c r="M112" s="193">
        <v>116.50586677769572</v>
      </c>
      <c r="N112" s="1">
        <v>87041</v>
      </c>
      <c r="O112" s="1">
        <f>ROUND(($R$17+G112*$R$18+H112*$R$19+I112*$R$20+J112*$R$21+K112*$R$22+L112*$R$23+M112*$R$24+N112*$R$25),4)</f>
        <v>152728790.35530001</v>
      </c>
      <c r="P112" s="22">
        <f>IFERROR((ABS(O112/F112-1)),0)</f>
        <v>2.6018673558387828E-3</v>
      </c>
    </row>
    <row r="113" spans="1:16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1"/>
        <v>142340251.26249999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336</v>
      </c>
      <c r="L113" s="3">
        <v>12017094.448840976</v>
      </c>
      <c r="M113" s="193">
        <v>116.71733692101465</v>
      </c>
      <c r="N113" s="1">
        <v>87199</v>
      </c>
      <c r="O113" s="1">
        <f>ROUND(($R$17+G113*$R$18+H113*$R$19+I113*$R$20+J113*$R$21+K113*$R$22+L113*$R$23+M113*$R$24+N113*$R$25),4)</f>
        <v>144514488.26620001</v>
      </c>
      <c r="P113" s="22">
        <f>IFERROR((ABS(O113/F113-1)),0)</f>
        <v>1.5274927396962124E-2</v>
      </c>
    </row>
    <row r="114" spans="1:16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1"/>
        <v>144599870.08239999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352</v>
      </c>
      <c r="L114" s="3">
        <v>12000398.693661148</v>
      </c>
      <c r="M114" s="193">
        <v>116.92919090441607</v>
      </c>
      <c r="N114" s="1">
        <v>87308</v>
      </c>
      <c r="O114" s="1">
        <f>ROUND(($R$17+G114*$R$18+H114*$R$19+I114*$R$20+J114*$R$21+K114*$R$22+L114*$R$23+M114*$R$24+N114*$R$25),4)</f>
        <v>146257174.2049</v>
      </c>
      <c r="P114" s="22">
        <f>IFERROR((ABS(O114/F114-1)),0)</f>
        <v>1.1461311283029518E-2</v>
      </c>
    </row>
    <row r="115" spans="1:16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1"/>
        <v>151857340.37419999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336</v>
      </c>
      <c r="L115" s="3">
        <v>11983702.93848132</v>
      </c>
      <c r="M115" s="193">
        <v>117.14142942460927</v>
      </c>
      <c r="N115" s="1">
        <v>87372</v>
      </c>
      <c r="O115" s="1">
        <f>ROUND(($R$17+G115*$R$18+H115*$R$19+I115*$R$20+J115*$R$21+K115*$R$22+L115*$R$23+M115*$R$24+N115*$R$25),4)</f>
        <v>148101692</v>
      </c>
      <c r="P115" s="22">
        <f>IFERROR((ABS(O115/F115-1)),0)</f>
        <v>2.4731424670980551E-2</v>
      </c>
    </row>
    <row r="116" spans="1:16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1"/>
        <v>175411814.7726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336</v>
      </c>
      <c r="L116" s="3">
        <v>11967007.183301492</v>
      </c>
      <c r="M116" s="193">
        <v>117.3540531795681</v>
      </c>
      <c r="N116" s="1">
        <v>87462</v>
      </c>
      <c r="O116" s="1">
        <f>ROUND(($R$17+G116*$R$18+H116*$R$19+I116*$R$20+J116*$R$21+K116*$R$22+L116*$R$23+M116*$R$24+N116*$R$25),4)</f>
        <v>168069793.24020001</v>
      </c>
      <c r="P116" s="22">
        <f>IFERROR((ABS(O116/F116-1)),0)</f>
        <v>4.1855912282294239E-2</v>
      </c>
    </row>
    <row r="117" spans="1:16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1"/>
        <v>174325461.27039999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352</v>
      </c>
      <c r="L117" s="3">
        <v>11950311.428121664</v>
      </c>
      <c r="M117" s="193">
        <v>117.56706286853333</v>
      </c>
      <c r="N117" s="1">
        <v>87528</v>
      </c>
      <c r="O117" s="1">
        <f>ROUND(($R$17+G117*$R$18+H117*$R$19+I117*$R$20+J117*$R$21+K117*$R$22+L117*$R$23+M117*$R$24+N117*$R$25),4)</f>
        <v>170915688.0557</v>
      </c>
      <c r="P117" s="22">
        <f>IFERROR((ABS(O117/F117-1)),0)</f>
        <v>1.9559811801736826E-2</v>
      </c>
    </row>
    <row r="118" spans="1:16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1"/>
        <v>153468725.23100001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304</v>
      </c>
      <c r="L118" s="3">
        <v>11933615.672941836</v>
      </c>
      <c r="M118" s="193">
        <v>117.7804591920149</v>
      </c>
      <c r="N118" s="1">
        <v>87638</v>
      </c>
      <c r="O118" s="1">
        <f>ROUND(($R$17+G118*$R$18+H118*$R$19+I118*$R$20+J118*$R$21+K118*$R$22+L118*$R$23+M118*$R$24+N118*$R$25),4)</f>
        <v>143901885.6383</v>
      </c>
      <c r="P118" s="22">
        <f>IFERROR((ABS(O118/F118-1)),0)</f>
        <v>6.2337388795665527E-2</v>
      </c>
    </row>
    <row r="119" spans="1:16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1"/>
        <v>143819635.90310001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352</v>
      </c>
      <c r="L119" s="3">
        <v>11916919.917762008</v>
      </c>
      <c r="M119" s="193">
        <v>117.99424285179428</v>
      </c>
      <c r="N119" s="1">
        <v>87717</v>
      </c>
      <c r="O119" s="1">
        <f>ROUND(($R$17+G119*$R$18+H119*$R$19+I119*$R$20+J119*$R$21+K119*$R$22+L119*$R$23+M119*$R$24+N119*$R$25),4)</f>
        <v>144350663.19389999</v>
      </c>
      <c r="P119" s="22">
        <f>IFERROR((ABS(O119/F119-1)),0)</f>
        <v>3.6923142480889126E-3</v>
      </c>
    </row>
    <row r="120" spans="1:16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1"/>
        <v>150370550.6882</v>
      </c>
      <c r="G120" s="21">
        <v>538.6</v>
      </c>
      <c r="H120" s="21">
        <v>0</v>
      </c>
      <c r="I120" s="3">
        <v>30</v>
      </c>
      <c r="J120" s="3">
        <v>1</v>
      </c>
      <c r="K120" s="3">
        <v>352</v>
      </c>
      <c r="L120" s="3">
        <v>11900224.16258218</v>
      </c>
      <c r="M120" s="193">
        <v>118.20841455092673</v>
      </c>
      <c r="N120" s="1">
        <v>87783</v>
      </c>
      <c r="O120" s="1">
        <f>ROUND(($R$17+G120*$R$18+H120*$R$19+I120*$R$20+J120*$R$21+K120*$R$22+L120*$R$23+M120*$R$24+N120*$R$25),4)</f>
        <v>147322672.29460001</v>
      </c>
      <c r="P120" s="22">
        <f>IFERROR((ABS(O120/F120-1)),0)</f>
        <v>2.0269117720529639E-2</v>
      </c>
    </row>
    <row r="121" spans="1:16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1"/>
        <v>156562631.70750001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304</v>
      </c>
      <c r="L121" s="5">
        <v>11883528.407402351</v>
      </c>
      <c r="M121" s="194">
        <v>118.42297499374348</v>
      </c>
      <c r="N121" s="10">
        <v>87846</v>
      </c>
      <c r="O121" s="10">
        <f>ROUND(($R$17+G121*$R$18+H121*$R$19+I121*$R$20+J121*$R$21+K121*$R$22+L121*$R$23+M121*$R$24+N121*$R$25),4)</f>
        <v>155502651.0147</v>
      </c>
      <c r="P121" s="25">
        <f>IFERROR((ABS(O121/F121-1)),0)</f>
        <v>6.7703300668855437E-3</v>
      </c>
    </row>
    <row r="122" spans="1:16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1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352</v>
      </c>
      <c r="L122" s="3">
        <v>11821547.780047238</v>
      </c>
      <c r="M122" s="193">
        <v>118.63792488585463</v>
      </c>
      <c r="N122" s="1">
        <v>87945.891115460312</v>
      </c>
      <c r="O122" s="1">
        <f>ROUND(($R$17+G122*$R$18+H122*$R$19+I122*$R$20+J122*$R$21+K122*$R$22+L122*$R$23+M122*$R$24+N122*$R$25),4)</f>
        <v>165406204.60049999</v>
      </c>
      <c r="P122" s="22">
        <f>IFERROR((ABS(O122/F122-1)),0)</f>
        <v>0</v>
      </c>
    </row>
    <row r="123" spans="1:16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1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304</v>
      </c>
      <c r="L123" s="3">
        <v>11759567.152692124</v>
      </c>
      <c r="M123" s="193">
        <v>118.8532649341506</v>
      </c>
      <c r="N123" s="1">
        <v>88045.895818732795</v>
      </c>
      <c r="O123" s="1">
        <f>ROUND(($R$17+G123*$R$18+H123*$R$19+I123*$R$20+J123*$R$21+K123*$R$22+L123*$R$23+M123*$R$24+N123*$R$25),4)</f>
        <v>147371750.10229999</v>
      </c>
      <c r="P123" s="22">
        <f>IFERROR((ABS(O123/F123-1)),0)</f>
        <v>0</v>
      </c>
    </row>
    <row r="124" spans="1:16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1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336</v>
      </c>
      <c r="L124" s="3">
        <v>11697586.525337011</v>
      </c>
      <c r="M124" s="193">
        <v>119.06899584680504</v>
      </c>
      <c r="N124" s="1">
        <v>88146.014238979988</v>
      </c>
      <c r="O124" s="1">
        <f>ROUND(($R$17+G124*$R$18+H124*$R$19+I124*$R$20+J124*$R$21+K124*$R$22+L124*$R$23+M124*$R$24+N124*$R$25),4)</f>
        <v>150158900.9337</v>
      </c>
      <c r="P124" s="22">
        <f>IFERROR((ABS(O124/F124-1)),0)</f>
        <v>0</v>
      </c>
    </row>
    <row r="125" spans="1:16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1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336</v>
      </c>
      <c r="L125" s="3">
        <v>11635605.897981897</v>
      </c>
      <c r="M125" s="193">
        <v>119.28511833327698</v>
      </c>
      <c r="N125" s="1">
        <v>88246.246505511328</v>
      </c>
      <c r="O125" s="1">
        <f>ROUND(($R$17+G125*$R$18+H125*$R$19+I125*$R$20+J125*$R$21+K125*$R$22+L125*$R$23+M125*$R$24+N125*$R$25),4)</f>
        <v>138696987.1094</v>
      </c>
      <c r="P125" s="22">
        <f>IFERROR((ABS(O125/F125-1)),0)</f>
        <v>0</v>
      </c>
    </row>
    <row r="126" spans="1:16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1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352</v>
      </c>
      <c r="L126" s="3">
        <v>11573625.270626783</v>
      </c>
      <c r="M126" s="193">
        <v>119.50163310431324</v>
      </c>
      <c r="N126" s="1">
        <v>88346.592747783274</v>
      </c>
      <c r="O126" s="1">
        <f>ROUND(($R$17+G126*$R$18+H126*$R$19+I126*$R$20+J126*$R$21+K126*$R$22+L126*$R$23+M126*$R$24+N126*$R$25),4)</f>
        <v>141103322.7042</v>
      </c>
      <c r="P126" s="22">
        <f>IFERROR((ABS(O126/F126-1)),0)</f>
        <v>0</v>
      </c>
    </row>
    <row r="127" spans="1:16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1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320</v>
      </c>
      <c r="L127" s="3">
        <v>11511644.64327167</v>
      </c>
      <c r="M127" s="193">
        <v>119.71854087195068</v>
      </c>
      <c r="N127" s="1">
        <v>88447.053095399489</v>
      </c>
      <c r="O127" s="1">
        <f>ROUND(($R$17+G127*$R$18+H127*$R$19+I127*$R$20+J127*$R$21+K127*$R$22+L127*$R$23+M127*$R$24+N127*$R$25),4)</f>
        <v>143401115.79100001</v>
      </c>
      <c r="P127" s="22">
        <f>IFERROR((ABS(O127/F127-1)),0)</f>
        <v>0</v>
      </c>
    </row>
    <row r="128" spans="1:16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1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352</v>
      </c>
      <c r="L128" s="3">
        <v>11449664.015916556</v>
      </c>
      <c r="M128" s="193">
        <v>119.93584234951859</v>
      </c>
      <c r="N128" s="1">
        <v>88547.627678111006</v>
      </c>
      <c r="O128" s="1">
        <f>ROUND(($R$17+G128*$R$18+H128*$R$19+I128*$R$20+J128*$R$21+K128*$R$22+L128*$R$23+M128*$R$24+N128*$R$25),4)</f>
        <v>164951010.69209999</v>
      </c>
      <c r="P128" s="22">
        <f>IFERROR((ABS(O128/F128-1)),0)</f>
        <v>0</v>
      </c>
    </row>
    <row r="129" spans="1:17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1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336</v>
      </c>
      <c r="L129" s="3">
        <v>11387683.388561442</v>
      </c>
      <c r="M129" s="193">
        <v>120.15353825164105</v>
      </c>
      <c r="N129" s="1">
        <v>88648.316625816427</v>
      </c>
      <c r="O129" s="1">
        <f>ROUND(($R$17+G129*$R$18+H129*$R$19+I129*$R$20+J129*$R$21+K129*$R$22+L129*$R$23+M129*$R$24+N129*$R$25),4)</f>
        <v>156569114.93869999</v>
      </c>
      <c r="P129" s="22">
        <f>IFERROR((ABS(O129/F129-1)),0)</f>
        <v>0</v>
      </c>
    </row>
    <row r="130" spans="1:17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1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320</v>
      </c>
      <c r="L130" s="3">
        <v>11325702.761206329</v>
      </c>
      <c r="M130" s="193">
        <v>120.37162929423923</v>
      </c>
      <c r="N130" s="1">
        <v>88749.120068562042</v>
      </c>
      <c r="O130" s="1">
        <f>ROUND(($R$17+G130*$R$18+H130*$R$19+I130*$R$20+J130*$R$21+K130*$R$22+L130*$R$23+M130*$R$24+N130*$R$25),4)</f>
        <v>135588300.86469999</v>
      </c>
      <c r="P130" s="22">
        <f>IFERROR((ABS(O130/F130-1)),0)</f>
        <v>0</v>
      </c>
      <c r="Q130"/>
    </row>
    <row r="131" spans="1:17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2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352</v>
      </c>
      <c r="L131" s="3">
        <v>11263722.133851215</v>
      </c>
      <c r="M131" s="193">
        <v>120.59011619453375</v>
      </c>
      <c r="N131" s="1">
        <v>88850.038136542018</v>
      </c>
      <c r="O131" s="1">
        <f>ROUND(($R$17+G131*$R$18+H131*$R$19+I131*$R$20+J131*$R$21+K131*$R$22+L131*$R$23+M131*$R$24+N131*$R$25),4)</f>
        <v>139585411.8337</v>
      </c>
      <c r="P131" s="22">
        <f>IFERROR((ABS(O131/F131-1)),0)</f>
        <v>0</v>
      </c>
    </row>
    <row r="132" spans="1:17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2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336</v>
      </c>
      <c r="L132" s="3">
        <v>11201741.506496102</v>
      </c>
      <c r="M132" s="193">
        <v>120.8089996710471</v>
      </c>
      <c r="N132" s="1">
        <v>88951.070960098587</v>
      </c>
      <c r="O132" s="1">
        <f>ROUND(($R$17+G132*$R$18+H132*$R$19+I132*$R$20+J132*$R$21+K132*$R$22+L132*$R$23+M132*$R$24+N132*$R$25),4)</f>
        <v>141495471.1275</v>
      </c>
      <c r="P132" s="22">
        <f>IFERROR((ABS(O132/F132-1)),0)</f>
        <v>0</v>
      </c>
    </row>
    <row r="133" spans="1:17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2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320</v>
      </c>
      <c r="L133" s="5">
        <v>11139760.879140988</v>
      </c>
      <c r="M133" s="194">
        <v>121.02828044360584</v>
      </c>
      <c r="N133" s="10">
        <v>89052.218669722162</v>
      </c>
      <c r="O133" s="10">
        <f>ROUND(($R$17+G133*$R$18+H133*$R$19+I133*$R$20+J133*$R$21+K133*$R$22+L133*$R$23+M133*$R$24+N133*$R$25),4)</f>
        <v>156518241.7586</v>
      </c>
      <c r="P133" s="25">
        <f>IFERROR((ABS(O133/F133-1)),0)</f>
        <v>0</v>
      </c>
    </row>
    <row r="134" spans="1:17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2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352</v>
      </c>
      <c r="L134" s="3">
        <v>11142794.608950265</v>
      </c>
      <c r="M134" s="193">
        <v>121.24795923334342</v>
      </c>
      <c r="N134" s="1">
        <v>89153.481396051575</v>
      </c>
      <c r="O134" s="1">
        <f>ROUND(($R$17+G134*$R$18+H134*$R$19+I134*$R$20+J134*$R$21+K134*$R$22+L134*$R$23+M134*$R$24+N134*$R$25),4)</f>
        <v>164051350.11210001</v>
      </c>
      <c r="P134" s="22">
        <f>IFERROR((ABS(O134/F134-1)),0)</f>
        <v>0</v>
      </c>
    </row>
    <row r="135" spans="1:17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2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304</v>
      </c>
      <c r="L135" s="3">
        <v>11145828.338759542</v>
      </c>
      <c r="M135" s="193">
        <v>121.4680367627019</v>
      </c>
      <c r="N135" s="1">
        <v>89254.859269874185</v>
      </c>
      <c r="O135" s="1">
        <f>ROUND(($R$17+G135*$R$18+H135*$R$19+I135*$R$20+J135*$R$21+K135*$R$22+L135*$R$23+M135*$R$24+N135*$R$25),4)</f>
        <v>149657670.99200001</v>
      </c>
      <c r="P135" s="22">
        <f>IFERROR((ABS(O135/F135-1)),0)</f>
        <v>0</v>
      </c>
    </row>
    <row r="136" spans="1:17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2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352</v>
      </c>
      <c r="L136" s="3">
        <v>11148862.068568818</v>
      </c>
      <c r="M136" s="193">
        <v>121.68851375543473</v>
      </c>
      <c r="N136" s="1">
        <v>89356.352422126089</v>
      </c>
      <c r="O136" s="1">
        <f>ROUND(($R$17+G136*$R$18+H136*$R$19+I136*$R$20+J136*$R$21+K136*$R$22+L136*$R$23+M136*$R$24+N136*$R$25),4)</f>
        <v>150019920.99849999</v>
      </c>
      <c r="P136" s="22">
        <f>IFERROR((ABS(O136/F136-1)),0)</f>
        <v>0</v>
      </c>
    </row>
    <row r="137" spans="1:17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2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336</v>
      </c>
      <c r="L137" s="3">
        <v>11151895.798378095</v>
      </c>
      <c r="M137" s="193">
        <v>121.90939093660906</v>
      </c>
      <c r="N137" s="1">
        <v>89457.960983892248</v>
      </c>
      <c r="O137" s="1">
        <f>ROUND(($R$17+G137*$R$18+H137*$R$19+I137*$R$20+J137*$R$21+K137*$R$22+L137*$R$23+M137*$R$24+N137*$R$25),4)</f>
        <v>137391624.6609</v>
      </c>
      <c r="P137" s="22">
        <f>IFERROR((ABS(O137/F137-1)),0)</f>
        <v>0</v>
      </c>
    </row>
    <row r="138" spans="1:17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2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320</v>
      </c>
      <c r="L138" s="3">
        <v>11154929.528187372</v>
      </c>
      <c r="M138" s="193">
        <v>122.13066903260811</v>
      </c>
      <c r="N138" s="1">
        <v>89559.685086406709</v>
      </c>
      <c r="O138" s="1">
        <f>ROUND(($R$17+G138*$R$18+H138*$R$19+I138*$R$20+J138*$R$21+K138*$R$22+L138*$R$23+M138*$R$24+N138*$R$25),4)</f>
        <v>137448697.8583</v>
      </c>
      <c r="P138" s="22">
        <f>IFERROR((ABS(O138/F138-1)),0)</f>
        <v>0</v>
      </c>
    </row>
    <row r="139" spans="1:17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2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352</v>
      </c>
      <c r="L139" s="3">
        <v>11157963.257996649</v>
      </c>
      <c r="M139" s="193">
        <v>122.35234877113358</v>
      </c>
      <c r="N139" s="1">
        <v>89661.524861052734</v>
      </c>
      <c r="O139" s="1">
        <f>ROUND(($R$17+G139*$R$18+H139*$R$19+I139*$R$20+J139*$R$21+K139*$R$22+L139*$R$23+M139*$R$24+N139*$R$25),4)</f>
        <v>144494446.52239999</v>
      </c>
      <c r="P139" s="22">
        <f>IFERROR((ABS(O139/F139-1)),0)</f>
        <v>0</v>
      </c>
    </row>
    <row r="140" spans="1:17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2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352</v>
      </c>
      <c r="L140" s="3">
        <v>11160996.987805925</v>
      </c>
      <c r="M140" s="193">
        <v>122.57443088120799</v>
      </c>
      <c r="N140" s="1">
        <v>89763.480439362989</v>
      </c>
      <c r="O140" s="1">
        <f>ROUND(($R$17+G140*$R$18+H140*$R$19+I140*$R$20+J140*$R$21+K140*$R$22+L140*$R$23+M140*$R$24+N140*$R$25),4)</f>
        <v>163695061.45429999</v>
      </c>
      <c r="P140" s="22">
        <f>IFERROR((ABS(O140/F140-1)),0)</f>
        <v>0</v>
      </c>
    </row>
    <row r="141" spans="1:17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2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320</v>
      </c>
      <c r="L141" s="3">
        <v>11164030.717615202</v>
      </c>
      <c r="M141" s="193">
        <v>122.79691609317715</v>
      </c>
      <c r="N141" s="1">
        <v>89865.551953019705</v>
      </c>
      <c r="O141" s="1">
        <f>ROUND(($R$17+G141*$R$18+H141*$R$19+I141*$R$20+J141*$R$21+K141*$R$22+L141*$R$23+M141*$R$24+N141*$R$25),4)</f>
        <v>154146748.04390001</v>
      </c>
      <c r="P141" s="22">
        <f>IFERROR((ABS(O141/F141-1)),0)</f>
        <v>0</v>
      </c>
    </row>
    <row r="142" spans="1:17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2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336</v>
      </c>
      <c r="L142" s="3">
        <v>11167064.447424479</v>
      </c>
      <c r="M142" s="193">
        <v>123.01980513871247</v>
      </c>
      <c r="N142" s="1">
        <v>89967.739533854838</v>
      </c>
      <c r="O142" s="1">
        <f>ROUND(($R$17+G142*$R$18+H142*$R$19+I142*$R$20+J142*$R$21+K142*$R$22+L142*$R$23+M142*$R$24+N142*$R$25),4)</f>
        <v>135548120.85730001</v>
      </c>
      <c r="P142" s="22">
        <f>IFERROR((ABS(O142/F142-1)),0)</f>
        <v>0</v>
      </c>
      <c r="Q142"/>
    </row>
    <row r="143" spans="1:17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2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336</v>
      </c>
      <c r="L143" s="3">
        <v>11170098.177233756</v>
      </c>
      <c r="M143" s="193">
        <v>123.24309875081347</v>
      </c>
      <c r="N143" s="1">
        <v>90070.04331385027</v>
      </c>
      <c r="O143" s="1">
        <f>ROUND(($R$17+G143*$R$18+H143*$R$19+I143*$R$20+J143*$R$21+K143*$R$22+L143*$R$23+M143*$R$24+N143*$R$25),4)</f>
        <v>137195925.36340001</v>
      </c>
      <c r="P143" s="22">
        <f>IFERROR((ABS(O143/F143-1)),0)</f>
        <v>0</v>
      </c>
    </row>
    <row r="144" spans="1:17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2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336</v>
      </c>
      <c r="L144" s="3">
        <v>11173131.907043032</v>
      </c>
      <c r="M144" s="193">
        <v>123.46679766381013</v>
      </c>
      <c r="N144" s="1">
        <v>90172.463425137961</v>
      </c>
      <c r="O144" s="1">
        <f>ROUND(($R$17+G144*$R$18+H144*$R$19+I144*$R$20+J144*$R$21+K144*$R$22+L144*$R$23+M144*$R$24+N144*$R$25),4)</f>
        <v>140305282.7022</v>
      </c>
      <c r="P144" s="22">
        <f>IFERROR((ABS(O144/F144-1)),0)</f>
        <v>0</v>
      </c>
    </row>
    <row r="145" spans="1:17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2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336</v>
      </c>
      <c r="L145" s="5">
        <v>11176165.636852309</v>
      </c>
      <c r="M145" s="194">
        <v>123.69090261336517</v>
      </c>
      <c r="N145" s="10">
        <v>90275</v>
      </c>
      <c r="O145" s="10">
        <f>ROUND(($R$17+G145*$R$18+H145*$R$19+I145*$R$20+J145*$R$21+K145*$R$22+L145*$R$23+M145*$R$24+N145*$R$25),4)</f>
        <v>156527342.49219999</v>
      </c>
      <c r="P145" s="25">
        <f>IFERROR((ABS(O145/F145-1)),0)</f>
        <v>0</v>
      </c>
    </row>
    <row r="146" spans="1:17" x14ac:dyDescent="0.2">
      <c r="O146" s="3"/>
    </row>
    <row r="147" spans="1:17" x14ac:dyDescent="0.2">
      <c r="I147" t="s">
        <v>36</v>
      </c>
      <c r="O147" s="3">
        <f>ROUND((SUM(O2:O146)),4)</f>
        <v>21743752259.344501</v>
      </c>
      <c r="P147" s="118">
        <f>AVERAGE(P2:P121)</f>
        <v>1.6280020326520487E-2</v>
      </c>
      <c r="Q147" s="27" t="s">
        <v>12</v>
      </c>
    </row>
    <row r="148" spans="1:17" x14ac:dyDescent="0.2">
      <c r="P148" s="26"/>
    </row>
    <row r="149" spans="1:17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O149" s="14">
        <f>ROUND((SUM(O2:O13)),4)</f>
        <v>1783348926.3108001</v>
      </c>
      <c r="P149" s="26">
        <f>O149/F149</f>
        <v>0.99990097177854931</v>
      </c>
      <c r="Q149" s="28">
        <f>+O149-F149</f>
        <v>-176619.3626999855</v>
      </c>
    </row>
    <row r="150" spans="1:17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O150" s="14">
        <f>ROUND((SUM(O14:O25)),4)</f>
        <v>1853938229.2521999</v>
      </c>
      <c r="P150" s="26">
        <f>O150/F150</f>
        <v>1.0036028786554476</v>
      </c>
      <c r="Q150" s="28">
        <f>+O150-F150</f>
        <v>6655535.388299942</v>
      </c>
    </row>
    <row r="151" spans="1:17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O151" s="14">
        <f>ROUND((SUM(O26:O37)),4)</f>
        <v>1837191385.5755</v>
      </c>
      <c r="P151" s="26">
        <f>O151/F151</f>
        <v>0.99221769713895214</v>
      </c>
      <c r="Q151" s="28">
        <f>+O151-F151</f>
        <v>-14409720.585999966</v>
      </c>
    </row>
    <row r="152" spans="1:17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O152" s="14">
        <f>ROUND((SUM(O38:O49)),4)</f>
        <v>1836000107.3951001</v>
      </c>
      <c r="P152" s="26">
        <f>O152/F152</f>
        <v>0.9968772229758589</v>
      </c>
      <c r="Q152" s="28">
        <f>+O152-F152</f>
        <v>-5751379.2265999317</v>
      </c>
    </row>
    <row r="153" spans="1:17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O153" s="14">
        <f>ROUND((SUM(O50:O61)),4)</f>
        <v>1834406224.3978</v>
      </c>
      <c r="P153" s="26">
        <f>O153/F153</f>
        <v>1.0045610181209761</v>
      </c>
      <c r="Q153" s="28">
        <f>+O153-F153</f>
        <v>8328772.3490998745</v>
      </c>
    </row>
    <row r="154" spans="1:17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O154" s="14">
        <f>ROUND((SUM(O62:O73)),4)</f>
        <v>1809544904.1628001</v>
      </c>
      <c r="P154" s="26">
        <f>O154/F154</f>
        <v>0.99773835048064463</v>
      </c>
      <c r="Q154" s="28">
        <f>+O154-F154</f>
        <v>-4101833.271999836</v>
      </c>
    </row>
    <row r="155" spans="1:17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O155" s="14">
        <f>ROUND((SUM(O74:O85)),4)</f>
        <v>1804742685.1770999</v>
      </c>
      <c r="P155" s="26">
        <f>O155/F155</f>
        <v>1.0015276071709656</v>
      </c>
      <c r="Q155" s="28">
        <f>+O155-F155</f>
        <v>2752732.7732999325</v>
      </c>
    </row>
    <row r="156" spans="1:17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O156" s="14">
        <f>ROUND((SUM(O86:O97)),4)</f>
        <v>1820476273.0509</v>
      </c>
      <c r="P156" s="26">
        <f>O156/F156</f>
        <v>1.0048493915957273</v>
      </c>
      <c r="Q156" s="28">
        <f>+O156-F156</f>
        <v>8785597.5358998775</v>
      </c>
    </row>
    <row r="157" spans="1:17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O157" s="14">
        <f>ROUND((SUM(O98:O109)),4)</f>
        <v>1777604188.0706999</v>
      </c>
      <c r="P157" s="26">
        <f>O157/F157</f>
        <v>1.0112614335632175</v>
      </c>
      <c r="Q157" s="28">
        <f>+O157-F157</f>
        <v>19795446.361599922</v>
      </c>
    </row>
    <row r="158" spans="1:17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O158" s="14">
        <f>ROUND((SUM(O110:O121)),4)</f>
        <v>1835171311.4377</v>
      </c>
      <c r="P158" s="26">
        <f>O158/F158</f>
        <v>0.98821866196054464</v>
      </c>
      <c r="Q158" s="28">
        <f>+O158-F158</f>
        <v>-21878531.961199999</v>
      </c>
    </row>
    <row r="159" spans="1:17" x14ac:dyDescent="0.2">
      <c r="A159" s="7">
        <v>2019</v>
      </c>
      <c r="F159" s="14">
        <f>ROUND((SUM(F122:F133)),4)</f>
        <v>0</v>
      </c>
      <c r="O159" s="14">
        <f>ROUND((SUM(O122:O133)),4)</f>
        <v>1780845832.4563999</v>
      </c>
    </row>
    <row r="160" spans="1:17" x14ac:dyDescent="0.2">
      <c r="A160" s="7">
        <v>2020</v>
      </c>
      <c r="F160" s="14">
        <f>ROUND((SUM(F134:F145)),4)</f>
        <v>0</v>
      </c>
      <c r="O160" s="14">
        <f>ROUND((SUM(O134:O145)),4)</f>
        <v>1770482192.0574999</v>
      </c>
    </row>
    <row r="161" spans="1:17" x14ac:dyDescent="0.2">
      <c r="O161" s="14"/>
      <c r="Q161" s="1"/>
    </row>
    <row r="162" spans="1:17" x14ac:dyDescent="0.2">
      <c r="A162" s="29" t="s">
        <v>92</v>
      </c>
      <c r="F162" s="14">
        <f>ROUND((SUM(F149:F161)),4)</f>
        <v>18192424234.830898</v>
      </c>
      <c r="O162" s="33">
        <f>ROUND((SUM(O149:O158)),4)</f>
        <v>18192424234.830601</v>
      </c>
      <c r="Q162" s="2">
        <f>ROUND((+O162-F162),2)</f>
        <v>0</v>
      </c>
    </row>
    <row r="163" spans="1:17" x14ac:dyDescent="0.2">
      <c r="O163" s="14"/>
      <c r="Q163" s="1"/>
    </row>
    <row r="164" spans="1:17" x14ac:dyDescent="0.2">
      <c r="O164" s="30">
        <f>ROUND((SUM(O149:O160)),4)</f>
        <v>21743752259.344501</v>
      </c>
      <c r="Q164" s="2">
        <f>+O164-O147</f>
        <v>0</v>
      </c>
    </row>
    <row r="166" spans="1:17" x14ac:dyDescent="0.2">
      <c r="K166"/>
      <c r="L166"/>
      <c r="M166"/>
      <c r="N166"/>
    </row>
    <row r="167" spans="1:17" x14ac:dyDescent="0.2">
      <c r="K167"/>
      <c r="L167"/>
      <c r="M167"/>
      <c r="N167"/>
      <c r="O167" s="31" t="s">
        <v>37</v>
      </c>
      <c r="P167" s="32"/>
      <c r="Q167" s="32"/>
    </row>
    <row r="168" spans="1:17" x14ac:dyDescent="0.2">
      <c r="K168"/>
      <c r="L168"/>
      <c r="M168"/>
      <c r="N168"/>
    </row>
    <row r="169" spans="1:17" x14ac:dyDescent="0.2">
      <c r="K169"/>
      <c r="L169"/>
      <c r="M169"/>
      <c r="N169"/>
    </row>
    <row r="170" spans="1:17" x14ac:dyDescent="0.2">
      <c r="K170"/>
      <c r="L170"/>
      <c r="M170"/>
      <c r="N170"/>
    </row>
    <row r="171" spans="1:17" x14ac:dyDescent="0.2">
      <c r="K171"/>
      <c r="L171"/>
      <c r="M171"/>
      <c r="N171"/>
    </row>
    <row r="172" spans="1:17" x14ac:dyDescent="0.2">
      <c r="K172"/>
      <c r="L172"/>
      <c r="M172"/>
      <c r="N172"/>
    </row>
    <row r="173" spans="1:17" x14ac:dyDescent="0.2">
      <c r="K173"/>
      <c r="L173"/>
      <c r="M173"/>
      <c r="N173"/>
    </row>
    <row r="174" spans="1:17" x14ac:dyDescent="0.2">
      <c r="K174"/>
      <c r="L174"/>
      <c r="M174"/>
      <c r="N174"/>
    </row>
    <row r="175" spans="1:17" x14ac:dyDescent="0.2">
      <c r="K175"/>
      <c r="L175"/>
      <c r="M175"/>
      <c r="N175"/>
    </row>
    <row r="176" spans="1:17" x14ac:dyDescent="0.2">
      <c r="K176"/>
      <c r="L176"/>
      <c r="M176"/>
      <c r="N176"/>
    </row>
    <row r="177" spans="10:14" x14ac:dyDescent="0.2">
      <c r="K177"/>
      <c r="L177"/>
      <c r="M177"/>
      <c r="N177"/>
    </row>
    <row r="178" spans="10:14" x14ac:dyDescent="0.2">
      <c r="K178"/>
      <c r="L178"/>
      <c r="M178"/>
      <c r="N178"/>
    </row>
    <row r="179" spans="10:14" x14ac:dyDescent="0.2">
      <c r="K179"/>
      <c r="L179"/>
      <c r="M179"/>
      <c r="N179"/>
    </row>
    <row r="180" spans="10:14" x14ac:dyDescent="0.2">
      <c r="K180"/>
      <c r="L180"/>
      <c r="M180"/>
      <c r="N180"/>
    </row>
    <row r="181" spans="10:14" x14ac:dyDescent="0.2">
      <c r="K181"/>
      <c r="L181"/>
      <c r="M181"/>
      <c r="N181"/>
    </row>
    <row r="182" spans="10:14" x14ac:dyDescent="0.2">
      <c r="K182"/>
      <c r="L182"/>
      <c r="M182"/>
      <c r="N182"/>
    </row>
    <row r="183" spans="10:14" x14ac:dyDescent="0.2">
      <c r="K183"/>
      <c r="L183"/>
      <c r="M183"/>
      <c r="N183"/>
    </row>
    <row r="184" spans="10:14" x14ac:dyDescent="0.2">
      <c r="K184"/>
      <c r="L184"/>
      <c r="M184"/>
      <c r="N184"/>
    </row>
    <row r="185" spans="10:14" x14ac:dyDescent="0.2">
      <c r="K185"/>
      <c r="L185"/>
      <c r="M185"/>
      <c r="N185"/>
    </row>
    <row r="186" spans="10:14" x14ac:dyDescent="0.2">
      <c r="K186"/>
      <c r="L186"/>
      <c r="M186"/>
      <c r="N186"/>
    </row>
    <row r="187" spans="10:14" x14ac:dyDescent="0.2">
      <c r="K187"/>
      <c r="L187"/>
      <c r="M187"/>
      <c r="N187"/>
    </row>
    <row r="188" spans="10:14" x14ac:dyDescent="0.2">
      <c r="K188"/>
      <c r="L188"/>
      <c r="M188"/>
      <c r="N188"/>
    </row>
    <row r="189" spans="10:14" x14ac:dyDescent="0.2">
      <c r="K189"/>
      <c r="L189"/>
      <c r="M189"/>
      <c r="N189"/>
    </row>
    <row r="190" spans="10:14" x14ac:dyDescent="0.2">
      <c r="K190"/>
      <c r="L190"/>
      <c r="M190"/>
      <c r="N190"/>
    </row>
    <row r="191" spans="10:14" x14ac:dyDescent="0.2">
      <c r="K191"/>
      <c r="L191"/>
      <c r="M191"/>
      <c r="N191"/>
    </row>
    <row r="192" spans="10:14" x14ac:dyDescent="0.2">
      <c r="J192"/>
      <c r="K192"/>
      <c r="L192"/>
      <c r="M192"/>
      <c r="N192"/>
    </row>
    <row r="193" spans="10:14" x14ac:dyDescent="0.2">
      <c r="J193"/>
      <c r="K193"/>
      <c r="L193"/>
      <c r="M193"/>
      <c r="N193"/>
    </row>
    <row r="194" spans="10:14" x14ac:dyDescent="0.2">
      <c r="J194"/>
      <c r="K194"/>
      <c r="L194"/>
      <c r="M194"/>
      <c r="N194"/>
    </row>
    <row r="195" spans="10:14" x14ac:dyDescent="0.2">
      <c r="J195"/>
      <c r="K195"/>
      <c r="L195"/>
      <c r="M195"/>
      <c r="N195"/>
    </row>
    <row r="196" spans="10:14" x14ac:dyDescent="0.2">
      <c r="J196"/>
      <c r="K196"/>
      <c r="L196"/>
      <c r="M196"/>
      <c r="N196"/>
    </row>
    <row r="197" spans="10:14" x14ac:dyDescent="0.2">
      <c r="J197"/>
      <c r="K197"/>
      <c r="L197"/>
      <c r="M197"/>
      <c r="N197"/>
    </row>
    <row r="198" spans="10:14" x14ac:dyDescent="0.2">
      <c r="J198"/>
      <c r="K198"/>
      <c r="L198"/>
      <c r="M198"/>
      <c r="N198"/>
    </row>
    <row r="199" spans="10:14" x14ac:dyDescent="0.2">
      <c r="J199"/>
      <c r="K199"/>
      <c r="L199"/>
      <c r="M199"/>
      <c r="N199"/>
    </row>
    <row r="200" spans="10:14" x14ac:dyDescent="0.2">
      <c r="J200"/>
      <c r="K200"/>
      <c r="L200"/>
      <c r="M200"/>
      <c r="N200"/>
    </row>
    <row r="201" spans="10:14" x14ac:dyDescent="0.2">
      <c r="J201"/>
      <c r="K201"/>
      <c r="L201"/>
      <c r="M201"/>
      <c r="N201"/>
    </row>
    <row r="202" spans="10:14" x14ac:dyDescent="0.2">
      <c r="J202"/>
      <c r="K202"/>
      <c r="L202"/>
      <c r="M202"/>
      <c r="N202"/>
    </row>
    <row r="203" spans="10:14" x14ac:dyDescent="0.2">
      <c r="J203"/>
      <c r="K203"/>
      <c r="L203"/>
      <c r="M203"/>
      <c r="N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A22" workbookViewId="0">
      <selection activeCell="M34" sqref="M34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58</v>
      </c>
      <c r="C2" s="19" t="s">
        <v>39</v>
      </c>
      <c r="D2" s="19" t="s">
        <v>40</v>
      </c>
      <c r="E2" s="34" t="s">
        <v>41</v>
      </c>
      <c r="F2" s="34"/>
      <c r="G2" s="35" t="s">
        <v>42</v>
      </c>
      <c r="H2" s="35" t="s">
        <v>43</v>
      </c>
      <c r="I2" s="35" t="s">
        <v>44</v>
      </c>
      <c r="J2" s="35" t="s">
        <v>158</v>
      </c>
      <c r="K2" s="35" t="s">
        <v>159</v>
      </c>
      <c r="L2" s="35" t="s">
        <v>45</v>
      </c>
      <c r="M2" s="35" t="s">
        <v>46</v>
      </c>
      <c r="N2" s="35" t="s">
        <v>47</v>
      </c>
    </row>
    <row r="4" spans="1:26" ht="13.5" thickBot="1" x14ac:dyDescent="0.25">
      <c r="A4" s="60"/>
      <c r="B4" s="27" t="s">
        <v>48</v>
      </c>
    </row>
    <row r="5" spans="1:26" ht="13.5" thickBot="1" x14ac:dyDescent="0.25">
      <c r="G5" s="199" t="s">
        <v>49</v>
      </c>
      <c r="H5" s="200"/>
      <c r="I5" s="200"/>
      <c r="J5" s="200"/>
      <c r="K5" s="200"/>
      <c r="L5" s="200"/>
      <c r="M5" s="200"/>
      <c r="N5" s="201"/>
      <c r="Q5" s="208" t="s">
        <v>177</v>
      </c>
      <c r="R5" s="209"/>
      <c r="S5" s="209"/>
      <c r="T5" s="209"/>
      <c r="U5" s="209"/>
      <c r="V5" s="209"/>
      <c r="W5" s="209"/>
      <c r="X5" s="210"/>
    </row>
    <row r="6" spans="1:26" x14ac:dyDescent="0.2">
      <c r="A6">
        <v>2009</v>
      </c>
      <c r="B6" s="1">
        <f>ROUND((SUM(Power!B2:C13)),4)</f>
        <v>1839302872.6294999</v>
      </c>
      <c r="C6" s="1">
        <f>ROUND((Power!O149),4)</f>
        <v>1783348926.3108001</v>
      </c>
      <c r="D6" s="37">
        <f t="shared" ref="D6:D15" si="0">ROUND((1 +(B6-E6)/E6),4)</f>
        <v>1.0347999999999999</v>
      </c>
      <c r="E6" s="38">
        <f t="shared" ref="E6:E15" si="1">ROUND((SUM(G6:N6)),4)</f>
        <v>1777401233</v>
      </c>
      <c r="F6" s="38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40"/>
    </row>
    <row r="7" spans="1:26" x14ac:dyDescent="0.2">
      <c r="A7">
        <v>2010</v>
      </c>
      <c r="B7" s="1">
        <f>ROUND((SUM(Power!B14:C25)),4)</f>
        <v>1896172479.9761</v>
      </c>
      <c r="C7" s="1">
        <f>ROUND((Power!O150),4)</f>
        <v>1853938229.2521999</v>
      </c>
      <c r="D7" s="37">
        <f t="shared" si="0"/>
        <v>1.0364</v>
      </c>
      <c r="E7" s="38">
        <f t="shared" si="1"/>
        <v>1829500492</v>
      </c>
      <c r="F7" s="38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40"/>
    </row>
    <row r="8" spans="1:26" x14ac:dyDescent="0.2">
      <c r="A8">
        <v>2011</v>
      </c>
      <c r="B8" s="1">
        <f>ROUND((SUM(Power!B26:C37)),4)</f>
        <v>1897274570.3845999</v>
      </c>
      <c r="C8" s="1">
        <f>ROUND((Power!O151),4)</f>
        <v>1837191385.5755</v>
      </c>
      <c r="D8" s="37">
        <f t="shared" si="0"/>
        <v>1.0346</v>
      </c>
      <c r="E8" s="38">
        <f t="shared" si="1"/>
        <v>1833881352</v>
      </c>
      <c r="F8" s="38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40"/>
    </row>
    <row r="9" spans="1:26" x14ac:dyDescent="0.2">
      <c r="A9">
        <v>2012</v>
      </c>
      <c r="B9" s="1">
        <f>ROUND((SUM(Power!B38:C49)),4)</f>
        <v>1887430252.5181</v>
      </c>
      <c r="C9" s="1">
        <f>ROUND((Power!O152),4)</f>
        <v>1836000107.3951001</v>
      </c>
      <c r="D9" s="37">
        <f t="shared" si="0"/>
        <v>1.0341</v>
      </c>
      <c r="E9" s="38">
        <f t="shared" si="1"/>
        <v>1825234090</v>
      </c>
      <c r="F9" s="38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40"/>
    </row>
    <row r="10" spans="1:26" x14ac:dyDescent="0.2">
      <c r="A10">
        <v>2013</v>
      </c>
      <c r="B10" s="1">
        <f>ROUND((SUM(Power!B50:C61)),4)</f>
        <v>1871565173.3492</v>
      </c>
      <c r="C10" s="1">
        <f>ROUND((Power!O153),4)</f>
        <v>1834406224.3978</v>
      </c>
      <c r="D10" s="37">
        <f t="shared" si="0"/>
        <v>1.0322</v>
      </c>
      <c r="E10" s="38">
        <f t="shared" si="1"/>
        <v>1813262316.5969999</v>
      </c>
      <c r="F10" s="38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9" t="s">
        <v>138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ROUND((Power!O154),4)</f>
        <v>1809544904.1628001</v>
      </c>
      <c r="D11" s="37">
        <f t="shared" si="0"/>
        <v>1.0279</v>
      </c>
      <c r="E11" s="38">
        <f t="shared" si="1"/>
        <v>1803531650.6849</v>
      </c>
      <c r="F11" s="38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639311118.56309998</v>
      </c>
      <c r="R11" s="1">
        <f t="shared" si="3"/>
        <v>242993339.53279999</v>
      </c>
      <c r="S11" s="1">
        <f t="shared" si="3"/>
        <v>799915956.97080004</v>
      </c>
      <c r="T11" s="1">
        <f t="shared" si="3"/>
        <v>17132205.475099999</v>
      </c>
      <c r="U11" s="1">
        <f t="shared" si="3"/>
        <v>26391705.715100002</v>
      </c>
      <c r="V11" s="1">
        <f t="shared" si="3"/>
        <v>63654438.945299998</v>
      </c>
      <c r="W11" s="1">
        <f t="shared" si="3"/>
        <v>16092728.744200001</v>
      </c>
      <c r="X11" s="1">
        <f t="shared" si="3"/>
        <v>4053410.2163</v>
      </c>
      <c r="Y11" s="75">
        <f>ROUND((SUM(Q11:X11)),4)</f>
        <v>1809544904.1626999</v>
      </c>
      <c r="Z11" s="14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ROUND((Power!O155),4)</f>
        <v>1804742685.1770999</v>
      </c>
      <c r="D12" s="37">
        <f t="shared" si="0"/>
        <v>1.0293000000000001</v>
      </c>
      <c r="E12" s="38">
        <f t="shared" si="1"/>
        <v>1762488283.8699999</v>
      </c>
      <c r="F12" s="38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650964852.90869999</v>
      </c>
      <c r="R12" s="1">
        <f t="shared" ref="R12:R15" si="5">ROUND(((+H12/$E12*$C12)),4)</f>
        <v>243670007.6081</v>
      </c>
      <c r="S12" s="1">
        <f t="shared" ref="S12:S15" si="6">ROUND(((+I12/$E12*$C12)),4)</f>
        <v>810020892.77349997</v>
      </c>
      <c r="T12" s="1">
        <f t="shared" ref="T12:T15" si="7">ROUND(((+J12/$E12*$C12)),4)</f>
        <v>17090509.410100002</v>
      </c>
      <c r="U12" s="1">
        <f t="shared" ref="U12:U15" si="8">ROUND(((+K12/$E12*$C12)),4)</f>
        <v>25739964.7245</v>
      </c>
      <c r="V12" s="1">
        <f t="shared" ref="V12:V15" si="9">ROUND(((+L12/$E12*$C12)),4)</f>
        <v>36626951.735799998</v>
      </c>
      <c r="W12" s="1">
        <f t="shared" ref="W12:W15" si="10">ROUND(((+M12/$E12*$C12)),4)</f>
        <v>16591881.1942</v>
      </c>
      <c r="X12" s="1">
        <f t="shared" ref="X12:X15" si="11">ROUND(((+N12/$E12*$C12)),4)</f>
        <v>4037624.8223000001</v>
      </c>
      <c r="Y12" s="75">
        <f t="shared" ref="Y12:Y15" si="12">ROUND((SUM(Q12:X12)),4)</f>
        <v>1804742685.1772001</v>
      </c>
      <c r="Z12" s="14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ROUND((Power!O156),4)</f>
        <v>1820476273.0509</v>
      </c>
      <c r="D13" s="37">
        <f t="shared" si="0"/>
        <v>1.0307999999999999</v>
      </c>
      <c r="E13" s="38">
        <f>ROUND((SUM(G13:N13)),4)</f>
        <v>1765790195.1571</v>
      </c>
      <c r="F13" s="38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670823683.87269998</v>
      </c>
      <c r="R13" s="1">
        <f t="shared" si="5"/>
        <v>246495959.79809999</v>
      </c>
      <c r="S13" s="1">
        <f t="shared" si="6"/>
        <v>813075676.03390002</v>
      </c>
      <c r="T13" s="1">
        <f t="shared" si="7"/>
        <v>17363665.873199999</v>
      </c>
      <c r="U13" s="1">
        <f t="shared" si="8"/>
        <v>22111791.184500001</v>
      </c>
      <c r="V13" s="1">
        <f t="shared" si="9"/>
        <v>29801796.323600002</v>
      </c>
      <c r="W13" s="1">
        <f t="shared" si="10"/>
        <v>16764451.216399999</v>
      </c>
      <c r="X13" s="1">
        <f t="shared" si="11"/>
        <v>4039248.7485000002</v>
      </c>
      <c r="Y13" s="75">
        <f t="shared" si="12"/>
        <v>1820476273.0509</v>
      </c>
      <c r="Z13" s="14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ROUND((Power!O157),4)</f>
        <v>1777604188.0706999</v>
      </c>
      <c r="D14" s="37">
        <f t="shared" si="0"/>
        <v>1.0330999999999999</v>
      </c>
      <c r="E14" s="38">
        <f t="shared" si="1"/>
        <v>1709004939.8992</v>
      </c>
      <c r="F14" s="38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646963541.41589999</v>
      </c>
      <c r="R14" s="1">
        <f t="shared" si="5"/>
        <v>241924535.66909999</v>
      </c>
      <c r="S14" s="1">
        <f t="shared" si="6"/>
        <v>714221738.9892</v>
      </c>
      <c r="T14" s="1">
        <f t="shared" si="7"/>
        <v>16259155.706700001</v>
      </c>
      <c r="U14" s="1">
        <f t="shared" si="8"/>
        <v>106019688.08149999</v>
      </c>
      <c r="V14" s="1">
        <f t="shared" si="9"/>
        <v>32687054.8453</v>
      </c>
      <c r="W14" s="1">
        <f t="shared" si="10"/>
        <v>15463906.283600001</v>
      </c>
      <c r="X14" s="1">
        <f t="shared" si="11"/>
        <v>4064567.0792</v>
      </c>
      <c r="Y14" s="75">
        <f t="shared" si="12"/>
        <v>1777604188.0704999</v>
      </c>
      <c r="Z14" s="14">
        <f t="shared" si="13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ROUND((Power!O158),4)</f>
        <v>1835171311.4377</v>
      </c>
      <c r="D15" s="37">
        <f t="shared" si="0"/>
        <v>1.0283</v>
      </c>
      <c r="E15" s="1">
        <f t="shared" si="1"/>
        <v>1805957382.2454</v>
      </c>
      <c r="F15" s="38"/>
      <c r="G15" s="38">
        <v>680846102.83019996</v>
      </c>
      <c r="H15" s="38">
        <v>240602996.91260001</v>
      </c>
      <c r="I15" s="38">
        <f>839662732.86-J15-K15</f>
        <v>616139317.53429997</v>
      </c>
      <c r="J15" s="38">
        <v>14788959.359999998</v>
      </c>
      <c r="K15" s="1">
        <v>208734455.96570003</v>
      </c>
      <c r="L15" s="38">
        <v>33369028.32</v>
      </c>
      <c r="M15" s="38">
        <v>7466579.3225999996</v>
      </c>
      <c r="N15" s="38">
        <v>4009942</v>
      </c>
      <c r="O15" s="1">
        <f t="shared" si="2"/>
        <v>1805957382.2454</v>
      </c>
      <c r="Q15" s="1">
        <f t="shared" si="4"/>
        <v>691859756.88119996</v>
      </c>
      <c r="R15" s="1">
        <f t="shared" si="5"/>
        <v>244495092.58680001</v>
      </c>
      <c r="S15" s="1">
        <f t="shared" si="6"/>
        <v>626106247.30350006</v>
      </c>
      <c r="T15" s="1">
        <f t="shared" si="7"/>
        <v>15028191.8113</v>
      </c>
      <c r="U15" s="1">
        <f t="shared" si="8"/>
        <v>212111032.6649</v>
      </c>
      <c r="V15" s="1">
        <f t="shared" si="9"/>
        <v>33908819.812399998</v>
      </c>
      <c r="W15" s="1">
        <f t="shared" si="10"/>
        <v>7587361.8624999998</v>
      </c>
      <c r="X15" s="1">
        <f t="shared" si="11"/>
        <v>4074808.5150000001</v>
      </c>
      <c r="Y15" s="75">
        <f t="shared" si="12"/>
        <v>1835171311.4375999</v>
      </c>
      <c r="Z15" s="14">
        <f t="shared" si="13"/>
        <v>0</v>
      </c>
    </row>
    <row r="16" spans="1:26" x14ac:dyDescent="0.2">
      <c r="A16">
        <v>2019</v>
      </c>
      <c r="B16" s="1"/>
      <c r="C16" s="60">
        <f>ROUND((Power!O159),4)</f>
        <v>1780845832.4563999</v>
      </c>
      <c r="E16" s="1">
        <f>ROUND((C16/D18),4)</f>
        <v>1725291447.8361001</v>
      </c>
      <c r="F16" s="38"/>
    </row>
    <row r="17" spans="1:14" x14ac:dyDescent="0.2">
      <c r="A17">
        <v>2020</v>
      </c>
      <c r="B17" s="1"/>
      <c r="C17" s="60">
        <f>ROUND((Power!O160),4)</f>
        <v>1770482192.0574999</v>
      </c>
      <c r="E17" s="1">
        <f>ROUND((C17/D18),4)</f>
        <v>1715251106.4303999</v>
      </c>
      <c r="F17" s="38"/>
    </row>
    <row r="18" spans="1:14" x14ac:dyDescent="0.2">
      <c r="A18" s="42" t="s">
        <v>50</v>
      </c>
      <c r="D18" s="37">
        <f>ROUND((AVERAGE(D6:D15)),4)</f>
        <v>1.0322</v>
      </c>
      <c r="F18" s="38"/>
      <c r="G18" s="38"/>
    </row>
    <row r="19" spans="1:14" x14ac:dyDescent="0.2">
      <c r="D19"/>
      <c r="E19"/>
      <c r="F19" s="38"/>
      <c r="G19" s="38"/>
    </row>
    <row r="20" spans="1:14" x14ac:dyDescent="0.2">
      <c r="G20"/>
    </row>
    <row r="21" spans="1:14" ht="25.5" x14ac:dyDescent="0.2">
      <c r="B21" s="43"/>
      <c r="C21" s="1"/>
      <c r="F21" s="156" t="s">
        <v>161</v>
      </c>
      <c r="G21" s="35" t="s">
        <v>42</v>
      </c>
      <c r="H21" s="35" t="s">
        <v>43</v>
      </c>
      <c r="I21" s="35" t="s">
        <v>44</v>
      </c>
      <c r="J21" s="35" t="s">
        <v>158</v>
      </c>
      <c r="K21" s="35" t="s">
        <v>183</v>
      </c>
      <c r="L21" s="35" t="s">
        <v>45</v>
      </c>
      <c r="M21" s="35" t="s">
        <v>46</v>
      </c>
      <c r="N21" s="35" t="s">
        <v>47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9">
        <f t="shared" si="14"/>
        <v>2019</v>
      </c>
      <c r="G32" s="60">
        <f t="shared" ref="G32:L32" si="15">ROUND((G31*G48),4)</f>
        <v>7743.7042000000001</v>
      </c>
      <c r="H32" s="60">
        <f t="shared" si="15"/>
        <v>30015.849300000002</v>
      </c>
      <c r="I32" s="60">
        <f t="shared" si="15"/>
        <v>662265.22470000002</v>
      </c>
      <c r="J32" s="60">
        <f t="shared" si="15"/>
        <v>2725605.21</v>
      </c>
      <c r="K32" s="60">
        <f t="shared" si="15"/>
        <v>6176084.1971000005</v>
      </c>
      <c r="L32" s="60">
        <f t="shared" si="15"/>
        <v>34219938.542199999</v>
      </c>
      <c r="M32" s="60">
        <f t="shared" ref="M32:N32" si="16">ROUND((M31*M48),4)</f>
        <v>4394.3464000000004</v>
      </c>
      <c r="N32" s="60">
        <f t="shared" si="16"/>
        <v>4338.5763999999999</v>
      </c>
    </row>
    <row r="33" spans="1:23" x14ac:dyDescent="0.2">
      <c r="F33" s="59">
        <f t="shared" si="14"/>
        <v>2020</v>
      </c>
      <c r="G33" s="60">
        <f t="shared" ref="G33:L33" si="17">ROUND((G32*G48),4)</f>
        <v>7697.2420000000002</v>
      </c>
      <c r="H33" s="60">
        <f t="shared" si="17"/>
        <v>29892.784299999999</v>
      </c>
      <c r="I33" s="60">
        <f t="shared" si="17"/>
        <v>648490.10800000001</v>
      </c>
      <c r="J33" s="60">
        <f t="shared" si="17"/>
        <v>2511645.2009999999</v>
      </c>
      <c r="K33" s="60">
        <f t="shared" si="17"/>
        <v>6213140.7023</v>
      </c>
      <c r="L33" s="60">
        <f t="shared" si="17"/>
        <v>35092546.975000001</v>
      </c>
      <c r="M33" s="60">
        <f>ROUND((M32*M48),4)</f>
        <v>4308.6566000000003</v>
      </c>
      <c r="N33" s="60">
        <f>ROUND((N32*N48),4)</f>
        <v>4370.2479999999996</v>
      </c>
    </row>
    <row r="34" spans="1:23" x14ac:dyDescent="0.2">
      <c r="F34"/>
    </row>
    <row r="35" spans="1:23" x14ac:dyDescent="0.2">
      <c r="F35"/>
      <c r="G35" s="39"/>
      <c r="H35" s="39"/>
      <c r="I35" s="39"/>
      <c r="K35" s="39"/>
      <c r="L35" s="39"/>
      <c r="M35" s="39"/>
      <c r="N35" s="39"/>
      <c r="O35" s="39"/>
      <c r="P35" s="44"/>
      <c r="Q35" s="44"/>
      <c r="R35" s="44"/>
      <c r="S35" s="44"/>
      <c r="T35" s="44"/>
      <c r="U35" s="44"/>
      <c r="V35" s="44"/>
      <c r="W35" s="44"/>
    </row>
    <row r="36" spans="1:23" x14ac:dyDescent="0.2">
      <c r="F36">
        <v>2010</v>
      </c>
      <c r="G36" s="39">
        <f t="shared" ref="G36:I44" si="18">ROUND((G23/G22),4)</f>
        <v>1.0212000000000001</v>
      </c>
      <c r="H36" s="39">
        <f t="shared" si="18"/>
        <v>1.0132000000000001</v>
      </c>
      <c r="I36" s="39">
        <f t="shared" si="18"/>
        <v>1.0854999999999999</v>
      </c>
      <c r="J36" s="39">
        <v>0</v>
      </c>
      <c r="K36" s="39">
        <v>0</v>
      </c>
      <c r="L36" s="39">
        <f t="shared" ref="L36:L44" si="19">ROUND((L23/L22),4)</f>
        <v>1.75</v>
      </c>
      <c r="M36" s="39">
        <f t="shared" ref="M36:N36" si="20">ROUND((M23/M22),4)</f>
        <v>0.99250000000000005</v>
      </c>
      <c r="N36" s="39">
        <f t="shared" si="20"/>
        <v>0.99929999999999997</v>
      </c>
      <c r="O36" s="39"/>
      <c r="P36" s="44"/>
      <c r="Q36" s="44"/>
      <c r="R36" s="44"/>
      <c r="S36" s="44"/>
      <c r="T36" s="44"/>
      <c r="U36" s="44"/>
      <c r="V36" s="44"/>
      <c r="W36" s="44"/>
    </row>
    <row r="37" spans="1:23" x14ac:dyDescent="0.2">
      <c r="F37">
        <v>2011</v>
      </c>
      <c r="G37" s="39">
        <f t="shared" si="18"/>
        <v>0.97899999999999998</v>
      </c>
      <c r="H37" s="39">
        <f t="shared" si="18"/>
        <v>1.0049999999999999</v>
      </c>
      <c r="I37" s="39">
        <f t="shared" si="18"/>
        <v>1.0078</v>
      </c>
      <c r="J37" s="39">
        <v>0</v>
      </c>
      <c r="K37" s="39">
        <v>0</v>
      </c>
      <c r="L37" s="39">
        <f t="shared" si="19"/>
        <v>0.60150000000000003</v>
      </c>
      <c r="M37" s="39">
        <f t="shared" ref="M37:N37" si="21">ROUND((M24/M23),4)</f>
        <v>0.99270000000000003</v>
      </c>
      <c r="N37" s="39">
        <f t="shared" si="21"/>
        <v>0.97899999999999998</v>
      </c>
      <c r="O37" s="39"/>
      <c r="P37" s="44"/>
      <c r="Q37" s="44"/>
      <c r="R37" s="44"/>
      <c r="S37" s="44"/>
      <c r="T37" s="44"/>
      <c r="U37" s="44"/>
      <c r="V37" s="44"/>
      <c r="W37" s="44"/>
    </row>
    <row r="38" spans="1:23" x14ac:dyDescent="0.2">
      <c r="F38">
        <v>2012</v>
      </c>
      <c r="G38" s="39">
        <f t="shared" si="18"/>
        <v>0.98029999999999995</v>
      </c>
      <c r="H38" s="39">
        <f t="shared" si="18"/>
        <v>0.98939999999999995</v>
      </c>
      <c r="I38" s="39">
        <f t="shared" si="18"/>
        <v>0.98760000000000003</v>
      </c>
      <c r="J38" s="39">
        <v>0</v>
      </c>
      <c r="K38" s="39">
        <v>0</v>
      </c>
      <c r="L38" s="39">
        <f t="shared" si="19"/>
        <v>1.2382</v>
      </c>
      <c r="M38" s="39">
        <f t="shared" ref="M38:N38" si="22">ROUND((M25/M24),4)</f>
        <v>1.0022</v>
      </c>
      <c r="N38" s="39">
        <f t="shared" si="22"/>
        <v>1.0782</v>
      </c>
      <c r="O38" s="39"/>
      <c r="P38" s="44"/>
      <c r="Q38" s="44"/>
      <c r="R38" s="44"/>
      <c r="S38" s="44"/>
      <c r="T38" s="44"/>
      <c r="U38" s="44"/>
      <c r="V38" s="44"/>
      <c r="W38" s="44"/>
    </row>
    <row r="39" spans="1:23" x14ac:dyDescent="0.2">
      <c r="F39">
        <v>2013</v>
      </c>
      <c r="G39" s="39">
        <f t="shared" si="18"/>
        <v>0.98260000000000003</v>
      </c>
      <c r="H39" s="39">
        <f t="shared" si="18"/>
        <v>0.99529999999999996</v>
      </c>
      <c r="I39" s="39">
        <f t="shared" si="18"/>
        <v>0.95899999999999996</v>
      </c>
      <c r="J39" s="39">
        <v>0</v>
      </c>
      <c r="K39" s="39">
        <v>0</v>
      </c>
      <c r="L39" s="39">
        <f t="shared" si="19"/>
        <v>0.85070000000000001</v>
      </c>
      <c r="M39" s="39">
        <f t="shared" ref="M39:N39" si="23">ROUND((M26/M25),4)</f>
        <v>1.0166999999999999</v>
      </c>
      <c r="N39" s="39">
        <f t="shared" si="23"/>
        <v>1.0321</v>
      </c>
      <c r="O39" s="39"/>
      <c r="P39" s="44"/>
      <c r="Q39" s="44"/>
      <c r="R39" s="44"/>
      <c r="S39" s="44"/>
      <c r="T39" s="44"/>
      <c r="U39" s="44"/>
      <c r="V39" s="44"/>
      <c r="W39" s="44"/>
    </row>
    <row r="40" spans="1:23" x14ac:dyDescent="0.2">
      <c r="F40">
        <v>2014</v>
      </c>
      <c r="G40" s="39">
        <f t="shared" si="18"/>
        <v>0.98319999999999996</v>
      </c>
      <c r="H40" s="39">
        <f t="shared" si="18"/>
        <v>0.99690000000000001</v>
      </c>
      <c r="I40" s="39">
        <f t="shared" si="18"/>
        <v>1.0032000000000001</v>
      </c>
      <c r="J40" s="39">
        <f t="shared" ref="J40:K40" si="24">ROUND((J27/J26),4)</f>
        <v>0.9587</v>
      </c>
      <c r="K40" s="39">
        <f t="shared" si="24"/>
        <v>4.4143999999999997</v>
      </c>
      <c r="L40" s="39">
        <f t="shared" si="19"/>
        <v>1.0751999999999999</v>
      </c>
      <c r="M40" s="39">
        <f t="shared" ref="M40:N40" si="25">ROUND((M27/M26),4)</f>
        <v>0.96319999999999995</v>
      </c>
      <c r="N40" s="39">
        <f t="shared" si="25"/>
        <v>1.0492999999999999</v>
      </c>
      <c r="O40" s="39"/>
      <c r="P40" s="44"/>
      <c r="Q40" s="44"/>
      <c r="R40" s="44"/>
      <c r="S40" s="44"/>
      <c r="T40" s="44"/>
      <c r="U40" s="44"/>
      <c r="V40" s="44"/>
      <c r="W40" s="44"/>
    </row>
    <row r="41" spans="1:23" x14ac:dyDescent="0.2">
      <c r="F41">
        <v>2015</v>
      </c>
      <c r="G41" s="39">
        <f t="shared" si="18"/>
        <v>0.98280000000000001</v>
      </c>
      <c r="H41" s="39">
        <f t="shared" si="18"/>
        <v>0.97599999999999998</v>
      </c>
      <c r="I41" s="39">
        <f t="shared" si="18"/>
        <v>0.99750000000000005</v>
      </c>
      <c r="J41" s="39">
        <f t="shared" ref="J41:K41" si="26">ROUND((J28/J27),4)</f>
        <v>0.97750000000000004</v>
      </c>
      <c r="K41" s="39">
        <f t="shared" si="26"/>
        <v>0.9556</v>
      </c>
      <c r="L41" s="39">
        <f t="shared" si="19"/>
        <v>1.1275999999999999</v>
      </c>
      <c r="M41" s="39">
        <f t="shared" ref="M41:N41" si="27">ROUND((M28/M27),4)</f>
        <v>0.99729999999999996</v>
      </c>
      <c r="N41" s="39">
        <f t="shared" si="27"/>
        <v>0.96040000000000003</v>
      </c>
      <c r="O41" s="39"/>
      <c r="P41" s="44"/>
      <c r="Q41" s="44"/>
      <c r="R41" s="44"/>
      <c r="S41" s="44"/>
      <c r="T41" s="44"/>
      <c r="U41" s="44"/>
      <c r="V41" s="44"/>
      <c r="W41" s="44"/>
    </row>
    <row r="42" spans="1:23" x14ac:dyDescent="0.2">
      <c r="F42">
        <v>2016</v>
      </c>
      <c r="G42" s="39">
        <f t="shared" si="18"/>
        <v>1.0063</v>
      </c>
      <c r="H42" s="39">
        <f t="shared" si="18"/>
        <v>0.99850000000000005</v>
      </c>
      <c r="I42" s="39">
        <f t="shared" si="18"/>
        <v>0.99590000000000001</v>
      </c>
      <c r="J42" s="39">
        <f t="shared" ref="J42:K42" si="28">ROUND((J29/J28),4)</f>
        <v>1.0091000000000001</v>
      </c>
      <c r="K42" s="39">
        <f t="shared" si="28"/>
        <v>0.85319999999999996</v>
      </c>
      <c r="L42" s="39">
        <f t="shared" si="19"/>
        <v>0.80810000000000004</v>
      </c>
      <c r="M42" s="39">
        <f t="shared" ref="M42:N42" si="29">ROUND((M29/M28),4)</f>
        <v>0.99380000000000002</v>
      </c>
      <c r="N42" s="39">
        <f t="shared" si="29"/>
        <v>1.0219</v>
      </c>
      <c r="O42" s="39"/>
      <c r="P42" s="44"/>
      <c r="Q42" s="44"/>
      <c r="R42" s="44"/>
      <c r="S42" s="44"/>
      <c r="T42" s="44"/>
      <c r="U42" s="44"/>
      <c r="V42" s="44"/>
      <c r="W42" s="44"/>
    </row>
    <row r="43" spans="1:23" x14ac:dyDescent="0.2">
      <c r="F43">
        <v>2017</v>
      </c>
      <c r="G43" s="39">
        <f t="shared" si="18"/>
        <v>0.93889999999999996</v>
      </c>
      <c r="H43" s="39">
        <f t="shared" si="18"/>
        <v>0.96160000000000001</v>
      </c>
      <c r="I43" s="39">
        <f t="shared" si="18"/>
        <v>0.89949999999999997</v>
      </c>
      <c r="J43" s="39">
        <f t="shared" ref="J43:K43" si="30">ROUND((J30/J29),4)</f>
        <v>0.92810000000000004</v>
      </c>
      <c r="K43" s="39">
        <f t="shared" si="30"/>
        <v>0.17599999999999999</v>
      </c>
      <c r="L43" s="39">
        <f t="shared" si="19"/>
        <v>1.0871</v>
      </c>
      <c r="M43" s="39">
        <f t="shared" ref="M43:N43" si="31">ROUND((M30/M29),4)</f>
        <v>0.8911</v>
      </c>
      <c r="N43" s="39">
        <f t="shared" si="31"/>
        <v>0.97519999999999996</v>
      </c>
      <c r="O43" s="39"/>
      <c r="P43" s="44"/>
      <c r="Q43" s="44"/>
      <c r="R43" s="44"/>
      <c r="S43" s="44"/>
      <c r="T43" s="44"/>
      <c r="U43" s="44"/>
      <c r="V43" s="44"/>
      <c r="W43" s="44"/>
    </row>
    <row r="44" spans="1:23" x14ac:dyDescent="0.2">
      <c r="F44">
        <v>2018</v>
      </c>
      <c r="G44" s="39">
        <f t="shared" si="18"/>
        <v>1.0779000000000001</v>
      </c>
      <c r="H44" s="39">
        <f t="shared" si="18"/>
        <v>1.0284</v>
      </c>
      <c r="I44" s="39">
        <f t="shared" si="18"/>
        <v>0.89139999999999997</v>
      </c>
      <c r="J44" s="39">
        <f t="shared" ref="J44:K44" si="32">ROUND((J31/J30),4)</f>
        <v>0.75690000000000002</v>
      </c>
      <c r="K44" s="39">
        <f t="shared" si="32"/>
        <v>1.6262000000000001</v>
      </c>
      <c r="L44" s="39">
        <f t="shared" si="19"/>
        <v>1.0618000000000001</v>
      </c>
      <c r="M44" s="39">
        <f t="shared" ref="M44:N44" si="33">ROUND((M31/M30),4)</f>
        <v>0.51129999999999998</v>
      </c>
      <c r="N44" s="39">
        <f t="shared" si="33"/>
        <v>0.97670000000000001</v>
      </c>
      <c r="O44" s="39"/>
      <c r="P44" s="44"/>
      <c r="Q44" s="44"/>
      <c r="R44" s="44"/>
      <c r="S44" s="44"/>
      <c r="T44" s="44"/>
      <c r="U44" s="44"/>
      <c r="V44" s="44"/>
      <c r="W44" s="44"/>
    </row>
    <row r="45" spans="1:23" x14ac:dyDescent="0.2">
      <c r="F45">
        <v>2019</v>
      </c>
      <c r="G45" s="39"/>
      <c r="H45" s="39"/>
      <c r="I45" s="39"/>
      <c r="K45" s="39"/>
      <c r="L45" s="39"/>
      <c r="M45" s="39"/>
      <c r="N45" s="39"/>
      <c r="O45" s="39"/>
      <c r="P45" s="44"/>
      <c r="Q45" s="44"/>
      <c r="R45" s="44"/>
      <c r="S45" s="44"/>
      <c r="T45" s="44"/>
      <c r="U45" s="44"/>
      <c r="V45" s="44"/>
      <c r="W45" s="44"/>
    </row>
    <row r="46" spans="1:23" x14ac:dyDescent="0.2">
      <c r="F46">
        <v>2020</v>
      </c>
      <c r="G46" s="39"/>
      <c r="H46" s="39"/>
      <c r="I46" s="39"/>
      <c r="K46" s="39"/>
      <c r="L46" s="39"/>
      <c r="M46" s="39"/>
      <c r="N46" s="39"/>
      <c r="O46" s="39"/>
      <c r="P46" s="44"/>
      <c r="Q46" s="44"/>
      <c r="R46" s="44"/>
      <c r="S46" s="44"/>
      <c r="T46" s="44"/>
      <c r="U46" s="44"/>
      <c r="V46" s="44"/>
      <c r="W46" s="44"/>
    </row>
    <row r="47" spans="1:23" x14ac:dyDescent="0.2">
      <c r="A47" s="45"/>
      <c r="D47" s="1"/>
    </row>
    <row r="48" spans="1:23" x14ac:dyDescent="0.2">
      <c r="F48" s="51" t="s">
        <v>51</v>
      </c>
      <c r="G48" s="62">
        <f t="shared" ref="G48:L48" si="34">G50</f>
        <v>0.99399999999999999</v>
      </c>
      <c r="H48" s="62">
        <f t="shared" si="34"/>
        <v>0.99590000000000001</v>
      </c>
      <c r="I48" s="62">
        <f t="shared" si="34"/>
        <v>0.97919999999999996</v>
      </c>
      <c r="J48" s="62">
        <f t="shared" si="34"/>
        <v>0.92149999999999999</v>
      </c>
      <c r="K48" s="62">
        <f t="shared" si="34"/>
        <v>1.006</v>
      </c>
      <c r="L48" s="62">
        <f t="shared" si="34"/>
        <v>1.0255000000000001</v>
      </c>
      <c r="M48" s="62">
        <v>0.98050000000000004</v>
      </c>
      <c r="N48" s="62">
        <f t="shared" ref="N48" si="35">N50</f>
        <v>1.0073000000000001</v>
      </c>
    </row>
    <row r="49" spans="1:23" x14ac:dyDescent="0.2">
      <c r="A49" s="45"/>
      <c r="F49" s="188"/>
      <c r="G49" s="43"/>
      <c r="H49" s="43"/>
      <c r="M49" s="38"/>
      <c r="N49" s="38"/>
    </row>
    <row r="50" spans="1:23" x14ac:dyDescent="0.2">
      <c r="F50" s="51" t="s">
        <v>52</v>
      </c>
      <c r="G50" s="39">
        <f>ROUND((GEOMEAN(G36:G44)),4)</f>
        <v>0.99399999999999999</v>
      </c>
      <c r="H50" s="39">
        <f>ROUND((GEOMEAN(H36:H44)),4)</f>
        <v>0.99590000000000001</v>
      </c>
      <c r="I50" s="39">
        <f>ROUND((GEOMEAN(I36:I44)),4)</f>
        <v>0.97919999999999996</v>
      </c>
      <c r="J50" s="39">
        <f>ROUND((GEOMEAN(J40:J44)),4)</f>
        <v>0.92149999999999999</v>
      </c>
      <c r="K50" s="39">
        <f>ROUND((GEOMEAN(K40:K44)),4)</f>
        <v>1.006</v>
      </c>
      <c r="L50" s="39">
        <f>ROUND((GEOMEAN(L36:L44)),4)</f>
        <v>1.0255000000000001</v>
      </c>
      <c r="M50" s="39">
        <f>ROUND((GEOMEAN(M36:M44)),4)</f>
        <v>0.91200000000000003</v>
      </c>
      <c r="N50" s="39">
        <f t="shared" ref="N50" si="36">ROUND((GEOMEAN(N36:N44)),4)</f>
        <v>1.0073000000000001</v>
      </c>
      <c r="P50" s="44"/>
      <c r="Q50" s="44"/>
      <c r="R50" s="44"/>
      <c r="S50" s="44"/>
      <c r="T50" s="44"/>
      <c r="U50" s="44"/>
      <c r="V50" s="44"/>
      <c r="W50" s="44"/>
    </row>
    <row r="51" spans="1:23" x14ac:dyDescent="0.2">
      <c r="F51" s="188"/>
      <c r="H51" s="39"/>
      <c r="I51" s="39"/>
      <c r="J51" s="39"/>
      <c r="K51" s="39"/>
      <c r="L51" s="39"/>
      <c r="M51" s="39"/>
      <c r="N51" s="39"/>
    </row>
    <row r="53" spans="1:23" x14ac:dyDescent="0.2">
      <c r="B53"/>
      <c r="C53"/>
    </row>
    <row r="57" spans="1:23" x14ac:dyDescent="0.2">
      <c r="H57" s="46" t="s">
        <v>42</v>
      </c>
      <c r="I57" s="47" t="s">
        <v>43</v>
      </c>
      <c r="J57" s="47" t="s">
        <v>44</v>
      </c>
      <c r="K57" s="149" t="s">
        <v>84</v>
      </c>
      <c r="L57" s="149" t="s">
        <v>86</v>
      </c>
      <c r="M57" s="47" t="s">
        <v>45</v>
      </c>
      <c r="N57" s="47" t="s">
        <v>46</v>
      </c>
      <c r="O57" s="47" t="s">
        <v>47</v>
      </c>
    </row>
    <row r="58" spans="1:23" x14ac:dyDescent="0.2">
      <c r="F58" s="148" t="s">
        <v>53</v>
      </c>
      <c r="G58" s="148"/>
      <c r="H58" s="148"/>
      <c r="P58" s="38" t="s">
        <v>3</v>
      </c>
    </row>
    <row r="59" spans="1:23" x14ac:dyDescent="0.2">
      <c r="F59">
        <v>2019</v>
      </c>
      <c r="G59" s="150">
        <f>ROUND((SUM(H59:O59)),4)</f>
        <v>1796800081.4992001</v>
      </c>
      <c r="H59" s="150">
        <f>ROUND((G32*Customer!B14),4)</f>
        <v>686239322.49979997</v>
      </c>
      <c r="I59" s="150">
        <f>ROUND((H32*Customer!C14),4)</f>
        <v>241897729.50870001</v>
      </c>
      <c r="J59" s="150">
        <f>ROUND((I32*Customer!D14),4)</f>
        <v>599350028.35350001</v>
      </c>
      <c r="K59" s="150">
        <f>ROUND((J32*Customer!E14),4)</f>
        <v>13628026.050000001</v>
      </c>
      <c r="L59" s="150">
        <f>ROUND((K32*Customer!F14),4)</f>
        <v>209986862.70140001</v>
      </c>
      <c r="M59" s="150">
        <f>ROUND((L32*Customer!G14),4)</f>
        <v>34219938.542199999</v>
      </c>
      <c r="N59" s="150">
        <f>ROUND((M32*Customer!H14),4)</f>
        <v>7386896.2983999997</v>
      </c>
      <c r="O59" s="150">
        <f>ROUND((N32*Customer!I14),4)</f>
        <v>4091277.5452000001</v>
      </c>
      <c r="P59" s="36">
        <f>ROUND((SUM(H59:O59)),4)</f>
        <v>1796800081.4992001</v>
      </c>
    </row>
    <row r="60" spans="1:23" x14ac:dyDescent="0.2">
      <c r="F60">
        <v>2020</v>
      </c>
      <c r="G60" s="150">
        <f>ROUND((SUM(H60:O60)),4)</f>
        <v>1788253091.5685999</v>
      </c>
      <c r="H60" s="150">
        <f>ROUND((G33*Customer!B15),4)</f>
        <v>691674166.12</v>
      </c>
      <c r="I60" s="150">
        <f>ROUND((H33*Customer!C15),4)</f>
        <v>243207693.06479999</v>
      </c>
      <c r="J60" s="150">
        <f>ROUND((I33*Customer!D15),4)</f>
        <v>582992607.09200001</v>
      </c>
      <c r="K60" s="150">
        <f>ROUND((J33*Customer!E15),4)</f>
        <v>12558226.005000001</v>
      </c>
      <c r="L60" s="150">
        <f>ROUND((K33*Customer!F15),4)</f>
        <v>211246783.87819999</v>
      </c>
      <c r="M60" s="150">
        <f>ROUND((L33*Customer!G15),4)</f>
        <v>35092546.975000001</v>
      </c>
      <c r="N60" s="150">
        <f>ROUND((M33*Customer!H15),4)</f>
        <v>7307481.5936000003</v>
      </c>
      <c r="O60" s="150">
        <f>ROUND((N33*Customer!I15),4)</f>
        <v>4173586.84</v>
      </c>
      <c r="P60" s="36">
        <f>ROUND((SUM(H60:O60)),4)</f>
        <v>1788253091.5685999</v>
      </c>
    </row>
    <row r="61" spans="1:23" x14ac:dyDescent="0.2">
      <c r="F61" s="11"/>
      <c r="G61" s="36"/>
      <c r="H61" s="36"/>
      <c r="I61" s="36"/>
      <c r="J61" s="36"/>
      <c r="M61" s="36"/>
      <c r="N61" s="36"/>
      <c r="O61" s="36"/>
    </row>
    <row r="62" spans="1:23" x14ac:dyDescent="0.2">
      <c r="F62" s="148" t="s">
        <v>83</v>
      </c>
      <c r="G62" s="148"/>
      <c r="H62" s="148"/>
      <c r="I62" s="148"/>
      <c r="J62" s="148"/>
      <c r="M62" s="36"/>
      <c r="N62" s="36"/>
      <c r="P62" s="36" t="s">
        <v>3</v>
      </c>
    </row>
    <row r="63" spans="1:23" x14ac:dyDescent="0.2">
      <c r="F63">
        <v>2019</v>
      </c>
      <c r="G63" s="36">
        <f>ROUND((E16),4)</f>
        <v>1725291447.8361001</v>
      </c>
      <c r="H63" s="36">
        <f t="shared" ref="H63:O64" si="37">ROUND((H59+H72),4)</f>
        <v>651351317.00020003</v>
      </c>
      <c r="I63" s="36">
        <f t="shared" si="37"/>
        <v>229599790.52340001</v>
      </c>
      <c r="J63" s="36">
        <f t="shared" si="37"/>
        <v>575568093.02349997</v>
      </c>
      <c r="K63" s="36">
        <f t="shared" si="37"/>
        <v>13087272.2019</v>
      </c>
      <c r="L63" s="36">
        <f t="shared" ref="L63" si="38">ROUND((L59+L72),4)</f>
        <v>209986862.70140001</v>
      </c>
      <c r="M63" s="36">
        <f t="shared" si="37"/>
        <v>34219938.542199999</v>
      </c>
      <c r="N63" s="36">
        <f t="shared" si="37"/>
        <v>7386896.2983999997</v>
      </c>
      <c r="O63" s="36">
        <f t="shared" si="37"/>
        <v>4091277.5452000001</v>
      </c>
      <c r="P63" s="48">
        <f>ROUND((SUM(H63:O63)),4)</f>
        <v>1725291447.8362</v>
      </c>
    </row>
    <row r="64" spans="1:23" ht="12" customHeight="1" x14ac:dyDescent="0.2">
      <c r="F64">
        <v>2020</v>
      </c>
      <c r="G64" s="36">
        <f>ROUND((E17),4)</f>
        <v>1715251106.4303999</v>
      </c>
      <c r="H64" s="36">
        <f t="shared" si="37"/>
        <v>655599639.95920002</v>
      </c>
      <c r="I64" s="36">
        <f t="shared" si="37"/>
        <v>230523104.40189999</v>
      </c>
      <c r="J64" s="36">
        <f t="shared" si="37"/>
        <v>559260939.89820004</v>
      </c>
      <c r="K64" s="36">
        <f t="shared" si="37"/>
        <v>12047022.884299999</v>
      </c>
      <c r="L64" s="36">
        <f t="shared" ref="L64" si="39">ROUND((L60+L73),4)</f>
        <v>211246783.87819999</v>
      </c>
      <c r="M64" s="36">
        <f t="shared" si="37"/>
        <v>35092546.975000001</v>
      </c>
      <c r="N64" s="36">
        <f t="shared" si="37"/>
        <v>7307481.5936000003</v>
      </c>
      <c r="O64" s="36">
        <f t="shared" si="37"/>
        <v>4173586.84</v>
      </c>
      <c r="P64" s="48">
        <f>ROUND((SUM(H64:O64)),4)</f>
        <v>1715251106.4303999</v>
      </c>
    </row>
    <row r="65" spans="2:17" ht="13.5" thickBot="1" x14ac:dyDescent="0.25">
      <c r="F65" s="11"/>
      <c r="G65" s="11"/>
      <c r="H65" s="36"/>
      <c r="I65" s="36"/>
      <c r="J65" s="36"/>
      <c r="K65" s="36"/>
      <c r="L65" s="36"/>
      <c r="M65" s="36"/>
      <c r="N65" s="36"/>
      <c r="O65" s="36"/>
      <c r="P65" s="36"/>
    </row>
    <row r="66" spans="2:17" ht="13.5" thickBot="1" x14ac:dyDescent="0.25">
      <c r="B66"/>
      <c r="C66"/>
      <c r="F66" s="11"/>
      <c r="G66" s="11"/>
      <c r="H66" s="202" t="s">
        <v>54</v>
      </c>
      <c r="I66" s="203"/>
      <c r="J66" s="203"/>
      <c r="K66" s="203"/>
      <c r="L66" s="203"/>
      <c r="M66" s="203"/>
      <c r="N66" s="203"/>
      <c r="O66" s="204"/>
      <c r="P66" s="36"/>
    </row>
    <row r="67" spans="2:17" x14ac:dyDescent="0.2">
      <c r="F67" s="49" t="s">
        <v>55</v>
      </c>
      <c r="G67" s="36"/>
      <c r="H67" s="63">
        <f>(100%+J67)/2</f>
        <v>0.82000000000000006</v>
      </c>
      <c r="I67" s="63">
        <f>H67</f>
        <v>0.82000000000000006</v>
      </c>
      <c r="J67" s="63">
        <v>0.64</v>
      </c>
      <c r="K67" s="63">
        <v>0.64</v>
      </c>
      <c r="L67" s="54"/>
      <c r="M67" s="54"/>
      <c r="N67" s="54"/>
      <c r="O67" s="54"/>
      <c r="P67" s="36" t="s">
        <v>56</v>
      </c>
    </row>
    <row r="68" spans="2:17" x14ac:dyDescent="0.2">
      <c r="F68">
        <v>2019</v>
      </c>
      <c r="G68" s="48">
        <f>ROUND((G63-G59),4)</f>
        <v>-71508633.663100004</v>
      </c>
      <c r="H68" s="48">
        <f t="shared" ref="H68:O68" si="40">ROUND((H59*H$67),4)</f>
        <v>562716244.44980001</v>
      </c>
      <c r="I68" s="48">
        <f t="shared" si="40"/>
        <v>198356138.19710001</v>
      </c>
      <c r="J68" s="48">
        <f>ROUND((J59*J$67),4)</f>
        <v>383584018.1462</v>
      </c>
      <c r="K68" s="48">
        <f t="shared" si="40"/>
        <v>8721936.6720000003</v>
      </c>
      <c r="L68" s="48">
        <v>0</v>
      </c>
      <c r="M68" s="48">
        <f t="shared" si="40"/>
        <v>0</v>
      </c>
      <c r="N68" s="48">
        <f t="shared" si="40"/>
        <v>0</v>
      </c>
      <c r="O68" s="48">
        <f t="shared" si="40"/>
        <v>0</v>
      </c>
      <c r="P68" s="48">
        <f>ROUND((SUM(H68:O68)),4)</f>
        <v>1153378337.4651</v>
      </c>
    </row>
    <row r="69" spans="2:17" x14ac:dyDescent="0.2">
      <c r="F69">
        <v>2020</v>
      </c>
      <c r="G69" s="48">
        <f>ROUND((G64-G60),4)</f>
        <v>-73001985.1382</v>
      </c>
      <c r="H69" s="48">
        <f t="shared" ref="H69:O69" si="41">ROUND((H60*H67),4)</f>
        <v>567172816.2184</v>
      </c>
      <c r="I69" s="48">
        <f t="shared" si="41"/>
        <v>199430308.31310001</v>
      </c>
      <c r="J69" s="48">
        <f t="shared" si="41"/>
        <v>373115268.53890002</v>
      </c>
      <c r="K69" s="48">
        <f t="shared" si="41"/>
        <v>8037264.6431999998</v>
      </c>
      <c r="L69" s="48">
        <v>0</v>
      </c>
      <c r="M69" s="48">
        <f t="shared" si="41"/>
        <v>0</v>
      </c>
      <c r="N69" s="48">
        <f t="shared" si="41"/>
        <v>0</v>
      </c>
      <c r="O69" s="48">
        <f t="shared" si="41"/>
        <v>0</v>
      </c>
      <c r="P69" s="48">
        <f>ROUND((SUM(H69:O69)),4)</f>
        <v>1147755657.7135999</v>
      </c>
    </row>
    <row r="70" spans="2:17" x14ac:dyDescent="0.2">
      <c r="F70" s="11"/>
      <c r="G70" s="36"/>
      <c r="H70" s="48"/>
      <c r="I70" s="48"/>
      <c r="J70" s="48"/>
      <c r="K70" s="48"/>
      <c r="L70" s="48"/>
      <c r="M70" s="48"/>
      <c r="N70" s="48"/>
      <c r="O70" s="50"/>
      <c r="P70" s="36"/>
    </row>
    <row r="71" spans="2:17" x14ac:dyDescent="0.2">
      <c r="F71" s="124" t="s">
        <v>57</v>
      </c>
      <c r="G71" s="11"/>
      <c r="H71" s="11"/>
      <c r="I71" s="48"/>
      <c r="J71" s="48"/>
      <c r="K71" s="48"/>
      <c r="L71" s="48"/>
      <c r="M71" s="48"/>
      <c r="N71" s="48"/>
      <c r="O71" s="50"/>
      <c r="P71" s="36"/>
    </row>
    <row r="72" spans="2:17" x14ac:dyDescent="0.2">
      <c r="F72">
        <v>2019</v>
      </c>
      <c r="H72" s="48">
        <f>ROUND((H68/$P$68*$G$68),4)</f>
        <v>-34888005.499600001</v>
      </c>
      <c r="I72" s="48">
        <f>ROUND((I68/$P$68*$G$68),4)</f>
        <v>-12297938.985300001</v>
      </c>
      <c r="J72" s="48">
        <f>ROUND((J68/$P$68*$G$68),4)</f>
        <v>-23781935.329999998</v>
      </c>
      <c r="K72" s="48">
        <f>ROUND((K68/$P$68*$G$68),4)</f>
        <v>-540753.84809999994</v>
      </c>
      <c r="L72" s="48">
        <v>0</v>
      </c>
      <c r="M72" s="48">
        <f t="shared" ref="M72:O72" si="42">ROUND((M68/$P$68*$H$68),4)</f>
        <v>0</v>
      </c>
      <c r="N72" s="48">
        <f t="shared" si="42"/>
        <v>0</v>
      </c>
      <c r="O72" s="48">
        <f t="shared" si="42"/>
        <v>0</v>
      </c>
      <c r="P72" s="48">
        <f>ROUND((SUM(H72:O72)),4)</f>
        <v>-71508633.663000003</v>
      </c>
    </row>
    <row r="73" spans="2:17" x14ac:dyDescent="0.2">
      <c r="F73">
        <v>2020</v>
      </c>
      <c r="H73" s="48">
        <f>ROUND((H69/$P$69*$G$69),4)</f>
        <v>-36074526.160800003</v>
      </c>
      <c r="I73" s="48">
        <f>ROUND((I69/$P$69*$G$69),4)</f>
        <v>-12684588.662900001</v>
      </c>
      <c r="J73" s="48">
        <f>ROUND((J69/$P$69*$G$69),4)</f>
        <v>-23731667.193799999</v>
      </c>
      <c r="K73" s="48">
        <f>ROUND((K69/$P$69*$G$69),4)</f>
        <v>-511203.12070000003</v>
      </c>
      <c r="L73" s="48">
        <v>0</v>
      </c>
      <c r="M73" s="48">
        <f t="shared" ref="M73:O73" si="43">ROUND((M69/$P$69*$H$69),4)</f>
        <v>0</v>
      </c>
      <c r="N73" s="48">
        <f t="shared" si="43"/>
        <v>0</v>
      </c>
      <c r="O73" s="48">
        <f t="shared" si="43"/>
        <v>0</v>
      </c>
      <c r="P73" s="48">
        <f>ROUND((SUM(H73:O73)),4)</f>
        <v>-73001985.1382</v>
      </c>
    </row>
    <row r="74" spans="2:17" x14ac:dyDescent="0.2">
      <c r="F74" s="11"/>
      <c r="G74" s="11"/>
    </row>
    <row r="75" spans="2:17" x14ac:dyDescent="0.2">
      <c r="I75" s="179" t="s">
        <v>173</v>
      </c>
      <c r="J75" s="1">
        <f>ROUND((J64+K64),4)</f>
        <v>571307962.78250003</v>
      </c>
    </row>
    <row r="76" spans="2:17" ht="13.5" thickBot="1" x14ac:dyDescent="0.25"/>
    <row r="77" spans="2:17" ht="13.5" thickBot="1" x14ac:dyDescent="0.25">
      <c r="F77" t="s">
        <v>91</v>
      </c>
      <c r="H77" s="205" t="s">
        <v>172</v>
      </c>
      <c r="I77" s="206"/>
      <c r="J77" s="206"/>
      <c r="K77" s="206"/>
      <c r="L77" s="206"/>
      <c r="M77" s="206"/>
      <c r="N77" s="206"/>
      <c r="O77" s="207"/>
    </row>
    <row r="78" spans="2:17" x14ac:dyDescent="0.2">
      <c r="F78"/>
      <c r="H78" s="63">
        <v>0.05</v>
      </c>
      <c r="I78" s="63">
        <v>0.25</v>
      </c>
      <c r="J78" s="63">
        <v>0.7</v>
      </c>
      <c r="K78" s="177"/>
      <c r="L78" s="177"/>
      <c r="M78" s="178"/>
    </row>
    <row r="79" spans="2:17" x14ac:dyDescent="0.2">
      <c r="F79">
        <v>2019</v>
      </c>
      <c r="G79" s="48">
        <f>ROUND((CDM!T48*-1),4)</f>
        <v>-10277361.111199999</v>
      </c>
      <c r="H79" s="48">
        <f>ROUND((G79*H78),4)</f>
        <v>-513868.05560000002</v>
      </c>
      <c r="I79" s="48">
        <f>ROUND((G79*I78),4)</f>
        <v>-2569340.2777999998</v>
      </c>
      <c r="J79" s="48">
        <f>ROUND((G79*J78),4)</f>
        <v>-7194152.7778000003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f>ROUND((SUM(H79:O79)),4)</f>
        <v>-10277361.111199999</v>
      </c>
      <c r="Q79" s="36"/>
    </row>
    <row r="80" spans="2:17" x14ac:dyDescent="0.2">
      <c r="F80">
        <v>2020</v>
      </c>
      <c r="G80" s="48">
        <f>ROUND((CDM!U48*-1),4)</f>
        <v>-23491111.114500001</v>
      </c>
      <c r="H80" s="48">
        <f>ROUND((G80*H78),4)</f>
        <v>-1174555.5556999999</v>
      </c>
      <c r="I80" s="48">
        <f>ROUND((G80*I78),4)</f>
        <v>-5872777.7785999998</v>
      </c>
      <c r="J80" s="48">
        <f>ROUND((G80*J78),4)</f>
        <v>-16443777.780200001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f>ROUND((SUM(H80:O80)),4)</f>
        <v>-23491111.114500001</v>
      </c>
      <c r="Q80" s="36"/>
    </row>
    <row r="81" spans="6:17" x14ac:dyDescent="0.2">
      <c r="F81" s="11"/>
    </row>
    <row r="82" spans="6:17" x14ac:dyDescent="0.2">
      <c r="F82" s="42" t="s">
        <v>174</v>
      </c>
      <c r="G82" s="42"/>
      <c r="H82" s="42"/>
      <c r="I82" s="42"/>
      <c r="J82" s="36"/>
      <c r="K82" s="36"/>
      <c r="L82" s="36"/>
      <c r="P82" s="36" t="s">
        <v>3</v>
      </c>
    </row>
    <row r="83" spans="6:17" x14ac:dyDescent="0.2">
      <c r="F83">
        <v>2019</v>
      </c>
      <c r="G83" s="150">
        <f t="shared" ref="G83:O83" si="44">ROUND((G63+G79),4)</f>
        <v>1715014086.7249</v>
      </c>
      <c r="H83" s="48">
        <f t="shared" si="44"/>
        <v>650837448.94459999</v>
      </c>
      <c r="I83" s="48">
        <f t="shared" si="44"/>
        <v>227030450.24559999</v>
      </c>
      <c r="J83" s="48">
        <f t="shared" si="44"/>
        <v>568373940.2457</v>
      </c>
      <c r="K83" s="48">
        <f t="shared" si="44"/>
        <v>13087272.2019</v>
      </c>
      <c r="L83" s="48">
        <f t="shared" si="44"/>
        <v>209986862.70140001</v>
      </c>
      <c r="M83" s="48">
        <f t="shared" si="44"/>
        <v>34219938.542199999</v>
      </c>
      <c r="N83" s="48">
        <f t="shared" si="44"/>
        <v>7386896.2983999997</v>
      </c>
      <c r="O83" s="48">
        <f t="shared" si="44"/>
        <v>4091277.5452000001</v>
      </c>
      <c r="P83" s="48">
        <f>ROUND((SUM(H83:O83)),4)</f>
        <v>1715014086.7249999</v>
      </c>
      <c r="Q83" s="30">
        <f>P83-G83</f>
        <v>9.9897384643554688E-5</v>
      </c>
    </row>
    <row r="84" spans="6:17" x14ac:dyDescent="0.2">
      <c r="F84">
        <v>2020</v>
      </c>
      <c r="G84" s="150">
        <f t="shared" ref="G84:O84" si="45">ROUND((G64+G80),4)</f>
        <v>1691759995.3159001</v>
      </c>
      <c r="H84" s="48">
        <f t="shared" si="45"/>
        <v>654425084.40349996</v>
      </c>
      <c r="I84" s="48">
        <f t="shared" si="45"/>
        <v>224650326.62329999</v>
      </c>
      <c r="J84" s="48">
        <f t="shared" si="45"/>
        <v>542817162.11800003</v>
      </c>
      <c r="K84" s="48">
        <f t="shared" si="45"/>
        <v>12047022.884299999</v>
      </c>
      <c r="L84" s="48">
        <f t="shared" si="45"/>
        <v>211246783.87819999</v>
      </c>
      <c r="M84" s="48">
        <f t="shared" si="45"/>
        <v>35092546.975000001</v>
      </c>
      <c r="N84" s="48">
        <f t="shared" si="45"/>
        <v>7307481.5936000003</v>
      </c>
      <c r="O84" s="48">
        <f t="shared" si="45"/>
        <v>4173586.84</v>
      </c>
      <c r="P84" s="48">
        <f>ROUND((SUM(H84:O84)),4)</f>
        <v>1691759995.3159001</v>
      </c>
      <c r="Q84" s="30">
        <f>P84-G84</f>
        <v>0</v>
      </c>
    </row>
    <row r="86" spans="6:17" x14ac:dyDescent="0.2">
      <c r="I86" s="179" t="s">
        <v>173</v>
      </c>
      <c r="J86" s="1">
        <f>ROUND((J84+K84),4)</f>
        <v>554864185.00230002</v>
      </c>
      <c r="P86" s="180">
        <f>ROUND((+ED!C14),4)</f>
        <v>19053029.030000001</v>
      </c>
    </row>
    <row r="87" spans="6:17" x14ac:dyDescent="0.2">
      <c r="H87" s="44"/>
      <c r="I87" s="184" t="s">
        <v>180</v>
      </c>
      <c r="J87" s="1">
        <f>ROUND((J84+L84),4)</f>
        <v>754063945.99619997</v>
      </c>
      <c r="K87" s="44"/>
      <c r="L87" s="44"/>
      <c r="M87" s="44"/>
      <c r="P87" s="48">
        <f>ROUND((P84+P86),4)</f>
        <v>1710813024.3459001</v>
      </c>
    </row>
    <row r="88" spans="6:17" x14ac:dyDescent="0.2">
      <c r="H88" s="48"/>
      <c r="I88" s="184" t="s">
        <v>3</v>
      </c>
      <c r="J88" s="1">
        <f>ROUND((J84+K84+L84),4)</f>
        <v>766110968.88049996</v>
      </c>
      <c r="K88" s="48"/>
      <c r="L88" s="48"/>
      <c r="M88" s="48"/>
      <c r="N88" s="48"/>
      <c r="O88" s="48"/>
      <c r="P88" s="181"/>
    </row>
    <row r="89" spans="6:17" x14ac:dyDescent="0.2">
      <c r="H89" s="48"/>
      <c r="I89" s="48"/>
      <c r="J89" s="48"/>
      <c r="K89" s="48"/>
      <c r="L89" s="48"/>
      <c r="M89" s="48"/>
      <c r="N89" s="48"/>
      <c r="O89" s="48"/>
      <c r="P89" s="182"/>
    </row>
    <row r="90" spans="6:17" x14ac:dyDescent="0.2">
      <c r="H90" s="48"/>
      <c r="I90" s="48"/>
      <c r="J90" s="48"/>
      <c r="K90" s="48"/>
      <c r="L90" s="48"/>
      <c r="M90" s="48"/>
      <c r="N90" s="48"/>
    </row>
    <row r="91" spans="6:17" x14ac:dyDescent="0.2">
      <c r="H91" s="48"/>
      <c r="I91" s="48"/>
      <c r="J91" s="48"/>
      <c r="K91" s="48"/>
      <c r="L91" s="48"/>
      <c r="M91" s="48"/>
      <c r="N91" s="48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topLeftCell="A4" workbookViewId="0">
      <selection sqref="A1:L3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11" t="s">
        <v>59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4" ht="25.5" x14ac:dyDescent="0.2">
      <c r="B2" s="35" t="s">
        <v>42</v>
      </c>
      <c r="C2" s="35" t="s">
        <v>43</v>
      </c>
      <c r="D2" s="35" t="s">
        <v>44</v>
      </c>
      <c r="E2" s="35" t="s">
        <v>84</v>
      </c>
      <c r="F2" s="35" t="s">
        <v>159</v>
      </c>
      <c r="G2" s="35" t="s">
        <v>45</v>
      </c>
      <c r="H2" s="35" t="s">
        <v>46</v>
      </c>
      <c r="I2" s="35" t="s">
        <v>47</v>
      </c>
      <c r="J2" s="34" t="s">
        <v>60</v>
      </c>
      <c r="K2" s="35" t="s">
        <v>61</v>
      </c>
      <c r="L2" s="35" t="s">
        <v>3</v>
      </c>
    </row>
    <row r="3" spans="1:14" x14ac:dyDescent="0.2">
      <c r="A3" s="51">
        <v>2008</v>
      </c>
      <c r="B3" s="38">
        <v>75154</v>
      </c>
      <c r="C3" s="38">
        <v>7265</v>
      </c>
      <c r="D3" s="38">
        <v>1014</v>
      </c>
      <c r="E3" s="38"/>
      <c r="F3" s="38"/>
      <c r="G3" s="38">
        <v>4</v>
      </c>
      <c r="H3" s="38">
        <v>1522</v>
      </c>
      <c r="I3" s="38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1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1">
        <v>2010</v>
      </c>
      <c r="B5" s="38">
        <v>77506</v>
      </c>
      <c r="C5" s="38">
        <v>7448</v>
      </c>
      <c r="D5" s="38">
        <v>989</v>
      </c>
      <c r="E5" s="38"/>
      <c r="F5" s="38"/>
      <c r="G5" s="38">
        <v>1</v>
      </c>
      <c r="H5" s="38">
        <v>1574</v>
      </c>
      <c r="I5" s="38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1">
        <v>2011</v>
      </c>
      <c r="B6" s="38">
        <v>78761</v>
      </c>
      <c r="C6" s="38">
        <v>7538</v>
      </c>
      <c r="D6" s="38">
        <v>975</v>
      </c>
      <c r="E6" s="38"/>
      <c r="F6" s="38"/>
      <c r="G6" s="38">
        <v>2</v>
      </c>
      <c r="H6" s="38">
        <v>1568</v>
      </c>
      <c r="I6" s="38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1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1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1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2"/>
    </row>
    <row r="10" spans="1:14" x14ac:dyDescent="0.2">
      <c r="A10" s="51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2"/>
    </row>
    <row r="11" spans="1:14" x14ac:dyDescent="0.2">
      <c r="A11" s="51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2"/>
    </row>
    <row r="12" spans="1:14" x14ac:dyDescent="0.2">
      <c r="A12" s="51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2"/>
    </row>
    <row r="13" spans="1:14" x14ac:dyDescent="0.2">
      <c r="A13" s="51">
        <v>2018</v>
      </c>
      <c r="B13" s="38">
        <v>87395</v>
      </c>
      <c r="C13" s="38">
        <v>7983</v>
      </c>
      <c r="D13" s="38">
        <f>950-E13-F13</f>
        <v>911</v>
      </c>
      <c r="E13" s="38">
        <v>5</v>
      </c>
      <c r="F13" s="38">
        <v>34</v>
      </c>
      <c r="G13" s="38">
        <v>1</v>
      </c>
      <c r="H13" s="38">
        <v>1666</v>
      </c>
      <c r="I13" s="38">
        <v>931</v>
      </c>
      <c r="J13" s="38">
        <f t="shared" si="0"/>
        <v>98926</v>
      </c>
      <c r="K13" s="38">
        <v>1</v>
      </c>
      <c r="L13" s="38">
        <f t="shared" si="1"/>
        <v>98927</v>
      </c>
      <c r="N13" s="52"/>
    </row>
    <row r="14" spans="1:14" x14ac:dyDescent="0.2">
      <c r="A14" s="61">
        <v>2019</v>
      </c>
      <c r="B14" s="60">
        <f>ROUND((B13*B31),0)</f>
        <v>88619</v>
      </c>
      <c r="C14" s="60">
        <f t="shared" ref="C14:I14" si="2">ROUND((C13*C31),0)</f>
        <v>8059</v>
      </c>
      <c r="D14" s="60">
        <f>ROUND((D13*D31),0)</f>
        <v>905</v>
      </c>
      <c r="E14" s="60">
        <f t="shared" ref="E14:F14" si="3">ROUND((E13*E31),0)</f>
        <v>5</v>
      </c>
      <c r="F14" s="60">
        <f t="shared" si="3"/>
        <v>34</v>
      </c>
      <c r="G14" s="60">
        <f>ROUND((G13*G31),0)</f>
        <v>1</v>
      </c>
      <c r="H14" s="60">
        <f>ROUND((H13*H31),0)</f>
        <v>1681</v>
      </c>
      <c r="I14" s="60">
        <f t="shared" si="2"/>
        <v>943</v>
      </c>
      <c r="J14" s="60">
        <f>ROUND((SUM(B14:I14)),0)</f>
        <v>100247</v>
      </c>
      <c r="K14" s="60">
        <v>1</v>
      </c>
      <c r="L14" s="60">
        <f>ROUND((J14+K14),0)</f>
        <v>100248</v>
      </c>
      <c r="N14" s="52"/>
    </row>
    <row r="15" spans="1:14" x14ac:dyDescent="0.2">
      <c r="A15" s="61">
        <v>2020</v>
      </c>
      <c r="B15" s="60">
        <f t="shared" ref="B15:I15" si="4">ROUND((B14*B31),0)</f>
        <v>89860</v>
      </c>
      <c r="C15" s="60">
        <f t="shared" si="4"/>
        <v>8136</v>
      </c>
      <c r="D15" s="60">
        <f>ROUND((D14*D31),0)</f>
        <v>899</v>
      </c>
      <c r="E15" s="60">
        <f t="shared" ref="E15:F15" si="5">ROUND((E14*E31),0)</f>
        <v>5</v>
      </c>
      <c r="F15" s="60">
        <f t="shared" si="5"/>
        <v>34</v>
      </c>
      <c r="G15" s="60">
        <f>ROUND((G14*G31),0)</f>
        <v>1</v>
      </c>
      <c r="H15" s="60">
        <f t="shared" si="4"/>
        <v>1696</v>
      </c>
      <c r="I15" s="60">
        <f t="shared" si="4"/>
        <v>955</v>
      </c>
      <c r="J15" s="60">
        <f>ROUND((SUM(B15:I15)),0)</f>
        <v>101586</v>
      </c>
      <c r="K15" s="60">
        <v>1</v>
      </c>
      <c r="L15" s="60">
        <f>ROUND((J15+K15),0)</f>
        <v>101587</v>
      </c>
      <c r="N15" s="52"/>
    </row>
    <row r="16" spans="1:14" x14ac:dyDescent="0.2">
      <c r="A16" s="42"/>
      <c r="M16" s="149"/>
    </row>
    <row r="17" spans="1:19" x14ac:dyDescent="0.2">
      <c r="A17" s="42" t="s">
        <v>62</v>
      </c>
      <c r="B17" s="41"/>
      <c r="C17" s="41"/>
      <c r="D17" s="41"/>
      <c r="E17" s="41"/>
      <c r="F17" s="41"/>
      <c r="G17" s="41"/>
      <c r="H17" s="41"/>
      <c r="I17" s="41"/>
    </row>
    <row r="18" spans="1:19" x14ac:dyDescent="0.2">
      <c r="A18" s="51">
        <v>2009</v>
      </c>
      <c r="B18" s="37">
        <f t="shared" ref="B18:I18" si="6">ROUND((B4/B3),4)</f>
        <v>1.0145999999999999</v>
      </c>
      <c r="C18" s="37">
        <f t="shared" si="6"/>
        <v>1.0145</v>
      </c>
      <c r="D18" s="37">
        <f t="shared" si="6"/>
        <v>0.99109999999999998</v>
      </c>
      <c r="E18" s="37"/>
      <c r="F18" s="37"/>
      <c r="G18" s="37">
        <f t="shared" si="6"/>
        <v>0.75</v>
      </c>
      <c r="H18" s="37">
        <f t="shared" si="6"/>
        <v>1.0190999999999999</v>
      </c>
      <c r="I18" s="37">
        <f t="shared" si="6"/>
        <v>0.99629999999999996</v>
      </c>
      <c r="K18" s="37">
        <f t="shared" ref="K18:K27" si="7">K4/K3</f>
        <v>1</v>
      </c>
      <c r="L18" s="44"/>
      <c r="M18" s="44"/>
      <c r="N18" s="44"/>
      <c r="O18" s="44"/>
      <c r="P18" s="44"/>
      <c r="Q18" s="44"/>
      <c r="R18" s="44"/>
      <c r="S18" s="44"/>
    </row>
    <row r="19" spans="1:19" x14ac:dyDescent="0.2">
      <c r="A19" s="51">
        <v>2010</v>
      </c>
      <c r="B19" s="37">
        <f t="shared" ref="B19:I19" si="8">ROUND((B5/B4),4)</f>
        <v>1.0164</v>
      </c>
      <c r="C19" s="37">
        <f t="shared" si="8"/>
        <v>1.0105999999999999</v>
      </c>
      <c r="D19" s="37">
        <f t="shared" si="8"/>
        <v>0.98409999999999997</v>
      </c>
      <c r="E19" s="37"/>
      <c r="F19" s="37"/>
      <c r="G19" s="37">
        <f t="shared" si="8"/>
        <v>0.33329999999999999</v>
      </c>
      <c r="H19" s="37">
        <f t="shared" si="8"/>
        <v>1.0147999999999999</v>
      </c>
      <c r="I19" s="37">
        <f t="shared" si="8"/>
        <v>0.99270000000000003</v>
      </c>
      <c r="K19" s="37">
        <f t="shared" si="7"/>
        <v>1</v>
      </c>
      <c r="L19" s="44"/>
      <c r="M19" s="44"/>
      <c r="N19" s="44"/>
      <c r="O19" s="44"/>
      <c r="P19" s="44"/>
      <c r="Q19" s="44"/>
      <c r="R19" s="44"/>
      <c r="S19" s="44"/>
    </row>
    <row r="20" spans="1:19" x14ac:dyDescent="0.2">
      <c r="A20" s="51">
        <v>2011</v>
      </c>
      <c r="B20" s="37">
        <f t="shared" ref="B20:I20" si="9">ROUND((B6/B5),4)</f>
        <v>1.0162</v>
      </c>
      <c r="C20" s="37">
        <f t="shared" si="9"/>
        <v>1.0121</v>
      </c>
      <c r="D20" s="37">
        <f t="shared" si="9"/>
        <v>0.98580000000000001</v>
      </c>
      <c r="E20" s="37"/>
      <c r="F20" s="37"/>
      <c r="G20" s="37">
        <f t="shared" si="9"/>
        <v>2</v>
      </c>
      <c r="H20" s="37">
        <f t="shared" si="9"/>
        <v>0.99619999999999997</v>
      </c>
      <c r="I20" s="37">
        <f t="shared" si="9"/>
        <v>1.0369999999999999</v>
      </c>
      <c r="K20" s="37">
        <f t="shared" si="7"/>
        <v>1</v>
      </c>
      <c r="L20" s="44"/>
      <c r="M20" s="44"/>
      <c r="N20" s="44"/>
      <c r="O20" s="44"/>
      <c r="P20" s="44"/>
      <c r="Q20" s="44"/>
      <c r="R20" s="44"/>
      <c r="S20" s="44"/>
    </row>
    <row r="21" spans="1:19" x14ac:dyDescent="0.2">
      <c r="A21" s="51">
        <v>2012</v>
      </c>
      <c r="B21" s="37">
        <f t="shared" ref="B21:I21" si="10">ROUND((B7/B6),4)</f>
        <v>1.0157</v>
      </c>
      <c r="C21" s="37">
        <f t="shared" si="10"/>
        <v>1.0142</v>
      </c>
      <c r="D21" s="37">
        <f t="shared" si="10"/>
        <v>0.97130000000000005</v>
      </c>
      <c r="E21" s="37"/>
      <c r="F21" s="37"/>
      <c r="G21" s="37">
        <f t="shared" ref="G21:G27" si="11">ROUND((G7/G6),4)</f>
        <v>1</v>
      </c>
      <c r="H21" s="37">
        <f t="shared" si="10"/>
        <v>1.0032000000000001</v>
      </c>
      <c r="I21" s="37">
        <f t="shared" si="10"/>
        <v>1.0329999999999999</v>
      </c>
      <c r="K21" s="37">
        <f t="shared" si="7"/>
        <v>1</v>
      </c>
      <c r="L21" s="44"/>
      <c r="M21" s="44"/>
      <c r="N21" s="44"/>
      <c r="O21" s="44"/>
      <c r="P21" s="44"/>
      <c r="Q21" s="44"/>
      <c r="R21" s="44"/>
      <c r="S21" s="44"/>
    </row>
    <row r="22" spans="1:19" x14ac:dyDescent="0.2">
      <c r="A22" s="51">
        <v>2013</v>
      </c>
      <c r="B22" s="37">
        <f t="shared" ref="B22:I22" si="12">ROUND((B8/B7),4)</f>
        <v>1.0112000000000001</v>
      </c>
      <c r="C22" s="37">
        <f t="shared" si="12"/>
        <v>1.0055000000000001</v>
      </c>
      <c r="D22" s="37">
        <f t="shared" si="12"/>
        <v>0.99790000000000001</v>
      </c>
      <c r="E22" s="37">
        <f t="shared" ref="E22" si="13">ROUND((E8/E7),4)</f>
        <v>1</v>
      </c>
      <c r="F22" s="37">
        <f t="shared" ref="F22:F27" si="14">ROUND((F8/F7),4)</f>
        <v>1</v>
      </c>
      <c r="G22" s="37">
        <f t="shared" si="11"/>
        <v>1.5</v>
      </c>
      <c r="H22" s="37">
        <f t="shared" si="12"/>
        <v>0.98599999999999999</v>
      </c>
      <c r="I22" s="37">
        <f t="shared" si="12"/>
        <v>0.97089999999999999</v>
      </c>
      <c r="K22" s="37">
        <f t="shared" si="7"/>
        <v>1</v>
      </c>
      <c r="L22" s="44"/>
      <c r="M22" s="44"/>
      <c r="N22" s="44"/>
      <c r="O22" s="44"/>
      <c r="P22" s="44"/>
      <c r="Q22" s="44"/>
      <c r="R22" s="44"/>
      <c r="S22" s="44"/>
    </row>
    <row r="23" spans="1:19" x14ac:dyDescent="0.2">
      <c r="A23" s="51">
        <v>2014</v>
      </c>
      <c r="B23" s="37">
        <f t="shared" ref="B23:I23" si="15">ROUND((B9/B8),4)</f>
        <v>1.0121</v>
      </c>
      <c r="C23" s="37">
        <f t="shared" si="15"/>
        <v>1.0074000000000001</v>
      </c>
      <c r="D23" s="37">
        <f t="shared" si="15"/>
        <v>0.99370000000000003</v>
      </c>
      <c r="E23" s="37">
        <f t="shared" ref="E23" si="16">ROUND((E9/E8),4)</f>
        <v>1</v>
      </c>
      <c r="F23" s="37">
        <f t="shared" si="14"/>
        <v>1</v>
      </c>
      <c r="G23" s="37">
        <f t="shared" si="11"/>
        <v>0.66669999999999996</v>
      </c>
      <c r="H23" s="37">
        <f t="shared" si="15"/>
        <v>1.0419</v>
      </c>
      <c r="I23" s="37">
        <f t="shared" si="15"/>
        <v>1.0394000000000001</v>
      </c>
      <c r="K23" s="37">
        <f t="shared" si="7"/>
        <v>1</v>
      </c>
      <c r="L23" s="44"/>
      <c r="M23" s="44"/>
      <c r="N23" s="44"/>
      <c r="O23" s="44"/>
      <c r="P23" s="44"/>
      <c r="Q23" s="44"/>
      <c r="R23" s="44"/>
      <c r="S23" s="44"/>
    </row>
    <row r="24" spans="1:19" x14ac:dyDescent="0.2">
      <c r="A24" s="51">
        <v>2015</v>
      </c>
      <c r="B24" s="37">
        <f t="shared" ref="B24:I24" si="17">ROUND((B10/B9),4)</f>
        <v>1.0150999999999999</v>
      </c>
      <c r="C24" s="37">
        <f t="shared" si="17"/>
        <v>1.0066999999999999</v>
      </c>
      <c r="D24" s="37">
        <f t="shared" si="17"/>
        <v>0.99470000000000003</v>
      </c>
      <c r="E24" s="37">
        <f t="shared" ref="E24" si="18">ROUND((E10/E9),4)</f>
        <v>1</v>
      </c>
      <c r="F24" s="37">
        <f t="shared" si="14"/>
        <v>1</v>
      </c>
      <c r="G24" s="37">
        <f t="shared" si="11"/>
        <v>0.5</v>
      </c>
      <c r="H24" s="37">
        <f t="shared" si="17"/>
        <v>1.0129999999999999</v>
      </c>
      <c r="I24" s="37">
        <f t="shared" si="17"/>
        <v>1.0163</v>
      </c>
      <c r="K24" s="37">
        <f t="shared" si="7"/>
        <v>1</v>
      </c>
      <c r="L24" s="44"/>
      <c r="M24" s="44"/>
      <c r="N24" s="44"/>
      <c r="O24" s="44"/>
      <c r="P24" s="44"/>
      <c r="Q24" s="44"/>
      <c r="R24" s="44"/>
      <c r="S24" s="44"/>
    </row>
    <row r="25" spans="1:19" x14ac:dyDescent="0.2">
      <c r="A25" s="51">
        <v>2016</v>
      </c>
      <c r="B25" s="37">
        <f t="shared" ref="B25:I25" si="19">ROUND((B11/B10),4)</f>
        <v>1.0170999999999999</v>
      </c>
      <c r="C25" s="37">
        <f t="shared" si="19"/>
        <v>1.0063</v>
      </c>
      <c r="D25" s="37">
        <f t="shared" si="19"/>
        <v>1.0011000000000001</v>
      </c>
      <c r="E25" s="37">
        <f t="shared" ref="E25" si="20">ROUND((E11/E10),4)</f>
        <v>1</v>
      </c>
      <c r="F25" s="37">
        <f t="shared" si="14"/>
        <v>1</v>
      </c>
      <c r="G25" s="37">
        <f t="shared" si="11"/>
        <v>1</v>
      </c>
      <c r="H25" s="37">
        <f t="shared" si="19"/>
        <v>1.0098</v>
      </c>
      <c r="I25" s="37">
        <f t="shared" si="19"/>
        <v>0.97230000000000005</v>
      </c>
      <c r="K25" s="37">
        <f t="shared" si="7"/>
        <v>1</v>
      </c>
      <c r="L25" s="44"/>
      <c r="M25" s="44"/>
      <c r="N25" s="44"/>
      <c r="O25" s="44"/>
      <c r="P25" s="44"/>
      <c r="Q25" s="44"/>
      <c r="R25" s="44"/>
      <c r="S25" s="44"/>
    </row>
    <row r="26" spans="1:19" x14ac:dyDescent="0.2">
      <c r="A26" s="51">
        <v>2017</v>
      </c>
      <c r="B26" s="37">
        <f t="shared" ref="B26:I26" si="21">ROUND((B12/B11),4)</f>
        <v>1.0181</v>
      </c>
      <c r="C26" s="37">
        <f t="shared" si="21"/>
        <v>1.0116000000000001</v>
      </c>
      <c r="D26" s="37">
        <f t="shared" si="21"/>
        <v>0.96789999999999998</v>
      </c>
      <c r="E26" s="37">
        <f t="shared" ref="E26" si="22">ROUND((E12/E11),4)</f>
        <v>1</v>
      </c>
      <c r="F26" s="155">
        <f t="shared" si="14"/>
        <v>27</v>
      </c>
      <c r="G26" s="37">
        <f t="shared" si="11"/>
        <v>1</v>
      </c>
      <c r="H26" s="37">
        <f t="shared" si="21"/>
        <v>1.026</v>
      </c>
      <c r="I26" s="37">
        <f t="shared" si="21"/>
        <v>1.0227999999999999</v>
      </c>
      <c r="K26" s="37">
        <f t="shared" si="7"/>
        <v>1</v>
      </c>
      <c r="L26" s="44"/>
      <c r="M26" s="44"/>
      <c r="N26" s="44"/>
      <c r="O26" s="44"/>
      <c r="P26" s="44"/>
      <c r="Q26" s="44"/>
      <c r="R26" s="44"/>
      <c r="S26" s="44"/>
    </row>
    <row r="27" spans="1:19" x14ac:dyDescent="0.2">
      <c r="A27" s="51">
        <v>2018</v>
      </c>
      <c r="B27" s="37">
        <f t="shared" ref="B27:I27" si="23">ROUND((B13/B12),4)</f>
        <v>1.0155000000000001</v>
      </c>
      <c r="C27" s="37">
        <f t="shared" si="23"/>
        <v>1.0059</v>
      </c>
      <c r="D27" s="37">
        <f t="shared" si="23"/>
        <v>1.0065999999999999</v>
      </c>
      <c r="E27" s="37">
        <f t="shared" ref="E27" si="24">ROUND((E13/E12),4)</f>
        <v>1.25</v>
      </c>
      <c r="F27" s="37">
        <f t="shared" si="14"/>
        <v>1.2593000000000001</v>
      </c>
      <c r="G27" s="37">
        <f t="shared" si="11"/>
        <v>1</v>
      </c>
      <c r="H27" s="37">
        <f t="shared" si="23"/>
        <v>0.98229999999999995</v>
      </c>
      <c r="I27" s="37">
        <f t="shared" si="23"/>
        <v>1.0507</v>
      </c>
      <c r="K27" s="37">
        <f t="shared" si="7"/>
        <v>1</v>
      </c>
      <c r="L27" s="44"/>
      <c r="M27" s="44"/>
      <c r="N27" s="44"/>
      <c r="O27" s="44"/>
      <c r="P27" s="44"/>
      <c r="Q27" s="44"/>
      <c r="R27" s="44"/>
      <c r="S27" s="44"/>
    </row>
    <row r="28" spans="1:19" x14ac:dyDescent="0.2">
      <c r="A28" s="51"/>
      <c r="B28" s="37"/>
      <c r="C28" s="37"/>
      <c r="D28" s="37"/>
      <c r="E28" s="37"/>
      <c r="F28" s="37"/>
      <c r="G28" s="37"/>
      <c r="H28" s="37"/>
      <c r="I28" s="37"/>
      <c r="K28" s="37"/>
      <c r="L28" s="44"/>
      <c r="M28" s="44"/>
      <c r="N28" s="44"/>
      <c r="O28" s="44"/>
      <c r="P28" s="44"/>
      <c r="Q28" s="44"/>
      <c r="R28" s="44"/>
      <c r="S28" s="44"/>
    </row>
    <row r="29" spans="1:19" x14ac:dyDescent="0.2">
      <c r="A29" s="51"/>
      <c r="B29" s="37"/>
      <c r="C29" s="37"/>
      <c r="D29" s="37"/>
      <c r="E29" s="37"/>
      <c r="F29" s="37"/>
      <c r="G29" s="37"/>
      <c r="H29" s="37"/>
      <c r="I29" s="37"/>
      <c r="K29" s="37"/>
      <c r="L29" s="44"/>
      <c r="M29" s="44"/>
      <c r="N29" s="44"/>
      <c r="O29" s="44"/>
      <c r="P29" s="44"/>
      <c r="Q29" s="44"/>
      <c r="R29" s="44"/>
      <c r="S29" s="44"/>
    </row>
    <row r="31" spans="1:19" x14ac:dyDescent="0.2">
      <c r="A31" s="51" t="s">
        <v>63</v>
      </c>
      <c r="B31" s="62">
        <v>1.014</v>
      </c>
      <c r="C31" s="62">
        <f t="shared" ref="C31:I31" si="25">C33</f>
        <v>1.0095000000000001</v>
      </c>
      <c r="D31" s="62">
        <f t="shared" si="25"/>
        <v>0.99360000000000004</v>
      </c>
      <c r="E31" s="62">
        <v>1</v>
      </c>
      <c r="F31" s="62">
        <v>1</v>
      </c>
      <c r="G31" s="62">
        <f>G33</f>
        <v>0.87050000000000005</v>
      </c>
      <c r="H31" s="62">
        <f t="shared" si="25"/>
        <v>1.0091000000000001</v>
      </c>
      <c r="I31" s="62">
        <f t="shared" si="25"/>
        <v>1.0127999999999999</v>
      </c>
      <c r="J31" s="18"/>
      <c r="K31" s="62">
        <f>K33</f>
        <v>1</v>
      </c>
    </row>
    <row r="32" spans="1:19" x14ac:dyDescent="0.2">
      <c r="A32" s="51"/>
      <c r="B32" s="39"/>
      <c r="C32" s="39"/>
      <c r="D32" s="39"/>
      <c r="E32" s="39"/>
      <c r="F32" s="39"/>
      <c r="G32" s="39"/>
      <c r="H32" s="39"/>
      <c r="I32" s="39"/>
      <c r="K32" s="39"/>
    </row>
    <row r="33" spans="1:11" x14ac:dyDescent="0.2">
      <c r="A33" s="51" t="s">
        <v>52</v>
      </c>
      <c r="B33" s="39">
        <f t="shared" ref="B33:I33" si="26">ROUND((GEOMEAN(B18:B27)),4)</f>
        <v>1.0152000000000001</v>
      </c>
      <c r="C33" s="39">
        <f t="shared" si="26"/>
        <v>1.0095000000000001</v>
      </c>
      <c r="D33" s="39">
        <f>ROUND((GEOMEAN(D22:D27)),4)</f>
        <v>0.99360000000000004</v>
      </c>
      <c r="E33" s="39">
        <f>ROUND((GEOMEAN(E22:E27)),4)</f>
        <v>1.0379</v>
      </c>
      <c r="F33" s="39">
        <f>ROUND((GEOMEAN(F22:F27)),4)</f>
        <v>1.7999000000000001</v>
      </c>
      <c r="G33" s="39">
        <f>ROUND((GEOMEAN(G18:G27)),4)</f>
        <v>0.87050000000000005</v>
      </c>
      <c r="H33" s="39">
        <f t="shared" si="26"/>
        <v>1.0091000000000001</v>
      </c>
      <c r="I33" s="39">
        <f t="shared" si="26"/>
        <v>1.0127999999999999</v>
      </c>
      <c r="K33" s="39">
        <f>GEOMEAN(K18:K27)</f>
        <v>1</v>
      </c>
    </row>
    <row r="34" spans="1:11" x14ac:dyDescent="0.2">
      <c r="A34" s="51"/>
      <c r="B34" s="39"/>
      <c r="C34" s="39"/>
      <c r="D34" s="39"/>
      <c r="E34" s="39"/>
      <c r="F34" s="39"/>
      <c r="G34" s="39"/>
      <c r="H34" s="39"/>
      <c r="I34" s="39"/>
    </row>
    <row r="35" spans="1:11" x14ac:dyDescent="0.2">
      <c r="A35" s="51"/>
      <c r="B35" s="39"/>
      <c r="C35" s="39"/>
      <c r="D35" s="39"/>
      <c r="E35" s="39"/>
      <c r="F35" s="39"/>
      <c r="G35" s="39"/>
      <c r="H35" s="39"/>
      <c r="I35" s="39"/>
    </row>
    <row r="36" spans="1:11" x14ac:dyDescent="0.2">
      <c r="A36" s="51"/>
      <c r="B36" s="39"/>
      <c r="C36" s="39"/>
      <c r="D36" s="39"/>
      <c r="E36" s="39"/>
      <c r="F36" s="39"/>
      <c r="G36" s="39"/>
      <c r="H36" s="39"/>
      <c r="I36" s="39"/>
    </row>
    <row r="37" spans="1:11" x14ac:dyDescent="0.2">
      <c r="A37" s="51"/>
      <c r="B37" s="39"/>
      <c r="C37" s="39"/>
      <c r="D37" s="39"/>
      <c r="E37" s="39"/>
      <c r="F37" s="39"/>
      <c r="G37" s="39"/>
      <c r="H37" s="39"/>
      <c r="I37" s="39"/>
    </row>
    <row r="38" spans="1:11" x14ac:dyDescent="0.2">
      <c r="A38" s="51"/>
      <c r="B38" s="39"/>
      <c r="C38" s="39"/>
      <c r="D38" s="39"/>
      <c r="E38" s="39"/>
      <c r="F38" s="39"/>
      <c r="G38" s="39"/>
      <c r="H38" s="39"/>
      <c r="I38" s="39"/>
    </row>
    <row r="39" spans="1:11" x14ac:dyDescent="0.2">
      <c r="A39" s="51"/>
      <c r="B39" s="39"/>
      <c r="C39" s="39"/>
      <c r="D39" s="39"/>
      <c r="E39" s="39"/>
      <c r="F39" s="39"/>
      <c r="G39" s="39"/>
      <c r="H39" s="39"/>
      <c r="I39" s="39"/>
    </row>
    <row r="40" spans="1:11" x14ac:dyDescent="0.2">
      <c r="A40" s="51"/>
      <c r="B40" s="39"/>
      <c r="C40" s="39"/>
      <c r="D40" s="39"/>
      <c r="E40" s="39"/>
      <c r="F40" s="39"/>
      <c r="G40" s="39"/>
      <c r="H40" s="39"/>
      <c r="I40" s="39"/>
    </row>
    <row r="41" spans="1:11" x14ac:dyDescent="0.2">
      <c r="A41" s="51"/>
      <c r="B41" s="39"/>
      <c r="C41" s="39"/>
      <c r="D41" s="39"/>
      <c r="E41" s="39"/>
      <c r="F41" s="39"/>
      <c r="G41" s="39"/>
      <c r="H41" s="39"/>
      <c r="I41" s="39"/>
    </row>
    <row r="42" spans="1:11" x14ac:dyDescent="0.2">
      <c r="B42" s="39"/>
      <c r="C42" s="39"/>
      <c r="D42" s="39"/>
      <c r="E42" s="39"/>
      <c r="F42" s="39"/>
      <c r="G42" s="39"/>
      <c r="H42" s="39"/>
      <c r="I42" s="39"/>
    </row>
    <row r="43" spans="1:11" x14ac:dyDescent="0.2">
      <c r="B43" s="39"/>
      <c r="C43" s="39"/>
      <c r="D43" s="39"/>
      <c r="E43" s="39"/>
      <c r="F43" s="39"/>
      <c r="G43" s="39"/>
      <c r="H43" s="39"/>
      <c r="I43" s="39"/>
    </row>
    <row r="44" spans="1:11" x14ac:dyDescent="0.2">
      <c r="B44" s="39"/>
      <c r="C44" s="39"/>
      <c r="D44" s="39"/>
      <c r="E44" s="39"/>
      <c r="F44" s="39"/>
      <c r="G44" s="39"/>
      <c r="H44" s="39"/>
      <c r="I44" s="39"/>
    </row>
    <row r="45" spans="1:11" x14ac:dyDescent="0.2">
      <c r="B45" s="39"/>
      <c r="C45" s="39"/>
      <c r="D45" s="39"/>
      <c r="E45" s="39"/>
      <c r="F45" s="39"/>
      <c r="G45" s="39"/>
      <c r="H45" s="39"/>
      <c r="I45" s="39"/>
    </row>
    <row r="46" spans="1:11" x14ac:dyDescent="0.2">
      <c r="B46" s="39"/>
      <c r="C46" s="39"/>
      <c r="D46" s="39"/>
      <c r="E46" s="39"/>
      <c r="F46" s="39"/>
      <c r="G46" s="39"/>
      <c r="H46" s="39"/>
      <c r="I46" s="39"/>
    </row>
    <row r="47" spans="1:11" x14ac:dyDescent="0.2">
      <c r="B47" s="39"/>
      <c r="C47" s="39"/>
      <c r="D47" s="39"/>
      <c r="E47" s="39"/>
      <c r="F47" s="39"/>
      <c r="G47" s="39"/>
      <c r="H47" s="39"/>
      <c r="I47" s="39"/>
    </row>
    <row r="48" spans="1:11" x14ac:dyDescent="0.2">
      <c r="B48" s="39"/>
      <c r="C48" s="39"/>
      <c r="D48" s="39"/>
      <c r="E48" s="39"/>
      <c r="F48" s="39"/>
      <c r="G48" s="39"/>
      <c r="H48" s="39"/>
      <c r="I48" s="39"/>
    </row>
    <row r="49" spans="2:9" x14ac:dyDescent="0.2">
      <c r="B49" s="39"/>
      <c r="C49" s="39"/>
      <c r="D49" s="39"/>
      <c r="E49" s="39"/>
      <c r="F49" s="39"/>
      <c r="G49" s="39"/>
      <c r="H49" s="39"/>
      <c r="I49" s="39"/>
    </row>
    <row r="50" spans="2:9" x14ac:dyDescent="0.2">
      <c r="B50" s="39"/>
      <c r="C50" s="39"/>
      <c r="D50" s="39"/>
      <c r="E50" s="39"/>
      <c r="F50" s="39"/>
      <c r="G50" s="39"/>
      <c r="H50" s="39"/>
      <c r="I50" s="39"/>
    </row>
    <row r="51" spans="2:9" x14ac:dyDescent="0.2">
      <c r="B51" s="39"/>
      <c r="C51" s="39"/>
      <c r="D51" s="39"/>
      <c r="E51" s="39"/>
      <c r="F51" s="39"/>
      <c r="G51" s="39"/>
      <c r="H51" s="39"/>
      <c r="I51" s="39"/>
    </row>
    <row r="52" spans="2:9" x14ac:dyDescent="0.2">
      <c r="B52" s="39"/>
      <c r="C52" s="39"/>
      <c r="D52" s="39"/>
      <c r="E52" s="39"/>
      <c r="F52" s="39"/>
      <c r="G52" s="39"/>
      <c r="H52" s="39"/>
      <c r="I52" s="39"/>
    </row>
    <row r="53" spans="2:9" x14ac:dyDescent="0.2">
      <c r="B53" s="39"/>
      <c r="C53" s="39"/>
      <c r="D53" s="39"/>
      <c r="E53" s="39"/>
      <c r="F53" s="39"/>
      <c r="G53" s="39"/>
      <c r="H53" s="39"/>
      <c r="I53" s="39"/>
    </row>
    <row r="54" spans="2:9" x14ac:dyDescent="0.2">
      <c r="B54" s="39"/>
      <c r="C54" s="39"/>
      <c r="D54" s="39"/>
      <c r="E54" s="39"/>
      <c r="F54" s="39"/>
      <c r="G54" s="39"/>
      <c r="H54" s="39"/>
      <c r="I54" s="39"/>
    </row>
    <row r="55" spans="2:9" x14ac:dyDescent="0.2">
      <c r="B55" s="39"/>
      <c r="C55" s="39"/>
      <c r="D55" s="39"/>
      <c r="E55" s="39"/>
      <c r="F55" s="39"/>
      <c r="G55" s="39"/>
      <c r="H55" s="39"/>
      <c r="I55" s="39"/>
    </row>
    <row r="56" spans="2:9" x14ac:dyDescent="0.2">
      <c r="B56" s="39"/>
      <c r="C56" s="39"/>
      <c r="D56" s="39"/>
      <c r="E56" s="39"/>
      <c r="F56" s="39"/>
      <c r="G56" s="39"/>
      <c r="H56" s="39"/>
      <c r="I56" s="39"/>
    </row>
    <row r="57" spans="2:9" x14ac:dyDescent="0.2">
      <c r="B57" s="39"/>
      <c r="C57" s="39"/>
      <c r="D57" s="39"/>
      <c r="E57" s="39"/>
      <c r="F57" s="39"/>
      <c r="G57" s="39"/>
      <c r="H57" s="39"/>
      <c r="I57" s="39"/>
    </row>
    <row r="58" spans="2:9" x14ac:dyDescent="0.2">
      <c r="B58" s="39"/>
      <c r="C58" s="39"/>
      <c r="D58" s="39"/>
      <c r="E58" s="39"/>
      <c r="F58" s="39"/>
      <c r="G58" s="39"/>
      <c r="H58" s="39"/>
      <c r="I58" s="39"/>
    </row>
    <row r="59" spans="2:9" x14ac:dyDescent="0.2">
      <c r="B59" s="39"/>
      <c r="C59" s="39"/>
      <c r="D59" s="39"/>
      <c r="E59" s="39"/>
      <c r="F59" s="39"/>
      <c r="G59" s="39"/>
      <c r="H59" s="39"/>
      <c r="I59" s="39"/>
    </row>
    <row r="60" spans="2:9" x14ac:dyDescent="0.2">
      <c r="B60" s="39"/>
      <c r="C60" s="39"/>
      <c r="H60" s="39"/>
      <c r="I60" s="39"/>
    </row>
    <row r="66" spans="2:9" x14ac:dyDescent="0.2">
      <c r="D66" s="53"/>
      <c r="E66" s="53"/>
      <c r="F66" s="53"/>
      <c r="G66" s="53"/>
    </row>
    <row r="67" spans="2:9" x14ac:dyDescent="0.2">
      <c r="B67" s="53"/>
      <c r="C67" s="53"/>
      <c r="D67" s="53"/>
      <c r="E67" s="53"/>
      <c r="F67" s="53"/>
      <c r="G67" s="53"/>
      <c r="H67" s="53"/>
      <c r="I67" s="53"/>
    </row>
    <row r="68" spans="2:9" x14ac:dyDescent="0.2">
      <c r="B68" s="53"/>
      <c r="C68" s="53"/>
      <c r="H68" s="53"/>
      <c r="I68" s="53"/>
    </row>
    <row r="86" spans="2:9" x14ac:dyDescent="0.2">
      <c r="D86" s="54"/>
      <c r="E86" s="54"/>
      <c r="F86" s="54"/>
      <c r="G86" s="54"/>
    </row>
    <row r="87" spans="2:9" x14ac:dyDescent="0.2">
      <c r="B87" s="54"/>
      <c r="C87" s="54"/>
      <c r="D87" s="54"/>
      <c r="E87" s="54"/>
      <c r="F87" s="54"/>
      <c r="G87" s="54"/>
      <c r="H87" s="54"/>
      <c r="I87" s="54"/>
    </row>
    <row r="88" spans="2:9" x14ac:dyDescent="0.2">
      <c r="B88" s="54"/>
      <c r="C88" s="54"/>
      <c r="H88" s="54"/>
      <c r="I88" s="54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sqref="A1:D21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12" t="s">
        <v>128</v>
      </c>
      <c r="B1" s="212"/>
      <c r="C1" s="212"/>
      <c r="D1" s="212"/>
    </row>
    <row r="2" spans="1:4" ht="15" x14ac:dyDescent="0.25">
      <c r="A2" s="130" t="s">
        <v>129</v>
      </c>
      <c r="B2" s="130" t="s">
        <v>66</v>
      </c>
      <c r="C2" s="131" t="s">
        <v>65</v>
      </c>
      <c r="D2" s="131" t="s">
        <v>130</v>
      </c>
    </row>
    <row r="3" spans="1:4" ht="14.25" x14ac:dyDescent="0.2">
      <c r="A3" s="132">
        <v>2009</v>
      </c>
      <c r="B3" s="133">
        <v>49918.169999999991</v>
      </c>
      <c r="C3" s="133">
        <v>22622441.550000001</v>
      </c>
      <c r="D3" s="133">
        <f>ROUND((C3/12),2)</f>
        <v>1885203.46</v>
      </c>
    </row>
    <row r="4" spans="1:4" ht="14.25" x14ac:dyDescent="0.2">
      <c r="A4" s="132">
        <v>2010</v>
      </c>
      <c r="B4" s="133">
        <v>53143.520000000004</v>
      </c>
      <c r="C4" s="133">
        <v>24190281.489999998</v>
      </c>
      <c r="D4" s="133">
        <f t="shared" ref="D4:D14" si="0">ROUND((C4/12),2)</f>
        <v>2015856.79</v>
      </c>
    </row>
    <row r="5" spans="1:4" ht="14.25" x14ac:dyDescent="0.2">
      <c r="A5" s="132">
        <v>2011</v>
      </c>
      <c r="B5" s="133">
        <v>49138.899999999994</v>
      </c>
      <c r="C5" s="133">
        <v>21309995.489999998</v>
      </c>
      <c r="D5" s="133">
        <f t="shared" si="0"/>
        <v>1775832.96</v>
      </c>
    </row>
    <row r="6" spans="1:4" ht="14.25" x14ac:dyDescent="0.2">
      <c r="A6" s="132">
        <v>2012</v>
      </c>
      <c r="B6" s="133">
        <v>37866.879999999997</v>
      </c>
      <c r="C6" s="133">
        <v>17590423.550000001</v>
      </c>
      <c r="D6" s="133">
        <f t="shared" si="0"/>
        <v>1465868.63</v>
      </c>
    </row>
    <row r="7" spans="1:4" ht="14.25" x14ac:dyDescent="0.2">
      <c r="A7" s="132">
        <v>2013</v>
      </c>
      <c r="B7" s="133">
        <v>32780.5</v>
      </c>
      <c r="C7" s="133">
        <v>15021820.6</v>
      </c>
      <c r="D7" s="133">
        <f t="shared" si="0"/>
        <v>1251818.3799999999</v>
      </c>
    </row>
    <row r="8" spans="1:4" ht="14.25" x14ac:dyDescent="0.2">
      <c r="A8" s="132">
        <v>2014</v>
      </c>
      <c r="B8" s="133">
        <v>32611.380000000005</v>
      </c>
      <c r="C8" s="133">
        <v>14039293.18</v>
      </c>
      <c r="D8" s="133">
        <f t="shared" si="0"/>
        <v>1169941.1000000001</v>
      </c>
    </row>
    <row r="9" spans="1:4" ht="14.25" x14ac:dyDescent="0.2">
      <c r="A9" s="132">
        <v>2015</v>
      </c>
      <c r="B9" s="133">
        <v>49708.520000000004</v>
      </c>
      <c r="C9" s="133">
        <v>23075916.899999999</v>
      </c>
      <c r="D9" s="133">
        <f t="shared" si="0"/>
        <v>1922993.08</v>
      </c>
    </row>
    <row r="10" spans="1:4" ht="14.25" x14ac:dyDescent="0.2">
      <c r="A10" s="132">
        <v>2016</v>
      </c>
      <c r="B10" s="133">
        <v>49930.489999999991</v>
      </c>
      <c r="C10" s="133">
        <v>19564437.330000002</v>
      </c>
      <c r="D10" s="133">
        <f t="shared" si="0"/>
        <v>1630369.78</v>
      </c>
    </row>
    <row r="11" spans="1:4" ht="14.25" x14ac:dyDescent="0.2">
      <c r="A11" s="132">
        <v>2017</v>
      </c>
      <c r="B11" s="133">
        <v>44998.2</v>
      </c>
      <c r="C11" s="133">
        <v>20383811.499999996</v>
      </c>
      <c r="D11" s="133">
        <f t="shared" si="0"/>
        <v>1698650.96</v>
      </c>
    </row>
    <row r="12" spans="1:4" ht="14.25" x14ac:dyDescent="0.2">
      <c r="A12" s="132">
        <v>2018</v>
      </c>
      <c r="B12" s="133">
        <v>33065.300000000003</v>
      </c>
      <c r="C12" s="133">
        <v>12731868.73</v>
      </c>
      <c r="D12" s="133">
        <f t="shared" si="0"/>
        <v>1060989.06</v>
      </c>
    </row>
    <row r="13" spans="1:4" ht="14.25" x14ac:dyDescent="0.2">
      <c r="A13" s="132" t="s">
        <v>134</v>
      </c>
      <c r="B13" s="133">
        <f>ROUND((AVERAGE(B3:B12)),2)</f>
        <v>43316.19</v>
      </c>
      <c r="C13" s="133">
        <f>ROUND((AVERAGE(C3:C12)),2)</f>
        <v>19053029.030000001</v>
      </c>
      <c r="D13" s="133">
        <f t="shared" si="0"/>
        <v>1587752.42</v>
      </c>
    </row>
    <row r="14" spans="1:4" ht="14.25" x14ac:dyDescent="0.2">
      <c r="A14" s="132" t="s">
        <v>135</v>
      </c>
      <c r="B14" s="133">
        <f>ROUND((AVERAGE(B3:B12)),2)</f>
        <v>43316.19</v>
      </c>
      <c r="C14" s="133">
        <f>ROUND((AVERAGE(C3:C12)),2)</f>
        <v>19053029.030000001</v>
      </c>
      <c r="D14" s="133">
        <f t="shared" si="0"/>
        <v>1587752.42</v>
      </c>
    </row>
    <row r="15" spans="1:4" ht="14.25" x14ac:dyDescent="0.2">
      <c r="A15" s="132"/>
      <c r="B15" s="133"/>
      <c r="C15" s="133"/>
      <c r="D15" s="133"/>
    </row>
    <row r="16" spans="1:4" ht="14.25" x14ac:dyDescent="0.2">
      <c r="A16" s="132"/>
      <c r="B16" s="132"/>
      <c r="C16" s="134"/>
      <c r="D16" s="135"/>
    </row>
    <row r="17" spans="1:4" ht="14.25" x14ac:dyDescent="0.2">
      <c r="A17" s="132"/>
      <c r="B17" s="132"/>
      <c r="C17" s="134"/>
      <c r="D17" s="135"/>
    </row>
    <row r="18" spans="1:4" ht="15" x14ac:dyDescent="0.25">
      <c r="A18" s="130" t="s">
        <v>131</v>
      </c>
      <c r="B18" s="131" t="s">
        <v>132</v>
      </c>
      <c r="C18" s="131" t="s">
        <v>133</v>
      </c>
      <c r="D18" s="135"/>
    </row>
    <row r="19" spans="1:4" ht="14.25" x14ac:dyDescent="0.2">
      <c r="A19" s="136">
        <v>244192680</v>
      </c>
      <c r="B19" s="137">
        <v>37347</v>
      </c>
      <c r="C19" s="137">
        <v>38359</v>
      </c>
      <c r="D19" s="135"/>
    </row>
    <row r="20" spans="1:4" ht="14.25" x14ac:dyDescent="0.2">
      <c r="A20" s="136">
        <v>1000023320</v>
      </c>
      <c r="B20" s="137">
        <v>38360</v>
      </c>
      <c r="C20" s="137">
        <v>40908</v>
      </c>
      <c r="D20" s="135"/>
    </row>
    <row r="21" spans="1:4" ht="14.25" x14ac:dyDescent="0.2">
      <c r="A21" s="136">
        <v>1000023650</v>
      </c>
      <c r="B21" s="137">
        <v>40909</v>
      </c>
      <c r="C21" s="137">
        <v>41274</v>
      </c>
      <c r="D21" s="135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H27" sqref="H27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9" t="s">
        <v>64</v>
      </c>
      <c r="B1" s="119"/>
      <c r="C1" s="119"/>
      <c r="D1" s="119"/>
      <c r="E1" s="119"/>
      <c r="F1" s="119"/>
    </row>
    <row r="2" spans="1:13" ht="42" customHeight="1" x14ac:dyDescent="0.2">
      <c r="B2" s="55" t="s">
        <v>44</v>
      </c>
      <c r="C2" s="55" t="s">
        <v>157</v>
      </c>
      <c r="D2" s="55" t="s">
        <v>160</v>
      </c>
      <c r="E2" s="55" t="s">
        <v>45</v>
      </c>
      <c r="F2" s="55" t="s">
        <v>46</v>
      </c>
      <c r="G2" s="55" t="s">
        <v>3</v>
      </c>
      <c r="H2" s="55" t="s">
        <v>155</v>
      </c>
      <c r="I2" s="55" t="s">
        <v>156</v>
      </c>
      <c r="J2" s="55"/>
    </row>
    <row r="3" spans="1:13" x14ac:dyDescent="0.2">
      <c r="A3" s="56">
        <v>2009</v>
      </c>
      <c r="B3" s="109">
        <v>2169096</v>
      </c>
      <c r="C3" s="109"/>
      <c r="D3" s="109"/>
      <c r="E3" s="109">
        <v>171311</v>
      </c>
      <c r="F3" s="109">
        <v>44226</v>
      </c>
      <c r="G3" s="109">
        <f t="shared" ref="G3:G12" si="0">SUM(B3:F3)</f>
        <v>2384633</v>
      </c>
      <c r="H3" s="109">
        <v>1029080.11</v>
      </c>
      <c r="I3" s="109">
        <v>171310.71</v>
      </c>
      <c r="J3" s="52">
        <f>(H3+C3)/B3</f>
        <v>0.47442810737745122</v>
      </c>
    </row>
    <row r="4" spans="1:13" x14ac:dyDescent="0.2">
      <c r="A4" s="56">
        <v>2010</v>
      </c>
      <c r="B4" s="109">
        <v>2260312</v>
      </c>
      <c r="C4" s="109"/>
      <c r="D4" s="109"/>
      <c r="E4" s="109">
        <v>95621</v>
      </c>
      <c r="F4" s="109">
        <v>44895</v>
      </c>
      <c r="G4" s="109">
        <f t="shared" si="0"/>
        <v>2400828</v>
      </c>
      <c r="H4" s="109">
        <v>1114073.81</v>
      </c>
      <c r="I4" s="109">
        <v>95621.02</v>
      </c>
      <c r="J4" s="52">
        <f t="shared" ref="J4:J12" si="1">(H4+C4)/B4</f>
        <v>0.49288496897773409</v>
      </c>
    </row>
    <row r="5" spans="1:13" x14ac:dyDescent="0.2">
      <c r="A5" s="56">
        <v>2011</v>
      </c>
      <c r="B5" s="109">
        <v>2244883</v>
      </c>
      <c r="C5" s="109"/>
      <c r="D5" s="109"/>
      <c r="E5" s="109">
        <v>105771</v>
      </c>
      <c r="F5" s="109">
        <v>44252</v>
      </c>
      <c r="G5" s="109">
        <f t="shared" si="0"/>
        <v>2394906</v>
      </c>
      <c r="H5" s="109">
        <v>1109674.6200000001</v>
      </c>
      <c r="I5" s="109">
        <v>105771.07</v>
      </c>
      <c r="J5" s="52">
        <f t="shared" si="1"/>
        <v>0.49431289737594347</v>
      </c>
    </row>
    <row r="6" spans="1:13" x14ac:dyDescent="0.2">
      <c r="A6" s="56">
        <v>2012</v>
      </c>
      <c r="B6" s="109">
        <f>2227931-C6-D6</f>
        <v>2191041.8129999996</v>
      </c>
      <c r="C6" s="109">
        <v>4890.768</v>
      </c>
      <c r="D6" s="109">
        <v>31998.419000000002</v>
      </c>
      <c r="E6" s="109">
        <v>136790</v>
      </c>
      <c r="F6" s="109">
        <v>44229</v>
      </c>
      <c r="G6" s="109">
        <f t="shared" si="0"/>
        <v>2408950</v>
      </c>
      <c r="H6" s="109">
        <v>1090918.6399999999</v>
      </c>
      <c r="I6" s="109">
        <v>136790.35999999999</v>
      </c>
      <c r="J6" s="52">
        <f t="shared" si="1"/>
        <v>0.50013167320600105</v>
      </c>
    </row>
    <row r="7" spans="1:13" x14ac:dyDescent="0.2">
      <c r="A7" s="56">
        <v>2013</v>
      </c>
      <c r="B7" s="109">
        <f>2225335.99-C7-D7</f>
        <v>2172493.1097000004</v>
      </c>
      <c r="C7" s="109">
        <v>36056.200400000002</v>
      </c>
      <c r="D7" s="109">
        <v>16786.679899999999</v>
      </c>
      <c r="E7" s="109">
        <v>181960.6</v>
      </c>
      <c r="F7" s="109">
        <v>44582.02</v>
      </c>
      <c r="G7" s="109">
        <f t="shared" si="0"/>
        <v>2451878.6100000003</v>
      </c>
      <c r="H7" s="109">
        <v>1097384.2276999999</v>
      </c>
      <c r="I7" s="109">
        <v>181960.59980000003</v>
      </c>
      <c r="J7" s="52">
        <f t="shared" si="1"/>
        <v>0.5217233707390293</v>
      </c>
    </row>
    <row r="8" spans="1:13" x14ac:dyDescent="0.2">
      <c r="A8" s="56">
        <v>2014</v>
      </c>
      <c r="B8" s="109">
        <f>2159270.96-C8-D8</f>
        <v>2072802.4709999999</v>
      </c>
      <c r="C8" s="109">
        <v>31006.339600000003</v>
      </c>
      <c r="D8" s="109">
        <v>55462.149399999995</v>
      </c>
      <c r="E8" s="109">
        <v>126219.41</v>
      </c>
      <c r="F8" s="109">
        <v>44711.85</v>
      </c>
      <c r="G8" s="109">
        <f t="shared" si="0"/>
        <v>2330202.2200000002</v>
      </c>
      <c r="H8" s="109">
        <v>1057011.3</v>
      </c>
      <c r="I8" s="109">
        <v>126219.41179999997</v>
      </c>
      <c r="J8" s="52">
        <f t="shared" si="1"/>
        <v>0.52490174766874842</v>
      </c>
    </row>
    <row r="9" spans="1:13" x14ac:dyDescent="0.2">
      <c r="A9" s="56">
        <v>2015</v>
      </c>
      <c r="B9" s="109">
        <f>2147080.08-C9-D9</f>
        <v>2063302.6587</v>
      </c>
      <c r="C9" s="109">
        <v>30561.897200000003</v>
      </c>
      <c r="D9" s="109">
        <v>53215.524099999995</v>
      </c>
      <c r="E9" s="109">
        <v>62997.91</v>
      </c>
      <c r="F9" s="109">
        <v>45213.11</v>
      </c>
      <c r="G9" s="109">
        <f t="shared" si="0"/>
        <v>2255291.1</v>
      </c>
      <c r="H9" s="109">
        <v>1071480.1832999999</v>
      </c>
      <c r="I9" s="109">
        <v>74090.267500000002</v>
      </c>
      <c r="J9" s="52">
        <f t="shared" si="1"/>
        <v>0.53411557235832297</v>
      </c>
    </row>
    <row r="10" spans="1:13" x14ac:dyDescent="0.2">
      <c r="A10" s="56">
        <v>2016</v>
      </c>
      <c r="B10" s="109">
        <f>2170742.11-C10-D10</f>
        <v>2088279.5105999999</v>
      </c>
      <c r="C10" s="109">
        <v>31132.920500000004</v>
      </c>
      <c r="D10" s="109">
        <v>51329.678899999992</v>
      </c>
      <c r="E10" s="109">
        <v>62931.33</v>
      </c>
      <c r="F10" s="109">
        <v>45218.23</v>
      </c>
      <c r="G10" s="109">
        <f t="shared" si="0"/>
        <v>2278891.67</v>
      </c>
      <c r="H10" s="109">
        <v>1072433.5667000001</v>
      </c>
      <c r="I10" s="109">
        <v>62478.332399999992</v>
      </c>
      <c r="J10" s="52">
        <f t="shared" si="1"/>
        <v>0.52845726905730439</v>
      </c>
    </row>
    <row r="11" spans="1:13" x14ac:dyDescent="0.2">
      <c r="A11" s="56">
        <v>2017</v>
      </c>
      <c r="B11" s="109">
        <f>2109153.15-C11-D11</f>
        <v>1832120.3498</v>
      </c>
      <c r="C11" s="109">
        <v>30205.531800000008</v>
      </c>
      <c r="D11" s="109">
        <v>246827.2684</v>
      </c>
      <c r="E11" s="109">
        <v>58806.46</v>
      </c>
      <c r="F11" s="109">
        <v>42035.72</v>
      </c>
      <c r="G11" s="109">
        <f t="shared" si="0"/>
        <v>2209995.33</v>
      </c>
      <c r="H11" s="109">
        <v>1056503.9194999998</v>
      </c>
      <c r="I11" s="109">
        <v>58119.461999999992</v>
      </c>
      <c r="J11" s="52">
        <f t="shared" si="1"/>
        <v>0.59314304948287289</v>
      </c>
    </row>
    <row r="12" spans="1:13" x14ac:dyDescent="0.2">
      <c r="A12" s="56">
        <v>2018</v>
      </c>
      <c r="B12" s="109">
        <f>2202763.0515-C12-D12</f>
        <v>1663598.9622000002</v>
      </c>
      <c r="C12" s="109">
        <v>34080.072999999997</v>
      </c>
      <c r="D12" s="109">
        <v>505084.01630000002</v>
      </c>
      <c r="E12" s="109">
        <v>69010.508700000006</v>
      </c>
      <c r="F12" s="109">
        <v>20808.9388</v>
      </c>
      <c r="G12" s="109">
        <f t="shared" si="0"/>
        <v>2292582.4990000003</v>
      </c>
      <c r="H12" s="109">
        <v>1081229.5778000001</v>
      </c>
      <c r="I12" s="109">
        <v>68264.508699999991</v>
      </c>
      <c r="J12" s="52">
        <f t="shared" si="1"/>
        <v>0.67041978033280125</v>
      </c>
    </row>
    <row r="13" spans="1:13" x14ac:dyDescent="0.2">
      <c r="A13" s="56">
        <v>2019</v>
      </c>
      <c r="B13" s="110">
        <f>ROUND((Energy!J83*Load!B31),4)</f>
        <v>1510040.723</v>
      </c>
      <c r="C13" s="110">
        <f>+C12</f>
        <v>34080.072999999997</v>
      </c>
      <c r="D13" s="110">
        <f>ROUND((Energy!L63*Load!D31),4)</f>
        <v>499673.06400000001</v>
      </c>
      <c r="E13" s="110">
        <f>ROUND((Energy!M63*Load!E31),4)</f>
        <v>68382.8269</v>
      </c>
      <c r="F13" s="110">
        <f>ROUND((Energy!N63*Load!F31),4)</f>
        <v>20613.041099999999</v>
      </c>
      <c r="G13" s="110">
        <f>ROUND((SUM(B13:F13)),4)</f>
        <v>2132789.7280000001</v>
      </c>
      <c r="H13" s="110">
        <f>ROUND(((B13+C13+D13)*J13),4)</f>
        <v>1090265.6026999999</v>
      </c>
      <c r="I13" s="110">
        <f>ROUND((E13),4)</f>
        <v>68382.8269</v>
      </c>
      <c r="J13" s="52">
        <f>AVERAGE(J3:J12)</f>
        <v>0.53345184365762077</v>
      </c>
      <c r="L13" s="75">
        <f>ROUND((B14+C14),4)</f>
        <v>1476222.2296</v>
      </c>
      <c r="M13" s="49" t="s">
        <v>178</v>
      </c>
    </row>
    <row r="14" spans="1:13" x14ac:dyDescent="0.2">
      <c r="A14" s="56">
        <v>2020</v>
      </c>
      <c r="B14" s="110">
        <f>ROUND((Energy!J84*Load!B31),4)</f>
        <v>1442142.1566000001</v>
      </c>
      <c r="C14" s="110">
        <f>+C13</f>
        <v>34080.072999999997</v>
      </c>
      <c r="D14" s="110">
        <f>ROUND((Energy!L64*Load!D31),4)</f>
        <v>502671.10230000003</v>
      </c>
      <c r="E14" s="110">
        <f>ROUND((Energy!M64*Load!E31),4)</f>
        <v>70126.589000000007</v>
      </c>
      <c r="F14" s="110">
        <f>ROUND((Energy!N64*Load!F31),4)</f>
        <v>20391.435300000001</v>
      </c>
      <c r="G14" s="110">
        <f>ROUND((SUM(B14:F14)),4)</f>
        <v>2069411.3562</v>
      </c>
      <c r="H14" s="110">
        <f>ROUND(((B14+C14+D14)*J13),4)</f>
        <v>1055644.2963</v>
      </c>
      <c r="I14" s="110">
        <f>ROUND((E14),4)</f>
        <v>70126.589000000007</v>
      </c>
      <c r="J14" s="52">
        <f>AVERAGE(J4:J13)</f>
        <v>0.53935421728563782</v>
      </c>
      <c r="L14" s="75">
        <f>ROUND((B14+C14+D14),4)</f>
        <v>1978893.3319000001</v>
      </c>
      <c r="M14" s="49" t="s">
        <v>179</v>
      </c>
    </row>
    <row r="15" spans="1:13" x14ac:dyDescent="0.2">
      <c r="A15" s="42"/>
      <c r="E15" s="57"/>
      <c r="G15" s="38">
        <f>ROUND((ED!B14),4)</f>
        <v>43316.19</v>
      </c>
      <c r="I15" s="1"/>
      <c r="L15" s="119"/>
    </row>
    <row r="16" spans="1:13" x14ac:dyDescent="0.2">
      <c r="A16" s="42" t="s">
        <v>67</v>
      </c>
      <c r="B16" s="41"/>
      <c r="E16" s="41"/>
      <c r="F16" s="41"/>
      <c r="G16" s="38">
        <f>ROUND((G14+G15),4)</f>
        <v>2112727.5462000002</v>
      </c>
      <c r="I16" s="1"/>
    </row>
    <row r="17" spans="1:12" x14ac:dyDescent="0.2">
      <c r="A17" s="11">
        <v>2009</v>
      </c>
      <c r="B17" s="57">
        <f>+B3/Energy!I6</f>
        <v>2.642274511612796E-3</v>
      </c>
      <c r="C17" s="57"/>
      <c r="D17" s="57"/>
      <c r="E17" s="57">
        <f>+E3/Energy!L6</f>
        <v>2.1461523606441978E-3</v>
      </c>
      <c r="F17" s="57">
        <f>+F3/Energy!M6</f>
        <v>2.7778555929640725E-3</v>
      </c>
      <c r="H17" s="57"/>
      <c r="I17" s="57"/>
      <c r="L17" s="185">
        <f>(B3+C3+D3)/(Energy!I6+Energy!J6+Energy!K6)</f>
        <v>2.642274511612796E-3</v>
      </c>
    </row>
    <row r="18" spans="1:12" x14ac:dyDescent="0.2">
      <c r="A18" s="11">
        <v>2010</v>
      </c>
      <c r="B18" s="57">
        <f>+B4/Energy!I7</f>
        <v>2.5776612434298585E-3</v>
      </c>
      <c r="C18" s="57"/>
      <c r="D18" s="57"/>
      <c r="E18" s="57">
        <f>+E4/Energy!L7</f>
        <v>2.0535557089132192E-3</v>
      </c>
      <c r="F18" s="57">
        <f>+F4/Energy!M7</f>
        <v>2.7997924804664663E-3</v>
      </c>
      <c r="H18" s="57"/>
      <c r="I18" s="57"/>
      <c r="J18" s="153"/>
      <c r="L18" s="185">
        <f>(B4+C4+D4)/(Energy!I7+Energy!J7+Energy!K7)</f>
        <v>2.5776612434298585E-3</v>
      </c>
    </row>
    <row r="19" spans="1:12" x14ac:dyDescent="0.2">
      <c r="A19" s="11">
        <v>2011</v>
      </c>
      <c r="B19" s="57">
        <f>+B5/Energy!I8</f>
        <v>2.576611271021607E-3</v>
      </c>
      <c r="C19" s="57"/>
      <c r="D19" s="57"/>
      <c r="E19" s="57">
        <f>+E5/Energy!L8</f>
        <v>1.8882530047298353E-3</v>
      </c>
      <c r="F19" s="57">
        <f>+F5/Energy!M8</f>
        <v>2.7906006475918867E-3</v>
      </c>
      <c r="H19" s="57"/>
      <c r="I19" s="57"/>
      <c r="L19" s="185">
        <f>(B5+C5+D5)/(Energy!I8+Energy!J8+Energy!K8)</f>
        <v>2.576611271021607E-3</v>
      </c>
    </row>
    <row r="20" spans="1:12" x14ac:dyDescent="0.2">
      <c r="A20" s="11">
        <v>2012</v>
      </c>
      <c r="B20" s="57">
        <f>+B6/Energy!I9</f>
        <v>2.6217520613837516E-3</v>
      </c>
      <c r="C20" s="57">
        <f>+C6/Energy!J9</f>
        <v>1.9262127734185591E-3</v>
      </c>
      <c r="D20" s="57">
        <f>+D6/Energy!K9</f>
        <v>2.5531764360811021E-3</v>
      </c>
      <c r="E20" s="57">
        <f>+E6/Energy!L9</f>
        <v>1.9722772135614469E-3</v>
      </c>
      <c r="F20" s="57">
        <f>+F6/Energy!M9</f>
        <v>2.7741083968947596E-3</v>
      </c>
      <c r="H20" s="57"/>
      <c r="I20" s="57"/>
      <c r="L20" s="185">
        <f>(B6+C6+D6)/(Energy!I9+Energy!J9+Energy!K9)</f>
        <v>2.6186661485402361E-3</v>
      </c>
    </row>
    <row r="21" spans="1:12" x14ac:dyDescent="0.2">
      <c r="A21" s="11">
        <v>2013</v>
      </c>
      <c r="B21" s="57">
        <f>+B7/Energy!I10</f>
        <v>2.7163213752015298E-3</v>
      </c>
      <c r="C21" s="57">
        <f>+C7/Energy!J10</f>
        <v>2.0242948661780644E-3</v>
      </c>
      <c r="D21" s="57">
        <f>+D7/Energy!K10</f>
        <v>2.8171819151831998E-3</v>
      </c>
      <c r="E21" s="57">
        <f>+E7/Energy!L10</f>
        <v>2.0559207695721965E-3</v>
      </c>
      <c r="F21" s="57">
        <f>+F7/Energy!M10</f>
        <v>2.7893495256385578E-3</v>
      </c>
      <c r="H21" s="57"/>
      <c r="I21" s="57"/>
      <c r="L21" s="185">
        <f>(B7+C7+D7)/(Energy!I10+Energy!J10+Energy!K10)</f>
        <v>2.7020842138757968E-3</v>
      </c>
    </row>
    <row r="22" spans="1:12" x14ac:dyDescent="0.2">
      <c r="A22" s="11">
        <v>2014</v>
      </c>
      <c r="B22" s="57">
        <f>+B8/Energy!I11</f>
        <v>2.5999150247194573E-3</v>
      </c>
      <c r="C22" s="57">
        <f>+C8/Energy!J11</f>
        <v>1.8158619202389486E-3</v>
      </c>
      <c r="D22" s="57">
        <f>+D8/Energy!K11</f>
        <v>2.108505959605044E-3</v>
      </c>
      <c r="E22" s="57">
        <f>+E8/Energy!L11</f>
        <v>1.9894958958666118E-3</v>
      </c>
      <c r="F22" s="57">
        <f>+F8/Energy!M11</f>
        <v>2.7876519225899336E-3</v>
      </c>
      <c r="H22" s="57"/>
      <c r="I22" s="57"/>
      <c r="L22" s="185">
        <f>(B8+C8+D8)/(Energy!I11+Energy!J11+Energy!K11)</f>
        <v>2.5686126363474305E-3</v>
      </c>
    </row>
    <row r="23" spans="1:12" x14ac:dyDescent="0.2">
      <c r="A23" s="11">
        <v>2015</v>
      </c>
      <c r="B23" s="57">
        <f>+B9/Energy!I12</f>
        <v>2.6082893530812112E-3</v>
      </c>
      <c r="C23" s="57">
        <f>+C9/Energy!J12</f>
        <v>1.8311096625228391E-3</v>
      </c>
      <c r="D23" s="57">
        <f>+D9/Energy!K12</f>
        <v>2.1169931261300957E-3</v>
      </c>
      <c r="E23" s="57">
        <f>+E9/Energy!L12</f>
        <v>1.7612232786520065E-3</v>
      </c>
      <c r="F23" s="57">
        <f>+F9/Energy!M12</f>
        <v>2.7903443598840576E-3</v>
      </c>
      <c r="H23" s="57"/>
      <c r="I23" s="57"/>
      <c r="L23" s="185">
        <f>(B9+C9+D9)/(Energy!I12+Energy!J12+Energy!K12)</f>
        <v>2.5778874033724271E-3</v>
      </c>
    </row>
    <row r="24" spans="1:12" x14ac:dyDescent="0.2">
      <c r="A24" s="11">
        <v>2016</v>
      </c>
      <c r="B24" s="57">
        <f>+B10/Energy!I13</f>
        <v>2.6479121991745676E-3</v>
      </c>
      <c r="C24" s="57">
        <f>+C10/Energy!J13</f>
        <v>1.848520896800277E-3</v>
      </c>
      <c r="D24" s="57">
        <f>+D10/Energy!K13</f>
        <v>2.3932636526091781E-3</v>
      </c>
      <c r="E24" s="57">
        <f>+E10/Energy!L13</f>
        <v>2.1770599579231131E-3</v>
      </c>
      <c r="F24" s="57">
        <f>+F10/Energy!M13</f>
        <v>2.780802461097606E-3</v>
      </c>
      <c r="H24" s="57"/>
      <c r="I24" s="57"/>
      <c r="L24" s="185">
        <f>(B10+C10+D10)/(Energy!I13+Energy!J13+Energy!K13)</f>
        <v>2.6250266522482336E-3</v>
      </c>
    </row>
    <row r="25" spans="1:12" x14ac:dyDescent="0.2">
      <c r="A25" s="11">
        <v>2017</v>
      </c>
      <c r="B25" s="57">
        <f>+B11/Energy!I14</f>
        <v>2.668164984847953E-3</v>
      </c>
      <c r="C25" s="57">
        <f>+C11/Energy!J14</f>
        <v>1.9323253125546459E-3</v>
      </c>
      <c r="D25" s="57">
        <f>+D11/Energy!K14</f>
        <v>2.4215774376700038E-3</v>
      </c>
      <c r="E25" s="57">
        <f>+E11/Energy!L14</f>
        <v>1.8712895476136534E-3</v>
      </c>
      <c r="F25" s="57">
        <f>+F11/Energy!M14</f>
        <v>2.8274245737568309E-3</v>
      </c>
      <c r="H25" s="57"/>
      <c r="I25" s="57"/>
      <c r="L25" s="185">
        <f>(B11+C11+D11)/(Energy!I14+Energy!J14+Energy!K14)</f>
        <v>2.62260940792649E-3</v>
      </c>
    </row>
    <row r="26" spans="1:12" x14ac:dyDescent="0.2">
      <c r="A26" s="11">
        <v>2018</v>
      </c>
      <c r="B26" s="57">
        <f>+B12/Energy!I15</f>
        <v>2.7000370125014606E-3</v>
      </c>
      <c r="C26" s="57">
        <f>+C12/Energy!J15</f>
        <v>2.3044267125499765E-3</v>
      </c>
      <c r="D26" s="57">
        <f>+D12/Energy!K15</f>
        <v>2.4197443300065283E-3</v>
      </c>
      <c r="E26" s="57">
        <f>+E12/Energy!L15</f>
        <v>2.0681006362609005E-3</v>
      </c>
      <c r="F26" s="57">
        <f>+F12/Energy!M15</f>
        <v>2.7869440477267904E-3</v>
      </c>
      <c r="H26" s="57"/>
      <c r="I26" s="57"/>
      <c r="L26" s="185">
        <f>(B12+C12+D12)/(Energy!I15+Energy!J15+Energy!K15)</f>
        <v>2.6233902795674922E-3</v>
      </c>
    </row>
    <row r="27" spans="1:12" x14ac:dyDescent="0.2">
      <c r="A27" s="11">
        <v>2019</v>
      </c>
      <c r="B27" s="57"/>
      <c r="C27" s="57"/>
      <c r="D27" s="57"/>
      <c r="E27" s="57"/>
      <c r="F27" s="57"/>
      <c r="H27" s="57"/>
      <c r="I27" s="57"/>
    </row>
    <row r="28" spans="1:12" x14ac:dyDescent="0.2">
      <c r="A28" s="11">
        <v>2020</v>
      </c>
      <c r="B28" s="57"/>
      <c r="C28" s="57"/>
      <c r="D28" s="57"/>
      <c r="E28" s="57"/>
      <c r="F28" s="57"/>
      <c r="H28" s="57"/>
      <c r="I28" s="57"/>
    </row>
    <row r="29" spans="1:12" x14ac:dyDescent="0.2">
      <c r="A29" s="11">
        <v>2021</v>
      </c>
      <c r="B29" s="57"/>
      <c r="C29" s="57"/>
      <c r="D29" s="57"/>
      <c r="E29" s="57"/>
      <c r="F29" s="57"/>
      <c r="H29" s="57"/>
      <c r="I29" s="57"/>
    </row>
    <row r="30" spans="1:12" x14ac:dyDescent="0.2">
      <c r="A30" s="11">
        <v>2022</v>
      </c>
      <c r="B30" s="57"/>
      <c r="C30" s="57"/>
      <c r="D30" s="57"/>
      <c r="E30" s="57"/>
      <c r="F30" s="57"/>
      <c r="H30" s="57"/>
      <c r="I30" s="57"/>
    </row>
    <row r="31" spans="1:12" x14ac:dyDescent="0.2">
      <c r="A31" s="11" t="s">
        <v>50</v>
      </c>
      <c r="B31" s="57">
        <f>AVERAGE(B21:B26)</f>
        <v>2.65677332492103E-3</v>
      </c>
      <c r="C31" s="57">
        <f>AVERAGE(C21:C26)</f>
        <v>1.9594232284741251E-3</v>
      </c>
      <c r="D31" s="57">
        <f>AVERAGE(D21:D26)</f>
        <v>2.3795444035340082E-3</v>
      </c>
      <c r="E31" s="57">
        <f>AVERAGE(E17:E26)</f>
        <v>1.9983328373737183E-3</v>
      </c>
      <c r="F31" s="57">
        <f>AVERAGE(F17:F26)</f>
        <v>2.7904874008610964E-3</v>
      </c>
      <c r="H31" s="57"/>
      <c r="I31" s="57"/>
      <c r="L31" s="57">
        <f>AVERAGE(L21:L26)</f>
        <v>2.6199350988896446E-3</v>
      </c>
    </row>
    <row r="32" spans="1:12" x14ac:dyDescent="0.2">
      <c r="C32" s="57"/>
    </row>
    <row r="35" spans="2:5" x14ac:dyDescent="0.2">
      <c r="B35" s="54"/>
      <c r="C35" s="54"/>
      <c r="D35" s="54"/>
      <c r="E35" s="54"/>
    </row>
    <row r="36" spans="2:5" x14ac:dyDescent="0.2">
      <c r="B36" s="54"/>
      <c r="C36" s="54"/>
      <c r="D36" s="54"/>
      <c r="E36" s="54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4" t="s">
        <v>87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ROUND((Energy!$H$83),4)</f>
        <v>650837448.94459999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ROUND((Energy!$I$83),4)</f>
        <v>227030450.24559999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ROUND((Energy!$J$83),4)</f>
        <v>568373940.2457</v>
      </c>
      <c r="C4" s="70">
        <f>ROUND((Load!$B$13),4)</f>
        <v>1510040.723</v>
      </c>
      <c r="D4" s="108">
        <v>0.14686416109839648</v>
      </c>
      <c r="E4" s="120"/>
      <c r="F4" s="119"/>
      <c r="G4" s="75"/>
    </row>
    <row r="5" spans="1:14" x14ac:dyDescent="0.2">
      <c r="A5" s="72" t="s">
        <v>162</v>
      </c>
      <c r="B5" s="67">
        <f>ROUND((Energy!$K$83),4)</f>
        <v>13087272.2019</v>
      </c>
      <c r="C5" s="70">
        <f>ROUND((Load!$C$13),4)</f>
        <v>34080.072999999997</v>
      </c>
      <c r="D5" s="108">
        <v>0</v>
      </c>
      <c r="E5" s="120"/>
      <c r="F5" s="119" t="s">
        <v>181</v>
      </c>
      <c r="G5" s="189"/>
    </row>
    <row r="6" spans="1:14" x14ac:dyDescent="0.2">
      <c r="A6" s="72" t="s">
        <v>163</v>
      </c>
      <c r="B6" s="67">
        <f>ROUND((Energy!$L$83),4)</f>
        <v>209986862.70140001</v>
      </c>
      <c r="C6" s="70">
        <f>ROUND((Load!$D$13),4)</f>
        <v>499673.06400000001</v>
      </c>
      <c r="D6" s="108">
        <v>0</v>
      </c>
      <c r="E6" s="120"/>
      <c r="F6" s="119">
        <f>ROUND((B6*1.0351),4)</f>
        <v>217357401.58219999</v>
      </c>
      <c r="G6" s="189"/>
    </row>
    <row r="7" spans="1:14" x14ac:dyDescent="0.2">
      <c r="A7" s="66" t="s">
        <v>45</v>
      </c>
      <c r="B7" s="67">
        <f>ROUND((Energy!$M$83),4)</f>
        <v>34219938.542199999</v>
      </c>
      <c r="C7" s="70">
        <f>ROUND((Load!$E$13),4)</f>
        <v>68382.8269</v>
      </c>
      <c r="D7" s="108">
        <v>0</v>
      </c>
      <c r="E7" s="120"/>
      <c r="F7" s="119"/>
      <c r="G7" s="189"/>
      <c r="K7" s="71"/>
    </row>
    <row r="8" spans="1:14" x14ac:dyDescent="0.2">
      <c r="A8" s="66" t="s">
        <v>46</v>
      </c>
      <c r="B8" s="67">
        <f>ROUND((Energy!$N$83),4)</f>
        <v>7386896.2983999997</v>
      </c>
      <c r="C8" s="70">
        <f>ROUND((Load!$F$13),4)</f>
        <v>20613.041099999999</v>
      </c>
      <c r="D8" s="108">
        <v>1.270590326270077E-2</v>
      </c>
      <c r="F8" s="65"/>
      <c r="G8" s="151"/>
    </row>
    <row r="9" spans="1:14" x14ac:dyDescent="0.2">
      <c r="A9" s="66" t="s">
        <v>47</v>
      </c>
      <c r="B9" s="67">
        <f>ROUND((Energy!$O$83),4)</f>
        <v>4091277.5452000001</v>
      </c>
      <c r="C9" s="68"/>
      <c r="D9" s="108">
        <v>1</v>
      </c>
      <c r="F9" s="190"/>
      <c r="G9" s="151" t="s">
        <v>95</v>
      </c>
      <c r="I9" s="111"/>
    </row>
    <row r="10" spans="1:14" x14ac:dyDescent="0.2">
      <c r="A10" s="72" t="s">
        <v>61</v>
      </c>
      <c r="B10" s="67">
        <f>ROUND((ED!$C$13),4)</f>
        <v>19053029.030000001</v>
      </c>
      <c r="C10" s="70">
        <f>ROUND((ED!$B$13),4)</f>
        <v>43316.19</v>
      </c>
      <c r="D10" s="69">
        <v>0</v>
      </c>
      <c r="F10" s="190"/>
      <c r="G10" s="151" t="s">
        <v>96</v>
      </c>
      <c r="I10" s="111"/>
    </row>
    <row r="11" spans="1:14" x14ac:dyDescent="0.2">
      <c r="A11" s="73" t="s">
        <v>68</v>
      </c>
      <c r="B11" s="74">
        <f>ROUND((SUM(B2:B10)),4)</f>
        <v>1734067115.7550001</v>
      </c>
      <c r="C11" s="74">
        <f>ROUND((SUM(C2:C10)),4)</f>
        <v>2176105.9180000001</v>
      </c>
      <c r="D11" s="74"/>
      <c r="F11" s="190"/>
      <c r="G11" s="151"/>
      <c r="I11" s="111"/>
    </row>
    <row r="12" spans="1:14" x14ac:dyDescent="0.2">
      <c r="B12" s="75"/>
      <c r="C12" s="75"/>
    </row>
    <row r="13" spans="1:14" x14ac:dyDescent="0.2">
      <c r="J13" s="154"/>
      <c r="K13" s="49"/>
    </row>
    <row r="14" spans="1:14" x14ac:dyDescent="0.2">
      <c r="A14" s="64" t="s">
        <v>165</v>
      </c>
      <c r="B14" s="218" t="s">
        <v>88</v>
      </c>
      <c r="C14" s="218" t="s">
        <v>166</v>
      </c>
      <c r="D14" s="76"/>
      <c r="E14" s="77"/>
      <c r="F14" s="78"/>
    </row>
    <row r="15" spans="1:14" x14ac:dyDescent="0.2">
      <c r="A15" s="79" t="s">
        <v>69</v>
      </c>
      <c r="B15" s="219"/>
      <c r="C15" s="220"/>
      <c r="D15" s="221">
        <v>2019</v>
      </c>
      <c r="E15" s="222"/>
      <c r="F15" s="223"/>
    </row>
    <row r="16" spans="1:14" x14ac:dyDescent="0.2">
      <c r="A16" s="66" t="str">
        <f>A2</f>
        <v xml:space="preserve">Residential </v>
      </c>
      <c r="B16" s="67">
        <f>+B2</f>
        <v>650837448.94459999</v>
      </c>
      <c r="C16" s="98">
        <v>1.0350999999999999</v>
      </c>
      <c r="D16" s="67">
        <f t="shared" ref="D16:D22" si="0">ROUND((B16*C16),4)</f>
        <v>673681843.40260005</v>
      </c>
      <c r="E16" s="99">
        <v>9.4299999999999995E-2</v>
      </c>
      <c r="F16" s="81">
        <f t="shared" ref="F16:F22" si="1">ROUND((D16*E16),2)</f>
        <v>63528197.829999998</v>
      </c>
      <c r="G16" s="117"/>
      <c r="H16" s="49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227030450.24559999</v>
      </c>
      <c r="C17" s="80">
        <f t="shared" ref="C17:C22" si="2">$C$16</f>
        <v>1.0350999999999999</v>
      </c>
      <c r="D17" s="67">
        <f t="shared" si="0"/>
        <v>234999219.0492</v>
      </c>
      <c r="E17" s="113">
        <f t="shared" ref="E17" si="3">E16</f>
        <v>9.4299999999999995E-2</v>
      </c>
      <c r="F17" s="81">
        <f t="shared" si="1"/>
        <v>22160426.359999999</v>
      </c>
      <c r="H17" s="115"/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778360802.94710004</v>
      </c>
      <c r="C18" s="80">
        <f t="shared" si="2"/>
        <v>1.0350999999999999</v>
      </c>
      <c r="D18" s="67">
        <f t="shared" si="0"/>
        <v>805681267.13049996</v>
      </c>
      <c r="E18" s="113">
        <v>9.1252511815409318E-2</v>
      </c>
      <c r="F18" s="81">
        <v>74116024.609999999</v>
      </c>
      <c r="H18" t="s">
        <v>94</v>
      </c>
      <c r="J18" s="112"/>
      <c r="L18" s="116"/>
      <c r="N18" s="116"/>
    </row>
    <row r="19" spans="1:14" x14ac:dyDescent="0.2">
      <c r="A19" s="66" t="str">
        <f>A7</f>
        <v>Large User</v>
      </c>
      <c r="B19" s="67">
        <f>+B7</f>
        <v>34219938.542199999</v>
      </c>
      <c r="C19" s="98">
        <v>1.0053000000000001</v>
      </c>
      <c r="D19" s="67">
        <f t="shared" si="0"/>
        <v>34401304.216499999</v>
      </c>
      <c r="E19" s="113">
        <v>2.4730598048260801E-2</v>
      </c>
      <c r="F19" s="81">
        <v>851796.87</v>
      </c>
      <c r="J19" s="111"/>
      <c r="L19" s="116"/>
      <c r="N19" s="116"/>
    </row>
    <row r="20" spans="1:14" x14ac:dyDescent="0.2">
      <c r="A20" s="66" t="str">
        <f>A8</f>
        <v xml:space="preserve">Streetlights </v>
      </c>
      <c r="B20" s="67">
        <f>+B8</f>
        <v>7386896.2983999997</v>
      </c>
      <c r="C20" s="80">
        <f t="shared" si="2"/>
        <v>1.0350999999999999</v>
      </c>
      <c r="D20" s="67">
        <f t="shared" si="0"/>
        <v>7646176.3585000001</v>
      </c>
      <c r="E20" s="113">
        <f>+E16</f>
        <v>9.4299999999999995E-2</v>
      </c>
      <c r="F20" s="81">
        <f t="shared" si="1"/>
        <v>721034.43</v>
      </c>
      <c r="L20" s="116"/>
      <c r="N20" s="116"/>
    </row>
    <row r="21" spans="1:14" x14ac:dyDescent="0.2">
      <c r="A21" s="66" t="str">
        <f>A9</f>
        <v>USL</v>
      </c>
      <c r="B21" s="67">
        <f>B9*D9</f>
        <v>4091277.5452000001</v>
      </c>
      <c r="C21" s="80">
        <f t="shared" si="2"/>
        <v>1.0350999999999999</v>
      </c>
      <c r="D21" s="67">
        <f t="shared" si="0"/>
        <v>4234881.3870000001</v>
      </c>
      <c r="E21" s="113">
        <f>+E16</f>
        <v>9.4299999999999995E-2</v>
      </c>
      <c r="F21" s="81">
        <f t="shared" si="1"/>
        <v>399349.31</v>
      </c>
      <c r="N21" s="116"/>
    </row>
    <row r="22" spans="1:14" x14ac:dyDescent="0.2">
      <c r="A22" s="66" t="str">
        <f>A10</f>
        <v>Embedded Distributor</v>
      </c>
      <c r="B22" s="67">
        <f>B10*D10</f>
        <v>0</v>
      </c>
      <c r="C22" s="80">
        <f t="shared" si="2"/>
        <v>1.0350999999999999</v>
      </c>
      <c r="D22" s="67">
        <f t="shared" si="0"/>
        <v>0</v>
      </c>
      <c r="E22" s="113">
        <f>+E16</f>
        <v>9.4299999999999995E-2</v>
      </c>
      <c r="F22" s="81">
        <f t="shared" si="1"/>
        <v>0</v>
      </c>
      <c r="L22" s="116"/>
      <c r="N22" s="116"/>
    </row>
    <row r="23" spans="1:14" x14ac:dyDescent="0.2">
      <c r="A23" s="73" t="s">
        <v>68</v>
      </c>
      <c r="B23" s="74">
        <f>SUM(B16:B21)</f>
        <v>1701926814.5231001</v>
      </c>
      <c r="C23" s="79"/>
      <c r="D23" s="74">
        <f>SUM(D16:D21)</f>
        <v>1760644691.5443003</v>
      </c>
      <c r="E23" s="82"/>
      <c r="F23" s="83">
        <f>ROUND((SUM(F16:F21)),2)</f>
        <v>161776829.41</v>
      </c>
      <c r="L23" s="116"/>
    </row>
    <row r="24" spans="1:14" x14ac:dyDescent="0.2">
      <c r="A24" s="84"/>
      <c r="B24" s="85"/>
      <c r="C24" s="42"/>
      <c r="D24" s="85"/>
      <c r="E24" s="86"/>
      <c r="F24" s="87"/>
      <c r="L24" s="116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13">
        <f>$D$15</f>
        <v>2019</v>
      </c>
      <c r="E26" s="214"/>
      <c r="F26" s="217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673681843.40260005</v>
      </c>
      <c r="E27" s="95">
        <v>5.8999999999999999E-3</v>
      </c>
      <c r="F27" s="81">
        <f t="shared" ref="F27:F33" si="4">ROUND((D27*E27),2)</f>
        <v>3974722.88</v>
      </c>
      <c r="H27" s="49"/>
    </row>
    <row r="28" spans="1:14" x14ac:dyDescent="0.2">
      <c r="A28" s="66" t="str">
        <f t="shared" ref="A28:A32" si="5">+A17</f>
        <v>GS&lt;50 kW</v>
      </c>
      <c r="B28" s="67"/>
      <c r="C28" s="80" t="s">
        <v>65</v>
      </c>
      <c r="D28" s="67">
        <f>D17</f>
        <v>234999219.0492</v>
      </c>
      <c r="E28" s="95">
        <v>5.1000000000000004E-3</v>
      </c>
      <c r="F28" s="81">
        <f t="shared" si="4"/>
        <v>1198496.02</v>
      </c>
    </row>
    <row r="29" spans="1:14" x14ac:dyDescent="0.2">
      <c r="A29" s="66" t="str">
        <f t="shared" si="5"/>
        <v>GS&gt;50 kW</v>
      </c>
      <c r="B29" s="67"/>
      <c r="C29" s="80" t="s">
        <v>66</v>
      </c>
      <c r="D29" s="67">
        <f>+C4+C5+C6</f>
        <v>2043793.86</v>
      </c>
      <c r="E29" s="95">
        <v>2.7204999999999999</v>
      </c>
      <c r="F29" s="81">
        <f t="shared" si="4"/>
        <v>5560141.2000000002</v>
      </c>
      <c r="H29" s="49" t="s">
        <v>93</v>
      </c>
    </row>
    <row r="30" spans="1:14" x14ac:dyDescent="0.2">
      <c r="A30" s="66" t="str">
        <f t="shared" si="5"/>
        <v>Large User</v>
      </c>
      <c r="B30" s="67"/>
      <c r="C30" s="80" t="s">
        <v>66</v>
      </c>
      <c r="D30" s="67">
        <f>C7</f>
        <v>68382.8269</v>
      </c>
      <c r="E30" s="95">
        <v>2.5569000000000002</v>
      </c>
      <c r="F30" s="81">
        <f t="shared" si="4"/>
        <v>174848.05</v>
      </c>
    </row>
    <row r="31" spans="1:14" x14ac:dyDescent="0.2">
      <c r="A31" s="66" t="str">
        <f t="shared" si="5"/>
        <v xml:space="preserve">Streetlights </v>
      </c>
      <c r="B31" s="67"/>
      <c r="C31" s="80" t="s">
        <v>66</v>
      </c>
      <c r="D31" s="67">
        <f>C8</f>
        <v>20613.041099999999</v>
      </c>
      <c r="E31" s="95">
        <v>1.6543000000000001</v>
      </c>
      <c r="F31" s="81">
        <f t="shared" si="4"/>
        <v>34100.15</v>
      </c>
    </row>
    <row r="32" spans="1:14" x14ac:dyDescent="0.2">
      <c r="A32" s="66" t="str">
        <f t="shared" si="5"/>
        <v>USL</v>
      </c>
      <c r="B32" s="67"/>
      <c r="C32" s="80" t="s">
        <v>65</v>
      </c>
      <c r="D32" s="67">
        <f>D21</f>
        <v>4234881.3870000001</v>
      </c>
      <c r="E32" s="95">
        <v>5.1000000000000004E-3</v>
      </c>
      <c r="F32" s="81">
        <f t="shared" si="4"/>
        <v>21597.9</v>
      </c>
    </row>
    <row r="33" spans="1:8" x14ac:dyDescent="0.2">
      <c r="A33" s="96" t="str">
        <f>+A22</f>
        <v>Embedded Distributor</v>
      </c>
      <c r="B33" s="97"/>
      <c r="C33" s="98" t="s">
        <v>66</v>
      </c>
      <c r="D33" s="97">
        <f>+C10</f>
        <v>43316.19</v>
      </c>
      <c r="E33" s="99">
        <v>2.5649999999999999</v>
      </c>
      <c r="F33" s="100">
        <f t="shared" si="4"/>
        <v>111106.03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11075012.23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13">
        <f>$D$15</f>
        <v>2019</v>
      </c>
      <c r="E37" s="214"/>
      <c r="F37" s="217"/>
    </row>
    <row r="38" spans="1:8" x14ac:dyDescent="0.2">
      <c r="A38" s="66" t="str">
        <f>+A16</f>
        <v xml:space="preserve">Residential </v>
      </c>
      <c r="B38" s="67"/>
      <c r="C38" s="80" t="str">
        <f t="shared" ref="C38:D43" si="6">C27</f>
        <v>kWh</v>
      </c>
      <c r="D38" s="67">
        <f t="shared" si="6"/>
        <v>673681843.40260005</v>
      </c>
      <c r="E38" s="95">
        <v>1.6999999999999999E-3</v>
      </c>
      <c r="F38" s="81">
        <f t="shared" ref="F38:F44" si="7">ROUND((D38*E38),2)</f>
        <v>1145259.1299999999</v>
      </c>
    </row>
    <row r="39" spans="1:8" x14ac:dyDescent="0.2">
      <c r="A39" s="66" t="str">
        <f t="shared" ref="A39:A44" si="8">+A17</f>
        <v>GS&lt;50 kW</v>
      </c>
      <c r="B39" s="67"/>
      <c r="C39" s="80" t="str">
        <f t="shared" si="6"/>
        <v>kWh</v>
      </c>
      <c r="D39" s="67">
        <f t="shared" si="6"/>
        <v>234999219.0492</v>
      </c>
      <c r="E39" s="95">
        <v>1.5E-3</v>
      </c>
      <c r="F39" s="81">
        <f t="shared" si="7"/>
        <v>352498.83</v>
      </c>
    </row>
    <row r="40" spans="1:8" x14ac:dyDescent="0.2">
      <c r="A40" s="66" t="str">
        <f t="shared" si="8"/>
        <v>GS&gt;50 kW</v>
      </c>
      <c r="B40" s="67"/>
      <c r="C40" s="80" t="str">
        <f t="shared" si="6"/>
        <v>kW</v>
      </c>
      <c r="D40" s="67">
        <f>D29</f>
        <v>2043793.86</v>
      </c>
      <c r="E40" s="95">
        <v>0.84489999999999998</v>
      </c>
      <c r="F40" s="81">
        <f t="shared" si="7"/>
        <v>1726801.43</v>
      </c>
      <c r="H40" s="49" t="s">
        <v>93</v>
      </c>
    </row>
    <row r="41" spans="1:8" x14ac:dyDescent="0.2">
      <c r="A41" s="66" t="str">
        <f t="shared" si="8"/>
        <v>Large User</v>
      </c>
      <c r="B41" s="67"/>
      <c r="C41" s="80" t="str">
        <f t="shared" si="6"/>
        <v>kW</v>
      </c>
      <c r="D41" s="67">
        <f t="shared" si="6"/>
        <v>68382.8269</v>
      </c>
      <c r="E41" s="95">
        <v>0.79430000000000001</v>
      </c>
      <c r="F41" s="81">
        <f t="shared" si="7"/>
        <v>54316.480000000003</v>
      </c>
    </row>
    <row r="42" spans="1:8" x14ac:dyDescent="0.2">
      <c r="A42" s="66" t="str">
        <f t="shared" si="8"/>
        <v xml:space="preserve">Streetlights </v>
      </c>
      <c r="B42" s="67"/>
      <c r="C42" s="80" t="str">
        <f t="shared" si="6"/>
        <v>kW</v>
      </c>
      <c r="D42" s="67">
        <f t="shared" si="6"/>
        <v>20613.041099999999</v>
      </c>
      <c r="E42" s="95">
        <v>0.51429999999999998</v>
      </c>
      <c r="F42" s="81">
        <f t="shared" si="7"/>
        <v>10601.29</v>
      </c>
    </row>
    <row r="43" spans="1:8" x14ac:dyDescent="0.2">
      <c r="A43" s="66" t="str">
        <f t="shared" si="8"/>
        <v>USL</v>
      </c>
      <c r="B43" s="67"/>
      <c r="C43" s="80" t="str">
        <f t="shared" si="6"/>
        <v>kWh</v>
      </c>
      <c r="D43" s="67">
        <f t="shared" si="6"/>
        <v>4234881.3870000001</v>
      </c>
      <c r="E43" s="95">
        <v>1.5E-3</v>
      </c>
      <c r="F43" s="81">
        <f t="shared" si="7"/>
        <v>6352.32</v>
      </c>
    </row>
    <row r="44" spans="1:8" x14ac:dyDescent="0.2">
      <c r="A44" s="96" t="str">
        <f t="shared" si="8"/>
        <v>Embedded Distributor</v>
      </c>
      <c r="B44" s="97"/>
      <c r="C44" s="98" t="s">
        <v>66</v>
      </c>
      <c r="D44" s="97">
        <f>D33</f>
        <v>43316.19</v>
      </c>
      <c r="E44" s="99">
        <v>0.79700000000000004</v>
      </c>
      <c r="F44" s="100">
        <f t="shared" si="7"/>
        <v>34523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3330352.48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13">
        <f>$D$15</f>
        <v>2019</v>
      </c>
      <c r="E48" s="214"/>
      <c r="F48" s="215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+D16</f>
        <v>673681843.40260005</v>
      </c>
      <c r="E49" s="95">
        <v>3.0000000000000001E-3</v>
      </c>
      <c r="F49" s="81">
        <f t="shared" ref="F49:F55" si="9">ROUND((D49*E49),2)</f>
        <v>2021045.53</v>
      </c>
      <c r="L49" s="116"/>
    </row>
    <row r="50" spans="1:12" x14ac:dyDescent="0.2">
      <c r="A50" s="66" t="str">
        <f t="shared" ref="A50:A55" si="10">+A17</f>
        <v>GS&lt;50 kW</v>
      </c>
      <c r="B50" s="67"/>
      <c r="C50" s="80" t="s">
        <v>65</v>
      </c>
      <c r="D50" s="67">
        <f t="shared" ref="D50:D55" si="11">+D17</f>
        <v>234999219.0492</v>
      </c>
      <c r="E50" s="95">
        <f>+E49</f>
        <v>3.0000000000000001E-3</v>
      </c>
      <c r="F50" s="81">
        <f t="shared" si="9"/>
        <v>704997.66</v>
      </c>
      <c r="L50" s="116"/>
    </row>
    <row r="51" spans="1:12" x14ac:dyDescent="0.2">
      <c r="A51" s="66" t="str">
        <f t="shared" si="10"/>
        <v>GS&gt;50 kW</v>
      </c>
      <c r="B51" s="67"/>
      <c r="C51" s="80" t="s">
        <v>65</v>
      </c>
      <c r="D51" s="67">
        <f t="shared" si="11"/>
        <v>805681267.13049996</v>
      </c>
      <c r="E51" s="95">
        <f>+E49</f>
        <v>3.0000000000000001E-3</v>
      </c>
      <c r="F51" s="81">
        <f t="shared" si="9"/>
        <v>2417043.7999999998</v>
      </c>
      <c r="H51" s="49" t="s">
        <v>94</v>
      </c>
      <c r="L51" s="116"/>
    </row>
    <row r="52" spans="1:12" x14ac:dyDescent="0.2">
      <c r="A52" s="66" t="str">
        <f t="shared" si="10"/>
        <v>Large User</v>
      </c>
      <c r="B52" s="67"/>
      <c r="C52" s="80" t="s">
        <v>65</v>
      </c>
      <c r="D52" s="67">
        <f t="shared" si="11"/>
        <v>34401304.216499999</v>
      </c>
      <c r="E52" s="95">
        <f>+E49</f>
        <v>3.0000000000000001E-3</v>
      </c>
      <c r="F52" s="81">
        <f t="shared" si="9"/>
        <v>103203.91</v>
      </c>
      <c r="L52" s="116"/>
    </row>
    <row r="53" spans="1:12" x14ac:dyDescent="0.2">
      <c r="A53" s="66" t="str">
        <f t="shared" si="10"/>
        <v xml:space="preserve">Streetlights </v>
      </c>
      <c r="B53" s="67"/>
      <c r="C53" s="80" t="s">
        <v>65</v>
      </c>
      <c r="D53" s="67">
        <f t="shared" si="11"/>
        <v>7646176.3585000001</v>
      </c>
      <c r="E53" s="95">
        <f>+E49</f>
        <v>3.0000000000000001E-3</v>
      </c>
      <c r="F53" s="81">
        <f t="shared" si="9"/>
        <v>22938.53</v>
      </c>
      <c r="L53" s="116"/>
    </row>
    <row r="54" spans="1:12" x14ac:dyDescent="0.2">
      <c r="A54" s="66" t="str">
        <f t="shared" si="10"/>
        <v>USL</v>
      </c>
      <c r="B54" s="67"/>
      <c r="C54" s="80" t="s">
        <v>65</v>
      </c>
      <c r="D54" s="67">
        <f t="shared" si="11"/>
        <v>4234881.3870000001</v>
      </c>
      <c r="E54" s="95">
        <f>+E49</f>
        <v>3.0000000000000001E-3</v>
      </c>
      <c r="F54" s="81">
        <f t="shared" si="9"/>
        <v>12704.64</v>
      </c>
      <c r="L54" s="116"/>
    </row>
    <row r="55" spans="1:12" x14ac:dyDescent="0.2">
      <c r="A55" s="72" t="str">
        <f t="shared" si="10"/>
        <v>Embedded Distributor</v>
      </c>
      <c r="B55" s="67"/>
      <c r="C55" s="80" t="s">
        <v>65</v>
      </c>
      <c r="D55" s="67">
        <f t="shared" si="11"/>
        <v>0</v>
      </c>
      <c r="E55" s="95">
        <f>+E49</f>
        <v>3.0000000000000001E-3</v>
      </c>
      <c r="F55" s="81">
        <f t="shared" si="9"/>
        <v>0</v>
      </c>
      <c r="L55" s="116"/>
    </row>
    <row r="56" spans="1:12" x14ac:dyDescent="0.2">
      <c r="A56" s="73" t="s">
        <v>68</v>
      </c>
      <c r="B56" s="74"/>
      <c r="C56" s="79"/>
      <c r="D56" s="74">
        <f>SUM(D49:D55)</f>
        <v>1760644691.5443003</v>
      </c>
      <c r="E56" s="82"/>
      <c r="F56" s="83">
        <f>ROUND((SUM(F49:F55)),2)</f>
        <v>5281934.07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13">
        <f>$D$15</f>
        <v>2019</v>
      </c>
      <c r="E59" s="214"/>
      <c r="F59" s="215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673681843.40260005</v>
      </c>
      <c r="E60" s="95">
        <v>4.0000000000000002E-4</v>
      </c>
      <c r="F60" s="81">
        <f t="shared" ref="F60:F66" si="12">ROUND((D60*E60),2)</f>
        <v>269472.74</v>
      </c>
    </row>
    <row r="61" spans="1:12" x14ac:dyDescent="0.2">
      <c r="A61" s="66" t="str">
        <f t="shared" ref="A61:A66" si="13">+A17</f>
        <v>GS&lt;50 kW</v>
      </c>
      <c r="B61" s="67"/>
      <c r="C61" s="80" t="s">
        <v>65</v>
      </c>
      <c r="D61" s="67">
        <f>+D50</f>
        <v>234999219.0492</v>
      </c>
      <c r="E61" s="95">
        <f>+E60</f>
        <v>4.0000000000000002E-4</v>
      </c>
      <c r="F61" s="81">
        <f t="shared" si="12"/>
        <v>93999.69</v>
      </c>
    </row>
    <row r="62" spans="1:12" x14ac:dyDescent="0.2">
      <c r="A62" s="66" t="str">
        <f t="shared" si="13"/>
        <v>GS&gt;50 kW</v>
      </c>
      <c r="B62" s="67"/>
      <c r="C62" s="80" t="s">
        <v>65</v>
      </c>
      <c r="D62" s="67">
        <f>+D51-F6</f>
        <v>588323865.54830003</v>
      </c>
      <c r="E62" s="95">
        <f>+E60</f>
        <v>4.0000000000000002E-4</v>
      </c>
      <c r="F62" s="81">
        <f t="shared" si="12"/>
        <v>235329.55</v>
      </c>
      <c r="H62" s="49" t="s">
        <v>94</v>
      </c>
    </row>
    <row r="63" spans="1:12" x14ac:dyDescent="0.2">
      <c r="A63" s="66" t="str">
        <f t="shared" si="13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2"/>
        <v>0</v>
      </c>
      <c r="H63" t="s">
        <v>176</v>
      </c>
    </row>
    <row r="64" spans="1:12" x14ac:dyDescent="0.2">
      <c r="A64" s="66" t="str">
        <f t="shared" si="13"/>
        <v xml:space="preserve">Streetlights </v>
      </c>
      <c r="B64" s="67"/>
      <c r="C64" s="80" t="s">
        <v>65</v>
      </c>
      <c r="D64" s="67">
        <f>+D53</f>
        <v>7646176.3585000001</v>
      </c>
      <c r="E64" s="95">
        <f>+E60</f>
        <v>4.0000000000000002E-4</v>
      </c>
      <c r="F64" s="81">
        <f t="shared" si="12"/>
        <v>3058.47</v>
      </c>
    </row>
    <row r="65" spans="1:8" x14ac:dyDescent="0.2">
      <c r="A65" s="66" t="str">
        <f t="shared" si="13"/>
        <v>USL</v>
      </c>
      <c r="B65" s="67"/>
      <c r="C65" s="80" t="s">
        <v>65</v>
      </c>
      <c r="D65" s="67">
        <f>+D54</f>
        <v>4234881.3870000001</v>
      </c>
      <c r="E65" s="95">
        <f>+E60</f>
        <v>4.0000000000000002E-4</v>
      </c>
      <c r="F65" s="81">
        <f t="shared" si="12"/>
        <v>1693.95</v>
      </c>
    </row>
    <row r="66" spans="1:8" x14ac:dyDescent="0.2">
      <c r="A66" s="72" t="str">
        <f t="shared" si="13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2"/>
        <v>0</v>
      </c>
    </row>
    <row r="67" spans="1:8" x14ac:dyDescent="0.2">
      <c r="A67" s="73" t="s">
        <v>68</v>
      </c>
      <c r="B67" s="74"/>
      <c r="C67" s="79"/>
      <c r="D67" s="74">
        <f>SUM(D60:D66)</f>
        <v>1508885985.7456002</v>
      </c>
      <c r="E67" s="82"/>
      <c r="F67" s="83">
        <f>ROUND((SUM(F60:F66)),2)</f>
        <v>603554.4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6">
        <f>$D$15</f>
        <v>2019</v>
      </c>
      <c r="E70" s="214"/>
      <c r="F70" s="217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4">D49</f>
        <v>673681843.40260005</v>
      </c>
      <c r="E71" s="95">
        <v>5.0000000000000001E-4</v>
      </c>
      <c r="F71" s="81">
        <f t="shared" ref="F71:F77" si="15">ROUND((D71*E71),2)</f>
        <v>336840.92</v>
      </c>
    </row>
    <row r="72" spans="1:8" x14ac:dyDescent="0.2">
      <c r="A72" s="66" t="str">
        <f t="shared" ref="A72:A77" si="16">+A17</f>
        <v>GS&lt;50 kW</v>
      </c>
      <c r="B72" s="67"/>
      <c r="C72" s="80" t="s">
        <v>65</v>
      </c>
      <c r="D72" s="67">
        <f t="shared" si="14"/>
        <v>234999219.0492</v>
      </c>
      <c r="E72" s="95">
        <f>+E71</f>
        <v>5.0000000000000001E-4</v>
      </c>
      <c r="F72" s="81">
        <f t="shared" si="15"/>
        <v>117499.61</v>
      </c>
      <c r="H72" s="49"/>
    </row>
    <row r="73" spans="1:8" x14ac:dyDescent="0.2">
      <c r="A73" s="66" t="str">
        <f t="shared" si="16"/>
        <v>GS&gt;50 kW</v>
      </c>
      <c r="B73" s="67"/>
      <c r="C73" s="80" t="s">
        <v>65</v>
      </c>
      <c r="D73" s="67">
        <f t="shared" si="14"/>
        <v>805681267.13049996</v>
      </c>
      <c r="E73" s="95">
        <f>+E71</f>
        <v>5.0000000000000001E-4</v>
      </c>
      <c r="F73" s="81">
        <f t="shared" si="15"/>
        <v>402840.63</v>
      </c>
      <c r="H73" s="49" t="s">
        <v>94</v>
      </c>
    </row>
    <row r="74" spans="1:8" x14ac:dyDescent="0.2">
      <c r="A74" s="66" t="str">
        <f t="shared" si="16"/>
        <v>Large User</v>
      </c>
      <c r="B74" s="67"/>
      <c r="C74" s="80" t="s">
        <v>65</v>
      </c>
      <c r="D74" s="67">
        <f t="shared" si="14"/>
        <v>34401304.216499999</v>
      </c>
      <c r="E74" s="95">
        <f>+E71</f>
        <v>5.0000000000000001E-4</v>
      </c>
      <c r="F74" s="81">
        <f t="shared" si="15"/>
        <v>17200.650000000001</v>
      </c>
    </row>
    <row r="75" spans="1:8" x14ac:dyDescent="0.2">
      <c r="A75" s="66" t="str">
        <f t="shared" si="16"/>
        <v xml:space="preserve">Streetlights </v>
      </c>
      <c r="B75" s="67"/>
      <c r="C75" s="80" t="s">
        <v>65</v>
      </c>
      <c r="D75" s="67">
        <f t="shared" si="14"/>
        <v>7646176.3585000001</v>
      </c>
      <c r="E75" s="95">
        <f>+E71</f>
        <v>5.0000000000000001E-4</v>
      </c>
      <c r="F75" s="81">
        <f t="shared" si="15"/>
        <v>3823.09</v>
      </c>
    </row>
    <row r="76" spans="1:8" x14ac:dyDescent="0.2">
      <c r="A76" s="66" t="str">
        <f t="shared" si="16"/>
        <v>USL</v>
      </c>
      <c r="B76" s="67"/>
      <c r="C76" s="80" t="s">
        <v>65</v>
      </c>
      <c r="D76" s="67">
        <f t="shared" si="14"/>
        <v>4234881.3870000001</v>
      </c>
      <c r="E76" s="95">
        <f>+E71</f>
        <v>5.0000000000000001E-4</v>
      </c>
      <c r="F76" s="81">
        <f t="shared" si="15"/>
        <v>2117.44</v>
      </c>
    </row>
    <row r="77" spans="1:8" x14ac:dyDescent="0.2">
      <c r="A77" s="72" t="str">
        <f t="shared" si="16"/>
        <v>Embedded Distributor</v>
      </c>
      <c r="B77" s="67"/>
      <c r="C77" s="80" t="s">
        <v>65</v>
      </c>
      <c r="D77" s="67">
        <f t="shared" si="14"/>
        <v>0</v>
      </c>
      <c r="E77" s="95">
        <f>+E71</f>
        <v>5.0000000000000001E-4</v>
      </c>
      <c r="F77" s="81">
        <f t="shared" si="15"/>
        <v>0</v>
      </c>
    </row>
    <row r="78" spans="1:8" x14ac:dyDescent="0.2">
      <c r="A78" s="73" t="s">
        <v>68</v>
      </c>
      <c r="B78" s="74"/>
      <c r="C78" s="79"/>
      <c r="D78" s="74">
        <f>SUM(D71:D77)</f>
        <v>1760644691.5443003</v>
      </c>
      <c r="E78" s="82"/>
      <c r="F78" s="83">
        <f>ROUND((SUM(F71:F77)),2)</f>
        <v>880322.34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6">
        <f>$D$15</f>
        <v>2019</v>
      </c>
      <c r="E81" s="214"/>
      <c r="F81" s="217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ROUND((Customer!B14*12),0)</f>
        <v>1063428</v>
      </c>
      <c r="E82" s="95">
        <v>0.56999999999999995</v>
      </c>
      <c r="F82" s="81">
        <f>ROUND((D82*E82),2)</f>
        <v>606153.96</v>
      </c>
    </row>
    <row r="83" spans="1:6" x14ac:dyDescent="0.2">
      <c r="A83" s="66" t="str">
        <f>A17</f>
        <v>GS&lt;50 kW</v>
      </c>
      <c r="B83" s="67"/>
      <c r="C83" s="80"/>
      <c r="D83" s="67">
        <f>ROUND((Customer!C14*12),0)</f>
        <v>96708</v>
      </c>
      <c r="E83" s="95">
        <f>+E82</f>
        <v>0.56999999999999995</v>
      </c>
      <c r="F83" s="81">
        <f>ROUND((D83*E83),2)</f>
        <v>55123.56</v>
      </c>
    </row>
    <row r="84" spans="1:6" x14ac:dyDescent="0.2">
      <c r="A84" s="73" t="s">
        <v>68</v>
      </c>
      <c r="B84" s="74"/>
      <c r="C84" s="79"/>
      <c r="D84" s="74">
        <f>SUM(D82:D83)</f>
        <v>1160136</v>
      </c>
      <c r="E84" s="82"/>
      <c r="F84" s="83">
        <f>ROUND((SUM(F82:F83)),2)</f>
        <v>661277.52</v>
      </c>
    </row>
    <row r="85" spans="1:6" x14ac:dyDescent="0.2">
      <c r="A85" s="103"/>
      <c r="B85" s="104">
        <f>$D$15</f>
        <v>2019</v>
      </c>
    </row>
    <row r="86" spans="1:6" x14ac:dyDescent="0.2">
      <c r="A86" s="105" t="s">
        <v>78</v>
      </c>
      <c r="B86" s="106">
        <f>F23</f>
        <v>161776829.41</v>
      </c>
    </row>
    <row r="87" spans="1:6" x14ac:dyDescent="0.2">
      <c r="A87" s="105" t="s">
        <v>79</v>
      </c>
      <c r="B87" s="106">
        <f>F56+F67</f>
        <v>5885488.4700000007</v>
      </c>
    </row>
    <row r="88" spans="1:6" x14ac:dyDescent="0.2">
      <c r="A88" s="105" t="s">
        <v>80</v>
      </c>
      <c r="B88" s="106">
        <f>F34</f>
        <v>11075012.23</v>
      </c>
    </row>
    <row r="89" spans="1:6" x14ac:dyDescent="0.2">
      <c r="A89" s="105" t="s">
        <v>81</v>
      </c>
      <c r="B89" s="106">
        <f>F45</f>
        <v>3330352.48</v>
      </c>
    </row>
    <row r="90" spans="1:6" x14ac:dyDescent="0.2">
      <c r="A90" s="105" t="s">
        <v>168</v>
      </c>
      <c r="B90" s="106">
        <f>F78</f>
        <v>880322.34</v>
      </c>
    </row>
    <row r="91" spans="1:6" x14ac:dyDescent="0.2">
      <c r="A91" s="107" t="s">
        <v>82</v>
      </c>
      <c r="B91" s="106">
        <f>+F84</f>
        <v>661277.52</v>
      </c>
    </row>
    <row r="92" spans="1:6" x14ac:dyDescent="0.2">
      <c r="A92" s="76" t="s">
        <v>68</v>
      </c>
      <c r="B92" s="83">
        <f>SUM(B86:B91)</f>
        <v>183609282.44999999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tabSelected="1" topLeftCell="A13" workbookViewId="0">
      <selection activeCell="O22" sqref="O22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4" t="s">
        <v>89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ROUND((Energy!$H$84),4)</f>
        <v>654425084.40349996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ROUND((Energy!$I$84),4)</f>
        <v>224650326.62329999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ROUND((Energy!$J$84),4)</f>
        <v>542817162.11800003</v>
      </c>
      <c r="C4" s="70">
        <f>ROUND((Load!$B$14),4)</f>
        <v>1442142.1566000001</v>
      </c>
      <c r="D4" s="108">
        <v>0.14686416109839648</v>
      </c>
      <c r="E4" s="120"/>
      <c r="F4" s="75"/>
      <c r="G4" s="75"/>
    </row>
    <row r="5" spans="1:14" x14ac:dyDescent="0.2">
      <c r="A5" s="72" t="s">
        <v>162</v>
      </c>
      <c r="B5" s="67">
        <f>ROUND((Energy!$K$84),4)</f>
        <v>12047022.884299999</v>
      </c>
      <c r="C5" s="70">
        <f>ROUND((Load!$C$14),4)</f>
        <v>34080.072999999997</v>
      </c>
      <c r="D5" s="108">
        <v>0</v>
      </c>
      <c r="E5" s="120"/>
      <c r="F5" s="75" t="s">
        <v>181</v>
      </c>
      <c r="G5" s="75"/>
    </row>
    <row r="6" spans="1:14" x14ac:dyDescent="0.2">
      <c r="A6" s="72" t="s">
        <v>163</v>
      </c>
      <c r="B6" s="67">
        <f>ROUND((Energy!$L$84),4)</f>
        <v>211246783.87819999</v>
      </c>
      <c r="C6" s="70">
        <f>ROUND((Load!$D$14),4)</f>
        <v>502671.10230000003</v>
      </c>
      <c r="D6" s="108">
        <v>0</v>
      </c>
      <c r="E6" s="120"/>
      <c r="F6" s="75">
        <f>ROUND((B6*1.0322),4)</f>
        <v>218048930.31909999</v>
      </c>
      <c r="G6" s="75"/>
    </row>
    <row r="7" spans="1:14" x14ac:dyDescent="0.2">
      <c r="A7" s="66" t="s">
        <v>45</v>
      </c>
      <c r="B7" s="67">
        <f>ROUND((Energy!$M$84),4)</f>
        <v>35092546.975000001</v>
      </c>
      <c r="C7" s="70">
        <f>ROUND((Load!$E$14),4)</f>
        <v>70126.589000000007</v>
      </c>
      <c r="D7" s="108">
        <v>0</v>
      </c>
      <c r="E7" s="120"/>
      <c r="F7" s="75"/>
      <c r="G7" s="75"/>
      <c r="K7" s="71"/>
    </row>
    <row r="8" spans="1:14" x14ac:dyDescent="0.2">
      <c r="A8" s="66" t="s">
        <v>46</v>
      </c>
      <c r="B8" s="67">
        <f>ROUND((Energy!$N$84),4)</f>
        <v>7307481.5936000003</v>
      </c>
      <c r="C8" s="70">
        <f>ROUND((Load!$F$14),4)</f>
        <v>20391.435300000001</v>
      </c>
      <c r="D8" s="108">
        <v>1.270590326270077E-2</v>
      </c>
      <c r="F8" s="65"/>
    </row>
    <row r="9" spans="1:14" x14ac:dyDescent="0.2">
      <c r="A9" s="66" t="s">
        <v>47</v>
      </c>
      <c r="B9" s="67">
        <f>ROUND((Energy!$O$84),4)</f>
        <v>4173586.84</v>
      </c>
      <c r="C9" s="68"/>
      <c r="D9" s="108">
        <v>1</v>
      </c>
      <c r="F9" s="116"/>
      <c r="G9" s="49"/>
    </row>
    <row r="10" spans="1:14" x14ac:dyDescent="0.2">
      <c r="A10" s="72" t="s">
        <v>61</v>
      </c>
      <c r="B10" s="67">
        <f>ROUND((ED!C14),4)</f>
        <v>19053029.030000001</v>
      </c>
      <c r="C10" s="70">
        <f>ROUND((ED!$B$14),4)</f>
        <v>43316.19</v>
      </c>
      <c r="D10" s="69">
        <v>0</v>
      </c>
      <c r="F10" s="116"/>
      <c r="G10" s="49"/>
    </row>
    <row r="11" spans="1:14" x14ac:dyDescent="0.2">
      <c r="A11" s="73" t="s">
        <v>68</v>
      </c>
      <c r="B11" s="74">
        <f>ROUND((SUM(B2:B10)),4)</f>
        <v>1710813024.3459001</v>
      </c>
      <c r="C11" s="74">
        <f>ROUND((SUM(C2:C10)),4)</f>
        <v>2112727.5462000002</v>
      </c>
      <c r="D11" s="74"/>
      <c r="F11" s="116"/>
      <c r="G11" s="49"/>
    </row>
    <row r="12" spans="1:14" x14ac:dyDescent="0.2">
      <c r="B12" s="75"/>
      <c r="C12" s="75"/>
    </row>
    <row r="14" spans="1:14" x14ac:dyDescent="0.2">
      <c r="A14" s="64" t="s">
        <v>165</v>
      </c>
      <c r="B14" s="218" t="s">
        <v>90</v>
      </c>
      <c r="C14" s="218" t="s">
        <v>167</v>
      </c>
      <c r="D14" s="76"/>
      <c r="E14" s="77"/>
      <c r="F14" s="78"/>
    </row>
    <row r="15" spans="1:14" x14ac:dyDescent="0.2">
      <c r="A15" s="79" t="s">
        <v>69</v>
      </c>
      <c r="B15" s="219"/>
      <c r="C15" s="220"/>
      <c r="D15" s="221">
        <v>2020</v>
      </c>
      <c r="E15" s="222"/>
      <c r="F15" s="223"/>
    </row>
    <row r="16" spans="1:14" x14ac:dyDescent="0.2">
      <c r="A16" s="66" t="str">
        <f>A2</f>
        <v xml:space="preserve">Residential </v>
      </c>
      <c r="B16" s="67">
        <f>+B2</f>
        <v>654425084.40349996</v>
      </c>
      <c r="C16" s="98">
        <v>1.0348999999999999</v>
      </c>
      <c r="D16" s="67">
        <f>ROUND((B16*C16),4)</f>
        <v>677264519.84920001</v>
      </c>
      <c r="E16" s="99">
        <v>9.4299999999999995E-2</v>
      </c>
      <c r="F16" s="81">
        <f>ROUND((D16*E16),2)</f>
        <v>63866044.219999999</v>
      </c>
      <c r="G16" s="116"/>
      <c r="H16" s="116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224650326.62329999</v>
      </c>
      <c r="C17" s="80">
        <f t="shared" ref="C17:C22" si="0">$C$16</f>
        <v>1.0348999999999999</v>
      </c>
      <c r="D17" s="67">
        <f t="shared" ref="D17:D22" si="1">ROUND((B17*C17),4)</f>
        <v>232490623.02250001</v>
      </c>
      <c r="E17" s="113">
        <f t="shared" ref="E17" si="2">E16</f>
        <v>9.4299999999999995E-2</v>
      </c>
      <c r="F17" s="81">
        <f t="shared" ref="F17:F22" si="3">ROUND((D17*E17),2)</f>
        <v>21923865.75</v>
      </c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754063945.99620008</v>
      </c>
      <c r="C18" s="80">
        <f t="shared" si="0"/>
        <v>1.0348999999999999</v>
      </c>
      <c r="D18" s="67">
        <f t="shared" si="1"/>
        <v>780380777.71150005</v>
      </c>
      <c r="E18" s="113">
        <v>9.1260462545496357E-2</v>
      </c>
      <c r="F18" s="81">
        <f>ROUND((D18*E18),2)</f>
        <v>71217910.739999995</v>
      </c>
      <c r="J18" s="112"/>
      <c r="L18" s="116"/>
      <c r="N18" s="116"/>
    </row>
    <row r="19" spans="1:14" x14ac:dyDescent="0.2">
      <c r="A19" s="66" t="str">
        <f t="shared" ref="A19:A22" si="4">A7</f>
        <v>Large User</v>
      </c>
      <c r="B19" s="67">
        <f>+B7</f>
        <v>35092546.975000001</v>
      </c>
      <c r="C19" s="98">
        <v>1.0053000000000001</v>
      </c>
      <c r="D19" s="67">
        <f t="shared" si="1"/>
        <v>35278537.473999999</v>
      </c>
      <c r="E19" s="113">
        <v>2.4730598048260801E-2</v>
      </c>
      <c r="F19" s="81">
        <f t="shared" si="3"/>
        <v>872459.33</v>
      </c>
      <c r="J19" s="111"/>
      <c r="L19" s="116"/>
      <c r="N19" s="116"/>
    </row>
    <row r="20" spans="1:14" x14ac:dyDescent="0.2">
      <c r="A20" s="66" t="str">
        <f t="shared" si="4"/>
        <v xml:space="preserve">Streetlights </v>
      </c>
      <c r="B20" s="67">
        <f>+B8</f>
        <v>7307481.5936000003</v>
      </c>
      <c r="C20" s="80">
        <f t="shared" si="0"/>
        <v>1.0348999999999999</v>
      </c>
      <c r="D20" s="67">
        <f t="shared" si="1"/>
        <v>7562512.7012</v>
      </c>
      <c r="E20" s="113">
        <f>+E16</f>
        <v>9.4299999999999995E-2</v>
      </c>
      <c r="F20" s="81">
        <f t="shared" si="3"/>
        <v>713144.95</v>
      </c>
      <c r="L20" s="116"/>
      <c r="N20" s="116"/>
    </row>
    <row r="21" spans="1:14" x14ac:dyDescent="0.2">
      <c r="A21" s="66" t="str">
        <f t="shared" si="4"/>
        <v>USL</v>
      </c>
      <c r="B21" s="67">
        <f t="shared" ref="B21:B22" si="5">B9*D9</f>
        <v>4173586.84</v>
      </c>
      <c r="C21" s="80">
        <f t="shared" si="0"/>
        <v>1.0348999999999999</v>
      </c>
      <c r="D21" s="67">
        <f t="shared" si="1"/>
        <v>4319245.0207000002</v>
      </c>
      <c r="E21" s="113">
        <f>E16</f>
        <v>9.4299999999999995E-2</v>
      </c>
      <c r="F21" s="81">
        <f t="shared" si="3"/>
        <v>407304.81</v>
      </c>
      <c r="L21" s="116"/>
      <c r="N21" s="116"/>
    </row>
    <row r="22" spans="1:14" x14ac:dyDescent="0.2">
      <c r="A22" s="66" t="str">
        <f t="shared" si="4"/>
        <v>Embedded Distributor</v>
      </c>
      <c r="B22" s="67">
        <f t="shared" si="5"/>
        <v>0</v>
      </c>
      <c r="C22" s="80">
        <f t="shared" si="0"/>
        <v>1.0348999999999999</v>
      </c>
      <c r="D22" s="67">
        <f t="shared" si="1"/>
        <v>0</v>
      </c>
      <c r="E22" s="113">
        <f>E16</f>
        <v>9.4299999999999995E-2</v>
      </c>
      <c r="F22" s="81">
        <f t="shared" si="3"/>
        <v>0</v>
      </c>
      <c r="L22" s="116"/>
      <c r="N22" s="116"/>
    </row>
    <row r="23" spans="1:14" x14ac:dyDescent="0.2">
      <c r="A23" s="73" t="s">
        <v>68</v>
      </c>
      <c r="B23" s="74">
        <f>SUM(B16:B21)</f>
        <v>1679712972.4315999</v>
      </c>
      <c r="C23" s="79"/>
      <c r="D23" s="74">
        <f>ROUND((SUM(D16:D21)),4)</f>
        <v>1737296215.7790999</v>
      </c>
      <c r="E23" s="82"/>
      <c r="F23" s="83">
        <f>ROUND((SUM(F16:F21)),2)</f>
        <v>159000729.80000001</v>
      </c>
      <c r="L23" s="116"/>
    </row>
    <row r="24" spans="1:14" x14ac:dyDescent="0.2">
      <c r="D24" s="71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13">
        <f>$D$15</f>
        <v>2020</v>
      </c>
      <c r="E26" s="214"/>
      <c r="F26" s="217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677264519.84920001</v>
      </c>
      <c r="E27" s="95">
        <f>ROUND((0.00613697927588184),4)</f>
        <v>6.1000000000000004E-3</v>
      </c>
      <c r="F27" s="81">
        <f t="shared" ref="F27:F33" si="6">ROUND((D27*E27),2)</f>
        <v>4131313.57</v>
      </c>
      <c r="H27" s="49"/>
    </row>
    <row r="28" spans="1:14" x14ac:dyDescent="0.2">
      <c r="A28" s="66" t="str">
        <f t="shared" ref="A28:A33" si="7">+A17</f>
        <v>GS&lt;50 kW</v>
      </c>
      <c r="B28" s="67"/>
      <c r="C28" s="80" t="s">
        <v>65</v>
      </c>
      <c r="D28" s="67">
        <f>D17</f>
        <v>232490623.02250001</v>
      </c>
      <c r="E28" s="95">
        <f>ROUND((0.00530484651196029),4)</f>
        <v>5.3E-3</v>
      </c>
      <c r="F28" s="81">
        <f t="shared" si="6"/>
        <v>1232200.3</v>
      </c>
    </row>
    <row r="29" spans="1:14" x14ac:dyDescent="0.2">
      <c r="A29" s="66" t="str">
        <f t="shared" si="7"/>
        <v>GS&gt;50 kW</v>
      </c>
      <c r="B29" s="67"/>
      <c r="C29" s="80" t="s">
        <v>66</v>
      </c>
      <c r="D29" s="67">
        <f>+C4+C5+C6</f>
        <v>1978893.3319000001</v>
      </c>
      <c r="E29" s="95">
        <f>ROUND((2.8297715456094),4)</f>
        <v>2.8298000000000001</v>
      </c>
      <c r="F29" s="81">
        <f t="shared" si="6"/>
        <v>5599872.3499999996</v>
      </c>
      <c r="H29" s="49" t="s">
        <v>93</v>
      </c>
    </row>
    <row r="30" spans="1:14" x14ac:dyDescent="0.2">
      <c r="A30" s="66" t="str">
        <f t="shared" si="7"/>
        <v>Large User</v>
      </c>
      <c r="B30" s="67"/>
      <c r="C30" s="80" t="s">
        <v>66</v>
      </c>
      <c r="D30" s="67">
        <f>C7</f>
        <v>70126.589000000007</v>
      </c>
      <c r="E30" s="95">
        <f>ROUND((2.65960031905633),4)</f>
        <v>2.6596000000000002</v>
      </c>
      <c r="F30" s="81">
        <f t="shared" si="6"/>
        <v>186508.68</v>
      </c>
    </row>
    <row r="31" spans="1:14" x14ac:dyDescent="0.2">
      <c r="A31" s="66" t="str">
        <f t="shared" si="7"/>
        <v xml:space="preserve">Streetlights </v>
      </c>
      <c r="B31" s="67"/>
      <c r="C31" s="80" t="s">
        <v>66</v>
      </c>
      <c r="D31" s="67">
        <f>C8</f>
        <v>20391.435300000001</v>
      </c>
      <c r="E31" s="95">
        <f>ROUND((1.72074654260113),4)</f>
        <v>1.7206999999999999</v>
      </c>
      <c r="F31" s="81">
        <f t="shared" si="6"/>
        <v>35087.54</v>
      </c>
    </row>
    <row r="32" spans="1:14" x14ac:dyDescent="0.2">
      <c r="A32" s="66" t="str">
        <f t="shared" si="7"/>
        <v>USL</v>
      </c>
      <c r="B32" s="67"/>
      <c r="C32" s="80" t="s">
        <v>65</v>
      </c>
      <c r="D32" s="67">
        <f>D21</f>
        <v>4319245.0207000002</v>
      </c>
      <c r="E32" s="95">
        <f>ROUND((0.00530484641458397),4)</f>
        <v>5.3E-3</v>
      </c>
      <c r="F32" s="81">
        <f t="shared" si="6"/>
        <v>22892</v>
      </c>
    </row>
    <row r="33" spans="1:8" x14ac:dyDescent="0.2">
      <c r="A33" s="96" t="str">
        <f t="shared" si="7"/>
        <v>Embedded Distributor</v>
      </c>
      <c r="B33" s="97"/>
      <c r="C33" s="98" t="s">
        <v>66</v>
      </c>
      <c r="D33" s="97">
        <f>+C10</f>
        <v>43316.19</v>
      </c>
      <c r="E33" s="99">
        <f>ROUND((2.66802546395928),4)</f>
        <v>2.6680000000000001</v>
      </c>
      <c r="F33" s="100">
        <f t="shared" si="6"/>
        <v>115567.59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11323442.029999999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13">
        <f>$D$15</f>
        <v>2020</v>
      </c>
      <c r="E37" s="214"/>
      <c r="F37" s="217"/>
    </row>
    <row r="38" spans="1:8" x14ac:dyDescent="0.2">
      <c r="A38" s="66" t="str">
        <f>+A16</f>
        <v xml:space="preserve">Residential </v>
      </c>
      <c r="B38" s="67"/>
      <c r="C38" s="80" t="str">
        <f t="shared" ref="C38:D43" si="8">C27</f>
        <v>kWh</v>
      </c>
      <c r="D38" s="67">
        <f t="shared" si="8"/>
        <v>677264519.84920001</v>
      </c>
      <c r="E38" s="113">
        <f>ROUND((0.00170039331487917),4)</f>
        <v>1.6999999999999999E-3</v>
      </c>
      <c r="F38" s="81">
        <f t="shared" ref="F38:F44" si="9">ROUND((D38*E38),2)</f>
        <v>1151349.68</v>
      </c>
    </row>
    <row r="39" spans="1:8" x14ac:dyDescent="0.2">
      <c r="A39" s="66" t="str">
        <f t="shared" ref="A39:A44" si="10">+A17</f>
        <v>GS&lt;50 kW</v>
      </c>
      <c r="B39" s="67"/>
      <c r="C39" s="80" t="str">
        <f t="shared" si="8"/>
        <v>kWh</v>
      </c>
      <c r="D39" s="67">
        <f t="shared" si="8"/>
        <v>232490623.02250001</v>
      </c>
      <c r="E39" s="95">
        <f>ROUND((0.00150034702396375),4)</f>
        <v>1.5E-3</v>
      </c>
      <c r="F39" s="81">
        <f t="shared" si="9"/>
        <v>348735.93</v>
      </c>
    </row>
    <row r="40" spans="1:8" x14ac:dyDescent="0.2">
      <c r="A40" s="66" t="str">
        <f t="shared" si="10"/>
        <v>GS&gt;50 kW</v>
      </c>
      <c r="B40" s="67"/>
      <c r="C40" s="80" t="str">
        <f t="shared" si="8"/>
        <v>kW</v>
      </c>
      <c r="D40" s="67">
        <f>D29</f>
        <v>1978893.3319000001</v>
      </c>
      <c r="E40" s="95">
        <f>ROUND((0.845095477484139),4)</f>
        <v>0.84509999999999996</v>
      </c>
      <c r="F40" s="81">
        <f t="shared" si="9"/>
        <v>1672362.75</v>
      </c>
      <c r="H40" s="49" t="s">
        <v>93</v>
      </c>
    </row>
    <row r="41" spans="1:8" x14ac:dyDescent="0.2">
      <c r="A41" s="66" t="str">
        <f t="shared" si="10"/>
        <v>Large User</v>
      </c>
      <c r="B41" s="67"/>
      <c r="C41" s="80" t="str">
        <f t="shared" si="8"/>
        <v>kW</v>
      </c>
      <c r="D41" s="67">
        <f t="shared" si="8"/>
        <v>70126.589000000007</v>
      </c>
      <c r="E41" s="95">
        <f>ROUND((0.794483802559181),4)</f>
        <v>0.79449999999999998</v>
      </c>
      <c r="F41" s="81">
        <f t="shared" si="9"/>
        <v>55715.57</v>
      </c>
    </row>
    <row r="42" spans="1:8" x14ac:dyDescent="0.2">
      <c r="A42" s="66" t="str">
        <f t="shared" si="10"/>
        <v xml:space="preserve">Streetlights </v>
      </c>
      <c r="B42" s="67"/>
      <c r="C42" s="80" t="str">
        <f t="shared" si="8"/>
        <v>kW</v>
      </c>
      <c r="D42" s="67">
        <f t="shared" si="8"/>
        <v>20391.435300000001</v>
      </c>
      <c r="E42" s="95">
        <f>ROUND((0.514418792183765),4)</f>
        <v>0.51439999999999997</v>
      </c>
      <c r="F42" s="81">
        <f t="shared" si="9"/>
        <v>10489.35</v>
      </c>
    </row>
    <row r="43" spans="1:8" x14ac:dyDescent="0.2">
      <c r="A43" s="66" t="str">
        <f t="shared" si="10"/>
        <v>USL</v>
      </c>
      <c r="B43" s="67"/>
      <c r="C43" s="80" t="str">
        <f t="shared" si="8"/>
        <v>kWh</v>
      </c>
      <c r="D43" s="67">
        <f t="shared" si="8"/>
        <v>4319245.0207000002</v>
      </c>
      <c r="E43" s="95">
        <f>ROUND((0.00150034784128535),4)</f>
        <v>1.5E-3</v>
      </c>
      <c r="F43" s="81">
        <f t="shared" si="9"/>
        <v>6478.87</v>
      </c>
    </row>
    <row r="44" spans="1:8" x14ac:dyDescent="0.2">
      <c r="A44" s="96" t="str">
        <f t="shared" si="10"/>
        <v>Embedded Distributor</v>
      </c>
      <c r="B44" s="97"/>
      <c r="C44" s="98" t="s">
        <v>66</v>
      </c>
      <c r="D44" s="97">
        <f>D33</f>
        <v>43316.19</v>
      </c>
      <c r="E44" s="99">
        <f>ROUND((0.797184170658885),4)</f>
        <v>0.79720000000000002</v>
      </c>
      <c r="F44" s="100">
        <f t="shared" si="9"/>
        <v>34531.67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3279663.82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13">
        <f>$D$15</f>
        <v>2020</v>
      </c>
      <c r="E48" s="214"/>
      <c r="F48" s="215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D16</f>
        <v>677264519.84920001</v>
      </c>
      <c r="E49" s="95">
        <v>3.0000000000000001E-3</v>
      </c>
      <c r="F49" s="81">
        <f t="shared" ref="F49:F55" si="11">ROUND((D49*E49),2)</f>
        <v>2031793.56</v>
      </c>
      <c r="L49" s="116"/>
    </row>
    <row r="50" spans="1:12" x14ac:dyDescent="0.2">
      <c r="A50" s="66" t="str">
        <f t="shared" ref="A50:A55" si="12">+A17</f>
        <v>GS&lt;50 kW</v>
      </c>
      <c r="B50" s="67"/>
      <c r="C50" s="80" t="s">
        <v>65</v>
      </c>
      <c r="D50" s="67">
        <f>D17</f>
        <v>232490623.02250001</v>
      </c>
      <c r="E50" s="95">
        <f>+E49</f>
        <v>3.0000000000000001E-3</v>
      </c>
      <c r="F50" s="81">
        <f t="shared" si="11"/>
        <v>697471.87</v>
      </c>
      <c r="L50" s="116"/>
    </row>
    <row r="51" spans="1:12" x14ac:dyDescent="0.2">
      <c r="A51" s="66" t="str">
        <f t="shared" si="12"/>
        <v>GS&gt;50 kW</v>
      </c>
      <c r="B51" s="67"/>
      <c r="C51" s="80" t="s">
        <v>65</v>
      </c>
      <c r="D51" s="67">
        <f>+D18</f>
        <v>780380777.71150005</v>
      </c>
      <c r="E51" s="95">
        <f>+E49</f>
        <v>3.0000000000000001E-3</v>
      </c>
      <c r="F51" s="81">
        <f t="shared" si="11"/>
        <v>2341142.33</v>
      </c>
      <c r="H51" s="49" t="s">
        <v>94</v>
      </c>
      <c r="L51" s="116"/>
    </row>
    <row r="52" spans="1:12" x14ac:dyDescent="0.2">
      <c r="A52" s="66" t="str">
        <f t="shared" si="12"/>
        <v>Large User</v>
      </c>
      <c r="B52" s="67"/>
      <c r="C52" s="80" t="s">
        <v>65</v>
      </c>
      <c r="D52" s="67">
        <f>D19</f>
        <v>35278537.473999999</v>
      </c>
      <c r="E52" s="95">
        <f>+E49</f>
        <v>3.0000000000000001E-3</v>
      </c>
      <c r="F52" s="81">
        <f t="shared" si="11"/>
        <v>105835.61</v>
      </c>
      <c r="L52" s="116"/>
    </row>
    <row r="53" spans="1:12" x14ac:dyDescent="0.2">
      <c r="A53" s="66" t="str">
        <f t="shared" si="12"/>
        <v xml:space="preserve">Streetlights </v>
      </c>
      <c r="B53" s="67"/>
      <c r="C53" s="80" t="s">
        <v>65</v>
      </c>
      <c r="D53" s="67">
        <f>D20</f>
        <v>7562512.7012</v>
      </c>
      <c r="E53" s="95">
        <f>+E49</f>
        <v>3.0000000000000001E-3</v>
      </c>
      <c r="F53" s="81">
        <f t="shared" si="11"/>
        <v>22687.54</v>
      </c>
      <c r="L53" s="116"/>
    </row>
    <row r="54" spans="1:12" x14ac:dyDescent="0.2">
      <c r="A54" s="66" t="str">
        <f t="shared" si="12"/>
        <v>USL</v>
      </c>
      <c r="B54" s="67"/>
      <c r="C54" s="80" t="s">
        <v>65</v>
      </c>
      <c r="D54" s="67">
        <f>D21</f>
        <v>4319245.0207000002</v>
      </c>
      <c r="E54" s="95">
        <f>+E49</f>
        <v>3.0000000000000001E-3</v>
      </c>
      <c r="F54" s="81">
        <f t="shared" si="11"/>
        <v>12957.74</v>
      </c>
      <c r="L54" s="116"/>
    </row>
    <row r="55" spans="1:12" x14ac:dyDescent="0.2">
      <c r="A55" s="72" t="str">
        <f t="shared" si="12"/>
        <v>Embedded Distributor</v>
      </c>
      <c r="B55" s="67"/>
      <c r="C55" s="80" t="s">
        <v>65</v>
      </c>
      <c r="D55" s="67">
        <f>D22</f>
        <v>0</v>
      </c>
      <c r="E55" s="95">
        <f>+E49</f>
        <v>3.0000000000000001E-3</v>
      </c>
      <c r="F55" s="81">
        <f t="shared" si="11"/>
        <v>0</v>
      </c>
    </row>
    <row r="56" spans="1:12" x14ac:dyDescent="0.2">
      <c r="A56" s="73" t="s">
        <v>68</v>
      </c>
      <c r="B56" s="74"/>
      <c r="C56" s="79"/>
      <c r="D56" s="74">
        <f>SUM(D49:D55)</f>
        <v>1737296215.7790999</v>
      </c>
      <c r="E56" s="82"/>
      <c r="F56" s="83">
        <f>SUM(F49:F55)</f>
        <v>5211888.6500000004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13">
        <f>$D$15</f>
        <v>2020</v>
      </c>
      <c r="E59" s="214"/>
      <c r="F59" s="215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677264519.84920001</v>
      </c>
      <c r="E60" s="95">
        <v>4.0000000000000002E-4</v>
      </c>
      <c r="F60" s="81">
        <f t="shared" ref="F60:F66" si="13">ROUND((D60*E60),2)</f>
        <v>270905.81</v>
      </c>
    </row>
    <row r="61" spans="1:12" x14ac:dyDescent="0.2">
      <c r="A61" s="66" t="str">
        <f t="shared" ref="A61:A66" si="14">+A17</f>
        <v>GS&lt;50 kW</v>
      </c>
      <c r="B61" s="67"/>
      <c r="C61" s="80" t="s">
        <v>65</v>
      </c>
      <c r="D61" s="67">
        <f>+D50</f>
        <v>232490623.02250001</v>
      </c>
      <c r="E61" s="95">
        <f>+E60</f>
        <v>4.0000000000000002E-4</v>
      </c>
      <c r="F61" s="81">
        <f t="shared" si="13"/>
        <v>92996.25</v>
      </c>
    </row>
    <row r="62" spans="1:12" x14ac:dyDescent="0.2">
      <c r="A62" s="66" t="str">
        <f t="shared" si="14"/>
        <v>GS&gt;50 kW</v>
      </c>
      <c r="B62" s="67"/>
      <c r="C62" s="80" t="s">
        <v>65</v>
      </c>
      <c r="D62" s="67">
        <f>+D51-F6</f>
        <v>562331847.39240003</v>
      </c>
      <c r="E62" s="95">
        <f>+E60</f>
        <v>4.0000000000000002E-4</v>
      </c>
      <c r="F62" s="81">
        <f t="shared" si="13"/>
        <v>224932.74</v>
      </c>
      <c r="H62" s="49" t="s">
        <v>94</v>
      </c>
    </row>
    <row r="63" spans="1:12" x14ac:dyDescent="0.2">
      <c r="A63" s="66" t="str">
        <f t="shared" si="14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3"/>
        <v>0</v>
      </c>
      <c r="H63" t="s">
        <v>176</v>
      </c>
    </row>
    <row r="64" spans="1:12" x14ac:dyDescent="0.2">
      <c r="A64" s="66" t="str">
        <f t="shared" si="14"/>
        <v xml:space="preserve">Streetlights </v>
      </c>
      <c r="B64" s="67"/>
      <c r="C64" s="80" t="s">
        <v>65</v>
      </c>
      <c r="D64" s="67">
        <f>+D53</f>
        <v>7562512.7012</v>
      </c>
      <c r="E64" s="95">
        <f>+E60</f>
        <v>4.0000000000000002E-4</v>
      </c>
      <c r="F64" s="81">
        <f t="shared" si="13"/>
        <v>3025.01</v>
      </c>
    </row>
    <row r="65" spans="1:8" x14ac:dyDescent="0.2">
      <c r="A65" s="66" t="str">
        <f t="shared" si="14"/>
        <v>USL</v>
      </c>
      <c r="B65" s="67"/>
      <c r="C65" s="80" t="s">
        <v>65</v>
      </c>
      <c r="D65" s="67">
        <f>+D54</f>
        <v>4319245.0207000002</v>
      </c>
      <c r="E65" s="95">
        <f>+E60</f>
        <v>4.0000000000000002E-4</v>
      </c>
      <c r="F65" s="81">
        <f t="shared" si="13"/>
        <v>1727.7</v>
      </c>
    </row>
    <row r="66" spans="1:8" x14ac:dyDescent="0.2">
      <c r="A66" s="72" t="str">
        <f t="shared" si="14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3"/>
        <v>0</v>
      </c>
    </row>
    <row r="67" spans="1:8" x14ac:dyDescent="0.2">
      <c r="A67" s="73" t="s">
        <v>68</v>
      </c>
      <c r="B67" s="74"/>
      <c r="C67" s="79"/>
      <c r="D67" s="74">
        <f>SUM(D60:D66)</f>
        <v>1483968747.9860001</v>
      </c>
      <c r="E67" s="82"/>
      <c r="F67" s="83">
        <f>SUM(F60:F66)</f>
        <v>593587.51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6">
        <f>$D$15</f>
        <v>2020</v>
      </c>
      <c r="E70" s="214"/>
      <c r="F70" s="217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5">D49</f>
        <v>677264519.84920001</v>
      </c>
      <c r="E71" s="95">
        <v>5.0000000000000001E-4</v>
      </c>
      <c r="F71" s="81">
        <f t="shared" ref="F71:F77" si="16">ROUND((D71*E71),2)</f>
        <v>338632.26</v>
      </c>
    </row>
    <row r="72" spans="1:8" x14ac:dyDescent="0.2">
      <c r="A72" s="66" t="str">
        <f t="shared" ref="A72:A77" si="17">+A17</f>
        <v>GS&lt;50 kW</v>
      </c>
      <c r="B72" s="67"/>
      <c r="C72" s="80" t="s">
        <v>65</v>
      </c>
      <c r="D72" s="67">
        <f t="shared" si="15"/>
        <v>232490623.02250001</v>
      </c>
      <c r="E72" s="95">
        <f>+E71</f>
        <v>5.0000000000000001E-4</v>
      </c>
      <c r="F72" s="81">
        <f t="shared" si="16"/>
        <v>116245.31</v>
      </c>
      <c r="H72" s="49"/>
    </row>
    <row r="73" spans="1:8" x14ac:dyDescent="0.2">
      <c r="A73" s="66" t="str">
        <f t="shared" si="17"/>
        <v>GS&gt;50 kW</v>
      </c>
      <c r="B73" s="67"/>
      <c r="C73" s="80" t="s">
        <v>65</v>
      </c>
      <c r="D73" s="67">
        <f t="shared" si="15"/>
        <v>780380777.71150005</v>
      </c>
      <c r="E73" s="95">
        <f>+E71</f>
        <v>5.0000000000000001E-4</v>
      </c>
      <c r="F73" s="81">
        <f t="shared" si="16"/>
        <v>390190.39</v>
      </c>
      <c r="H73" s="49" t="s">
        <v>94</v>
      </c>
    </row>
    <row r="74" spans="1:8" x14ac:dyDescent="0.2">
      <c r="A74" s="66" t="str">
        <f t="shared" si="17"/>
        <v>Large User</v>
      </c>
      <c r="B74" s="67"/>
      <c r="C74" s="80" t="s">
        <v>65</v>
      </c>
      <c r="D74" s="67">
        <f t="shared" si="15"/>
        <v>35278537.473999999</v>
      </c>
      <c r="E74" s="95">
        <f>+E71</f>
        <v>5.0000000000000001E-4</v>
      </c>
      <c r="F74" s="81">
        <f t="shared" si="16"/>
        <v>17639.27</v>
      </c>
    </row>
    <row r="75" spans="1:8" x14ac:dyDescent="0.2">
      <c r="A75" s="66" t="str">
        <f t="shared" si="17"/>
        <v xml:space="preserve">Streetlights </v>
      </c>
      <c r="B75" s="67"/>
      <c r="C75" s="80" t="s">
        <v>65</v>
      </c>
      <c r="D75" s="67">
        <f t="shared" si="15"/>
        <v>7562512.7012</v>
      </c>
      <c r="E75" s="95">
        <f>+E71</f>
        <v>5.0000000000000001E-4</v>
      </c>
      <c r="F75" s="81">
        <f t="shared" si="16"/>
        <v>3781.26</v>
      </c>
    </row>
    <row r="76" spans="1:8" x14ac:dyDescent="0.2">
      <c r="A76" s="66" t="str">
        <f t="shared" si="17"/>
        <v>USL</v>
      </c>
      <c r="B76" s="67"/>
      <c r="C76" s="80" t="s">
        <v>65</v>
      </c>
      <c r="D76" s="67">
        <f t="shared" si="15"/>
        <v>4319245.0207000002</v>
      </c>
      <c r="E76" s="95">
        <f>+E71</f>
        <v>5.0000000000000001E-4</v>
      </c>
      <c r="F76" s="81">
        <f t="shared" si="16"/>
        <v>2159.62</v>
      </c>
    </row>
    <row r="77" spans="1:8" x14ac:dyDescent="0.2">
      <c r="A77" s="72" t="str">
        <f t="shared" si="17"/>
        <v>Embedded Distributor</v>
      </c>
      <c r="B77" s="67"/>
      <c r="C77" s="80" t="s">
        <v>65</v>
      </c>
      <c r="D77" s="67">
        <f t="shared" si="15"/>
        <v>0</v>
      </c>
      <c r="E77" s="95">
        <f>+E71</f>
        <v>5.0000000000000001E-4</v>
      </c>
      <c r="F77" s="81">
        <f t="shared" si="16"/>
        <v>0</v>
      </c>
    </row>
    <row r="78" spans="1:8" x14ac:dyDescent="0.2">
      <c r="A78" s="73" t="s">
        <v>68</v>
      </c>
      <c r="B78" s="74"/>
      <c r="C78" s="79"/>
      <c r="D78" s="74">
        <f>SUM(D71:D77)</f>
        <v>1737296215.7790999</v>
      </c>
      <c r="E78" s="82"/>
      <c r="F78" s="83">
        <f>SUM(F71:F77)</f>
        <v>868648.11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6">
        <f>$D$15</f>
        <v>2020</v>
      </c>
      <c r="E81" s="214"/>
      <c r="F81" s="217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ROUND((Customer!B15*12),0)</f>
        <v>1078320</v>
      </c>
      <c r="E82" s="95">
        <v>0.56999999999999995</v>
      </c>
      <c r="F82" s="81">
        <f>ROUND((D82*E82),2)</f>
        <v>614642.4</v>
      </c>
    </row>
    <row r="83" spans="1:6" x14ac:dyDescent="0.2">
      <c r="A83" s="66" t="str">
        <f>+A17</f>
        <v>GS&lt;50 kW</v>
      </c>
      <c r="B83" s="67"/>
      <c r="C83" s="80"/>
      <c r="D83" s="67">
        <f>ROUND((Customer!C15*12),0)</f>
        <v>97632</v>
      </c>
      <c r="E83" s="95">
        <f>+E82</f>
        <v>0.56999999999999995</v>
      </c>
      <c r="F83" s="81">
        <f>ROUND((D83*E83),2)</f>
        <v>55650.239999999998</v>
      </c>
    </row>
    <row r="84" spans="1:6" x14ac:dyDescent="0.2">
      <c r="A84" s="73" t="s">
        <v>68</v>
      </c>
      <c r="B84" s="74"/>
      <c r="C84" s="79"/>
      <c r="D84" s="74">
        <f>SUM(D82:D83)</f>
        <v>1175952</v>
      </c>
      <c r="E84" s="82"/>
      <c r="F84" s="83">
        <f>SUM(F82:F83)</f>
        <v>670292.64</v>
      </c>
    </row>
    <row r="85" spans="1:6" x14ac:dyDescent="0.2">
      <c r="A85" s="103"/>
      <c r="B85" s="104">
        <f>$D$15</f>
        <v>2020</v>
      </c>
    </row>
    <row r="86" spans="1:6" x14ac:dyDescent="0.2">
      <c r="A86" s="105" t="s">
        <v>78</v>
      </c>
      <c r="B86" s="106">
        <f>F23</f>
        <v>159000729.80000001</v>
      </c>
      <c r="E86" s="116"/>
    </row>
    <row r="87" spans="1:6" x14ac:dyDescent="0.2">
      <c r="A87" s="105" t="s">
        <v>79</v>
      </c>
      <c r="B87" s="106">
        <f>F56+F67</f>
        <v>5805476.1600000001</v>
      </c>
      <c r="E87" s="183"/>
    </row>
    <row r="88" spans="1:6" x14ac:dyDescent="0.2">
      <c r="A88" s="105" t="s">
        <v>80</v>
      </c>
      <c r="B88" s="106">
        <f>F34</f>
        <v>11323442.029999999</v>
      </c>
    </row>
    <row r="89" spans="1:6" x14ac:dyDescent="0.2">
      <c r="A89" s="105" t="s">
        <v>81</v>
      </c>
      <c r="B89" s="106">
        <f>F45</f>
        <v>3279663.82</v>
      </c>
    </row>
    <row r="90" spans="1:6" x14ac:dyDescent="0.2">
      <c r="A90" s="105" t="s">
        <v>168</v>
      </c>
      <c r="B90" s="106">
        <f>F78</f>
        <v>868648.11</v>
      </c>
      <c r="C90" s="116">
        <f>+B87+B90</f>
        <v>6674124.2700000005</v>
      </c>
    </row>
    <row r="91" spans="1:6" x14ac:dyDescent="0.2">
      <c r="A91" s="107" t="s">
        <v>82</v>
      </c>
      <c r="B91" s="106">
        <f>+F84</f>
        <v>670292.64</v>
      </c>
    </row>
    <row r="92" spans="1:6" x14ac:dyDescent="0.2">
      <c r="A92" s="76" t="s">
        <v>68</v>
      </c>
      <c r="B92" s="83">
        <f>SUM(B86:B91)</f>
        <v>180948252.56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1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24" t="s">
        <v>117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3" spans="1:16" ht="38.25" x14ac:dyDescent="0.2">
      <c r="B3" s="128" t="s">
        <v>118</v>
      </c>
      <c r="C3" s="128" t="s">
        <v>119</v>
      </c>
      <c r="D3" s="128" t="s">
        <v>120</v>
      </c>
      <c r="E3" s="128" t="s">
        <v>121</v>
      </c>
      <c r="F3" s="128" t="s">
        <v>122</v>
      </c>
      <c r="G3" s="128" t="s">
        <v>123</v>
      </c>
      <c r="H3" s="128" t="s">
        <v>124</v>
      </c>
      <c r="I3" s="128" t="s">
        <v>125</v>
      </c>
      <c r="J3" s="128" t="s">
        <v>126</v>
      </c>
      <c r="K3" s="128" t="s">
        <v>127</v>
      </c>
      <c r="L3" s="121" t="s">
        <v>105</v>
      </c>
      <c r="M3" s="121" t="s">
        <v>106</v>
      </c>
    </row>
    <row r="4" spans="1:16" x14ac:dyDescent="0.2">
      <c r="A4" s="42" t="s">
        <v>98</v>
      </c>
      <c r="B4" s="122">
        <f>+Power!F149</f>
        <v>1783525545.6735001</v>
      </c>
      <c r="C4" s="122">
        <f>+Power!F150</f>
        <v>1847282693.8638999</v>
      </c>
      <c r="D4" s="122">
        <f>+Power!F151</f>
        <v>1851601106.1615</v>
      </c>
      <c r="E4" s="122">
        <f>+Power!F152</f>
        <v>1841751486.6217</v>
      </c>
      <c r="F4" s="122">
        <f>+Power!F153</f>
        <v>1826077452.0487001</v>
      </c>
      <c r="G4" s="122">
        <f>+Power!F154</f>
        <v>1813646737.4347999</v>
      </c>
      <c r="H4" s="122">
        <f>+Power!F155</f>
        <v>1801989952.4038</v>
      </c>
      <c r="I4" s="122">
        <f>+Power!F156</f>
        <v>1811690675.5150001</v>
      </c>
      <c r="J4" s="122">
        <f>+Power!F157</f>
        <v>1757808741.7091</v>
      </c>
      <c r="K4" s="122">
        <f>+Power!F158</f>
        <v>1857049843.3989</v>
      </c>
    </row>
    <row r="5" spans="1:16" x14ac:dyDescent="0.2">
      <c r="A5" s="42" t="s">
        <v>99</v>
      </c>
      <c r="B5" s="122">
        <f>+Power!O149</f>
        <v>1783348926.3108001</v>
      </c>
      <c r="C5" s="122">
        <f>+Power!O150</f>
        <v>1853938229.2521999</v>
      </c>
      <c r="D5" s="122">
        <f>+Power!O151</f>
        <v>1837191385.5755</v>
      </c>
      <c r="E5" s="122">
        <f>+Power!O152</f>
        <v>1836000107.3951001</v>
      </c>
      <c r="F5" s="122">
        <f>+Power!O153</f>
        <v>1834406224.3978</v>
      </c>
      <c r="G5" s="122">
        <f>+Power!O154</f>
        <v>1809544904.1628001</v>
      </c>
      <c r="H5" s="122">
        <f>+Power!O155</f>
        <v>1804742685.1770999</v>
      </c>
      <c r="I5" s="122">
        <f>+Power!O156</f>
        <v>1820476273.0509</v>
      </c>
      <c r="J5" s="122">
        <f>+Power!O157</f>
        <v>1777604188.0706999</v>
      </c>
      <c r="K5" s="122">
        <f>+Power!O158</f>
        <v>1835171311.4377</v>
      </c>
      <c r="L5" s="122">
        <f>+Power!O159</f>
        <v>1780845832.4563999</v>
      </c>
      <c r="M5" s="122">
        <f>+Power!O160</f>
        <v>1770482192.0574999</v>
      </c>
    </row>
    <row r="6" spans="1:16" x14ac:dyDescent="0.2">
      <c r="A6" s="42" t="s">
        <v>97</v>
      </c>
      <c r="B6" s="129">
        <f>ROUND(((B5-B4)/B4),4)</f>
        <v>-1E-4</v>
      </c>
      <c r="C6" s="129">
        <f t="shared" ref="C6:K6" si="0">ROUND(((C5-C4)/C4),4)</f>
        <v>3.5999999999999999E-3</v>
      </c>
      <c r="D6" s="129">
        <f t="shared" si="0"/>
        <v>-7.7999999999999996E-3</v>
      </c>
      <c r="E6" s="129">
        <f t="shared" si="0"/>
        <v>-3.0999999999999999E-3</v>
      </c>
      <c r="F6" s="129">
        <f t="shared" si="0"/>
        <v>4.5999999999999999E-3</v>
      </c>
      <c r="G6" s="129">
        <f t="shared" si="0"/>
        <v>-2.3E-3</v>
      </c>
      <c r="H6" s="129">
        <f t="shared" si="0"/>
        <v>1.5E-3</v>
      </c>
      <c r="I6" s="129">
        <f t="shared" si="0"/>
        <v>4.7999999999999996E-3</v>
      </c>
      <c r="J6" s="129">
        <f t="shared" si="0"/>
        <v>1.1299999999999999E-2</v>
      </c>
      <c r="K6" s="129">
        <f t="shared" si="0"/>
        <v>-1.18E-2</v>
      </c>
      <c r="L6" s="123"/>
      <c r="M6" s="123"/>
      <c r="N6" s="124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2" t="s">
        <v>107</v>
      </c>
      <c r="B8" s="122">
        <f>+Energy!E6</f>
        <v>1777401233</v>
      </c>
      <c r="C8" s="122">
        <f>+Energy!E7</f>
        <v>1829500492</v>
      </c>
      <c r="D8" s="122">
        <f>+Energy!E8</f>
        <v>1833881352</v>
      </c>
      <c r="E8" s="122">
        <f>+Energy!E9</f>
        <v>1825234090</v>
      </c>
      <c r="F8" s="122">
        <f>+Energy!E10</f>
        <v>1813262316.5969999</v>
      </c>
      <c r="G8" s="122">
        <f>+Energy!E11</f>
        <v>1803531650.6849</v>
      </c>
      <c r="H8" s="122">
        <f>+Energy!E12</f>
        <v>1762488283.8699999</v>
      </c>
      <c r="I8" s="122">
        <f>+Energy!E13</f>
        <v>1765790195.1571</v>
      </c>
      <c r="J8" s="122">
        <f>+Energy!E14</f>
        <v>1709004939.8992</v>
      </c>
      <c r="K8" s="122">
        <f>+Energy!E15</f>
        <v>1805957382.2454</v>
      </c>
      <c r="L8" s="122">
        <f>+Energy!E16</f>
        <v>1725291447.8361001</v>
      </c>
      <c r="M8" s="122">
        <f>+Energy!E17</f>
        <v>1715251106.4303999</v>
      </c>
      <c r="N8" s="124"/>
      <c r="O8" s="75"/>
      <c r="P8" s="75"/>
    </row>
    <row r="9" spans="1:16" x14ac:dyDescent="0.2">
      <c r="A9" s="42"/>
      <c r="F9" s="125"/>
      <c r="G9" s="125"/>
      <c r="H9" s="125"/>
      <c r="I9" s="125"/>
    </row>
    <row r="10" spans="1:16" ht="15.75" x14ac:dyDescent="0.25">
      <c r="A10" s="126" t="s">
        <v>108</v>
      </c>
    </row>
    <row r="11" spans="1:16" x14ac:dyDescent="0.2">
      <c r="A11" s="127" t="s">
        <v>42</v>
      </c>
    </row>
    <row r="12" spans="1:16" x14ac:dyDescent="0.2">
      <c r="A12" t="s">
        <v>100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101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650837448.94459999</v>
      </c>
      <c r="M13" s="1">
        <f>+Energy!H84</f>
        <v>654425084.40349996</v>
      </c>
      <c r="O13" s="49"/>
    </row>
    <row r="14" spans="1:16" x14ac:dyDescent="0.2">
      <c r="J14" s="124"/>
      <c r="L14" s="123"/>
      <c r="M14" s="123"/>
    </row>
    <row r="15" spans="1:16" x14ac:dyDescent="0.2">
      <c r="A15" s="127" t="s">
        <v>43</v>
      </c>
    </row>
    <row r="16" spans="1:16" x14ac:dyDescent="0.2">
      <c r="A16" t="s">
        <v>100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101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227030450.24559999</v>
      </c>
      <c r="M17" s="1">
        <f>+Energy!I84</f>
        <v>224650326.62329999</v>
      </c>
    </row>
    <row r="18" spans="1:13" x14ac:dyDescent="0.2">
      <c r="J18" s="124"/>
      <c r="L18" s="123"/>
      <c r="M18" s="123"/>
    </row>
    <row r="19" spans="1:13" x14ac:dyDescent="0.2">
      <c r="A19" s="127" t="s">
        <v>44</v>
      </c>
      <c r="L19" s="1"/>
      <c r="M19" s="1"/>
    </row>
    <row r="20" spans="1:13" x14ac:dyDescent="0.2">
      <c r="A20" t="s">
        <v>100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101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791448075.14900005</v>
      </c>
      <c r="M21" s="1">
        <f>+Energy!J84+Energy!K84+Energy!L84</f>
        <v>766110968.88050008</v>
      </c>
    </row>
    <row r="22" spans="1:13" x14ac:dyDescent="0.2">
      <c r="A22" t="s">
        <v>102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2043793.86</v>
      </c>
      <c r="M22" s="1">
        <f>+Load!B14+Load!C14+Load!D14</f>
        <v>1978893.3319000001</v>
      </c>
    </row>
    <row r="23" spans="1:13" x14ac:dyDescent="0.2">
      <c r="J23" s="124"/>
      <c r="L23" s="123"/>
      <c r="M23" s="123"/>
    </row>
    <row r="24" spans="1:13" x14ac:dyDescent="0.2">
      <c r="A24" s="127" t="s">
        <v>45</v>
      </c>
      <c r="L24" s="1"/>
      <c r="M24" s="1"/>
    </row>
    <row r="25" spans="1:13" x14ac:dyDescent="0.2">
      <c r="A25" t="s">
        <v>100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101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8">
        <f>+Energy!M83</f>
        <v>34219938.542199999</v>
      </c>
      <c r="M26" s="38">
        <f>+Energy!M84</f>
        <v>35092546.975000001</v>
      </c>
    </row>
    <row r="27" spans="1:13" x14ac:dyDescent="0.2">
      <c r="A27" t="s">
        <v>102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4"/>
      <c r="L28" s="123"/>
      <c r="M28" s="123"/>
    </row>
    <row r="29" spans="1:13" x14ac:dyDescent="0.2">
      <c r="A29" s="127" t="s">
        <v>46</v>
      </c>
      <c r="L29" s="1"/>
      <c r="M29" s="1"/>
    </row>
    <row r="30" spans="1:13" x14ac:dyDescent="0.2">
      <c r="A30" t="s">
        <v>109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101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7">
        <f>+Energy!N83</f>
        <v>7386896.2983999997</v>
      </c>
      <c r="M31" s="147">
        <f>+Energy!N84</f>
        <v>7307481.5936000003</v>
      </c>
    </row>
    <row r="32" spans="1:13" x14ac:dyDescent="0.2">
      <c r="A32" t="s">
        <v>102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7" t="s">
        <v>47</v>
      </c>
      <c r="L34" s="1"/>
      <c r="M34" s="1"/>
    </row>
    <row r="35" spans="1:13" x14ac:dyDescent="0.2">
      <c r="A35" t="s">
        <v>109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101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L37" s="1"/>
      <c r="M37" s="1"/>
    </row>
    <row r="38" spans="1:13" x14ac:dyDescent="0.2">
      <c r="A38" s="127" t="s">
        <v>61</v>
      </c>
      <c r="K38"/>
      <c r="L38" s="1"/>
      <c r="M38" s="1"/>
    </row>
    <row r="39" spans="1:13" x14ac:dyDescent="0.2">
      <c r="A39" t="s">
        <v>100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101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102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7" t="s">
        <v>110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103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101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1715014086.7249999</v>
      </c>
      <c r="M45" s="1">
        <f t="shared" si="2"/>
        <v>1691759995.3159001</v>
      </c>
    </row>
    <row r="46" spans="1:13" x14ac:dyDescent="0.2">
      <c r="A46" t="s">
        <v>104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2132789.73</v>
      </c>
      <c r="M46" s="1">
        <f t="shared" si="3"/>
        <v>2069411.36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7" t="s">
        <v>111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103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101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1734067115.7550001</v>
      </c>
      <c r="M50" s="1">
        <f t="shared" si="5"/>
        <v>1710813024.3459001</v>
      </c>
    </row>
    <row r="51" spans="1:13" x14ac:dyDescent="0.2">
      <c r="A51" t="s">
        <v>104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2176105.92</v>
      </c>
      <c r="M51" s="1">
        <f t="shared" si="6"/>
        <v>2112727.5499999998</v>
      </c>
    </row>
    <row r="53" spans="1:13" x14ac:dyDescent="0.2">
      <c r="A53" s="127" t="s">
        <v>112</v>
      </c>
      <c r="L53" s="1"/>
      <c r="M53" s="1"/>
    </row>
    <row r="54" spans="1:13" x14ac:dyDescent="0.2">
      <c r="A54" t="s">
        <v>103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101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1725291447.8362</v>
      </c>
      <c r="M55" s="1">
        <f>ROUND((Energy!P64),0)</f>
        <v>1715251106</v>
      </c>
    </row>
    <row r="56" spans="1:13" x14ac:dyDescent="0.2">
      <c r="A56" t="s">
        <v>104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2132789.73</v>
      </c>
      <c r="M56" s="1">
        <f>ROUND((Load!G14),2)</f>
        <v>2069411.36</v>
      </c>
    </row>
    <row r="58" spans="1:13" x14ac:dyDescent="0.2">
      <c r="A58" s="127" t="s">
        <v>113</v>
      </c>
      <c r="L58" s="1"/>
      <c r="M58" s="1"/>
    </row>
    <row r="59" spans="1:13" x14ac:dyDescent="0.2">
      <c r="A59" t="s">
        <v>103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101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1734067115.7550001</v>
      </c>
      <c r="M60" s="1">
        <f>ROUND((Energy!P84+ED!C13),4)</f>
        <v>1710813024.3459001</v>
      </c>
    </row>
    <row r="61" spans="1:13" x14ac:dyDescent="0.2">
      <c r="A61" t="s">
        <v>104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2176105.92</v>
      </c>
      <c r="M61" s="1">
        <f>ROUND((Load!G14+ED!B14),2)</f>
        <v>2112727.5499999998</v>
      </c>
    </row>
    <row r="63" spans="1:13" x14ac:dyDescent="0.2">
      <c r="A63" s="127" t="s">
        <v>114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103</v>
      </c>
      <c r="B64" s="30">
        <f>ROUND((B49-B59),0)</f>
        <v>0</v>
      </c>
      <c r="C64" s="30">
        <f t="shared" ref="C64:M64" si="7">ROUND((C49-C59),0)</f>
        <v>0</v>
      </c>
      <c r="D64" s="30">
        <f t="shared" si="7"/>
        <v>0</v>
      </c>
      <c r="E64" s="30">
        <f t="shared" si="7"/>
        <v>0</v>
      </c>
      <c r="F64" s="30">
        <f t="shared" si="7"/>
        <v>0</v>
      </c>
      <c r="G64" s="30">
        <f t="shared" si="7"/>
        <v>0</v>
      </c>
      <c r="H64" s="30">
        <f t="shared" si="7"/>
        <v>0</v>
      </c>
      <c r="I64" s="30">
        <f t="shared" si="7"/>
        <v>0</v>
      </c>
      <c r="J64" s="30">
        <f t="shared" si="7"/>
        <v>0</v>
      </c>
      <c r="K64" s="30">
        <f t="shared" si="7"/>
        <v>0</v>
      </c>
      <c r="L64" s="30">
        <f t="shared" si="7"/>
        <v>0</v>
      </c>
      <c r="M64" s="30">
        <f t="shared" si="7"/>
        <v>0</v>
      </c>
    </row>
    <row r="65" spans="1:16" x14ac:dyDescent="0.2">
      <c r="A65" t="s">
        <v>101</v>
      </c>
      <c r="B65" s="30">
        <f>ROUND((B50-B60),4)</f>
        <v>0</v>
      </c>
      <c r="C65" s="30">
        <f t="shared" ref="C65:M65" si="8">ROUND((C50-C60),4)</f>
        <v>0</v>
      </c>
      <c r="D65" s="30">
        <f t="shared" si="8"/>
        <v>0</v>
      </c>
      <c r="E65" s="30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0">
        <f t="shared" si="8"/>
        <v>0</v>
      </c>
      <c r="K65" s="30">
        <f t="shared" si="8"/>
        <v>0</v>
      </c>
      <c r="L65" s="30">
        <f t="shared" si="8"/>
        <v>0</v>
      </c>
      <c r="M65" s="30">
        <f t="shared" si="8"/>
        <v>0</v>
      </c>
    </row>
    <row r="66" spans="1:16" x14ac:dyDescent="0.2">
      <c r="A66" t="s">
        <v>104</v>
      </c>
      <c r="B66" s="30">
        <f>ROUND((B51-B61),2)</f>
        <v>0</v>
      </c>
      <c r="C66" s="30">
        <f t="shared" ref="C66:M66" si="9">ROUND((C51-C61),2)</f>
        <v>0</v>
      </c>
      <c r="D66" s="30">
        <f t="shared" si="9"/>
        <v>0</v>
      </c>
      <c r="E66" s="30">
        <f t="shared" si="9"/>
        <v>0</v>
      </c>
      <c r="F66" s="30">
        <f t="shared" si="9"/>
        <v>0</v>
      </c>
      <c r="G66" s="30">
        <f t="shared" si="9"/>
        <v>0</v>
      </c>
      <c r="H66" s="30">
        <f t="shared" si="9"/>
        <v>0</v>
      </c>
      <c r="I66" s="30">
        <f t="shared" si="9"/>
        <v>0</v>
      </c>
      <c r="J66" s="30">
        <f t="shared" si="9"/>
        <v>0</v>
      </c>
      <c r="K66" s="30">
        <f t="shared" si="9"/>
        <v>0</v>
      </c>
      <c r="L66" s="30">
        <f t="shared" si="9"/>
        <v>0</v>
      </c>
      <c r="M66" s="30">
        <f t="shared" si="9"/>
        <v>0</v>
      </c>
    </row>
    <row r="69" spans="1:16" x14ac:dyDescent="0.2">
      <c r="B69" s="121">
        <v>2009</v>
      </c>
      <c r="C69" s="121">
        <v>2010</v>
      </c>
      <c r="D69" s="121">
        <v>2011</v>
      </c>
      <c r="E69" s="65">
        <v>2012</v>
      </c>
      <c r="F69" s="121">
        <v>2013</v>
      </c>
      <c r="G69" s="121">
        <v>2014</v>
      </c>
      <c r="H69" s="121">
        <v>2015</v>
      </c>
      <c r="I69" s="65">
        <v>2016</v>
      </c>
      <c r="J69" s="121">
        <v>2017</v>
      </c>
      <c r="K69" s="121">
        <v>2018</v>
      </c>
      <c r="L69" s="121">
        <v>2019</v>
      </c>
      <c r="M69" s="65">
        <v>2020</v>
      </c>
      <c r="P69" s="11"/>
    </row>
    <row r="70" spans="1:16" x14ac:dyDescent="0.2">
      <c r="A70" t="s">
        <v>115</v>
      </c>
      <c r="B70" s="55">
        <f t="shared" ref="B70:E71" si="10">B4/1000000</f>
        <v>1783.5255456735001</v>
      </c>
      <c r="C70" s="55">
        <f t="shared" si="10"/>
        <v>1847.2826938639</v>
      </c>
      <c r="D70" s="55">
        <f t="shared" si="10"/>
        <v>1851.6011061615</v>
      </c>
      <c r="E70" s="55">
        <f t="shared" si="10"/>
        <v>1841.7514866217</v>
      </c>
      <c r="F70" s="55">
        <f t="shared" ref="F70:J71" si="11">F4/1000000</f>
        <v>1826.0774520487</v>
      </c>
      <c r="G70" s="55">
        <f t="shared" si="11"/>
        <v>1813.6467374347999</v>
      </c>
      <c r="H70" s="55">
        <f t="shared" si="11"/>
        <v>1801.9899524038001</v>
      </c>
      <c r="I70" s="55">
        <f t="shared" si="11"/>
        <v>1811.6906755150001</v>
      </c>
      <c r="J70" s="55">
        <f t="shared" si="11"/>
        <v>1757.8087417091001</v>
      </c>
      <c r="K70" s="55">
        <f>K4/1000000</f>
        <v>1857.0498433989001</v>
      </c>
      <c r="L70" s="55"/>
      <c r="M70" s="55"/>
      <c r="P70" s="11"/>
    </row>
    <row r="71" spans="1:16" x14ac:dyDescent="0.2">
      <c r="A71" t="s">
        <v>116</v>
      </c>
      <c r="B71" s="55">
        <f t="shared" si="10"/>
        <v>1783.3489263108002</v>
      </c>
      <c r="C71" s="55">
        <f t="shared" si="10"/>
        <v>1853.9382292521998</v>
      </c>
      <c r="D71" s="55">
        <f t="shared" si="10"/>
        <v>1837.1913855754999</v>
      </c>
      <c r="E71" s="55">
        <f t="shared" si="10"/>
        <v>1836.0001073951</v>
      </c>
      <c r="F71" s="55">
        <f t="shared" si="11"/>
        <v>1834.4062243977999</v>
      </c>
      <c r="G71" s="55">
        <f t="shared" si="11"/>
        <v>1809.5449041628001</v>
      </c>
      <c r="H71" s="55">
        <f t="shared" si="11"/>
        <v>1804.7426851770999</v>
      </c>
      <c r="I71" s="55">
        <f t="shared" si="11"/>
        <v>1820.4762730509001</v>
      </c>
      <c r="J71" s="55">
        <f t="shared" si="11"/>
        <v>1777.6041880706998</v>
      </c>
      <c r="K71" s="55">
        <f>K5/1000000</f>
        <v>1835.1713114377001</v>
      </c>
      <c r="L71" s="55">
        <f>L5/1000000</f>
        <v>1780.8458324563999</v>
      </c>
      <c r="M71" s="55">
        <f>M5/1000000</f>
        <v>1770.4821920574998</v>
      </c>
      <c r="P71" s="11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7"/>
  <sheetViews>
    <sheetView topLeftCell="H1" zoomScaleNormal="100" workbookViewId="0">
      <selection activeCell="P1" sqref="P1:X20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4" width="13.7109375" customWidth="1"/>
  </cols>
  <sheetData>
    <row r="1" spans="1:24" ht="20.25" customHeight="1" x14ac:dyDescent="0.25">
      <c r="B1" s="4" t="s">
        <v>175</v>
      </c>
      <c r="C1" s="4" t="s">
        <v>153</v>
      </c>
      <c r="D1" s="4" t="s">
        <v>136</v>
      </c>
      <c r="E1" s="4" t="s">
        <v>137</v>
      </c>
      <c r="F1" s="4"/>
      <c r="J1" s="228" t="s">
        <v>138</v>
      </c>
      <c r="K1" s="228"/>
      <c r="P1" s="235" t="s">
        <v>182</v>
      </c>
      <c r="Q1" s="236"/>
      <c r="R1" s="236"/>
      <c r="S1" s="236"/>
      <c r="T1" s="236"/>
      <c r="U1" s="236"/>
      <c r="V1" s="236"/>
      <c r="W1" s="236"/>
      <c r="X1" s="237"/>
    </row>
    <row r="2" spans="1:24" ht="15" x14ac:dyDescent="0.2">
      <c r="A2">
        <v>2005</v>
      </c>
      <c r="B2" s="142">
        <v>292583</v>
      </c>
      <c r="C2" s="142">
        <v>292583</v>
      </c>
      <c r="D2" s="139">
        <f>C2</f>
        <v>292583</v>
      </c>
      <c r="E2" s="139">
        <f>D2/2</f>
        <v>146291.5</v>
      </c>
      <c r="F2" s="139">
        <f>E2</f>
        <v>146291.5</v>
      </c>
      <c r="G2" s="139">
        <f t="shared" ref="G2:G17" si="0">F2/$N$14</f>
        <v>1875.5320512820513</v>
      </c>
      <c r="J2" s="140">
        <f>+E37</f>
        <v>146291.5</v>
      </c>
      <c r="K2" s="140">
        <f>E2</f>
        <v>146291.5</v>
      </c>
      <c r="L2" s="140">
        <f>J2-K2</f>
        <v>0</v>
      </c>
      <c r="M2" s="56" t="s">
        <v>139</v>
      </c>
      <c r="N2" s="56">
        <v>1</v>
      </c>
      <c r="P2" s="186" t="s">
        <v>154</v>
      </c>
      <c r="Q2" s="187">
        <v>2013</v>
      </c>
      <c r="R2" s="186">
        <v>2014</v>
      </c>
      <c r="S2" s="187">
        <v>2015</v>
      </c>
      <c r="T2" s="186">
        <v>2016</v>
      </c>
      <c r="U2" s="187">
        <v>2017</v>
      </c>
      <c r="V2" s="186">
        <v>2018</v>
      </c>
      <c r="W2" s="187">
        <v>2019</v>
      </c>
      <c r="X2" s="175">
        <v>2020</v>
      </c>
    </row>
    <row r="3" spans="1:24" x14ac:dyDescent="0.2">
      <c r="A3">
        <v>2006</v>
      </c>
      <c r="B3" s="142">
        <v>11429858.135299999</v>
      </c>
      <c r="C3" s="142">
        <v>10724827.041200001</v>
      </c>
      <c r="D3" s="139">
        <f>C3-C2</f>
        <v>10432244.041200001</v>
      </c>
      <c r="E3" s="139">
        <f>C2+D3/2</f>
        <v>5508705.0206000004</v>
      </c>
      <c r="F3" s="139">
        <f>E3-F37</f>
        <v>5238628.4052153854</v>
      </c>
      <c r="G3" s="139">
        <f t="shared" si="0"/>
        <v>67161.902630966477</v>
      </c>
      <c r="J3" s="140">
        <f>+E49</f>
        <v>5508705.0206000023</v>
      </c>
      <c r="K3" s="140">
        <f t="shared" ref="K3:K17" si="1">E3</f>
        <v>5508705.0206000004</v>
      </c>
      <c r="L3" s="140">
        <f t="shared" ref="L3:L15" si="2">J3-K3</f>
        <v>0</v>
      </c>
      <c r="M3" s="56" t="s">
        <v>140</v>
      </c>
      <c r="N3" s="56">
        <v>2</v>
      </c>
      <c r="P3" s="143" t="s">
        <v>141</v>
      </c>
      <c r="Q3" s="144">
        <v>9108720.7277000006</v>
      </c>
      <c r="R3" s="144">
        <v>9108720.7277000006</v>
      </c>
      <c r="S3" s="144">
        <v>8889479.0610000007</v>
      </c>
      <c r="T3" s="144">
        <v>8889479.0610000007</v>
      </c>
      <c r="U3" s="144">
        <v>8433284.0085000005</v>
      </c>
      <c r="V3" s="144">
        <v>7106534.6752000004</v>
      </c>
      <c r="W3" s="144">
        <v>7106534.6752000004</v>
      </c>
      <c r="X3" s="144">
        <v>7106534.6752000004</v>
      </c>
    </row>
    <row r="4" spans="1:24" x14ac:dyDescent="0.2">
      <c r="A4">
        <v>2007</v>
      </c>
      <c r="B4" s="142">
        <v>30126928.111399997</v>
      </c>
      <c r="C4" s="142">
        <v>21463789.4815</v>
      </c>
      <c r="D4" s="139">
        <f t="shared" ref="D4:D17" si="3">C4-C3</f>
        <v>10738962.440299999</v>
      </c>
      <c r="E4" s="139">
        <f t="shared" ref="E4:E17" si="4">C3+D4/2</f>
        <v>16094308.26135</v>
      </c>
      <c r="F4" s="139">
        <f>E4-F49</f>
        <v>6152917.6671062093</v>
      </c>
      <c r="G4" s="139">
        <f t="shared" si="0"/>
        <v>78883.559834694985</v>
      </c>
      <c r="J4" s="140">
        <f>E61</f>
        <v>16094308.261349995</v>
      </c>
      <c r="K4" s="140">
        <f t="shared" si="1"/>
        <v>16094308.26135</v>
      </c>
      <c r="L4" s="140">
        <f t="shared" si="2"/>
        <v>0</v>
      </c>
      <c r="M4" s="56" t="s">
        <v>142</v>
      </c>
      <c r="N4" s="56">
        <v>3</v>
      </c>
      <c r="P4" s="143">
        <v>2006</v>
      </c>
      <c r="Q4" s="144">
        <v>958932.5307</v>
      </c>
      <c r="R4" s="144">
        <v>901064.85930000001</v>
      </c>
      <c r="S4" s="144">
        <v>901064.85930000001</v>
      </c>
      <c r="T4" s="144">
        <v>851307.5368</v>
      </c>
      <c r="U4" s="144">
        <v>851307.5368</v>
      </c>
      <c r="V4" s="144">
        <v>851307.5368</v>
      </c>
      <c r="W4" s="144">
        <v>851307.5368</v>
      </c>
      <c r="X4" s="144">
        <v>770593.15899999999</v>
      </c>
    </row>
    <row r="5" spans="1:24" x14ac:dyDescent="0.2">
      <c r="A5">
        <v>2008</v>
      </c>
      <c r="B5" s="142">
        <v>34400975.484799996</v>
      </c>
      <c r="C5" s="142">
        <v>27058909.221900001</v>
      </c>
      <c r="D5" s="139">
        <f t="shared" si="3"/>
        <v>5595119.7404000014</v>
      </c>
      <c r="E5" s="139">
        <f t="shared" si="4"/>
        <v>24261349.3517</v>
      </c>
      <c r="F5" s="139">
        <f>E5-F61</f>
        <v>2960726.1412601359</v>
      </c>
      <c r="G5" s="139">
        <f t="shared" si="0"/>
        <v>37958.027452053022</v>
      </c>
      <c r="J5" s="140">
        <f>+E73</f>
        <v>24261349.3517</v>
      </c>
      <c r="K5" s="140">
        <f t="shared" si="1"/>
        <v>24261349.3517</v>
      </c>
      <c r="L5" s="140">
        <f t="shared" si="2"/>
        <v>0</v>
      </c>
      <c r="M5" s="56" t="s">
        <v>143</v>
      </c>
      <c r="N5" s="56">
        <v>4</v>
      </c>
      <c r="P5" s="143">
        <v>2007</v>
      </c>
      <c r="Q5" s="144">
        <v>2920741.9328999999</v>
      </c>
      <c r="R5" s="144">
        <v>2920674.0214</v>
      </c>
      <c r="S5" s="144">
        <v>1036730.128</v>
      </c>
      <c r="T5" s="144">
        <v>900764.071</v>
      </c>
      <c r="U5" s="144">
        <v>577412.88769999996</v>
      </c>
      <c r="V5" s="144">
        <v>577412.88769999996</v>
      </c>
      <c r="W5" s="144">
        <v>577412.88769999996</v>
      </c>
      <c r="X5" s="144">
        <v>577412.88769999996</v>
      </c>
    </row>
    <row r="6" spans="1:24" x14ac:dyDescent="0.2">
      <c r="A6">
        <v>2009</v>
      </c>
      <c r="B6" s="142">
        <v>47381960.727704629</v>
      </c>
      <c r="C6" s="142">
        <v>36655515.3336</v>
      </c>
      <c r="D6" s="139">
        <f t="shared" si="3"/>
        <v>9596606.1116999984</v>
      </c>
      <c r="E6" s="139">
        <f t="shared" si="4"/>
        <v>31857212.27775</v>
      </c>
      <c r="F6" s="139">
        <f>E6-F73</f>
        <v>5090633.1142144985</v>
      </c>
      <c r="G6" s="139">
        <f t="shared" si="0"/>
        <v>65264.527105314082</v>
      </c>
      <c r="J6" s="140">
        <f>+E85</f>
        <v>31857212.277750008</v>
      </c>
      <c r="K6" s="140">
        <f t="shared" si="1"/>
        <v>31857212.27775</v>
      </c>
      <c r="L6" s="140">
        <f t="shared" si="2"/>
        <v>0</v>
      </c>
      <c r="M6" s="56" t="s">
        <v>144</v>
      </c>
      <c r="N6" s="56">
        <v>5</v>
      </c>
      <c r="P6" s="143">
        <v>2008</v>
      </c>
      <c r="Q6" s="144">
        <v>3372859.3509999998</v>
      </c>
      <c r="R6" s="144">
        <v>3070530.0879000002</v>
      </c>
      <c r="S6" s="144">
        <v>2844942.4230999998</v>
      </c>
      <c r="T6" s="144">
        <v>2206892.6046000002</v>
      </c>
      <c r="U6" s="144">
        <v>1920978.838</v>
      </c>
      <c r="V6" s="144">
        <v>1772268.6181999999</v>
      </c>
      <c r="W6" s="144">
        <v>1772268.6181999999</v>
      </c>
      <c r="X6" s="144">
        <v>1743360.1923</v>
      </c>
    </row>
    <row r="7" spans="1:24" x14ac:dyDescent="0.2">
      <c r="A7">
        <v>2010</v>
      </c>
      <c r="B7" s="142">
        <v>54664486.625004634</v>
      </c>
      <c r="C7" s="142">
        <v>39643598.0973</v>
      </c>
      <c r="D7" s="139">
        <f t="shared" si="3"/>
        <v>2988082.7637000009</v>
      </c>
      <c r="E7" s="139">
        <f t="shared" si="4"/>
        <v>38149556.715450004</v>
      </c>
      <c r="F7" s="139">
        <f>E7-F85</f>
        <v>1984885.6487492621</v>
      </c>
      <c r="G7" s="139">
        <f t="shared" si="0"/>
        <v>25447.25190704182</v>
      </c>
      <c r="J7" s="140">
        <f>+E97</f>
        <v>38149556.715450004</v>
      </c>
      <c r="K7" s="140">
        <f t="shared" si="1"/>
        <v>38149556.715450004</v>
      </c>
      <c r="L7" s="140">
        <f t="shared" si="2"/>
        <v>0</v>
      </c>
      <c r="M7" s="56" t="s">
        <v>145</v>
      </c>
      <c r="N7" s="56">
        <v>6</v>
      </c>
      <c r="P7" s="143">
        <v>2009</v>
      </c>
      <c r="Q7" s="144">
        <v>7796526.2141000004</v>
      </c>
      <c r="R7" s="144">
        <v>7491579.6662999997</v>
      </c>
      <c r="S7" s="144">
        <v>7041835.8415000001</v>
      </c>
      <c r="T7" s="144">
        <v>6832205.3581999997</v>
      </c>
      <c r="U7" s="144">
        <v>5280325.8485000003</v>
      </c>
      <c r="V7" s="144">
        <v>3555174.8073</v>
      </c>
      <c r="W7" s="144">
        <v>2950716.9471999998</v>
      </c>
      <c r="X7" s="144">
        <v>864116.98289326951</v>
      </c>
    </row>
    <row r="8" spans="1:24" x14ac:dyDescent="0.2">
      <c r="A8">
        <v>2011</v>
      </c>
      <c r="B8" s="142">
        <v>65677230.152747899</v>
      </c>
      <c r="C8" s="142">
        <v>50620379.920699999</v>
      </c>
      <c r="D8" s="139">
        <f t="shared" si="3"/>
        <v>10976781.823399998</v>
      </c>
      <c r="E8" s="139">
        <f t="shared" si="4"/>
        <v>45131989.009000003</v>
      </c>
      <c r="F8" s="139">
        <f>E8-F97</f>
        <v>5302913.6676852405</v>
      </c>
      <c r="G8" s="139">
        <f t="shared" si="0"/>
        <v>67986.072662631283</v>
      </c>
      <c r="J8" s="140">
        <f>+E109</f>
        <v>45131989.008999981</v>
      </c>
      <c r="K8" s="140">
        <f t="shared" si="1"/>
        <v>45131989.009000003</v>
      </c>
      <c r="L8" s="140">
        <f t="shared" si="2"/>
        <v>0</v>
      </c>
      <c r="M8" s="56" t="s">
        <v>146</v>
      </c>
      <c r="N8" s="56">
        <v>7</v>
      </c>
      <c r="P8" s="143">
        <v>2010</v>
      </c>
      <c r="Q8" s="144">
        <v>7117425.5054000001</v>
      </c>
      <c r="R8" s="144">
        <v>7023482.6486999998</v>
      </c>
      <c r="S8" s="144">
        <v>6565925.6502</v>
      </c>
      <c r="T8" s="144">
        <v>6533244.1749</v>
      </c>
      <c r="U8" s="144">
        <v>6022793.9061000003</v>
      </c>
      <c r="V8" s="144">
        <v>4928029.7174000004</v>
      </c>
      <c r="W8" s="144">
        <v>1963456.6318000001</v>
      </c>
      <c r="X8" s="144">
        <v>1202682.6788999999</v>
      </c>
    </row>
    <row r="9" spans="1:24" x14ac:dyDescent="0.2">
      <c r="A9">
        <v>2012</v>
      </c>
      <c r="B9" s="142">
        <v>71029722.032871455</v>
      </c>
      <c r="C9" s="142">
        <v>56622171.722000003</v>
      </c>
      <c r="D9" s="139">
        <f t="shared" si="3"/>
        <v>6001791.8013000041</v>
      </c>
      <c r="E9" s="139">
        <f t="shared" si="4"/>
        <v>53621275.821350001</v>
      </c>
      <c r="F9" s="139">
        <f>E9-F109</f>
        <v>4002206.0166163668</v>
      </c>
      <c r="G9" s="139">
        <f t="shared" si="0"/>
        <v>51310.333546363676</v>
      </c>
      <c r="J9" s="140">
        <f>+E121</f>
        <v>53621275.821350008</v>
      </c>
      <c r="K9" s="140">
        <f t="shared" si="1"/>
        <v>53621275.821350001</v>
      </c>
      <c r="L9" s="140">
        <f t="shared" si="2"/>
        <v>0</v>
      </c>
      <c r="M9" s="56" t="s">
        <v>147</v>
      </c>
      <c r="N9" s="56">
        <v>8</v>
      </c>
      <c r="P9" s="143">
        <v>2011</v>
      </c>
      <c r="Q9" s="144">
        <v>13123211.3106</v>
      </c>
      <c r="R9" s="144">
        <v>12936022.0944</v>
      </c>
      <c r="S9" s="144">
        <v>12318158.171800001</v>
      </c>
      <c r="T9" s="144">
        <v>11872233.1602</v>
      </c>
      <c r="U9" s="144">
        <v>11206433.6822</v>
      </c>
      <c r="V9" s="144">
        <v>11199432.9967</v>
      </c>
      <c r="W9" s="144">
        <v>10960077.782500001</v>
      </c>
      <c r="X9" s="144">
        <v>10531707.2552</v>
      </c>
    </row>
    <row r="10" spans="1:24" x14ac:dyDescent="0.2">
      <c r="A10">
        <v>2013</v>
      </c>
      <c r="B10" s="142">
        <v>75626820.638019115</v>
      </c>
      <c r="C10" s="142">
        <v>61309444.238899998</v>
      </c>
      <c r="D10" s="139">
        <f t="shared" si="3"/>
        <v>4687272.5168999955</v>
      </c>
      <c r="E10" s="139">
        <f t="shared" si="4"/>
        <v>58965807.980450004</v>
      </c>
      <c r="F10" s="139">
        <f>E10-F121</f>
        <v>1958050.1450399905</v>
      </c>
      <c r="G10" s="139">
        <f t="shared" si="0"/>
        <v>25103.206987692185</v>
      </c>
      <c r="J10" s="140">
        <f>+E133</f>
        <v>58965807.980449989</v>
      </c>
      <c r="K10" s="140">
        <f t="shared" si="1"/>
        <v>58965807.980450004</v>
      </c>
      <c r="L10" s="140">
        <f t="shared" si="2"/>
        <v>0</v>
      </c>
      <c r="M10" s="56" t="s">
        <v>148</v>
      </c>
      <c r="N10" s="56">
        <v>9</v>
      </c>
      <c r="P10" s="143">
        <v>2012</v>
      </c>
      <c r="Q10" s="144">
        <v>6754594.3976999996</v>
      </c>
      <c r="R10" s="144">
        <v>6679287.3123000003</v>
      </c>
      <c r="S10" s="144">
        <v>6359017.5565999998</v>
      </c>
      <c r="T10" s="144">
        <v>6093072.5433</v>
      </c>
      <c r="U10" s="144">
        <v>5398744.0356999999</v>
      </c>
      <c r="V10" s="144">
        <v>5172456.5310000004</v>
      </c>
      <c r="W10" s="144">
        <v>5168161.9002999999</v>
      </c>
      <c r="X10" s="144">
        <v>4975668.3777000001</v>
      </c>
    </row>
    <row r="11" spans="1:24" x14ac:dyDescent="0.2">
      <c r="A11">
        <v>2014</v>
      </c>
      <c r="B11" s="142">
        <v>83853805.558608472</v>
      </c>
      <c r="C11" s="142">
        <v>70275491.078600004</v>
      </c>
      <c r="D11" s="139">
        <f t="shared" si="3"/>
        <v>8966046.8397000059</v>
      </c>
      <c r="E11" s="139">
        <f t="shared" si="4"/>
        <v>65792467.658749998</v>
      </c>
      <c r="F11" s="139">
        <f>E11-F133</f>
        <v>5169848.0171123296</v>
      </c>
      <c r="G11" s="139">
        <f t="shared" si="0"/>
        <v>66280.102783491398</v>
      </c>
      <c r="J11" s="140">
        <f>+E145</f>
        <v>65792467.658750027</v>
      </c>
      <c r="K11" s="140">
        <f t="shared" si="1"/>
        <v>65792467.658749998</v>
      </c>
      <c r="L11" s="140">
        <f t="shared" si="2"/>
        <v>0</v>
      </c>
      <c r="M11" s="56" t="s">
        <v>149</v>
      </c>
      <c r="N11" s="56">
        <v>10</v>
      </c>
      <c r="P11" s="143">
        <v>2013</v>
      </c>
      <c r="Q11" s="146">
        <v>10156432.2688</v>
      </c>
      <c r="R11" s="146">
        <v>9881775.2895</v>
      </c>
      <c r="S11" s="146">
        <v>8950597.4055000003</v>
      </c>
      <c r="T11" s="146">
        <v>8751965.6677000001</v>
      </c>
      <c r="U11" s="146">
        <v>8052439.2747</v>
      </c>
      <c r="V11" s="146">
        <v>7902937.3174999999</v>
      </c>
      <c r="W11" s="146">
        <v>7889635.523</v>
      </c>
      <c r="X11" s="146">
        <v>7876805.2653999999</v>
      </c>
    </row>
    <row r="12" spans="1:24" x14ac:dyDescent="0.2">
      <c r="A12">
        <v>2015</v>
      </c>
      <c r="B12" s="142">
        <v>102523021.441873</v>
      </c>
      <c r="C12" s="142">
        <v>90753702.113999993</v>
      </c>
      <c r="D12" s="139">
        <f t="shared" si="3"/>
        <v>20478211.035399988</v>
      </c>
      <c r="E12" s="139">
        <f t="shared" si="4"/>
        <v>80514596.596300006</v>
      </c>
      <c r="F12" s="139">
        <f>E12-F145</f>
        <v>10347642.153839514</v>
      </c>
      <c r="G12" s="139">
        <f t="shared" si="0"/>
        <v>132662.07889537839</v>
      </c>
      <c r="J12" s="140">
        <f>+E157</f>
        <v>80514596.596300021</v>
      </c>
      <c r="K12" s="140">
        <f t="shared" si="1"/>
        <v>80514596.596300006</v>
      </c>
      <c r="L12" s="140">
        <f t="shared" si="2"/>
        <v>0</v>
      </c>
      <c r="M12" s="56" t="s">
        <v>150</v>
      </c>
      <c r="N12" s="56">
        <v>11</v>
      </c>
      <c r="P12" s="141">
        <v>2014</v>
      </c>
      <c r="Q12" s="146"/>
      <c r="R12" s="146">
        <v>10262354.370999999</v>
      </c>
      <c r="S12" s="146">
        <v>9722970.0168999992</v>
      </c>
      <c r="T12" s="146">
        <v>9493633.9157999996</v>
      </c>
      <c r="U12" s="146">
        <v>9308069.9998000003</v>
      </c>
      <c r="V12" s="146">
        <v>8464732.3550000004</v>
      </c>
      <c r="W12" s="146">
        <v>8417313.9642999992</v>
      </c>
      <c r="X12" s="146">
        <v>8197711.0080000004</v>
      </c>
    </row>
    <row r="13" spans="1:24" x14ac:dyDescent="0.2">
      <c r="A13">
        <v>2016</v>
      </c>
      <c r="B13" s="142">
        <v>121091398.36652932</v>
      </c>
      <c r="C13" s="142">
        <v>110125229.0936</v>
      </c>
      <c r="D13" s="139">
        <f t="shared" si="3"/>
        <v>19371526.979600012</v>
      </c>
      <c r="E13" s="139">
        <f t="shared" si="4"/>
        <v>100439465.6038</v>
      </c>
      <c r="F13" s="139">
        <f>E13-F157</f>
        <v>11169171.800404966</v>
      </c>
      <c r="G13" s="139">
        <f t="shared" si="0"/>
        <v>143194.51026160212</v>
      </c>
      <c r="J13" s="140">
        <f>+E169</f>
        <v>100439465.6038</v>
      </c>
      <c r="K13" s="140">
        <f t="shared" si="1"/>
        <v>100439465.6038</v>
      </c>
      <c r="L13" s="140">
        <f t="shared" si="2"/>
        <v>0</v>
      </c>
      <c r="M13" s="56" t="s">
        <v>151</v>
      </c>
      <c r="N13" s="56">
        <v>12</v>
      </c>
      <c r="P13" s="141">
        <v>2015</v>
      </c>
      <c r="Q13" s="146"/>
      <c r="R13" s="146"/>
      <c r="S13" s="146">
        <v>26122981</v>
      </c>
      <c r="T13" s="146">
        <v>26071643</v>
      </c>
      <c r="U13" s="146">
        <v>26001608</v>
      </c>
      <c r="V13" s="146">
        <v>26015673</v>
      </c>
      <c r="W13" s="146">
        <v>26003647</v>
      </c>
      <c r="X13" s="146">
        <v>25991840</v>
      </c>
    </row>
    <row r="14" spans="1:24" x14ac:dyDescent="0.2">
      <c r="A14">
        <v>2017</v>
      </c>
      <c r="B14" s="142">
        <v>157976515.12677801</v>
      </c>
      <c r="C14" s="142">
        <v>147697956.01800001</v>
      </c>
      <c r="D14" s="139">
        <f t="shared" si="3"/>
        <v>37572726.924400002</v>
      </c>
      <c r="E14" s="139">
        <f t="shared" si="4"/>
        <v>128911592.55580001</v>
      </c>
      <c r="F14" s="139">
        <f>E14-F169</f>
        <v>19021289.274734244</v>
      </c>
      <c r="G14" s="139">
        <f t="shared" si="0"/>
        <v>243862.68300941339</v>
      </c>
      <c r="J14" s="140">
        <f>+E181</f>
        <v>128911592.55580005</v>
      </c>
      <c r="K14" s="140">
        <f t="shared" si="1"/>
        <v>128911592.55580001</v>
      </c>
      <c r="L14" s="140">
        <f t="shared" si="2"/>
        <v>0</v>
      </c>
      <c r="M14" s="56" t="s">
        <v>3</v>
      </c>
      <c r="N14" s="56">
        <f>SUM(N2:N13)</f>
        <v>78</v>
      </c>
      <c r="P14" s="141">
        <v>2016</v>
      </c>
      <c r="Q14" s="146"/>
      <c r="R14" s="146"/>
      <c r="S14" s="146"/>
      <c r="T14" s="146">
        <v>21628788</v>
      </c>
      <c r="U14" s="146">
        <v>21628788</v>
      </c>
      <c r="V14" s="146">
        <v>22395334</v>
      </c>
      <c r="W14" s="146">
        <v>22395334</v>
      </c>
      <c r="X14" s="146">
        <v>22395334</v>
      </c>
    </row>
    <row r="15" spans="1:24" x14ac:dyDescent="0.2">
      <c r="A15">
        <v>2018</v>
      </c>
      <c r="B15" s="142">
        <v>149693567.55672708</v>
      </c>
      <c r="C15" s="142">
        <v>139710565.4429</v>
      </c>
      <c r="D15" s="139">
        <f t="shared" si="3"/>
        <v>-7987390.5751000047</v>
      </c>
      <c r="E15" s="139">
        <f t="shared" si="4"/>
        <v>143704260.73045</v>
      </c>
      <c r="F15" s="139">
        <f>E15-F181</f>
        <v>-1302268.903971374</v>
      </c>
      <c r="G15" s="139">
        <f t="shared" si="0"/>
        <v>-16695.75517912018</v>
      </c>
      <c r="J15" s="140">
        <f>+E193</f>
        <v>143704260.73044997</v>
      </c>
      <c r="K15" s="140">
        <f t="shared" si="1"/>
        <v>143704260.73045</v>
      </c>
      <c r="L15" s="140">
        <f t="shared" si="2"/>
        <v>0</v>
      </c>
      <c r="M15" s="11"/>
      <c r="N15" s="11"/>
      <c r="P15" s="141">
        <v>2017</v>
      </c>
      <c r="Q15" s="146"/>
      <c r="R15" s="146"/>
      <c r="S15" s="146"/>
      <c r="T15" s="146"/>
      <c r="U15" s="146">
        <v>43015770</v>
      </c>
      <c r="V15" s="146">
        <v>39769271</v>
      </c>
      <c r="W15" s="146">
        <v>39769271</v>
      </c>
      <c r="X15" s="146">
        <v>39768618</v>
      </c>
    </row>
    <row r="16" spans="1:24" x14ac:dyDescent="0.2">
      <c r="A16">
        <v>2019</v>
      </c>
      <c r="B16" s="142">
        <v>142835737.37036848</v>
      </c>
      <c r="C16" s="142">
        <v>135825138.46700001</v>
      </c>
      <c r="D16" s="139">
        <f t="shared" si="3"/>
        <v>-3885426.9758999944</v>
      </c>
      <c r="E16" s="139">
        <f t="shared" si="4"/>
        <v>137767851.95495</v>
      </c>
      <c r="F16" s="139">
        <f>E16-F193</f>
        <v>-4834488.9336780608</v>
      </c>
      <c r="G16" s="139">
        <f t="shared" si="0"/>
        <v>-61980.627354846933</v>
      </c>
      <c r="J16" s="140">
        <f>+E205</f>
        <v>137767851.95494998</v>
      </c>
      <c r="K16" s="140">
        <f t="shared" si="1"/>
        <v>137767851.95495</v>
      </c>
      <c r="L16" s="140"/>
      <c r="M16" s="11"/>
      <c r="N16" s="11"/>
      <c r="P16" s="141">
        <v>2018</v>
      </c>
      <c r="Q16" s="146"/>
      <c r="R16" s="146"/>
      <c r="S16" s="146"/>
      <c r="T16" s="146"/>
      <c r="U16" s="146"/>
      <c r="V16" s="146"/>
      <c r="W16" s="146"/>
      <c r="X16" s="146"/>
    </row>
    <row r="17" spans="1:24" x14ac:dyDescent="0.2">
      <c r="A17">
        <v>2020</v>
      </c>
      <c r="B17" s="142">
        <v>137021968.69829354</v>
      </c>
      <c r="C17" s="142">
        <v>132002384.4823</v>
      </c>
      <c r="D17" s="139">
        <f t="shared" si="3"/>
        <v>-3822753.9847000092</v>
      </c>
      <c r="E17" s="139">
        <f t="shared" si="4"/>
        <v>133913761.47465</v>
      </c>
      <c r="F17" s="139">
        <f>E17-F205</f>
        <v>236630.92511993647</v>
      </c>
      <c r="G17" s="139">
        <f t="shared" si="0"/>
        <v>3033.7298092299548</v>
      </c>
      <c r="J17" s="140">
        <f>+E217</f>
        <v>133913761.47465001</v>
      </c>
      <c r="K17" s="140">
        <f t="shared" si="1"/>
        <v>133913761.47465</v>
      </c>
      <c r="L17" s="140"/>
      <c r="M17" s="11"/>
      <c r="N17" s="11"/>
      <c r="P17" s="143">
        <v>2019</v>
      </c>
      <c r="Q17" s="146"/>
      <c r="R17" s="146"/>
      <c r="S17" s="146"/>
      <c r="T17" s="146"/>
      <c r="U17" s="146"/>
      <c r="V17" s="146"/>
      <c r="W17" s="146"/>
      <c r="X17" s="146"/>
    </row>
    <row r="18" spans="1:24" x14ac:dyDescent="0.2">
      <c r="C18" s="139"/>
      <c r="D18" s="139"/>
      <c r="E18" s="139"/>
      <c r="F18" s="139"/>
      <c r="G18" s="139"/>
      <c r="J18" s="140"/>
      <c r="K18" s="140"/>
      <c r="L18" s="140"/>
      <c r="M18" s="11"/>
      <c r="N18" s="11"/>
      <c r="P18" s="143">
        <v>2020</v>
      </c>
      <c r="Q18" s="146"/>
      <c r="R18" s="146"/>
      <c r="S18" s="146"/>
      <c r="T18" s="146"/>
      <c r="U18" s="146"/>
      <c r="V18" s="146"/>
      <c r="W18" s="146"/>
      <c r="X18" s="146"/>
    </row>
    <row r="19" spans="1:24" x14ac:dyDescent="0.2">
      <c r="A19" s="51" t="s">
        <v>3</v>
      </c>
      <c r="B19" s="51"/>
      <c r="C19" s="139">
        <f>SUM(C2:C17)</f>
        <v>1130781684.7535</v>
      </c>
      <c r="D19" s="139"/>
      <c r="E19" s="139">
        <f>SUM(E2:E17)</f>
        <v>1064780492.5123501</v>
      </c>
      <c r="F19" s="139"/>
      <c r="G19" s="139"/>
      <c r="J19" s="139">
        <f>SUM(J2:J17)</f>
        <v>1064780492.5123501</v>
      </c>
      <c r="K19" s="139">
        <f>SUM(K2:K17)</f>
        <v>1064780492.5123501</v>
      </c>
      <c r="P19" s="143"/>
      <c r="Q19" s="146"/>
      <c r="R19" s="146"/>
      <c r="S19" s="146"/>
      <c r="T19" s="146"/>
      <c r="U19" s="146"/>
      <c r="V19" s="146"/>
      <c r="W19" s="146"/>
      <c r="X19" s="146"/>
    </row>
    <row r="20" spans="1:24" x14ac:dyDescent="0.2">
      <c r="D20" s="139"/>
      <c r="E20" s="139"/>
      <c r="F20" s="139"/>
      <c r="G20" s="139"/>
      <c r="P20" s="141" t="s">
        <v>3</v>
      </c>
      <c r="Q20" s="145">
        <f>SUM(Q3:Q19)</f>
        <v>61309444.238899991</v>
      </c>
      <c r="R20" s="145">
        <f t="shared" ref="R20:X20" si="5">SUM(R3:R19)</f>
        <v>70275491.078500003</v>
      </c>
      <c r="S20" s="145">
        <f t="shared" si="5"/>
        <v>90753702.113900006</v>
      </c>
      <c r="T20" s="145">
        <f t="shared" si="5"/>
        <v>110125229.0935</v>
      </c>
      <c r="U20" s="145">
        <f t="shared" si="5"/>
        <v>147697956.01800001</v>
      </c>
      <c r="V20" s="145">
        <f t="shared" si="5"/>
        <v>139710565.44279999</v>
      </c>
      <c r="W20" s="145">
        <f t="shared" si="5"/>
        <v>135825138.46700001</v>
      </c>
      <c r="X20" s="145">
        <f t="shared" si="5"/>
        <v>132002384.48229328</v>
      </c>
    </row>
    <row r="21" spans="1:24" x14ac:dyDescent="0.2">
      <c r="C21" s="140"/>
      <c r="D21" s="139"/>
      <c r="E21" s="139"/>
      <c r="F21" s="139"/>
      <c r="G21" s="139"/>
      <c r="Q21" s="140">
        <f>ROUND((Q20-$C10),2)</f>
        <v>0</v>
      </c>
      <c r="R21" s="140">
        <f>ROUND((R20-$C11),2)</f>
        <v>0</v>
      </c>
      <c r="S21" s="140">
        <f>ROUND((S20-$C12),2)</f>
        <v>0</v>
      </c>
      <c r="T21" s="140">
        <f>ROUND((T20-$C13),2)</f>
        <v>0</v>
      </c>
      <c r="U21" s="140">
        <f>ROUND((U20-$C14),2)</f>
        <v>0</v>
      </c>
      <c r="V21" s="140">
        <f>ROUND((V20-$C15),2)</f>
        <v>0</v>
      </c>
      <c r="W21" s="140">
        <f>ROUND((W20-$C16),2)</f>
        <v>0</v>
      </c>
      <c r="X21" s="140">
        <f>ROUND((X20-$C17),2)</f>
        <v>0</v>
      </c>
    </row>
    <row r="22" spans="1:24" x14ac:dyDescent="0.2">
      <c r="C22" s="45"/>
      <c r="D22" s="139"/>
      <c r="E22" s="139"/>
      <c r="F22" s="139"/>
      <c r="G22" s="139"/>
      <c r="K22" s="138"/>
    </row>
    <row r="23" spans="1:24" x14ac:dyDescent="0.2">
      <c r="C23" s="45"/>
      <c r="D23" s="139"/>
      <c r="E23" s="139"/>
      <c r="F23" s="139"/>
      <c r="G23" s="139"/>
      <c r="K23" s="138"/>
    </row>
    <row r="24" spans="1:24" x14ac:dyDescent="0.2">
      <c r="C24" s="45"/>
      <c r="D24" s="139" t="s">
        <v>152</v>
      </c>
      <c r="G24" s="139"/>
      <c r="K24" s="138"/>
    </row>
    <row r="25" spans="1:24" x14ac:dyDescent="0.2">
      <c r="C25" s="45"/>
      <c r="D25" s="139"/>
      <c r="K25" s="138"/>
      <c r="P25" s="229" t="s">
        <v>170</v>
      </c>
      <c r="Q25" s="229"/>
      <c r="R25" s="229"/>
    </row>
    <row r="26" spans="1:24" x14ac:dyDescent="0.2">
      <c r="A26" s="45">
        <v>38353</v>
      </c>
      <c r="B26" s="45"/>
      <c r="C26" s="45"/>
      <c r="D26" s="139">
        <f>$G$2</f>
        <v>1875.5320512820513</v>
      </c>
      <c r="K26" s="138"/>
      <c r="P26" s="230">
        <v>105710000</v>
      </c>
      <c r="Q26" s="230"/>
      <c r="R26" s="230"/>
    </row>
    <row r="27" spans="1:24" ht="13.5" thickBot="1" x14ac:dyDescent="0.25">
      <c r="A27" s="45">
        <v>38384</v>
      </c>
      <c r="B27" s="45"/>
      <c r="C27" s="45"/>
      <c r="D27" s="139">
        <f>D26+$G$2</f>
        <v>3751.0641025641025</v>
      </c>
      <c r="K27" s="138"/>
    </row>
    <row r="28" spans="1:24" x14ac:dyDescent="0.2">
      <c r="A28" s="45">
        <v>38412</v>
      </c>
      <c r="B28" s="45"/>
      <c r="C28" s="45"/>
      <c r="D28" s="139">
        <f t="shared" ref="D28:D34" si="6">D27+$G$2</f>
        <v>5626.5961538461543</v>
      </c>
      <c r="K28" s="138"/>
      <c r="P28" s="225" t="s">
        <v>169</v>
      </c>
      <c r="Q28" s="226"/>
      <c r="R28" s="226"/>
      <c r="S28" s="226"/>
      <c r="T28" s="226"/>
      <c r="U28" s="226"/>
      <c r="V28" s="227"/>
    </row>
    <row r="29" spans="1:24" x14ac:dyDescent="0.2">
      <c r="A29" s="45">
        <v>38443</v>
      </c>
      <c r="B29" s="45"/>
      <c r="C29" s="45"/>
      <c r="D29" s="139">
        <f t="shared" si="6"/>
        <v>7502.1282051282051</v>
      </c>
      <c r="K29" s="138"/>
      <c r="P29" s="157">
        <v>2015</v>
      </c>
      <c r="Q29" s="56">
        <v>2016</v>
      </c>
      <c r="R29" s="56">
        <v>2017</v>
      </c>
      <c r="S29" s="56">
        <v>2018</v>
      </c>
      <c r="T29" s="56">
        <v>2019</v>
      </c>
      <c r="U29" s="56">
        <v>2020</v>
      </c>
      <c r="V29" s="158" t="s">
        <v>3</v>
      </c>
    </row>
    <row r="30" spans="1:24" x14ac:dyDescent="0.2">
      <c r="A30" s="45">
        <v>38473</v>
      </c>
      <c r="B30" s="45"/>
      <c r="C30" s="45"/>
      <c r="D30" s="139">
        <f t="shared" si="6"/>
        <v>9377.6602564102559</v>
      </c>
      <c r="K30" s="138"/>
      <c r="P30" s="159">
        <f>P37/$P$26</f>
        <v>2.777777777788289E-2</v>
      </c>
      <c r="Q30" s="160">
        <f t="shared" ref="Q30:U33" si="7">Q37/$P$26</f>
        <v>2.777777777788289E-2</v>
      </c>
      <c r="R30" s="160">
        <f t="shared" si="7"/>
        <v>2.777777777788289E-2</v>
      </c>
      <c r="S30" s="160">
        <f t="shared" si="7"/>
        <v>2.777777777788289E-2</v>
      </c>
      <c r="T30" s="160">
        <f t="shared" si="7"/>
        <v>2.777777777788289E-2</v>
      </c>
      <c r="U30" s="160">
        <f t="shared" si="7"/>
        <v>2.777777777788289E-2</v>
      </c>
      <c r="V30" s="161">
        <f>SUM(P30:U30)</f>
        <v>0.16666666666729735</v>
      </c>
    </row>
    <row r="31" spans="1:24" x14ac:dyDescent="0.2">
      <c r="A31" s="45">
        <v>38504</v>
      </c>
      <c r="B31" s="45"/>
      <c r="C31" s="45"/>
      <c r="D31" s="139">
        <f t="shared" si="6"/>
        <v>11253.192307692307</v>
      </c>
      <c r="K31" s="138"/>
      <c r="P31" s="159"/>
      <c r="Q31" s="160">
        <f t="shared" si="7"/>
        <v>3.3333333333648664E-2</v>
      </c>
      <c r="R31" s="160">
        <f t="shared" si="7"/>
        <v>3.3333333333648664E-2</v>
      </c>
      <c r="S31" s="160">
        <f t="shared" si="7"/>
        <v>3.3333333333648664E-2</v>
      </c>
      <c r="T31" s="160">
        <f t="shared" si="7"/>
        <v>3.3333333333648664E-2</v>
      </c>
      <c r="U31" s="160">
        <f t="shared" si="7"/>
        <v>3.3333333333648664E-2</v>
      </c>
      <c r="V31" s="161">
        <f t="shared" ref="V31:V35" si="8">SUM(P31:U31)</f>
        <v>0.16666666666824331</v>
      </c>
    </row>
    <row r="32" spans="1:24" x14ac:dyDescent="0.2">
      <c r="A32" s="45">
        <v>38534</v>
      </c>
      <c r="B32" s="45"/>
      <c r="C32" s="45"/>
      <c r="D32" s="139">
        <f t="shared" si="6"/>
        <v>13128.724358974358</v>
      </c>
      <c r="K32" s="138"/>
      <c r="P32" s="159"/>
      <c r="Q32" s="160"/>
      <c r="R32" s="160">
        <f t="shared" si="7"/>
        <v>4.166666666635134E-2</v>
      </c>
      <c r="S32" s="160">
        <f t="shared" si="7"/>
        <v>4.166666666635134E-2</v>
      </c>
      <c r="T32" s="160">
        <f t="shared" ref="T32:U35" si="9">T39/$P$26</f>
        <v>4.166666666635134E-2</v>
      </c>
      <c r="U32" s="160">
        <f t="shared" si="9"/>
        <v>4.166666666635134E-2</v>
      </c>
      <c r="V32" s="161">
        <f t="shared" si="8"/>
        <v>0.16666666666540536</v>
      </c>
      <c r="X32" s="173"/>
    </row>
    <row r="33" spans="1:24" x14ac:dyDescent="0.2">
      <c r="A33" s="45">
        <v>38565</v>
      </c>
      <c r="B33" s="45"/>
      <c r="C33" s="45"/>
      <c r="D33" s="139">
        <f t="shared" si="6"/>
        <v>15004.256410256408</v>
      </c>
      <c r="K33" s="138"/>
      <c r="P33" s="159"/>
      <c r="Q33" s="160"/>
      <c r="R33" s="160"/>
      <c r="S33" s="160">
        <f t="shared" si="7"/>
        <v>5.555555555576578E-2</v>
      </c>
      <c r="T33" s="160">
        <f t="shared" si="9"/>
        <v>5.555555555576578E-2</v>
      </c>
      <c r="U33" s="160">
        <f t="shared" si="9"/>
        <v>5.555555555576578E-2</v>
      </c>
      <c r="V33" s="161">
        <f t="shared" si="8"/>
        <v>0.16666666666729735</v>
      </c>
      <c r="X33" s="174"/>
    </row>
    <row r="34" spans="1:24" x14ac:dyDescent="0.2">
      <c r="A34" s="45">
        <v>38596</v>
      </c>
      <c r="B34" s="45"/>
      <c r="C34" s="45"/>
      <c r="D34" s="139">
        <f t="shared" si="6"/>
        <v>16879.788461538461</v>
      </c>
      <c r="K34" s="138"/>
      <c r="P34" s="159"/>
      <c r="Q34" s="160"/>
      <c r="R34" s="160"/>
      <c r="S34" s="160"/>
      <c r="T34" s="160">
        <f t="shared" si="9"/>
        <v>8.333333333364866E-2</v>
      </c>
      <c r="U34" s="160">
        <f t="shared" si="9"/>
        <v>8.333333333364866E-2</v>
      </c>
      <c r="V34" s="161">
        <f t="shared" si="8"/>
        <v>0.16666666666729732</v>
      </c>
      <c r="X34" s="174"/>
    </row>
    <row r="35" spans="1:24" x14ac:dyDescent="0.2">
      <c r="A35" s="45">
        <v>38626</v>
      </c>
      <c r="B35" s="45"/>
      <c r="C35" s="45"/>
      <c r="D35" s="139">
        <f>D34+$G$2</f>
        <v>18755.320512820512</v>
      </c>
      <c r="K35" s="138"/>
      <c r="P35" s="159"/>
      <c r="Q35" s="160"/>
      <c r="R35" s="160"/>
      <c r="S35" s="160"/>
      <c r="T35" s="160"/>
      <c r="U35" s="160">
        <f t="shared" si="9"/>
        <v>0.16666666666635133</v>
      </c>
      <c r="V35" s="161">
        <f t="shared" si="8"/>
        <v>0.16666666666635133</v>
      </c>
      <c r="X35" s="152"/>
    </row>
    <row r="36" spans="1:24" x14ac:dyDescent="0.2">
      <c r="A36" s="45">
        <v>38657</v>
      </c>
      <c r="B36" s="45"/>
      <c r="C36" s="45"/>
      <c r="D36" s="139">
        <f>D35+$G$2</f>
        <v>20630.852564102563</v>
      </c>
      <c r="E36" s="51" t="s">
        <v>138</v>
      </c>
      <c r="F36" s="51"/>
      <c r="K36" s="138"/>
      <c r="P36" s="232" t="s">
        <v>65</v>
      </c>
      <c r="Q36" s="233"/>
      <c r="R36" s="233"/>
      <c r="S36" s="233"/>
      <c r="T36" s="233"/>
      <c r="U36" s="233"/>
      <c r="V36" s="234"/>
    </row>
    <row r="37" spans="1:24" x14ac:dyDescent="0.2">
      <c r="A37" s="45">
        <v>38687</v>
      </c>
      <c r="B37" s="45"/>
      <c r="C37" s="45"/>
      <c r="D37" s="139">
        <f>D36+$G$2</f>
        <v>22506.384615384613</v>
      </c>
      <c r="E37" s="139">
        <f>SUM(D26:D37)</f>
        <v>146291.5</v>
      </c>
      <c r="F37" s="139">
        <f>D37*12</f>
        <v>270076.61538461538</v>
      </c>
      <c r="K37" s="138"/>
      <c r="O37">
        <v>2015</v>
      </c>
      <c r="P37" s="162">
        <f>ROUND((V37/6),4)</f>
        <v>2936388.8889000001</v>
      </c>
      <c r="Q37" s="163">
        <f>ROUND((V37/6),4)</f>
        <v>2936388.8889000001</v>
      </c>
      <c r="R37" s="163">
        <f>ROUND((V37/6),4)</f>
        <v>2936388.8889000001</v>
      </c>
      <c r="S37" s="163">
        <f>ROUND((V37/6),4)</f>
        <v>2936388.8889000001</v>
      </c>
      <c r="T37" s="163">
        <f>ROUND((V37/6),4)</f>
        <v>2936388.8889000001</v>
      </c>
      <c r="U37" s="163">
        <f>ROUND((V37/6),4)</f>
        <v>2936388.8889000001</v>
      </c>
      <c r="V37" s="164">
        <f>ROUND((P26/6),4)</f>
        <v>17618333.333299998</v>
      </c>
    </row>
    <row r="38" spans="1:24" x14ac:dyDescent="0.2">
      <c r="A38" s="45">
        <v>38718</v>
      </c>
      <c r="B38" s="45"/>
      <c r="C38" s="45"/>
      <c r="D38" s="139">
        <f>+D37+$G$3</f>
        <v>89668.287246351087</v>
      </c>
      <c r="K38" s="138"/>
      <c r="O38">
        <v>2016</v>
      </c>
      <c r="P38" s="165"/>
      <c r="Q38" s="163">
        <f>ROUND((V38/5),4)</f>
        <v>3523666.6666999999</v>
      </c>
      <c r="R38" s="163">
        <f>ROUND((V38/5),4)</f>
        <v>3523666.6666999999</v>
      </c>
      <c r="S38" s="163">
        <f>ROUND((V38/5),4)</f>
        <v>3523666.6666999999</v>
      </c>
      <c r="T38" s="163">
        <f>ROUND((V38/5),4)</f>
        <v>3523666.6666999999</v>
      </c>
      <c r="U38" s="163">
        <f>ROUND((V38/5),4)</f>
        <v>3523666.6666999999</v>
      </c>
      <c r="V38" s="164">
        <f>ROUND((P26/6),4)</f>
        <v>17618333.333299998</v>
      </c>
    </row>
    <row r="39" spans="1:24" x14ac:dyDescent="0.2">
      <c r="A39" s="45">
        <v>38749</v>
      </c>
      <c r="B39" s="45"/>
      <c r="C39" s="45"/>
      <c r="D39" s="139">
        <f>+D38+$G$3</f>
        <v>156830.18987731758</v>
      </c>
      <c r="K39" s="138"/>
      <c r="O39">
        <v>2017</v>
      </c>
      <c r="P39" s="165"/>
      <c r="Q39" s="166"/>
      <c r="R39" s="163">
        <f>ROUND((V39/4),4)</f>
        <v>4404583.3333000001</v>
      </c>
      <c r="S39" s="163">
        <f>ROUND((V39/4),4)</f>
        <v>4404583.3333000001</v>
      </c>
      <c r="T39" s="163">
        <f>ROUND((V39/4),4)</f>
        <v>4404583.3333000001</v>
      </c>
      <c r="U39" s="163">
        <f>ROUND((V39/4),4)</f>
        <v>4404583.3333000001</v>
      </c>
      <c r="V39" s="164">
        <f>ROUND((P26/6),4)</f>
        <v>17618333.333299998</v>
      </c>
      <c r="W39" s="49"/>
    </row>
    <row r="40" spans="1:24" x14ac:dyDescent="0.2">
      <c r="A40" s="45">
        <v>38777</v>
      </c>
      <c r="B40" s="45"/>
      <c r="C40" s="45"/>
      <c r="D40" s="139">
        <f>+D39+$G$3</f>
        <v>223992.09250828405</v>
      </c>
      <c r="K40" s="138"/>
      <c r="O40">
        <v>2018</v>
      </c>
      <c r="P40" s="165"/>
      <c r="Q40" s="166"/>
      <c r="R40" s="166"/>
      <c r="S40" s="166">
        <f>ROUND((V40/3),4)</f>
        <v>5872777.7778000003</v>
      </c>
      <c r="T40" s="166">
        <f>ROUND((V40/3),4)</f>
        <v>5872777.7778000003</v>
      </c>
      <c r="U40" s="166">
        <f>ROUND((V40/3),4)</f>
        <v>5872777.7778000003</v>
      </c>
      <c r="V40" s="164">
        <f>ROUND((P26/6),4)</f>
        <v>17618333.333299998</v>
      </c>
      <c r="W40" s="49"/>
    </row>
    <row r="41" spans="1:24" x14ac:dyDescent="0.2">
      <c r="A41" s="45">
        <v>38808</v>
      </c>
      <c r="B41" s="45"/>
      <c r="C41" s="45"/>
      <c r="D41" s="139">
        <f t="shared" ref="D41:D49" si="10">+D40+$G$3</f>
        <v>291153.99513925053</v>
      </c>
      <c r="K41" s="138"/>
      <c r="O41">
        <v>2019</v>
      </c>
      <c r="P41" s="170"/>
      <c r="Q41" s="171"/>
      <c r="R41" s="171"/>
      <c r="S41" s="171"/>
      <c r="T41" s="166">
        <f>ROUND((V41/2),4)</f>
        <v>8809166.6666999999</v>
      </c>
      <c r="U41" s="166">
        <f>ROUND((V41/2),4)</f>
        <v>8809166.6666999999</v>
      </c>
      <c r="V41" s="172">
        <f>ROUND((P26/6),4)</f>
        <v>17618333.333299998</v>
      </c>
      <c r="W41" s="49"/>
    </row>
    <row r="42" spans="1:24" ht="13.5" thickBot="1" x14ac:dyDescent="0.25">
      <c r="A42" s="45">
        <v>38838</v>
      </c>
      <c r="B42" s="45"/>
      <c r="C42" s="45"/>
      <c r="D42" s="139">
        <f t="shared" si="10"/>
        <v>358315.89777021704</v>
      </c>
      <c r="K42" s="138"/>
      <c r="O42">
        <v>2020</v>
      </c>
      <c r="P42" s="167"/>
      <c r="Q42" s="168"/>
      <c r="R42" s="168"/>
      <c r="S42" s="168"/>
      <c r="T42" s="168"/>
      <c r="U42" s="168">
        <f>ROUND((V42),4)</f>
        <v>17618333.333299998</v>
      </c>
      <c r="V42" s="169">
        <f>ROUND((P26/6),4)</f>
        <v>17618333.333299998</v>
      </c>
      <c r="W42" s="49"/>
    </row>
    <row r="43" spans="1:24" x14ac:dyDescent="0.2">
      <c r="A43" s="45">
        <v>38869</v>
      </c>
      <c r="B43" s="45"/>
      <c r="C43" s="45"/>
      <c r="D43" s="139">
        <f t="shared" si="10"/>
        <v>425477.80040118354</v>
      </c>
      <c r="K43" s="138"/>
      <c r="Q43" s="45"/>
      <c r="R43" s="45"/>
      <c r="S43" s="75"/>
      <c r="T43" s="75"/>
    </row>
    <row r="44" spans="1:24" x14ac:dyDescent="0.2">
      <c r="A44" s="45">
        <v>38899</v>
      </c>
      <c r="B44" s="45"/>
      <c r="C44" s="45"/>
      <c r="D44" s="139">
        <f t="shared" si="10"/>
        <v>492639.70303215005</v>
      </c>
      <c r="K44" s="138"/>
      <c r="Q44" s="45"/>
      <c r="T44" s="231" t="s">
        <v>171</v>
      </c>
      <c r="U44" s="231"/>
    </row>
    <row r="45" spans="1:24" x14ac:dyDescent="0.2">
      <c r="A45" s="45">
        <v>38930</v>
      </c>
      <c r="B45" s="45"/>
      <c r="C45" s="45"/>
      <c r="D45" s="139">
        <f t="shared" si="10"/>
        <v>559801.60566311656</v>
      </c>
      <c r="K45" s="138"/>
      <c r="Q45" s="45"/>
      <c r="T45" s="30">
        <f>ROUND((T40),4)</f>
        <v>5872777.7778000003</v>
      </c>
      <c r="U45" s="30">
        <f>ROUND((U40),4)</f>
        <v>5872777.7778000003</v>
      </c>
    </row>
    <row r="46" spans="1:24" x14ac:dyDescent="0.2">
      <c r="A46" s="45">
        <v>38961</v>
      </c>
      <c r="B46" s="45"/>
      <c r="C46" s="45"/>
      <c r="D46" s="139">
        <f t="shared" si="10"/>
        <v>626963.50829408306</v>
      </c>
      <c r="Q46" s="45"/>
      <c r="T46" s="30">
        <f>ROUND((T41/2),4)</f>
        <v>4404583.3333999999</v>
      </c>
      <c r="U46" s="30">
        <f>ROUND((U41),4)</f>
        <v>8809166.6666999999</v>
      </c>
      <c r="V46" s="14"/>
    </row>
    <row r="47" spans="1:24" x14ac:dyDescent="0.2">
      <c r="A47" s="45">
        <v>38991</v>
      </c>
      <c r="B47" s="45"/>
      <c r="C47" s="45"/>
      <c r="D47" s="139">
        <f t="shared" si="10"/>
        <v>694125.41092504957</v>
      </c>
      <c r="Q47" s="45"/>
      <c r="T47" s="45"/>
      <c r="U47" s="30">
        <f>ROUND((U42/2),2)</f>
        <v>8809166.6699999999</v>
      </c>
    </row>
    <row r="48" spans="1:24" ht="13.5" thickBot="1" x14ac:dyDescent="0.25">
      <c r="A48" s="45">
        <v>39022</v>
      </c>
      <c r="B48" s="45"/>
      <c r="C48" s="45"/>
      <c r="D48" s="139">
        <f t="shared" si="10"/>
        <v>761287.31355601607</v>
      </c>
      <c r="T48" s="176">
        <f>ROUND((SUM(T45:T47)),4)</f>
        <v>10277361.111199999</v>
      </c>
      <c r="U48" s="176">
        <f>ROUND((SUM(U45:U47)),4)</f>
        <v>23491111.114500001</v>
      </c>
    </row>
    <row r="49" spans="1:6" ht="13.5" thickTop="1" x14ac:dyDescent="0.2">
      <c r="A49" s="45">
        <v>39052</v>
      </c>
      <c r="B49" s="45"/>
      <c r="C49" s="45"/>
      <c r="D49" s="139">
        <f t="shared" si="10"/>
        <v>828449.21618698258</v>
      </c>
      <c r="E49" s="139">
        <f>SUM(D38:D49)</f>
        <v>5508705.0206000023</v>
      </c>
      <c r="F49" s="139">
        <f>D49*12</f>
        <v>9941390.594243791</v>
      </c>
    </row>
    <row r="50" spans="1:6" x14ac:dyDescent="0.2">
      <c r="A50" s="45">
        <v>39083</v>
      </c>
      <c r="B50" s="45"/>
      <c r="C50" s="45"/>
      <c r="D50" s="139">
        <f>+D49+$G$4</f>
        <v>907332.77602167754</v>
      </c>
    </row>
    <row r="51" spans="1:6" x14ac:dyDescent="0.2">
      <c r="A51" s="45">
        <v>39114</v>
      </c>
      <c r="B51" s="45"/>
      <c r="C51" s="45"/>
      <c r="D51" s="139">
        <f t="shared" ref="D51:D61" si="11">+D50+$G$4</f>
        <v>986216.33585637249</v>
      </c>
    </row>
    <row r="52" spans="1:6" ht="12.75" customHeight="1" x14ac:dyDescent="0.2">
      <c r="A52" s="45">
        <v>39142</v>
      </c>
      <c r="B52" s="45"/>
      <c r="C52" s="45"/>
      <c r="D52" s="139">
        <f t="shared" si="11"/>
        <v>1065099.8956910674</v>
      </c>
    </row>
    <row r="53" spans="1:6" ht="12.75" customHeight="1" x14ac:dyDescent="0.2">
      <c r="A53" s="45">
        <v>39173</v>
      </c>
      <c r="B53" s="45"/>
      <c r="C53" s="45"/>
      <c r="D53" s="139">
        <f t="shared" si="11"/>
        <v>1143983.4555257624</v>
      </c>
    </row>
    <row r="54" spans="1:6" ht="12.75" customHeight="1" x14ac:dyDescent="0.2">
      <c r="A54" s="45">
        <v>39203</v>
      </c>
      <c r="B54" s="45"/>
      <c r="C54" s="45"/>
      <c r="D54" s="139">
        <f t="shared" si="11"/>
        <v>1222867.0153604574</v>
      </c>
    </row>
    <row r="55" spans="1:6" ht="12.75" customHeight="1" x14ac:dyDescent="0.2">
      <c r="A55" s="45">
        <v>39234</v>
      </c>
      <c r="B55" s="45"/>
      <c r="C55" s="45"/>
      <c r="D55" s="139">
        <f t="shared" si="11"/>
        <v>1301750.5751951523</v>
      </c>
    </row>
    <row r="56" spans="1:6" ht="12.75" customHeight="1" x14ac:dyDescent="0.2">
      <c r="A56" s="45">
        <v>39264</v>
      </c>
      <c r="B56" s="45"/>
      <c r="C56" s="45"/>
      <c r="D56" s="139">
        <f t="shared" si="11"/>
        <v>1380634.1350298473</v>
      </c>
    </row>
    <row r="57" spans="1:6" ht="12.75" customHeight="1" x14ac:dyDescent="0.2">
      <c r="A57" s="45">
        <v>39295</v>
      </c>
      <c r="B57" s="45"/>
      <c r="C57" s="45"/>
      <c r="D57" s="139">
        <f t="shared" si="11"/>
        <v>1459517.6948645422</v>
      </c>
    </row>
    <row r="58" spans="1:6" ht="12.75" customHeight="1" x14ac:dyDescent="0.2">
      <c r="A58" s="45">
        <v>39326</v>
      </c>
      <c r="B58" s="45"/>
      <c r="C58" s="45"/>
      <c r="D58" s="139">
        <f t="shared" si="11"/>
        <v>1538401.2546992372</v>
      </c>
    </row>
    <row r="59" spans="1:6" ht="12.75" customHeight="1" x14ac:dyDescent="0.2">
      <c r="A59" s="45">
        <v>39356</v>
      </c>
      <c r="B59" s="45"/>
      <c r="C59" s="45"/>
      <c r="D59" s="139">
        <f t="shared" si="11"/>
        <v>1617284.8145339321</v>
      </c>
    </row>
    <row r="60" spans="1:6" ht="12.75" customHeight="1" x14ac:dyDescent="0.2">
      <c r="A60" s="45">
        <v>39387</v>
      </c>
      <c r="B60" s="45"/>
      <c r="C60" s="45"/>
      <c r="D60" s="139">
        <f t="shared" si="11"/>
        <v>1696168.3743686271</v>
      </c>
    </row>
    <row r="61" spans="1:6" ht="12.75" customHeight="1" x14ac:dyDescent="0.2">
      <c r="A61" s="45">
        <v>39417</v>
      </c>
      <c r="B61" s="45"/>
      <c r="C61" s="45"/>
      <c r="D61" s="139">
        <f t="shared" si="11"/>
        <v>1775051.934203322</v>
      </c>
      <c r="E61" s="139">
        <f>SUM(D50:D61)</f>
        <v>16094308.261349995</v>
      </c>
      <c r="F61" s="139">
        <f>D61*12</f>
        <v>21300623.210439865</v>
      </c>
    </row>
    <row r="62" spans="1:6" ht="12.75" customHeight="1" x14ac:dyDescent="0.2">
      <c r="A62" s="45">
        <v>39448</v>
      </c>
      <c r="B62" s="45"/>
      <c r="C62" s="45"/>
      <c r="D62" s="139">
        <f>D61+$G$5</f>
        <v>1813009.9616553751</v>
      </c>
    </row>
    <row r="63" spans="1:6" x14ac:dyDescent="0.2">
      <c r="A63" s="45">
        <v>39479</v>
      </c>
      <c r="B63" s="45"/>
      <c r="C63" s="45"/>
      <c r="D63" s="139">
        <f t="shared" ref="D63:D73" si="12">D62+$G$5</f>
        <v>1850967.9891074281</v>
      </c>
    </row>
    <row r="64" spans="1:6" ht="12.75" customHeight="1" x14ac:dyDescent="0.2">
      <c r="A64" s="45">
        <v>39508</v>
      </c>
      <c r="B64" s="45"/>
      <c r="C64" s="45"/>
      <c r="D64" s="139">
        <f t="shared" si="12"/>
        <v>1888926.0165594812</v>
      </c>
    </row>
    <row r="65" spans="1:6" ht="12.75" customHeight="1" x14ac:dyDescent="0.2">
      <c r="A65" s="45">
        <v>39539</v>
      </c>
      <c r="B65" s="45"/>
      <c r="C65" s="45"/>
      <c r="D65" s="139">
        <f t="shared" si="12"/>
        <v>1926884.0440115342</v>
      </c>
    </row>
    <row r="66" spans="1:6" ht="13.5" customHeight="1" x14ac:dyDescent="0.2">
      <c r="A66" s="45">
        <v>39569</v>
      </c>
      <c r="B66" s="45"/>
      <c r="C66" s="45"/>
      <c r="D66" s="139">
        <f t="shared" si="12"/>
        <v>1964842.0714635872</v>
      </c>
    </row>
    <row r="67" spans="1:6" ht="12.75" customHeight="1" x14ac:dyDescent="0.2">
      <c r="A67" s="45">
        <v>39600</v>
      </c>
      <c r="B67" s="45"/>
      <c r="C67" s="45"/>
      <c r="D67" s="139">
        <f t="shared" si="12"/>
        <v>2002800.0989156403</v>
      </c>
    </row>
    <row r="68" spans="1:6" ht="12.75" customHeight="1" x14ac:dyDescent="0.2">
      <c r="A68" s="45">
        <v>39630</v>
      </c>
      <c r="B68" s="45"/>
      <c r="C68" s="45"/>
      <c r="D68" s="139">
        <f t="shared" si="12"/>
        <v>2040758.1263676933</v>
      </c>
    </row>
    <row r="69" spans="1:6" ht="12.75" customHeight="1" x14ac:dyDescent="0.2">
      <c r="A69" s="45">
        <v>39661</v>
      </c>
      <c r="B69" s="45"/>
      <c r="C69" s="45"/>
      <c r="D69" s="139">
        <f t="shared" si="12"/>
        <v>2078716.1538197463</v>
      </c>
    </row>
    <row r="70" spans="1:6" ht="12.75" customHeight="1" x14ac:dyDescent="0.2">
      <c r="A70" s="45">
        <v>39692</v>
      </c>
      <c r="B70" s="45"/>
      <c r="C70" s="45"/>
      <c r="D70" s="139">
        <f t="shared" si="12"/>
        <v>2116674.1812717994</v>
      </c>
    </row>
    <row r="71" spans="1:6" ht="12.75" customHeight="1" x14ac:dyDescent="0.2">
      <c r="A71" s="45">
        <v>39722</v>
      </c>
      <c r="B71" s="45"/>
      <c r="C71" s="45"/>
      <c r="D71" s="139">
        <f t="shared" si="12"/>
        <v>2154632.2087238524</v>
      </c>
    </row>
    <row r="72" spans="1:6" x14ac:dyDescent="0.2">
      <c r="A72" s="45">
        <v>39753</v>
      </c>
      <c r="B72" s="45"/>
      <c r="C72" s="45"/>
      <c r="D72" s="139">
        <f t="shared" si="12"/>
        <v>2192590.2361759054</v>
      </c>
    </row>
    <row r="73" spans="1:6" x14ac:dyDescent="0.2">
      <c r="A73" s="45">
        <v>39783</v>
      </c>
      <c r="B73" s="45"/>
      <c r="C73" s="45"/>
      <c r="D73" s="139">
        <f t="shared" si="12"/>
        <v>2230548.2636279585</v>
      </c>
      <c r="E73" s="139">
        <f>SUM(D62:D73)</f>
        <v>24261349.3517</v>
      </c>
      <c r="F73" s="139">
        <f>D73*12</f>
        <v>26766579.163535502</v>
      </c>
    </row>
    <row r="74" spans="1:6" x14ac:dyDescent="0.2">
      <c r="A74" s="45">
        <v>39814</v>
      </c>
      <c r="B74" s="45"/>
      <c r="C74" s="45"/>
      <c r="D74" s="139">
        <f>D73+$G$6</f>
        <v>2295812.7907332727</v>
      </c>
    </row>
    <row r="75" spans="1:6" x14ac:dyDescent="0.2">
      <c r="A75" s="45">
        <v>39845</v>
      </c>
      <c r="B75" s="45"/>
      <c r="C75" s="45"/>
      <c r="D75" s="139">
        <f t="shared" ref="D75:D85" si="13">D74+$G$6</f>
        <v>2361077.3178385869</v>
      </c>
    </row>
    <row r="76" spans="1:6" x14ac:dyDescent="0.2">
      <c r="A76" s="45">
        <v>39873</v>
      </c>
      <c r="B76" s="45"/>
      <c r="C76" s="45"/>
      <c r="D76" s="139">
        <f t="shared" si="13"/>
        <v>2426341.8449439011</v>
      </c>
    </row>
    <row r="77" spans="1:6" x14ac:dyDescent="0.2">
      <c r="A77" s="45">
        <v>39904</v>
      </c>
      <c r="B77" s="45"/>
      <c r="C77" s="45"/>
      <c r="D77" s="139">
        <f t="shared" si="13"/>
        <v>2491606.3720492152</v>
      </c>
    </row>
    <row r="78" spans="1:6" x14ac:dyDescent="0.2">
      <c r="A78" s="45">
        <v>39934</v>
      </c>
      <c r="B78" s="45"/>
      <c r="C78" s="45"/>
      <c r="D78" s="139">
        <f t="shared" si="13"/>
        <v>2556870.8991545294</v>
      </c>
    </row>
    <row r="79" spans="1:6" x14ac:dyDescent="0.2">
      <c r="A79" s="45">
        <v>39965</v>
      </c>
      <c r="B79" s="45"/>
      <c r="C79" s="45"/>
      <c r="D79" s="139">
        <f t="shared" si="13"/>
        <v>2622135.4262598436</v>
      </c>
    </row>
    <row r="80" spans="1:6" x14ac:dyDescent="0.2">
      <c r="A80" s="45">
        <v>39995</v>
      </c>
      <c r="B80" s="45"/>
      <c r="C80" s="45"/>
      <c r="D80" s="139">
        <f t="shared" si="13"/>
        <v>2687399.9533651578</v>
      </c>
    </row>
    <row r="81" spans="1:6" x14ac:dyDescent="0.2">
      <c r="A81" s="45">
        <v>40026</v>
      </c>
      <c r="B81" s="45"/>
      <c r="C81" s="45"/>
      <c r="D81" s="139">
        <f t="shared" si="13"/>
        <v>2752664.480470472</v>
      </c>
    </row>
    <row r="82" spans="1:6" x14ac:dyDescent="0.2">
      <c r="A82" s="45">
        <v>40057</v>
      </c>
      <c r="B82" s="45"/>
      <c r="C82" s="45"/>
      <c r="D82" s="139">
        <f t="shared" si="13"/>
        <v>2817929.0075757862</v>
      </c>
    </row>
    <row r="83" spans="1:6" x14ac:dyDescent="0.2">
      <c r="A83" s="45">
        <v>40087</v>
      </c>
      <c r="B83" s="45"/>
      <c r="C83" s="45"/>
      <c r="D83" s="139">
        <f t="shared" si="13"/>
        <v>2883193.5346811004</v>
      </c>
    </row>
    <row r="84" spans="1:6" x14ac:dyDescent="0.2">
      <c r="A84" s="45">
        <v>40118</v>
      </c>
      <c r="B84" s="45"/>
      <c r="C84" s="45"/>
      <c r="D84" s="139">
        <f t="shared" si="13"/>
        <v>2948458.0617864146</v>
      </c>
    </row>
    <row r="85" spans="1:6" x14ac:dyDescent="0.2">
      <c r="A85" s="45">
        <v>40148</v>
      </c>
      <c r="B85" s="45"/>
      <c r="C85" s="45"/>
      <c r="D85" s="139">
        <f t="shared" si="13"/>
        <v>3013722.5888917288</v>
      </c>
      <c r="E85" s="139">
        <f>SUM(D74:D85)</f>
        <v>31857212.277750008</v>
      </c>
      <c r="F85" s="139">
        <f>D85*12</f>
        <v>36164671.066700742</v>
      </c>
    </row>
    <row r="86" spans="1:6" x14ac:dyDescent="0.2">
      <c r="A86" s="45">
        <v>40179</v>
      </c>
      <c r="B86" s="45"/>
      <c r="C86" s="45"/>
      <c r="D86" s="139">
        <f>D85+$G$7</f>
        <v>3039169.8407987705</v>
      </c>
    </row>
    <row r="87" spans="1:6" x14ac:dyDescent="0.2">
      <c r="A87" s="45">
        <v>40210</v>
      </c>
      <c r="B87" s="45"/>
      <c r="C87" s="45"/>
      <c r="D87" s="139">
        <f t="shared" ref="D87:D97" si="14">D86+$G$7</f>
        <v>3064617.0927058123</v>
      </c>
    </row>
    <row r="88" spans="1:6" x14ac:dyDescent="0.2">
      <c r="A88" s="45">
        <v>40238</v>
      </c>
      <c r="B88" s="45"/>
      <c r="C88" s="45"/>
      <c r="D88" s="139">
        <f t="shared" si="14"/>
        <v>3090064.3446128541</v>
      </c>
    </row>
    <row r="89" spans="1:6" x14ac:dyDescent="0.2">
      <c r="A89" s="45">
        <v>40269</v>
      </c>
      <c r="B89" s="45"/>
      <c r="C89" s="45"/>
      <c r="D89" s="139">
        <f t="shared" si="14"/>
        <v>3115511.5965198958</v>
      </c>
    </row>
    <row r="90" spans="1:6" x14ac:dyDescent="0.2">
      <c r="A90" s="45">
        <v>40299</v>
      </c>
      <c r="B90" s="45"/>
      <c r="C90" s="45"/>
      <c r="D90" s="139">
        <f t="shared" si="14"/>
        <v>3140958.8484269376</v>
      </c>
    </row>
    <row r="91" spans="1:6" x14ac:dyDescent="0.2">
      <c r="A91" s="45">
        <v>40330</v>
      </c>
      <c r="B91" s="45"/>
      <c r="C91" s="45"/>
      <c r="D91" s="139">
        <f t="shared" si="14"/>
        <v>3166406.1003339794</v>
      </c>
    </row>
    <row r="92" spans="1:6" x14ac:dyDescent="0.2">
      <c r="A92" s="45">
        <v>40360</v>
      </c>
      <c r="B92" s="45"/>
      <c r="C92" s="45"/>
      <c r="D92" s="139">
        <f t="shared" si="14"/>
        <v>3191853.3522410211</v>
      </c>
    </row>
    <row r="93" spans="1:6" x14ac:dyDescent="0.2">
      <c r="A93" s="45">
        <v>40391</v>
      </c>
      <c r="B93" s="45"/>
      <c r="C93" s="45"/>
      <c r="D93" s="139">
        <f t="shared" si="14"/>
        <v>3217300.6041480629</v>
      </c>
    </row>
    <row r="94" spans="1:6" x14ac:dyDescent="0.2">
      <c r="A94" s="45">
        <v>40422</v>
      </c>
      <c r="B94" s="45"/>
      <c r="C94" s="45"/>
      <c r="D94" s="139">
        <f t="shared" si="14"/>
        <v>3242747.8560551046</v>
      </c>
    </row>
    <row r="95" spans="1:6" x14ac:dyDescent="0.2">
      <c r="A95" s="45">
        <v>40452</v>
      </c>
      <c r="B95" s="45"/>
      <c r="C95" s="45"/>
      <c r="D95" s="139">
        <f t="shared" si="14"/>
        <v>3268195.1079621464</v>
      </c>
    </row>
    <row r="96" spans="1:6" x14ac:dyDescent="0.2">
      <c r="A96" s="45">
        <v>40483</v>
      </c>
      <c r="B96" s="45"/>
      <c r="C96" s="45"/>
      <c r="D96" s="139">
        <f t="shared" si="14"/>
        <v>3293642.3598691882</v>
      </c>
    </row>
    <row r="97" spans="1:6" x14ac:dyDescent="0.2">
      <c r="A97" s="45">
        <v>40513</v>
      </c>
      <c r="B97" s="45"/>
      <c r="C97" s="45"/>
      <c r="D97" s="139">
        <f t="shared" si="14"/>
        <v>3319089.6117762299</v>
      </c>
      <c r="E97" s="139">
        <f>SUM(D86:D97)</f>
        <v>38149556.715450004</v>
      </c>
      <c r="F97" s="139">
        <f>D97*12</f>
        <v>39829075.341314763</v>
      </c>
    </row>
    <row r="98" spans="1:6" x14ac:dyDescent="0.2">
      <c r="A98" s="45">
        <v>40544</v>
      </c>
      <c r="B98" s="45"/>
      <c r="C98" s="45"/>
      <c r="D98" s="139">
        <f>D97+$G$8</f>
        <v>3387075.684438861</v>
      </c>
    </row>
    <row r="99" spans="1:6" x14ac:dyDescent="0.2">
      <c r="A99" s="45">
        <v>40575</v>
      </c>
      <c r="B99" s="45"/>
      <c r="C99" s="45"/>
      <c r="D99" s="139">
        <f t="shared" ref="D99:D109" si="15">D98+$G$8</f>
        <v>3455061.757101492</v>
      </c>
    </row>
    <row r="100" spans="1:6" x14ac:dyDescent="0.2">
      <c r="A100" s="45">
        <v>40603</v>
      </c>
      <c r="B100" s="45"/>
      <c r="C100" s="45"/>
      <c r="D100" s="139">
        <f t="shared" si="15"/>
        <v>3523047.8297641231</v>
      </c>
    </row>
    <row r="101" spans="1:6" x14ac:dyDescent="0.2">
      <c r="A101" s="45">
        <v>40634</v>
      </c>
      <c r="B101" s="45"/>
      <c r="D101" s="139">
        <f t="shared" si="15"/>
        <v>3591033.9024267541</v>
      </c>
    </row>
    <row r="102" spans="1:6" x14ac:dyDescent="0.2">
      <c r="A102" s="45">
        <v>40664</v>
      </c>
      <c r="B102" s="45"/>
      <c r="D102" s="139">
        <f t="shared" si="15"/>
        <v>3659019.9750893852</v>
      </c>
    </row>
    <row r="103" spans="1:6" x14ac:dyDescent="0.2">
      <c r="A103" s="45">
        <v>40695</v>
      </c>
      <c r="B103" s="45"/>
      <c r="D103" s="139">
        <f t="shared" si="15"/>
        <v>3727006.0477520162</v>
      </c>
    </row>
    <row r="104" spans="1:6" x14ac:dyDescent="0.2">
      <c r="A104" s="45">
        <v>40725</v>
      </c>
      <c r="B104" s="45"/>
      <c r="D104" s="139">
        <f t="shared" si="15"/>
        <v>3794992.1204146473</v>
      </c>
    </row>
    <row r="105" spans="1:6" x14ac:dyDescent="0.2">
      <c r="A105" s="45">
        <v>40756</v>
      </c>
      <c r="B105" s="45"/>
      <c r="D105" s="139">
        <f t="shared" si="15"/>
        <v>3862978.1930772783</v>
      </c>
    </row>
    <row r="106" spans="1:6" x14ac:dyDescent="0.2">
      <c r="A106" s="45">
        <v>40787</v>
      </c>
      <c r="B106" s="45"/>
      <c r="D106" s="139">
        <f t="shared" si="15"/>
        <v>3930964.2657399094</v>
      </c>
    </row>
    <row r="107" spans="1:6" x14ac:dyDescent="0.2">
      <c r="A107" s="45">
        <v>40817</v>
      </c>
      <c r="B107" s="45"/>
      <c r="D107" s="139">
        <f t="shared" si="15"/>
        <v>3998950.3384025404</v>
      </c>
    </row>
    <row r="108" spans="1:6" x14ac:dyDescent="0.2">
      <c r="A108" s="45">
        <v>40848</v>
      </c>
      <c r="B108" s="45"/>
      <c r="D108" s="139">
        <f t="shared" si="15"/>
        <v>4066936.4110651715</v>
      </c>
    </row>
    <row r="109" spans="1:6" x14ac:dyDescent="0.2">
      <c r="A109" s="45">
        <v>40878</v>
      </c>
      <c r="B109" s="45"/>
      <c r="D109" s="139">
        <f t="shared" si="15"/>
        <v>4134922.4837278025</v>
      </c>
      <c r="E109" s="139">
        <f>SUM(D98:D109)</f>
        <v>45131989.008999981</v>
      </c>
      <c r="F109" s="139">
        <f>D109*12</f>
        <v>49619069.804733634</v>
      </c>
    </row>
    <row r="110" spans="1:6" x14ac:dyDescent="0.2">
      <c r="A110" s="45">
        <v>40909</v>
      </c>
      <c r="B110" s="45"/>
      <c r="D110" s="139">
        <f>D109+$G$9</f>
        <v>4186232.8172741663</v>
      </c>
    </row>
    <row r="111" spans="1:6" x14ac:dyDescent="0.2">
      <c r="A111" s="45">
        <v>40940</v>
      </c>
      <c r="B111" s="45"/>
      <c r="D111" s="139">
        <f t="shared" ref="D111:D121" si="16">D110+$G$9</f>
        <v>4237543.15082053</v>
      </c>
    </row>
    <row r="112" spans="1:6" x14ac:dyDescent="0.2">
      <c r="A112" s="45">
        <v>40969</v>
      </c>
      <c r="B112" s="45"/>
      <c r="D112" s="139">
        <f t="shared" si="16"/>
        <v>4288853.4843668938</v>
      </c>
    </row>
    <row r="113" spans="1:6" x14ac:dyDescent="0.2">
      <c r="A113" s="45">
        <v>41000</v>
      </c>
      <c r="B113" s="45"/>
      <c r="D113" s="139">
        <f t="shared" si="16"/>
        <v>4340163.8179132575</v>
      </c>
    </row>
    <row r="114" spans="1:6" x14ac:dyDescent="0.2">
      <c r="A114" s="45">
        <v>41030</v>
      </c>
      <c r="B114" s="45"/>
      <c r="D114" s="139">
        <f t="shared" si="16"/>
        <v>4391474.1514596213</v>
      </c>
    </row>
    <row r="115" spans="1:6" x14ac:dyDescent="0.2">
      <c r="A115" s="45">
        <v>41061</v>
      </c>
      <c r="B115" s="45"/>
      <c r="D115" s="139">
        <f t="shared" si="16"/>
        <v>4442784.485005985</v>
      </c>
    </row>
    <row r="116" spans="1:6" x14ac:dyDescent="0.2">
      <c r="A116" s="45">
        <v>41091</v>
      </c>
      <c r="B116" s="45"/>
      <c r="D116" s="139">
        <f t="shared" si="16"/>
        <v>4494094.8185523488</v>
      </c>
    </row>
    <row r="117" spans="1:6" x14ac:dyDescent="0.2">
      <c r="A117" s="45">
        <v>41122</v>
      </c>
      <c r="B117" s="45"/>
      <c r="D117" s="139">
        <f t="shared" si="16"/>
        <v>4545405.1520987125</v>
      </c>
    </row>
    <row r="118" spans="1:6" x14ac:dyDescent="0.2">
      <c r="A118" s="45">
        <v>41153</v>
      </c>
      <c r="B118" s="45"/>
      <c r="D118" s="139">
        <f t="shared" si="16"/>
        <v>4596715.4856450763</v>
      </c>
    </row>
    <row r="119" spans="1:6" x14ac:dyDescent="0.2">
      <c r="A119" s="45">
        <v>41183</v>
      </c>
      <c r="B119" s="45"/>
      <c r="D119" s="139">
        <f t="shared" si="16"/>
        <v>4648025.81919144</v>
      </c>
    </row>
    <row r="120" spans="1:6" x14ac:dyDescent="0.2">
      <c r="A120" s="45">
        <v>41214</v>
      </c>
      <c r="B120" s="45"/>
      <c r="D120" s="139">
        <f t="shared" si="16"/>
        <v>4699336.1527378038</v>
      </c>
    </row>
    <row r="121" spans="1:6" x14ac:dyDescent="0.2">
      <c r="A121" s="45">
        <v>41244</v>
      </c>
      <c r="B121" s="45"/>
      <c r="D121" s="139">
        <f t="shared" si="16"/>
        <v>4750646.4862841675</v>
      </c>
      <c r="E121" s="139">
        <f>SUM(D110:D121)</f>
        <v>53621275.821350008</v>
      </c>
      <c r="F121" s="139">
        <f>D121*12</f>
        <v>57007757.835410014</v>
      </c>
    </row>
    <row r="122" spans="1:6" x14ac:dyDescent="0.2">
      <c r="A122" s="45">
        <v>41275</v>
      </c>
      <c r="B122" s="45"/>
      <c r="D122" s="140">
        <f>D121+$G$10</f>
        <v>4775749.6932718595</v>
      </c>
    </row>
    <row r="123" spans="1:6" x14ac:dyDescent="0.2">
      <c r="A123" s="45">
        <v>41306</v>
      </c>
      <c r="B123" s="45"/>
      <c r="D123" s="140">
        <f t="shared" ref="D123:D133" si="17">D122+$G$10</f>
        <v>4800852.9002595516</v>
      </c>
    </row>
    <row r="124" spans="1:6" x14ac:dyDescent="0.2">
      <c r="A124" s="45">
        <v>41334</v>
      </c>
      <c r="B124" s="45"/>
      <c r="D124" s="140">
        <f t="shared" si="17"/>
        <v>4825956.1072472436</v>
      </c>
    </row>
    <row r="125" spans="1:6" x14ac:dyDescent="0.2">
      <c r="A125" s="45">
        <v>41365</v>
      </c>
      <c r="B125" s="45"/>
      <c r="D125" s="140">
        <f t="shared" si="17"/>
        <v>4851059.3142349357</v>
      </c>
    </row>
    <row r="126" spans="1:6" x14ac:dyDescent="0.2">
      <c r="A126" s="45">
        <v>41395</v>
      </c>
      <c r="B126" s="45"/>
      <c r="D126" s="140">
        <f t="shared" si="17"/>
        <v>4876162.5212226277</v>
      </c>
    </row>
    <row r="127" spans="1:6" x14ac:dyDescent="0.2">
      <c r="A127" s="45">
        <v>41426</v>
      </c>
      <c r="B127" s="45"/>
      <c r="D127" s="140">
        <f t="shared" si="17"/>
        <v>4901265.7282103198</v>
      </c>
    </row>
    <row r="128" spans="1:6" x14ac:dyDescent="0.2">
      <c r="A128" s="45">
        <v>41456</v>
      </c>
      <c r="B128" s="45"/>
      <c r="D128" s="140">
        <f t="shared" si="17"/>
        <v>4926368.9351980118</v>
      </c>
    </row>
    <row r="129" spans="1:6" x14ac:dyDescent="0.2">
      <c r="A129" s="45">
        <v>41487</v>
      </c>
      <c r="B129" s="45"/>
      <c r="D129" s="140">
        <f t="shared" si="17"/>
        <v>4951472.1421857039</v>
      </c>
    </row>
    <row r="130" spans="1:6" x14ac:dyDescent="0.2">
      <c r="A130" s="45">
        <v>41518</v>
      </c>
      <c r="B130" s="45"/>
      <c r="D130" s="140">
        <f t="shared" si="17"/>
        <v>4976575.3491733959</v>
      </c>
    </row>
    <row r="131" spans="1:6" x14ac:dyDescent="0.2">
      <c r="A131" s="45">
        <v>41548</v>
      </c>
      <c r="B131" s="45"/>
      <c r="D131" s="140">
        <f t="shared" si="17"/>
        <v>5001678.5561610879</v>
      </c>
    </row>
    <row r="132" spans="1:6" x14ac:dyDescent="0.2">
      <c r="A132" s="45">
        <v>41579</v>
      </c>
      <c r="B132" s="45"/>
      <c r="D132" s="140">
        <f t="shared" si="17"/>
        <v>5026781.76314878</v>
      </c>
    </row>
    <row r="133" spans="1:6" x14ac:dyDescent="0.2">
      <c r="A133" s="45">
        <v>41609</v>
      </c>
      <c r="B133" s="45"/>
      <c r="D133" s="140">
        <f t="shared" si="17"/>
        <v>5051884.970136472</v>
      </c>
      <c r="E133" s="139">
        <f>SUM(D122:D133)</f>
        <v>58965807.980449989</v>
      </c>
      <c r="F133" s="139">
        <f>D133*12</f>
        <v>60622619.641637668</v>
      </c>
    </row>
    <row r="134" spans="1:6" x14ac:dyDescent="0.2">
      <c r="A134" s="45">
        <v>41640</v>
      </c>
      <c r="B134" s="45"/>
      <c r="D134" s="140">
        <f>D133+$G$11</f>
        <v>5118165.0729199639</v>
      </c>
    </row>
    <row r="135" spans="1:6" x14ac:dyDescent="0.2">
      <c r="A135" s="45">
        <v>41671</v>
      </c>
      <c r="B135" s="45"/>
      <c r="D135" s="140">
        <f t="shared" ref="D135:D145" si="18">D134+$G$11</f>
        <v>5184445.1757034557</v>
      </c>
    </row>
    <row r="136" spans="1:6" x14ac:dyDescent="0.2">
      <c r="A136" s="45">
        <v>41699</v>
      </c>
      <c r="B136" s="45"/>
      <c r="D136" s="140">
        <f t="shared" si="18"/>
        <v>5250725.2784869475</v>
      </c>
    </row>
    <row r="137" spans="1:6" x14ac:dyDescent="0.2">
      <c r="A137" s="45">
        <v>41730</v>
      </c>
      <c r="B137" s="45"/>
      <c r="D137" s="140">
        <f t="shared" si="18"/>
        <v>5317005.3812704394</v>
      </c>
    </row>
    <row r="138" spans="1:6" x14ac:dyDescent="0.2">
      <c r="A138" s="45">
        <v>41760</v>
      </c>
      <c r="B138" s="45"/>
      <c r="D138" s="140">
        <f t="shared" si="18"/>
        <v>5383285.4840539312</v>
      </c>
    </row>
    <row r="139" spans="1:6" x14ac:dyDescent="0.2">
      <c r="A139" s="45">
        <v>41791</v>
      </c>
      <c r="B139" s="45"/>
      <c r="D139" s="140">
        <f t="shared" si="18"/>
        <v>5449565.586837423</v>
      </c>
    </row>
    <row r="140" spans="1:6" x14ac:dyDescent="0.2">
      <c r="A140" s="45">
        <v>41821</v>
      </c>
      <c r="B140" s="45"/>
      <c r="D140" s="140">
        <f t="shared" si="18"/>
        <v>5515845.6896209149</v>
      </c>
    </row>
    <row r="141" spans="1:6" x14ac:dyDescent="0.2">
      <c r="A141" s="45">
        <v>41852</v>
      </c>
      <c r="B141" s="45"/>
      <c r="D141" s="140">
        <f t="shared" si="18"/>
        <v>5582125.7924044067</v>
      </c>
    </row>
    <row r="142" spans="1:6" x14ac:dyDescent="0.2">
      <c r="A142" s="45">
        <v>41883</v>
      </c>
      <c r="B142" s="45"/>
      <c r="D142" s="140">
        <f t="shared" si="18"/>
        <v>5648405.8951878985</v>
      </c>
    </row>
    <row r="143" spans="1:6" x14ac:dyDescent="0.2">
      <c r="A143" s="45">
        <v>41913</v>
      </c>
      <c r="B143" s="45"/>
      <c r="D143" s="140">
        <f t="shared" si="18"/>
        <v>5714685.9979713904</v>
      </c>
    </row>
    <row r="144" spans="1:6" x14ac:dyDescent="0.2">
      <c r="A144" s="45">
        <v>41944</v>
      </c>
      <c r="B144" s="45"/>
      <c r="D144" s="140">
        <f t="shared" si="18"/>
        <v>5780966.1007548822</v>
      </c>
    </row>
    <row r="145" spans="1:6" x14ac:dyDescent="0.2">
      <c r="A145" s="45">
        <v>41974</v>
      </c>
      <c r="B145" s="45"/>
      <c r="D145" s="140">
        <f t="shared" si="18"/>
        <v>5847246.203538374</v>
      </c>
      <c r="E145" s="140">
        <f>SUM(D134:D145)</f>
        <v>65792467.658750027</v>
      </c>
      <c r="F145" s="139">
        <f>+D145*12</f>
        <v>70166954.442460492</v>
      </c>
    </row>
    <row r="146" spans="1:6" x14ac:dyDescent="0.2">
      <c r="A146" s="45">
        <v>42005</v>
      </c>
      <c r="B146" s="45"/>
      <c r="D146" s="140">
        <f>+D145+$G$12</f>
        <v>5979908.282433752</v>
      </c>
      <c r="E146" s="140"/>
      <c r="F146" s="139"/>
    </row>
    <row r="147" spans="1:6" x14ac:dyDescent="0.2">
      <c r="A147" s="45">
        <v>42036</v>
      </c>
      <c r="B147" s="45"/>
      <c r="D147" s="140">
        <f t="shared" ref="D147:D157" si="19">+D146+$G$12</f>
        <v>6112570.3613291308</v>
      </c>
      <c r="E147" s="140"/>
      <c r="F147" s="139"/>
    </row>
    <row r="148" spans="1:6" x14ac:dyDescent="0.2">
      <c r="A148" s="45">
        <v>42064</v>
      </c>
      <c r="B148" s="45"/>
      <c r="D148" s="140">
        <f t="shared" si="19"/>
        <v>6245232.4402245097</v>
      </c>
      <c r="E148" s="140"/>
      <c r="F148" s="139"/>
    </row>
    <row r="149" spans="1:6" x14ac:dyDescent="0.2">
      <c r="A149" s="45">
        <v>42095</v>
      </c>
      <c r="B149" s="45"/>
      <c r="D149" s="140">
        <f t="shared" si="19"/>
        <v>6377894.5191198885</v>
      </c>
      <c r="E149" s="140"/>
      <c r="F149" s="139"/>
    </row>
    <row r="150" spans="1:6" x14ac:dyDescent="0.2">
      <c r="A150" s="45">
        <v>42125</v>
      </c>
      <c r="B150" s="45"/>
      <c r="D150" s="140">
        <f t="shared" si="19"/>
        <v>6510556.5980152674</v>
      </c>
      <c r="E150" s="140"/>
      <c r="F150" s="139"/>
    </row>
    <row r="151" spans="1:6" x14ac:dyDescent="0.2">
      <c r="A151" s="45">
        <v>42156</v>
      </c>
      <c r="B151" s="45"/>
      <c r="D151" s="140">
        <f t="shared" si="19"/>
        <v>6643218.6769106463</v>
      </c>
      <c r="E151" s="140"/>
      <c r="F151" s="139"/>
    </row>
    <row r="152" spans="1:6" x14ac:dyDescent="0.2">
      <c r="A152" s="45">
        <v>42186</v>
      </c>
      <c r="B152" s="45"/>
      <c r="D152" s="140">
        <f t="shared" si="19"/>
        <v>6775880.7558060251</v>
      </c>
      <c r="E152" s="140"/>
      <c r="F152" s="139"/>
    </row>
    <row r="153" spans="1:6" x14ac:dyDescent="0.2">
      <c r="A153" s="45">
        <v>42217</v>
      </c>
      <c r="B153" s="45"/>
      <c r="D153" s="140">
        <f t="shared" si="19"/>
        <v>6908542.834701404</v>
      </c>
      <c r="E153" s="140"/>
      <c r="F153" s="139"/>
    </row>
    <row r="154" spans="1:6" x14ac:dyDescent="0.2">
      <c r="A154" s="45">
        <v>42248</v>
      </c>
      <c r="B154" s="45"/>
      <c r="D154" s="140">
        <f t="shared" si="19"/>
        <v>7041204.9135967828</v>
      </c>
      <c r="E154" s="140"/>
      <c r="F154" s="139"/>
    </row>
    <row r="155" spans="1:6" x14ac:dyDescent="0.2">
      <c r="A155" s="45">
        <v>42278</v>
      </c>
      <c r="B155" s="45"/>
      <c r="D155" s="140">
        <f t="shared" si="19"/>
        <v>7173866.9924921617</v>
      </c>
      <c r="E155" s="140"/>
      <c r="F155" s="139"/>
    </row>
    <row r="156" spans="1:6" x14ac:dyDescent="0.2">
      <c r="A156" s="45">
        <v>42309</v>
      </c>
      <c r="B156" s="45"/>
      <c r="D156" s="140">
        <f t="shared" si="19"/>
        <v>7306529.0713875405</v>
      </c>
      <c r="E156" s="140"/>
      <c r="F156" s="139"/>
    </row>
    <row r="157" spans="1:6" x14ac:dyDescent="0.2">
      <c r="A157" s="45">
        <v>42339</v>
      </c>
      <c r="B157" s="45"/>
      <c r="D157" s="140">
        <f t="shared" si="19"/>
        <v>7439191.1502829194</v>
      </c>
      <c r="E157" s="140">
        <f>SUM(D146:D157)</f>
        <v>80514596.596300021</v>
      </c>
      <c r="F157" s="139">
        <f>+D157*12</f>
        <v>89270293.803395033</v>
      </c>
    </row>
    <row r="158" spans="1:6" x14ac:dyDescent="0.2">
      <c r="A158" s="45">
        <v>42370</v>
      </c>
      <c r="B158" s="45"/>
      <c r="D158" s="140">
        <f>+D157+$G$13</f>
        <v>7582385.6605445212</v>
      </c>
      <c r="E158" s="140"/>
      <c r="F158" s="139"/>
    </row>
    <row r="159" spans="1:6" x14ac:dyDescent="0.2">
      <c r="A159" s="45">
        <v>42401</v>
      </c>
      <c r="B159" s="45"/>
      <c r="D159" s="140">
        <f t="shared" ref="D159:D169" si="20">+D158+$G$13</f>
        <v>7725580.1708061229</v>
      </c>
      <c r="E159" s="140"/>
      <c r="F159" s="139"/>
    </row>
    <row r="160" spans="1:6" x14ac:dyDescent="0.2">
      <c r="A160" s="45">
        <v>42430</v>
      </c>
      <c r="B160" s="45"/>
      <c r="D160" s="140">
        <f t="shared" si="20"/>
        <v>7868774.6810677247</v>
      </c>
      <c r="E160" s="140"/>
      <c r="F160" s="139"/>
    </row>
    <row r="161" spans="1:6" x14ac:dyDescent="0.2">
      <c r="A161" s="45">
        <v>42461</v>
      </c>
      <c r="B161" s="45"/>
      <c r="D161" s="140">
        <f t="shared" si="20"/>
        <v>8011969.1913293265</v>
      </c>
      <c r="E161" s="140"/>
      <c r="F161" s="139"/>
    </row>
    <row r="162" spans="1:6" x14ac:dyDescent="0.2">
      <c r="A162" s="45">
        <v>42491</v>
      </c>
      <c r="B162" s="45"/>
      <c r="D162" s="140">
        <f t="shared" si="20"/>
        <v>8155163.7015909282</v>
      </c>
      <c r="E162" s="140"/>
      <c r="F162" s="139"/>
    </row>
    <row r="163" spans="1:6" x14ac:dyDescent="0.2">
      <c r="A163" s="45">
        <v>42522</v>
      </c>
      <c r="B163" s="45"/>
      <c r="D163" s="140">
        <f t="shared" si="20"/>
        <v>8298358.21185253</v>
      </c>
      <c r="E163" s="140"/>
      <c r="F163" s="139"/>
    </row>
    <row r="164" spans="1:6" x14ac:dyDescent="0.2">
      <c r="A164" s="45">
        <v>42552</v>
      </c>
      <c r="B164" s="45"/>
      <c r="D164" s="140">
        <f t="shared" si="20"/>
        <v>8441552.7221141327</v>
      </c>
      <c r="E164" s="140"/>
      <c r="F164" s="139"/>
    </row>
    <row r="165" spans="1:6" x14ac:dyDescent="0.2">
      <c r="A165" s="45">
        <v>42583</v>
      </c>
      <c r="B165" s="45"/>
      <c r="D165" s="140">
        <f t="shared" si="20"/>
        <v>8584747.2323757354</v>
      </c>
      <c r="E165" s="140"/>
      <c r="F165" s="139"/>
    </row>
    <row r="166" spans="1:6" x14ac:dyDescent="0.2">
      <c r="A166" s="45">
        <v>42614</v>
      </c>
      <c r="B166" s="45"/>
      <c r="D166" s="140">
        <f t="shared" si="20"/>
        <v>8727941.7426373381</v>
      </c>
      <c r="E166" s="140"/>
      <c r="F166" s="139"/>
    </row>
    <row r="167" spans="1:6" x14ac:dyDescent="0.2">
      <c r="A167" s="45">
        <v>42644</v>
      </c>
      <c r="B167" s="45"/>
      <c r="D167" s="140">
        <f t="shared" si="20"/>
        <v>8871136.2528989408</v>
      </c>
      <c r="E167" s="140"/>
      <c r="F167" s="139"/>
    </row>
    <row r="168" spans="1:6" x14ac:dyDescent="0.2">
      <c r="A168" s="45">
        <v>42675</v>
      </c>
      <c r="B168" s="45"/>
      <c r="D168" s="140">
        <f t="shared" si="20"/>
        <v>9014330.7631605435</v>
      </c>
      <c r="E168" s="140"/>
      <c r="F168" s="139"/>
    </row>
    <row r="169" spans="1:6" x14ac:dyDescent="0.2">
      <c r="A169" s="45">
        <v>42705</v>
      </c>
      <c r="B169" s="45"/>
      <c r="D169" s="140">
        <f t="shared" si="20"/>
        <v>9157525.2734221462</v>
      </c>
      <c r="E169" s="140">
        <f>SUM(D158:D169)</f>
        <v>100439465.6038</v>
      </c>
      <c r="F169" s="139">
        <f>+D169*12</f>
        <v>109890303.28106576</v>
      </c>
    </row>
    <row r="170" spans="1:6" x14ac:dyDescent="0.2">
      <c r="A170" s="45">
        <v>42736</v>
      </c>
      <c r="B170" s="45"/>
      <c r="D170" s="140">
        <f>+D169+$G$14</f>
        <v>9401387.9564315602</v>
      </c>
      <c r="E170" s="140"/>
      <c r="F170" s="139"/>
    </row>
    <row r="171" spans="1:6" x14ac:dyDescent="0.2">
      <c r="A171" s="45">
        <v>42767</v>
      </c>
      <c r="B171" s="45"/>
      <c r="D171" s="140">
        <f t="shared" ref="D171:D181" si="21">+D170+$G$14</f>
        <v>9645250.6394409742</v>
      </c>
      <c r="E171" s="140"/>
      <c r="F171" s="139"/>
    </row>
    <row r="172" spans="1:6" x14ac:dyDescent="0.2">
      <c r="A172" s="45">
        <v>42795</v>
      </c>
      <c r="B172" s="45"/>
      <c r="D172" s="140">
        <f t="shared" si="21"/>
        <v>9889113.3224503882</v>
      </c>
      <c r="E172" s="140"/>
      <c r="F172" s="139"/>
    </row>
    <row r="173" spans="1:6" x14ac:dyDescent="0.2">
      <c r="A173" s="45">
        <v>42826</v>
      </c>
      <c r="B173" s="45"/>
      <c r="D173" s="140">
        <f t="shared" si="21"/>
        <v>10132976.005459802</v>
      </c>
      <c r="E173" s="140"/>
      <c r="F173" s="139"/>
    </row>
    <row r="174" spans="1:6" x14ac:dyDescent="0.2">
      <c r="A174" s="45">
        <v>42856</v>
      </c>
      <c r="B174" s="45"/>
      <c r="D174" s="140">
        <f t="shared" si="21"/>
        <v>10376838.688469216</v>
      </c>
      <c r="E174" s="140"/>
      <c r="F174" s="139"/>
    </row>
    <row r="175" spans="1:6" x14ac:dyDescent="0.2">
      <c r="A175" s="45">
        <v>42887</v>
      </c>
      <c r="B175" s="45"/>
      <c r="D175" s="140">
        <f t="shared" si="21"/>
        <v>10620701.37147863</v>
      </c>
      <c r="E175" s="140"/>
      <c r="F175" s="139"/>
    </row>
    <row r="176" spans="1:6" x14ac:dyDescent="0.2">
      <c r="A176" s="45">
        <v>42917</v>
      </c>
      <c r="B176" s="45"/>
      <c r="D176" s="140">
        <f t="shared" si="21"/>
        <v>10864564.054488044</v>
      </c>
      <c r="E176" s="140"/>
      <c r="F176" s="139"/>
    </row>
    <row r="177" spans="1:6" x14ac:dyDescent="0.2">
      <c r="A177" s="45">
        <v>42948</v>
      </c>
      <c r="B177" s="45"/>
      <c r="D177" s="140">
        <f t="shared" si="21"/>
        <v>11108426.737497458</v>
      </c>
      <c r="E177" s="140"/>
      <c r="F177" s="139"/>
    </row>
    <row r="178" spans="1:6" x14ac:dyDescent="0.2">
      <c r="A178" s="45">
        <v>42979</v>
      </c>
      <c r="B178" s="45"/>
      <c r="D178" s="140">
        <f t="shared" si="21"/>
        <v>11352289.420506872</v>
      </c>
      <c r="E178" s="140"/>
      <c r="F178" s="139"/>
    </row>
    <row r="179" spans="1:6" x14ac:dyDescent="0.2">
      <c r="A179" s="45">
        <v>43009</v>
      </c>
      <c r="B179" s="45"/>
      <c r="D179" s="140">
        <f t="shared" si="21"/>
        <v>11596152.103516286</v>
      </c>
      <c r="E179" s="140"/>
      <c r="F179" s="139"/>
    </row>
    <row r="180" spans="1:6" x14ac:dyDescent="0.2">
      <c r="A180" s="45">
        <v>43040</v>
      </c>
      <c r="B180" s="45"/>
      <c r="D180" s="140">
        <f t="shared" si="21"/>
        <v>11840014.7865257</v>
      </c>
      <c r="E180" s="140"/>
      <c r="F180" s="139"/>
    </row>
    <row r="181" spans="1:6" x14ac:dyDescent="0.2">
      <c r="A181" s="45">
        <v>43070</v>
      </c>
      <c r="B181" s="45"/>
      <c r="D181" s="140">
        <f t="shared" si="21"/>
        <v>12083877.469535114</v>
      </c>
      <c r="E181" s="140">
        <f>SUM(D170:D181)</f>
        <v>128911592.55580005</v>
      </c>
      <c r="F181" s="139">
        <f>+D181*12</f>
        <v>145006529.63442138</v>
      </c>
    </row>
    <row r="182" spans="1:6" x14ac:dyDescent="0.2">
      <c r="A182" s="45">
        <v>43101</v>
      </c>
      <c r="B182" s="45"/>
      <c r="D182" s="140">
        <f>+D181+$G$15</f>
        <v>12067181.714355994</v>
      </c>
      <c r="E182" s="140"/>
      <c r="F182" s="139"/>
    </row>
    <row r="183" spans="1:6" x14ac:dyDescent="0.2">
      <c r="A183" s="45">
        <v>43132</v>
      </c>
      <c r="B183" s="45"/>
      <c r="D183" s="140">
        <f t="shared" ref="D183:D193" si="22">+D182+$G$15</f>
        <v>12050485.959176874</v>
      </c>
      <c r="E183" s="140"/>
      <c r="F183" s="139"/>
    </row>
    <row r="184" spans="1:6" x14ac:dyDescent="0.2">
      <c r="A184" s="45">
        <v>43160</v>
      </c>
      <c r="B184" s="45"/>
      <c r="D184" s="140">
        <f t="shared" si="22"/>
        <v>12033790.203997754</v>
      </c>
      <c r="E184" s="140"/>
      <c r="F184" s="139"/>
    </row>
    <row r="185" spans="1:6" x14ac:dyDescent="0.2">
      <c r="A185" s="45">
        <v>43191</v>
      </c>
      <c r="B185" s="45"/>
      <c r="D185" s="140">
        <f t="shared" si="22"/>
        <v>12017094.448818633</v>
      </c>
      <c r="E185" s="140"/>
      <c r="F185" s="139"/>
    </row>
    <row r="186" spans="1:6" x14ac:dyDescent="0.2">
      <c r="A186" s="45">
        <v>43221</v>
      </c>
      <c r="B186" s="45"/>
      <c r="D186" s="140">
        <f t="shared" si="22"/>
        <v>12000398.693639513</v>
      </c>
      <c r="E186" s="140"/>
      <c r="F186" s="139"/>
    </row>
    <row r="187" spans="1:6" x14ac:dyDescent="0.2">
      <c r="A187" s="45">
        <v>43252</v>
      </c>
      <c r="B187" s="45"/>
      <c r="D187" s="140">
        <f t="shared" si="22"/>
        <v>11983702.938460393</v>
      </c>
      <c r="E187" s="140"/>
      <c r="F187" s="139"/>
    </row>
    <row r="188" spans="1:6" x14ac:dyDescent="0.2">
      <c r="A188" s="45">
        <v>43282</v>
      </c>
      <c r="B188" s="45"/>
      <c r="D188" s="140">
        <f t="shared" si="22"/>
        <v>11967007.183281273</v>
      </c>
      <c r="E188" s="140"/>
      <c r="F188" s="139"/>
    </row>
    <row r="189" spans="1:6" x14ac:dyDescent="0.2">
      <c r="A189" s="45">
        <v>43313</v>
      </c>
      <c r="B189" s="45"/>
      <c r="D189" s="140">
        <f t="shared" si="22"/>
        <v>11950311.428102152</v>
      </c>
      <c r="E189" s="140"/>
      <c r="F189" s="139"/>
    </row>
    <row r="190" spans="1:6" x14ac:dyDescent="0.2">
      <c r="A190" s="45">
        <v>43344</v>
      </c>
      <c r="B190" s="45"/>
      <c r="D190" s="140">
        <f t="shared" si="22"/>
        <v>11933615.672923032</v>
      </c>
      <c r="E190" s="140"/>
      <c r="F190" s="139"/>
    </row>
    <row r="191" spans="1:6" x14ac:dyDescent="0.2">
      <c r="A191" s="45">
        <v>43374</v>
      </c>
      <c r="B191" s="45"/>
      <c r="D191" s="140">
        <f t="shared" si="22"/>
        <v>11916919.917743912</v>
      </c>
      <c r="E191" s="140"/>
      <c r="F191" s="139"/>
    </row>
    <row r="192" spans="1:6" x14ac:dyDescent="0.2">
      <c r="A192" s="45">
        <v>43405</v>
      </c>
      <c r="B192" s="45"/>
      <c r="D192" s="140">
        <f t="shared" si="22"/>
        <v>11900224.162564792</v>
      </c>
      <c r="E192" s="140"/>
      <c r="F192" s="139"/>
    </row>
    <row r="193" spans="1:6" x14ac:dyDescent="0.2">
      <c r="A193" s="45">
        <v>43435</v>
      </c>
      <c r="B193" s="45"/>
      <c r="D193" s="140">
        <f t="shared" si="22"/>
        <v>11883528.407385672</v>
      </c>
      <c r="E193" s="140">
        <f>SUM(D182:D193)</f>
        <v>143704260.73044997</v>
      </c>
      <c r="F193" s="139">
        <f>+D193*12</f>
        <v>142602340.88862807</v>
      </c>
    </row>
    <row r="194" spans="1:6" x14ac:dyDescent="0.2">
      <c r="A194" s="45">
        <v>43466</v>
      </c>
      <c r="B194" s="45"/>
      <c r="D194" s="140">
        <f>+D193+$G$16</f>
        <v>11821547.780030824</v>
      </c>
    </row>
    <row r="195" spans="1:6" x14ac:dyDescent="0.2">
      <c r="A195" s="45">
        <v>43497</v>
      </c>
      <c r="B195" s="45"/>
      <c r="D195" s="140">
        <f t="shared" ref="D195:D205" si="23">+D194+$G$16</f>
        <v>11759567.152675977</v>
      </c>
    </row>
    <row r="196" spans="1:6" x14ac:dyDescent="0.2">
      <c r="A196" s="45">
        <v>43525</v>
      </c>
      <c r="B196" s="45"/>
      <c r="D196" s="140">
        <f t="shared" si="23"/>
        <v>11697586.52532113</v>
      </c>
    </row>
    <row r="197" spans="1:6" x14ac:dyDescent="0.2">
      <c r="A197" s="45">
        <v>43556</v>
      </c>
      <c r="B197" s="45"/>
      <c r="D197" s="140">
        <f t="shared" si="23"/>
        <v>11635605.897966282</v>
      </c>
    </row>
    <row r="198" spans="1:6" x14ac:dyDescent="0.2">
      <c r="A198" s="45">
        <v>43586</v>
      </c>
      <c r="B198" s="45"/>
      <c r="D198" s="140">
        <f t="shared" si="23"/>
        <v>11573625.270611435</v>
      </c>
    </row>
    <row r="199" spans="1:6" x14ac:dyDescent="0.2">
      <c r="A199" s="45">
        <v>43617</v>
      </c>
      <c r="B199" s="45"/>
      <c r="D199" s="140">
        <f t="shared" si="23"/>
        <v>11511644.643256588</v>
      </c>
    </row>
    <row r="200" spans="1:6" x14ac:dyDescent="0.2">
      <c r="A200" s="45">
        <v>43647</v>
      </c>
      <c r="B200" s="45"/>
      <c r="D200" s="140">
        <f t="shared" si="23"/>
        <v>11449664.015901741</v>
      </c>
    </row>
    <row r="201" spans="1:6" x14ac:dyDescent="0.2">
      <c r="A201" s="45">
        <v>43678</v>
      </c>
      <c r="B201" s="45"/>
      <c r="D201" s="140">
        <f t="shared" si="23"/>
        <v>11387683.388546893</v>
      </c>
    </row>
    <row r="202" spans="1:6" x14ac:dyDescent="0.2">
      <c r="A202" s="45">
        <v>43709</v>
      </c>
      <c r="B202" s="45"/>
      <c r="D202" s="140">
        <f t="shared" si="23"/>
        <v>11325702.761192046</v>
      </c>
    </row>
    <row r="203" spans="1:6" x14ac:dyDescent="0.2">
      <c r="A203" s="45">
        <v>43739</v>
      </c>
      <c r="B203" s="45"/>
      <c r="D203" s="140">
        <f t="shared" si="23"/>
        <v>11263722.133837199</v>
      </c>
    </row>
    <row r="204" spans="1:6" x14ac:dyDescent="0.2">
      <c r="A204" s="45">
        <v>43770</v>
      </c>
      <c r="B204" s="45"/>
      <c r="D204" s="140">
        <f t="shared" si="23"/>
        <v>11201741.506482352</v>
      </c>
    </row>
    <row r="205" spans="1:6" x14ac:dyDescent="0.2">
      <c r="A205" s="45">
        <v>43800</v>
      </c>
      <c r="B205" s="45"/>
      <c r="D205" s="140">
        <f t="shared" si="23"/>
        <v>11139760.879127504</v>
      </c>
      <c r="E205" s="140">
        <f>SUM(D194:D205)</f>
        <v>137767851.95494998</v>
      </c>
      <c r="F205" s="139">
        <f>+D205*12</f>
        <v>133677130.54953006</v>
      </c>
    </row>
    <row r="206" spans="1:6" x14ac:dyDescent="0.2">
      <c r="A206" s="45">
        <v>43831</v>
      </c>
      <c r="B206" s="45"/>
      <c r="D206" s="140">
        <f>+D205+$G$17</f>
        <v>11142794.608936734</v>
      </c>
    </row>
    <row r="207" spans="1:6" x14ac:dyDescent="0.2">
      <c r="A207" s="45">
        <v>43862</v>
      </c>
      <c r="B207" s="45"/>
      <c r="D207" s="140">
        <f t="shared" ref="D207:D217" si="24">+D206+$G$17</f>
        <v>11145828.338745965</v>
      </c>
    </row>
    <row r="208" spans="1:6" x14ac:dyDescent="0.2">
      <c r="A208" s="45">
        <v>43891</v>
      </c>
      <c r="B208" s="45"/>
      <c r="D208" s="140">
        <f t="shared" si="24"/>
        <v>11148862.068555195</v>
      </c>
    </row>
    <row r="209" spans="1:6" x14ac:dyDescent="0.2">
      <c r="A209" s="45">
        <v>43922</v>
      </c>
      <c r="B209" s="45"/>
      <c r="D209" s="140">
        <f t="shared" si="24"/>
        <v>11151895.798364425</v>
      </c>
    </row>
    <row r="210" spans="1:6" x14ac:dyDescent="0.2">
      <c r="A210" s="45">
        <v>43952</v>
      </c>
      <c r="B210" s="45"/>
      <c r="D210" s="140">
        <f t="shared" si="24"/>
        <v>11154929.528173655</v>
      </c>
    </row>
    <row r="211" spans="1:6" x14ac:dyDescent="0.2">
      <c r="A211" s="45">
        <v>43983</v>
      </c>
      <c r="B211" s="45"/>
      <c r="D211" s="140">
        <f t="shared" si="24"/>
        <v>11157963.257982885</v>
      </c>
    </row>
    <row r="212" spans="1:6" x14ac:dyDescent="0.2">
      <c r="A212" s="45">
        <v>44013</v>
      </c>
      <c r="B212" s="45"/>
      <c r="D212" s="140">
        <f t="shared" si="24"/>
        <v>11160996.987792116</v>
      </c>
    </row>
    <row r="213" spans="1:6" x14ac:dyDescent="0.2">
      <c r="A213" s="45">
        <v>44044</v>
      </c>
      <c r="B213" s="45"/>
      <c r="D213" s="140">
        <f t="shared" si="24"/>
        <v>11164030.717601346</v>
      </c>
    </row>
    <row r="214" spans="1:6" x14ac:dyDescent="0.2">
      <c r="A214" s="45">
        <v>44075</v>
      </c>
      <c r="B214" s="45"/>
      <c r="D214" s="140">
        <f t="shared" si="24"/>
        <v>11167064.447410576</v>
      </c>
    </row>
    <row r="215" spans="1:6" x14ac:dyDescent="0.2">
      <c r="A215" s="45">
        <v>44105</v>
      </c>
      <c r="B215" s="45"/>
      <c r="D215" s="140">
        <f t="shared" si="24"/>
        <v>11170098.177219806</v>
      </c>
    </row>
    <row r="216" spans="1:6" x14ac:dyDescent="0.2">
      <c r="A216" s="45">
        <v>44136</v>
      </c>
      <c r="B216" s="45"/>
      <c r="D216" s="140">
        <f t="shared" si="24"/>
        <v>11173131.907029036</v>
      </c>
    </row>
    <row r="217" spans="1:6" x14ac:dyDescent="0.2">
      <c r="A217" s="45">
        <v>44166</v>
      </c>
      <c r="B217" s="45"/>
      <c r="D217" s="140">
        <f t="shared" si="24"/>
        <v>11176165.636838267</v>
      </c>
      <c r="E217" s="140">
        <f>SUM(D206:D217)</f>
        <v>133913761.47465001</v>
      </c>
      <c r="F217" s="139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56D24-7DF5-48D2-AA8B-45999B69241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adf76cf-6749-4566-8a2a-e6e614103977"/>
    <ds:schemaRef ds:uri="http://purl.org/dc/terms/"/>
    <ds:schemaRef ds:uri="http://schemas.openxmlformats.org/package/2006/metadata/core-properties"/>
    <ds:schemaRef ds:uri="d0012f55-c530-43d5-97ec-29547c6a9aa9"/>
    <ds:schemaRef ds:uri="2b77ee51-2d1b-440f-b1c5-6bf38323b71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'20COP-Z'!Print_Area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2019-07-11T17:15:27Z</cp:lastPrinted>
  <dcterms:created xsi:type="dcterms:W3CDTF">2008-02-06T18:24:44Z</dcterms:created>
  <dcterms:modified xsi:type="dcterms:W3CDTF">2019-07-11T17:20:01Z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