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6109038E-30BA-430D-8DBE-7C2A9F4B64F4}" xr6:coauthVersionLast="43" xr6:coauthVersionMax="43" xr10:uidLastSave="{00000000-0000-0000-0000-000000000000}"/>
  <bookViews>
    <workbookView xWindow="-120" yWindow="-120" windowWidth="24240" windowHeight="13290" tabRatio="936" activeTab="7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Power!$A$1:$W$145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5" i="59" l="1"/>
  <c r="M144" i="59"/>
  <c r="M143" i="59"/>
  <c r="M142" i="59"/>
  <c r="M141" i="59"/>
  <c r="M140" i="59"/>
  <c r="M139" i="59"/>
  <c r="M138" i="59"/>
  <c r="M137" i="59"/>
  <c r="M136" i="59"/>
  <c r="M135" i="59"/>
  <c r="M134" i="59"/>
  <c r="M133" i="59"/>
  <c r="M132" i="59"/>
  <c r="M131" i="59"/>
  <c r="M130" i="59"/>
  <c r="M129" i="59"/>
  <c r="M128" i="59"/>
  <c r="M127" i="59"/>
  <c r="M126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M8" i="59"/>
  <c r="M7" i="59"/>
  <c r="M6" i="59"/>
  <c r="M5" i="59"/>
  <c r="M4" i="59"/>
  <c r="M3" i="59"/>
  <c r="M2" i="59"/>
  <c r="O23" i="59"/>
  <c r="O22" i="59"/>
  <c r="O21" i="59"/>
  <c r="O20" i="59"/>
  <c r="O19" i="59"/>
  <c r="O18" i="59"/>
  <c r="O17" i="59"/>
  <c r="M33" i="62" l="1"/>
  <c r="M50" i="62" l="1"/>
  <c r="M48" i="62"/>
  <c r="D14" i="71"/>
  <c r="D13" i="71"/>
  <c r="K33" i="63"/>
  <c r="K27" i="63"/>
  <c r="B15" i="62"/>
  <c r="D15" i="62" s="1"/>
  <c r="B14" i="62"/>
  <c r="B13" i="62"/>
  <c r="D13" i="62" s="1"/>
  <c r="B12" i="62"/>
  <c r="D12" i="62" s="1"/>
  <c r="B11" i="62"/>
  <c r="D11" i="62" s="1"/>
  <c r="B10" i="62"/>
  <c r="D10" i="62" s="1"/>
  <c r="B9" i="62"/>
  <c r="B8" i="62"/>
  <c r="D8" i="62" s="1"/>
  <c r="B7" i="62"/>
  <c r="D7" i="62" s="1"/>
  <c r="B6" i="62"/>
  <c r="D6" i="62" s="1"/>
  <c r="E13" i="62"/>
  <c r="E6" i="62"/>
  <c r="E7" i="62"/>
  <c r="E8" i="62"/>
  <c r="E9" i="62"/>
  <c r="E10" i="62"/>
  <c r="E11" i="62"/>
  <c r="E12" i="62"/>
  <c r="E14" i="62"/>
  <c r="E15" i="62"/>
  <c r="D83" i="78"/>
  <c r="D84" i="78" s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D33" i="78" s="1"/>
  <c r="B10" i="78"/>
  <c r="B6" i="78"/>
  <c r="F6" i="78"/>
  <c r="L21" i="64"/>
  <c r="L31" i="64"/>
  <c r="L20" i="64"/>
  <c r="L19" i="64"/>
  <c r="L18" i="64"/>
  <c r="L17" i="64"/>
  <c r="L26" i="64"/>
  <c r="L25" i="64"/>
  <c r="L24" i="64"/>
  <c r="L23" i="64"/>
  <c r="L22" i="64"/>
  <c r="B158" i="59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/>
  <c r="C13" i="64"/>
  <c r="P86" i="62"/>
  <c r="L84" i="62"/>
  <c r="L83" i="62"/>
  <c r="C14" i="64"/>
  <c r="C5" i="79"/>
  <c r="C5" i="78"/>
  <c r="J68" i="62"/>
  <c r="K68" i="62"/>
  <c r="E22" i="79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/>
  <c r="D26" i="79"/>
  <c r="A22" i="79"/>
  <c r="A66" i="79" s="1"/>
  <c r="A21" i="79"/>
  <c r="A32" i="79" s="1"/>
  <c r="A20" i="79"/>
  <c r="A53" i="79" s="1"/>
  <c r="A19" i="79"/>
  <c r="A52" i="79" s="1"/>
  <c r="A18" i="79"/>
  <c r="E17" i="79"/>
  <c r="A17" i="79"/>
  <c r="A61" i="79" s="1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A55" i="78" s="1"/>
  <c r="C21" i="78"/>
  <c r="A21" i="78"/>
  <c r="A54" i="78" s="1"/>
  <c r="C20" i="78"/>
  <c r="A20" i="78"/>
  <c r="A75" i="78" s="1"/>
  <c r="A19" i="78"/>
  <c r="A41" i="78" s="1"/>
  <c r="C18" i="78"/>
  <c r="A18" i="78"/>
  <c r="A73" i="78" s="1"/>
  <c r="E17" i="78"/>
  <c r="C17" i="78"/>
  <c r="A17" i="78"/>
  <c r="A83" i="78" s="1"/>
  <c r="A16" i="78"/>
  <c r="A49" i="78" s="1"/>
  <c r="B22" i="78"/>
  <c r="A55" i="79"/>
  <c r="A33" i="79"/>
  <c r="A44" i="79"/>
  <c r="A42" i="79"/>
  <c r="A75" i="79"/>
  <c r="A31" i="79"/>
  <c r="A64" i="79"/>
  <c r="A54" i="79"/>
  <c r="A38" i="79"/>
  <c r="A60" i="79"/>
  <c r="A82" i="79"/>
  <c r="A49" i="79"/>
  <c r="A71" i="79"/>
  <c r="A27" i="79"/>
  <c r="A50" i="79"/>
  <c r="A62" i="79"/>
  <c r="A29" i="79"/>
  <c r="A40" i="79"/>
  <c r="A73" i="79"/>
  <c r="A51" i="79"/>
  <c r="A74" i="79"/>
  <c r="A30" i="79"/>
  <c r="F83" i="79"/>
  <c r="A51" i="78"/>
  <c r="A29" i="78"/>
  <c r="A40" i="78"/>
  <c r="A30" i="78"/>
  <c r="A63" i="78"/>
  <c r="D22" i="78"/>
  <c r="D55" i="78" s="1"/>
  <c r="A50" i="78"/>
  <c r="A31" i="78"/>
  <c r="A42" i="78"/>
  <c r="A53" i="78"/>
  <c r="A64" i="78"/>
  <c r="A38" i="78"/>
  <c r="A82" i="78"/>
  <c r="A27" i="78"/>
  <c r="A43" i="78"/>
  <c r="A76" i="78"/>
  <c r="D44" i="79"/>
  <c r="F44" i="79"/>
  <c r="D22" i="70"/>
  <c r="C22" i="70"/>
  <c r="B22" i="70"/>
  <c r="D21" i="70"/>
  <c r="C21" i="70"/>
  <c r="B21" i="70"/>
  <c r="D20" i="70"/>
  <c r="C20" i="70"/>
  <c r="B20" i="70"/>
  <c r="D13" i="63"/>
  <c r="K20" i="70"/>
  <c r="U35" i="72"/>
  <c r="S33" i="72"/>
  <c r="T33" i="72"/>
  <c r="U34" i="72"/>
  <c r="U33" i="72"/>
  <c r="T34" i="72"/>
  <c r="V35" i="72"/>
  <c r="V34" i="72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/>
  <c r="H79" i="62"/>
  <c r="I79" i="62"/>
  <c r="G80" i="62"/>
  <c r="V32" i="72"/>
  <c r="V31" i="72"/>
  <c r="V30" i="72"/>
  <c r="P79" i="62"/>
  <c r="J80" i="62"/>
  <c r="I80" i="62"/>
  <c r="H80" i="62"/>
  <c r="P80" i="62"/>
  <c r="I10" i="62"/>
  <c r="I11" i="62"/>
  <c r="I12" i="62"/>
  <c r="I13" i="62"/>
  <c r="I14" i="62"/>
  <c r="I15" i="62"/>
  <c r="I21" i="70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/>
  <c r="D12" i="63"/>
  <c r="D11" i="63"/>
  <c r="D10" i="63"/>
  <c r="D9" i="63"/>
  <c r="D8" i="63"/>
  <c r="D7" i="63"/>
  <c r="F14" i="63"/>
  <c r="F15" i="63"/>
  <c r="F27" i="63"/>
  <c r="F26" i="63"/>
  <c r="F25" i="63"/>
  <c r="F24" i="63"/>
  <c r="F23" i="63"/>
  <c r="F22" i="63"/>
  <c r="I9" i="62"/>
  <c r="F20" i="70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/>
  <c r="C6" i="79"/>
  <c r="D13" i="64"/>
  <c r="C6" i="78"/>
  <c r="K50" i="62"/>
  <c r="K48" i="62"/>
  <c r="K32" i="62"/>
  <c r="L59" i="62"/>
  <c r="L63" i="62"/>
  <c r="K33" i="62"/>
  <c r="L60" i="62"/>
  <c r="L64" i="62"/>
  <c r="C26" i="64"/>
  <c r="C25" i="64"/>
  <c r="C24" i="64"/>
  <c r="C23" i="64"/>
  <c r="C22" i="64"/>
  <c r="C21" i="64"/>
  <c r="C20" i="64"/>
  <c r="O9" i="62"/>
  <c r="O10" i="62"/>
  <c r="O11" i="62"/>
  <c r="O12" i="62"/>
  <c r="O13" i="62"/>
  <c r="O14" i="62"/>
  <c r="O15" i="62"/>
  <c r="G31" i="62"/>
  <c r="J12" i="64"/>
  <c r="J5" i="64"/>
  <c r="J4" i="64"/>
  <c r="J3" i="64"/>
  <c r="E26" i="64"/>
  <c r="B26" i="64"/>
  <c r="H67" i="62"/>
  <c r="J7" i="64"/>
  <c r="J6" i="64"/>
  <c r="J8" i="64"/>
  <c r="J11" i="64"/>
  <c r="J9" i="64"/>
  <c r="J10" i="64"/>
  <c r="I67" i="62"/>
  <c r="J31" i="62"/>
  <c r="J30" i="62"/>
  <c r="J29" i="62"/>
  <c r="J28" i="62"/>
  <c r="J27" i="62"/>
  <c r="J26" i="62"/>
  <c r="J25" i="62"/>
  <c r="J13" i="64"/>
  <c r="J14" i="64"/>
  <c r="J43" i="62"/>
  <c r="J40" i="62"/>
  <c r="J41" i="62"/>
  <c r="J42" i="62"/>
  <c r="J44" i="62"/>
  <c r="E27" i="63"/>
  <c r="E26" i="63"/>
  <c r="E25" i="63"/>
  <c r="E24" i="63"/>
  <c r="E23" i="63"/>
  <c r="E22" i="63"/>
  <c r="E33" i="63"/>
  <c r="J50" i="62"/>
  <c r="J48" i="62"/>
  <c r="X20" i="72"/>
  <c r="W20" i="72"/>
  <c r="V20" i="72"/>
  <c r="U20" i="72"/>
  <c r="T20" i="72"/>
  <c r="S20" i="72"/>
  <c r="R20" i="72"/>
  <c r="Q20" i="72"/>
  <c r="J32" i="62"/>
  <c r="K59" i="62"/>
  <c r="C31" i="64"/>
  <c r="J33" i="62"/>
  <c r="K60" i="62"/>
  <c r="K69" i="62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/>
  <c r="I48" i="62"/>
  <c r="H50" i="62"/>
  <c r="H48" i="62"/>
  <c r="G50" i="62"/>
  <c r="G48" i="62"/>
  <c r="Q21" i="72"/>
  <c r="R21" i="72"/>
  <c r="S21" i="72"/>
  <c r="T21" i="72"/>
  <c r="U21" i="72"/>
  <c r="V21" i="72"/>
  <c r="W21" i="72"/>
  <c r="X21" i="72"/>
  <c r="N14" i="72"/>
  <c r="D6" i="72"/>
  <c r="E6" i="72"/>
  <c r="K6" i="72"/>
  <c r="D14" i="72"/>
  <c r="E14" i="72"/>
  <c r="K14" i="72"/>
  <c r="D7" i="72"/>
  <c r="E7" i="72"/>
  <c r="K7" i="72"/>
  <c r="D9" i="72"/>
  <c r="E9" i="72"/>
  <c r="K9" i="72"/>
  <c r="D16" i="72"/>
  <c r="E16" i="72"/>
  <c r="K16" i="72"/>
  <c r="C19" i="72"/>
  <c r="D2" i="72"/>
  <c r="E2" i="72"/>
  <c r="K2" i="72"/>
  <c r="D10" i="72"/>
  <c r="E10" i="72"/>
  <c r="K10" i="72"/>
  <c r="D17" i="72"/>
  <c r="E17" i="72"/>
  <c r="K17" i="72"/>
  <c r="D8" i="72"/>
  <c r="E8" i="72"/>
  <c r="K8" i="72"/>
  <c r="D15" i="72"/>
  <c r="E15" i="72"/>
  <c r="K15" i="72"/>
  <c r="D3" i="72"/>
  <c r="E3" i="72"/>
  <c r="K3" i="72"/>
  <c r="D11" i="72"/>
  <c r="E11" i="72"/>
  <c r="K11" i="72"/>
  <c r="D4" i="72"/>
  <c r="E4" i="72"/>
  <c r="K4" i="72"/>
  <c r="D12" i="72"/>
  <c r="E12" i="72"/>
  <c r="K12" i="72"/>
  <c r="D5" i="72"/>
  <c r="E5" i="72"/>
  <c r="K5" i="72"/>
  <c r="D13" i="72"/>
  <c r="E13" i="72"/>
  <c r="K13" i="72"/>
  <c r="K19" i="72"/>
  <c r="F2" i="72"/>
  <c r="G2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E19" i="72"/>
  <c r="F37" i="72"/>
  <c r="E37" i="72"/>
  <c r="J2" i="72"/>
  <c r="F3" i="72"/>
  <c r="G3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L2" i="72"/>
  <c r="F49" i="72"/>
  <c r="E49" i="72"/>
  <c r="J3" i="72"/>
  <c r="F4" i="72"/>
  <c r="G4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L3" i="72"/>
  <c r="E61" i="72"/>
  <c r="J4" i="72"/>
  <c r="F61" i="72"/>
  <c r="L4" i="72"/>
  <c r="F5" i="72"/>
  <c r="G5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F73" i="72"/>
  <c r="E73" i="72"/>
  <c r="J5" i="72"/>
  <c r="F6" i="72"/>
  <c r="G6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L5" i="72"/>
  <c r="F85" i="72"/>
  <c r="E85" i="72"/>
  <c r="J6" i="72"/>
  <c r="F7" i="72"/>
  <c r="G7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L6" i="72"/>
  <c r="F97" i="72"/>
  <c r="E97" i="72"/>
  <c r="J7" i="72"/>
  <c r="F8" i="72"/>
  <c r="G8" i="72"/>
  <c r="D98" i="72"/>
  <c r="D99" i="72"/>
  <c r="D100" i="72"/>
  <c r="D101" i="72"/>
  <c r="D102" i="72"/>
  <c r="D103" i="72"/>
  <c r="D104" i="72"/>
  <c r="D105" i="72"/>
  <c r="D106" i="72"/>
  <c r="D107" i="72"/>
  <c r="D108" i="72"/>
  <c r="D109" i="72"/>
  <c r="L7" i="72"/>
  <c r="F109" i="72"/>
  <c r="E109" i="72"/>
  <c r="J8" i="72"/>
  <c r="L8" i="72"/>
  <c r="F9" i="72"/>
  <c r="G9" i="72"/>
  <c r="D110" i="72"/>
  <c r="D111" i="72"/>
  <c r="D112" i="72"/>
  <c r="D113" i="72"/>
  <c r="D114" i="72"/>
  <c r="D115" i="72"/>
  <c r="D116" i="72"/>
  <c r="D117" i="72"/>
  <c r="D118" i="72"/>
  <c r="D119" i="72"/>
  <c r="D120" i="72"/>
  <c r="D121" i="72"/>
  <c r="E121" i="72"/>
  <c r="J9" i="72"/>
  <c r="L9" i="72"/>
  <c r="F121" i="72"/>
  <c r="F10" i="72"/>
  <c r="G10" i="72"/>
  <c r="D122" i="72"/>
  <c r="D123" i="72"/>
  <c r="D124" i="72"/>
  <c r="D125" i="72"/>
  <c r="D126" i="72"/>
  <c r="D127" i="72"/>
  <c r="D128" i="72"/>
  <c r="D129" i="72"/>
  <c r="D130" i="72"/>
  <c r="D131" i="72"/>
  <c r="D132" i="72"/>
  <c r="D133" i="72"/>
  <c r="F133" i="72"/>
  <c r="E133" i="72"/>
  <c r="J10" i="72"/>
  <c r="L10" i="72"/>
  <c r="F11" i="72"/>
  <c r="G11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F145" i="72"/>
  <c r="E145" i="72"/>
  <c r="J11" i="72"/>
  <c r="L11" i="72"/>
  <c r="F12" i="72"/>
  <c r="G12" i="72"/>
  <c r="D146" i="72"/>
  <c r="D147" i="72"/>
  <c r="D148" i="72"/>
  <c r="D149" i="72"/>
  <c r="D150" i="72"/>
  <c r="D151" i="72"/>
  <c r="D152" i="72"/>
  <c r="D153" i="72"/>
  <c r="D154" i="72"/>
  <c r="D155" i="72"/>
  <c r="D156" i="72"/>
  <c r="D157" i="72"/>
  <c r="F157" i="72"/>
  <c r="E157" i="72"/>
  <c r="J12" i="72"/>
  <c r="L12" i="72"/>
  <c r="F13" i="72"/>
  <c r="G13" i="72"/>
  <c r="D158" i="72"/>
  <c r="D159" i="72"/>
  <c r="D160" i="72"/>
  <c r="D161" i="72"/>
  <c r="D162" i="72"/>
  <c r="D163" i="72"/>
  <c r="D164" i="72"/>
  <c r="D165" i="72"/>
  <c r="D166" i="72"/>
  <c r="D167" i="72"/>
  <c r="D168" i="72"/>
  <c r="D169" i="72"/>
  <c r="E169" i="72"/>
  <c r="J13" i="72"/>
  <c r="L13" i="72"/>
  <c r="F169" i="72"/>
  <c r="F14" i="72"/>
  <c r="G14" i="72"/>
  <c r="D170" i="72"/>
  <c r="D171" i="72"/>
  <c r="D172" i="72"/>
  <c r="D173" i="72"/>
  <c r="D174" i="72"/>
  <c r="D175" i="72"/>
  <c r="D176" i="72"/>
  <c r="D177" i="72"/>
  <c r="D178" i="72"/>
  <c r="D179" i="72"/>
  <c r="D180" i="72"/>
  <c r="D181" i="72"/>
  <c r="F181" i="72"/>
  <c r="E181" i="72"/>
  <c r="J14" i="72"/>
  <c r="L14" i="72"/>
  <c r="F15" i="72"/>
  <c r="G15" i="72"/>
  <c r="D182" i="72"/>
  <c r="D183" i="72"/>
  <c r="D184" i="72"/>
  <c r="D185" i="72"/>
  <c r="D186" i="72"/>
  <c r="D187" i="72"/>
  <c r="D188" i="72"/>
  <c r="D189" i="72"/>
  <c r="D190" i="72"/>
  <c r="D191" i="72"/>
  <c r="D192" i="72"/>
  <c r="D193" i="72"/>
  <c r="F193" i="72"/>
  <c r="F16" i="72"/>
  <c r="G16" i="72"/>
  <c r="D194" i="72"/>
  <c r="E193" i="72"/>
  <c r="J15" i="72"/>
  <c r="D195" i="72"/>
  <c r="D196" i="72"/>
  <c r="D197" i="72"/>
  <c r="D198" i="72"/>
  <c r="D199" i="72"/>
  <c r="D200" i="72"/>
  <c r="D201" i="72"/>
  <c r="D202" i="72"/>
  <c r="D203" i="72"/>
  <c r="D204" i="72"/>
  <c r="D205" i="72"/>
  <c r="L15" i="72"/>
  <c r="E205" i="72"/>
  <c r="J16" i="72"/>
  <c r="F205" i="72"/>
  <c r="F17" i="72"/>
  <c r="G17" i="72"/>
  <c r="D206" i="72"/>
  <c r="D207" i="72"/>
  <c r="D208" i="72"/>
  <c r="D209" i="72"/>
  <c r="D210" i="72"/>
  <c r="D211" i="72"/>
  <c r="D212" i="72"/>
  <c r="D213" i="72"/>
  <c r="D214" i="72"/>
  <c r="D215" i="72"/>
  <c r="D216" i="72"/>
  <c r="D217" i="72"/>
  <c r="F217" i="72"/>
  <c r="E217" i="72"/>
  <c r="J17" i="72"/>
  <c r="J19" i="72"/>
  <c r="W23" i="59"/>
  <c r="V23" i="59"/>
  <c r="U23" i="59"/>
  <c r="T23" i="59"/>
  <c r="S23" i="59"/>
  <c r="R23" i="59"/>
  <c r="Q23" i="59"/>
  <c r="P23" i="59"/>
  <c r="W22" i="59"/>
  <c r="V22" i="59"/>
  <c r="U22" i="59"/>
  <c r="T22" i="59"/>
  <c r="S22" i="59"/>
  <c r="R22" i="59"/>
  <c r="Q22" i="59"/>
  <c r="P22" i="59"/>
  <c r="W21" i="59"/>
  <c r="V21" i="59"/>
  <c r="U21" i="59"/>
  <c r="T21" i="59"/>
  <c r="S21" i="59"/>
  <c r="R21" i="59"/>
  <c r="Q21" i="59"/>
  <c r="P21" i="59"/>
  <c r="N145" i="59" s="1"/>
  <c r="W20" i="59"/>
  <c r="V20" i="59"/>
  <c r="U20" i="59"/>
  <c r="T20" i="59"/>
  <c r="S20" i="59"/>
  <c r="R20" i="59"/>
  <c r="Q20" i="59"/>
  <c r="P20" i="59"/>
  <c r="W19" i="59"/>
  <c r="V19" i="59"/>
  <c r="U19" i="59"/>
  <c r="T19" i="59"/>
  <c r="S19" i="59"/>
  <c r="R19" i="59"/>
  <c r="Q19" i="59"/>
  <c r="P19" i="59"/>
  <c r="W18" i="59"/>
  <c r="V18" i="59"/>
  <c r="U18" i="59"/>
  <c r="T18" i="59"/>
  <c r="S18" i="59"/>
  <c r="R18" i="59"/>
  <c r="Q18" i="59"/>
  <c r="P18" i="59"/>
  <c r="W17" i="59"/>
  <c r="V17" i="59"/>
  <c r="U17" i="59"/>
  <c r="T17" i="59"/>
  <c r="S17" i="59"/>
  <c r="R17" i="59"/>
  <c r="Q17" i="59"/>
  <c r="P17" i="59"/>
  <c r="R14" i="59"/>
  <c r="Q14" i="59"/>
  <c r="P14" i="59"/>
  <c r="R13" i="59"/>
  <c r="Q13" i="59"/>
  <c r="P13" i="59"/>
  <c r="R12" i="59"/>
  <c r="Q12" i="59"/>
  <c r="P12" i="59"/>
  <c r="P8" i="59"/>
  <c r="P7" i="59"/>
  <c r="P6" i="59"/>
  <c r="P5" i="59"/>
  <c r="P4" i="59"/>
  <c r="M41" i="70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/>
  <c r="J11" i="63"/>
  <c r="L11" i="63"/>
  <c r="I59" i="70"/>
  <c r="I64" i="70"/>
  <c r="J10" i="63"/>
  <c r="L10" i="63"/>
  <c r="H59" i="70"/>
  <c r="H64" i="70"/>
  <c r="J9" i="63"/>
  <c r="J8" i="63"/>
  <c r="J5" i="63"/>
  <c r="J4" i="63"/>
  <c r="L4" i="63"/>
  <c r="B59" i="70"/>
  <c r="B64" i="70"/>
  <c r="J3" i="63"/>
  <c r="L3" i="63"/>
  <c r="C54" i="70"/>
  <c r="L5" i="63"/>
  <c r="C59" i="70"/>
  <c r="C64" i="70"/>
  <c r="B54" i="70"/>
  <c r="J54" i="70"/>
  <c r="L12" i="63"/>
  <c r="J59" i="70"/>
  <c r="J64" i="70"/>
  <c r="I54" i="70"/>
  <c r="H54" i="70"/>
  <c r="G54" i="70"/>
  <c r="L9" i="63"/>
  <c r="G59" i="70"/>
  <c r="G64" i="70"/>
  <c r="L8" i="63"/>
  <c r="F59" i="70"/>
  <c r="F64" i="70"/>
  <c r="F54" i="70"/>
  <c r="C150" i="59"/>
  <c r="C151" i="59"/>
  <c r="C152" i="59"/>
  <c r="C153" i="59"/>
  <c r="D9" i="62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F19" i="59"/>
  <c r="F31" i="59"/>
  <c r="F43" i="59"/>
  <c r="F47" i="59"/>
  <c r="F59" i="59"/>
  <c r="F63" i="59"/>
  <c r="F71" i="59"/>
  <c r="F75" i="59"/>
  <c r="F79" i="59"/>
  <c r="F83" i="59"/>
  <c r="F87" i="59"/>
  <c r="F91" i="59"/>
  <c r="F95" i="59"/>
  <c r="F99" i="59"/>
  <c r="F103" i="59"/>
  <c r="F157" i="59" s="1"/>
  <c r="F107" i="59"/>
  <c r="F111" i="59"/>
  <c r="F115" i="59"/>
  <c r="F119" i="59"/>
  <c r="F123" i="59"/>
  <c r="F127" i="59"/>
  <c r="N129" i="59"/>
  <c r="F131" i="59"/>
  <c r="F135" i="59"/>
  <c r="F139" i="59"/>
  <c r="F143" i="59"/>
  <c r="F7" i="59"/>
  <c r="F11" i="59"/>
  <c r="F23" i="59"/>
  <c r="F67" i="59"/>
  <c r="F3" i="59"/>
  <c r="F15" i="59"/>
  <c r="F27" i="59"/>
  <c r="F35" i="59"/>
  <c r="F39" i="59"/>
  <c r="F51" i="59"/>
  <c r="F55" i="59"/>
  <c r="F4" i="59"/>
  <c r="F8" i="59"/>
  <c r="N10" i="59"/>
  <c r="F12" i="59"/>
  <c r="F16" i="59"/>
  <c r="F20" i="59"/>
  <c r="F24" i="59"/>
  <c r="F28" i="59"/>
  <c r="F32" i="59"/>
  <c r="F36" i="59"/>
  <c r="F40" i="59"/>
  <c r="F44" i="59"/>
  <c r="F48" i="59"/>
  <c r="F52" i="59"/>
  <c r="F56" i="59"/>
  <c r="F60" i="59"/>
  <c r="F64" i="59"/>
  <c r="F68" i="59"/>
  <c r="F72" i="59"/>
  <c r="F76" i="59"/>
  <c r="F80" i="59"/>
  <c r="F84" i="59"/>
  <c r="F88" i="59"/>
  <c r="F92" i="59"/>
  <c r="F96" i="59"/>
  <c r="F100" i="59"/>
  <c r="F104" i="59"/>
  <c r="F108" i="59"/>
  <c r="F112" i="59"/>
  <c r="F116" i="59"/>
  <c r="F120" i="59"/>
  <c r="F124" i="59"/>
  <c r="F128" i="59"/>
  <c r="F132" i="59"/>
  <c r="F136" i="59"/>
  <c r="F140" i="59"/>
  <c r="F144" i="59"/>
  <c r="N59" i="59"/>
  <c r="F10" i="59"/>
  <c r="F18" i="59"/>
  <c r="F22" i="59"/>
  <c r="F26" i="59"/>
  <c r="F30" i="59"/>
  <c r="F34" i="59"/>
  <c r="F38" i="59"/>
  <c r="F42" i="59"/>
  <c r="F46" i="59"/>
  <c r="F50" i="59"/>
  <c r="F54" i="59"/>
  <c r="F58" i="59"/>
  <c r="F62" i="59"/>
  <c r="F66" i="59"/>
  <c r="F70" i="59"/>
  <c r="F74" i="59"/>
  <c r="F78" i="59"/>
  <c r="N80" i="59"/>
  <c r="F82" i="59"/>
  <c r="F86" i="59"/>
  <c r="F90" i="59"/>
  <c r="F94" i="59"/>
  <c r="F98" i="59"/>
  <c r="F102" i="59"/>
  <c r="N104" i="59"/>
  <c r="F106" i="59"/>
  <c r="F110" i="59"/>
  <c r="F114" i="59"/>
  <c r="N116" i="59"/>
  <c r="F118" i="59"/>
  <c r="N120" i="59"/>
  <c r="F122" i="59"/>
  <c r="F126" i="59"/>
  <c r="F130" i="59"/>
  <c r="F134" i="59"/>
  <c r="F138" i="59"/>
  <c r="F142" i="59"/>
  <c r="N67" i="59"/>
  <c r="F2" i="59"/>
  <c r="F6" i="59"/>
  <c r="F14" i="59"/>
  <c r="C18" i="79"/>
  <c r="C20" i="79"/>
  <c r="C22" i="79"/>
  <c r="C21" i="79"/>
  <c r="C17" i="79"/>
  <c r="F152" i="59"/>
  <c r="B17" i="64"/>
  <c r="B18" i="64"/>
  <c r="B19" i="64"/>
  <c r="B20" i="64"/>
  <c r="B21" i="64"/>
  <c r="B22" i="64"/>
  <c r="B23" i="64"/>
  <c r="B24" i="64"/>
  <c r="B25" i="64"/>
  <c r="B31" i="64"/>
  <c r="F26" i="64"/>
  <c r="G11" i="64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/>
  <c r="H61" i="70"/>
  <c r="H66" i="70"/>
  <c r="H56" i="70"/>
  <c r="I61" i="70"/>
  <c r="I66" i="70"/>
  <c r="I56" i="70"/>
  <c r="J61" i="70"/>
  <c r="J66" i="70"/>
  <c r="J56" i="70"/>
  <c r="F31" i="64"/>
  <c r="J8" i="70"/>
  <c r="F8" i="70"/>
  <c r="H8" i="70"/>
  <c r="E8" i="70"/>
  <c r="G8" i="70"/>
  <c r="I8" i="70"/>
  <c r="J55" i="70"/>
  <c r="J60" i="70"/>
  <c r="J65" i="70"/>
  <c r="D55" i="70"/>
  <c r="D60" i="70"/>
  <c r="D65" i="70"/>
  <c r="B55" i="70"/>
  <c r="B60" i="70"/>
  <c r="B65" i="70"/>
  <c r="C55" i="70"/>
  <c r="C60" i="70"/>
  <c r="C65" i="70"/>
  <c r="E55" i="70"/>
  <c r="E60" i="70"/>
  <c r="E65" i="70"/>
  <c r="F60" i="70"/>
  <c r="F65" i="70"/>
  <c r="F55" i="70"/>
  <c r="G55" i="70"/>
  <c r="G60" i="70"/>
  <c r="G65" i="70"/>
  <c r="H55" i="70"/>
  <c r="H60" i="70"/>
  <c r="H65" i="70"/>
  <c r="I55" i="70"/>
  <c r="I60" i="70"/>
  <c r="I65" i="70"/>
  <c r="K26" i="63"/>
  <c r="K25" i="63"/>
  <c r="K24" i="63"/>
  <c r="K23" i="63"/>
  <c r="K22" i="63"/>
  <c r="G6" i="64"/>
  <c r="G5" i="64"/>
  <c r="G4" i="64"/>
  <c r="G3" i="64"/>
  <c r="K21" i="63"/>
  <c r="K20" i="63"/>
  <c r="K19" i="63"/>
  <c r="K18" i="63"/>
  <c r="I7" i="63"/>
  <c r="I6" i="63"/>
  <c r="I20" i="63"/>
  <c r="N24" i="62"/>
  <c r="N37" i="62"/>
  <c r="D35" i="70"/>
  <c r="J6" i="63"/>
  <c r="N25" i="62"/>
  <c r="I21" i="63"/>
  <c r="I22" i="63"/>
  <c r="E35" i="70"/>
  <c r="J7" i="63"/>
  <c r="C61" i="70"/>
  <c r="C66" i="70"/>
  <c r="C56" i="70"/>
  <c r="B61" i="70"/>
  <c r="B66" i="70"/>
  <c r="B56" i="70"/>
  <c r="D56" i="70"/>
  <c r="D61" i="70"/>
  <c r="D66" i="70"/>
  <c r="E56" i="70"/>
  <c r="E61" i="70"/>
  <c r="E66" i="70"/>
  <c r="K31" i="63"/>
  <c r="D31" i="63"/>
  <c r="D14" i="63"/>
  <c r="G8" i="64"/>
  <c r="G7" i="64"/>
  <c r="L20" i="70"/>
  <c r="D15" i="63"/>
  <c r="D49" i="70"/>
  <c r="D44" i="70"/>
  <c r="E49" i="70"/>
  <c r="E44" i="70"/>
  <c r="N38" i="62"/>
  <c r="N39" i="62"/>
  <c r="E54" i="70"/>
  <c r="L7" i="63"/>
  <c r="E59" i="70"/>
  <c r="L6" i="63"/>
  <c r="D59" i="70"/>
  <c r="D54" i="70"/>
  <c r="I33" i="63"/>
  <c r="F56" i="70"/>
  <c r="F61" i="70"/>
  <c r="F66" i="70"/>
  <c r="G56" i="70"/>
  <c r="G61" i="70"/>
  <c r="G66" i="70"/>
  <c r="C31" i="63"/>
  <c r="C14" i="63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/>
  <c r="B14" i="63"/>
  <c r="E64" i="70"/>
  <c r="N50" i="62"/>
  <c r="N48" i="62"/>
  <c r="I31" i="63"/>
  <c r="I14" i="63"/>
  <c r="D64" i="70"/>
  <c r="L16" i="70"/>
  <c r="C15" i="63"/>
  <c r="L12" i="70"/>
  <c r="B15" i="63"/>
  <c r="M12" i="70"/>
  <c r="I15" i="63"/>
  <c r="L35" i="70"/>
  <c r="M16" i="70"/>
  <c r="F82" i="78"/>
  <c r="M35" i="70"/>
  <c r="H32" i="62"/>
  <c r="H33" i="62"/>
  <c r="D84" i="79"/>
  <c r="F82" i="79"/>
  <c r="F84" i="79" s="1"/>
  <c r="B91" i="79" s="1"/>
  <c r="N32" i="62"/>
  <c r="N33" i="62"/>
  <c r="O60" i="62"/>
  <c r="O69" i="62"/>
  <c r="I32" i="62"/>
  <c r="I33" i="62"/>
  <c r="J60" i="62"/>
  <c r="J69" i="62"/>
  <c r="J59" i="62"/>
  <c r="O59" i="62"/>
  <c r="I59" i="62"/>
  <c r="O68" i="62"/>
  <c r="I68" i="62"/>
  <c r="I60" i="62"/>
  <c r="I69" i="62"/>
  <c r="G32" i="62"/>
  <c r="G33" i="62"/>
  <c r="H59" i="62"/>
  <c r="H68" i="62"/>
  <c r="H60" i="62"/>
  <c r="H69" i="62"/>
  <c r="G12" i="64"/>
  <c r="K61" i="70"/>
  <c r="K66" i="70"/>
  <c r="K56" i="70"/>
  <c r="K55" i="70"/>
  <c r="K60" i="70"/>
  <c r="K13" i="70"/>
  <c r="K36" i="70"/>
  <c r="K17" i="70"/>
  <c r="K26" i="70"/>
  <c r="K45" i="70"/>
  <c r="K8" i="70"/>
  <c r="K50" i="70"/>
  <c r="K65" i="70"/>
  <c r="L31" i="62"/>
  <c r="K25" i="70"/>
  <c r="L44" i="62"/>
  <c r="L50" i="62"/>
  <c r="L48" i="62"/>
  <c r="L32" i="62"/>
  <c r="L33" i="62"/>
  <c r="J13" i="63"/>
  <c r="K30" i="70"/>
  <c r="K44" i="70"/>
  <c r="H27" i="63"/>
  <c r="H33" i="63"/>
  <c r="M31" i="62"/>
  <c r="M44" i="62"/>
  <c r="K49" i="70"/>
  <c r="K54" i="70"/>
  <c r="M32" i="62"/>
  <c r="H31" i="63"/>
  <c r="H14" i="63"/>
  <c r="L13" i="63"/>
  <c r="K59" i="70"/>
  <c r="N59" i="62"/>
  <c r="K64" i="70"/>
  <c r="L30" i="70"/>
  <c r="H15" i="63"/>
  <c r="N68" i="62"/>
  <c r="N60" i="62"/>
  <c r="M30" i="70"/>
  <c r="G27" i="63"/>
  <c r="G33" i="63"/>
  <c r="G31" i="63"/>
  <c r="G14" i="63"/>
  <c r="M59" i="62"/>
  <c r="G15" i="63"/>
  <c r="L25" i="70"/>
  <c r="J14" i="63"/>
  <c r="L54" i="70"/>
  <c r="L49" i="70"/>
  <c r="L44" i="70"/>
  <c r="L14" i="63"/>
  <c r="L59" i="70"/>
  <c r="M25" i="70"/>
  <c r="M60" i="62"/>
  <c r="J15" i="63"/>
  <c r="P59" i="62"/>
  <c r="M68" i="62"/>
  <c r="G59" i="62"/>
  <c r="L64" i="70"/>
  <c r="P68" i="62"/>
  <c r="P60" i="62"/>
  <c r="M69" i="62"/>
  <c r="L15" i="63"/>
  <c r="M59" i="70"/>
  <c r="M54" i="70"/>
  <c r="M49" i="70"/>
  <c r="M44" i="70"/>
  <c r="M64" i="70"/>
  <c r="N72" i="62"/>
  <c r="N63" i="62"/>
  <c r="O72" i="62"/>
  <c r="O63" i="62"/>
  <c r="M72" i="62"/>
  <c r="M63" i="62"/>
  <c r="M83" i="62"/>
  <c r="B7" i="78"/>
  <c r="E13" i="64"/>
  <c r="N83" i="62"/>
  <c r="L31" i="70"/>
  <c r="F13" i="64"/>
  <c r="C8" i="78"/>
  <c r="D31" i="78"/>
  <c r="D42" i="78" s="1"/>
  <c r="F42" i="78" s="1"/>
  <c r="O83" i="62"/>
  <c r="B19" i="78"/>
  <c r="D19" i="78" s="1"/>
  <c r="L26" i="70"/>
  <c r="B8" i="78"/>
  <c r="B20" i="78" s="1"/>
  <c r="D20" i="78" s="1"/>
  <c r="B9" i="78"/>
  <c r="C7" i="78"/>
  <c r="D30" i="78"/>
  <c r="F30" i="78" s="1"/>
  <c r="I13" i="64"/>
  <c r="L36" i="70"/>
  <c r="L27" i="70"/>
  <c r="L32" i="70"/>
  <c r="B21" i="78"/>
  <c r="D21" i="78" s="1"/>
  <c r="F31" i="78"/>
  <c r="D22" i="79" l="1"/>
  <c r="A72" i="79"/>
  <c r="A65" i="79"/>
  <c r="A63" i="79"/>
  <c r="A43" i="79"/>
  <c r="A77" i="79"/>
  <c r="A41" i="79"/>
  <c r="A76" i="79"/>
  <c r="A39" i="79"/>
  <c r="A83" i="79"/>
  <c r="A28" i="79"/>
  <c r="F20" i="78"/>
  <c r="D53" i="78"/>
  <c r="D66" i="78"/>
  <c r="F66" i="78" s="1"/>
  <c r="F55" i="78"/>
  <c r="D77" i="78"/>
  <c r="F77" i="78" s="1"/>
  <c r="D52" i="78"/>
  <c r="D54" i="78"/>
  <c r="F21" i="78"/>
  <c r="D32" i="78"/>
  <c r="D44" i="78"/>
  <c r="F44" i="78" s="1"/>
  <c r="F33" i="78"/>
  <c r="D41" i="78"/>
  <c r="F41" i="78" s="1"/>
  <c r="F22" i="78"/>
  <c r="A32" i="78"/>
  <c r="A60" i="78"/>
  <c r="A72" i="78"/>
  <c r="A74" i="78"/>
  <c r="A62" i="78"/>
  <c r="A65" i="78"/>
  <c r="A71" i="78"/>
  <c r="A39" i="78"/>
  <c r="A52" i="78"/>
  <c r="F83" i="78"/>
  <c r="F84" i="78" s="1"/>
  <c r="B91" i="78" s="1"/>
  <c r="A33" i="78"/>
  <c r="A28" i="78"/>
  <c r="A66" i="78"/>
  <c r="A61" i="78"/>
  <c r="A44" i="78"/>
  <c r="A77" i="78"/>
  <c r="N73" i="59"/>
  <c r="N11" i="59"/>
  <c r="N137" i="59"/>
  <c r="N51" i="59"/>
  <c r="N100" i="59"/>
  <c r="N56" i="59"/>
  <c r="N32" i="59"/>
  <c r="N4" i="59"/>
  <c r="N90" i="59"/>
  <c r="N42" i="59"/>
  <c r="N5" i="59"/>
  <c r="N112" i="59"/>
  <c r="N68" i="59"/>
  <c r="N48" i="59"/>
  <c r="N24" i="59"/>
  <c r="N123" i="59"/>
  <c r="N134" i="59"/>
  <c r="N106" i="59"/>
  <c r="N54" i="59"/>
  <c r="N34" i="59"/>
  <c r="N81" i="59"/>
  <c r="N53" i="59"/>
  <c r="N119" i="59"/>
  <c r="N84" i="59"/>
  <c r="N64" i="59"/>
  <c r="N20" i="59"/>
  <c r="N111" i="59"/>
  <c r="N50" i="59"/>
  <c r="N41" i="59"/>
  <c r="F159" i="59"/>
  <c r="F158" i="59"/>
  <c r="F160" i="59"/>
  <c r="N19" i="59"/>
  <c r="F154" i="59"/>
  <c r="F156" i="59"/>
  <c r="N139" i="59"/>
  <c r="N138" i="59"/>
  <c r="N70" i="59"/>
  <c r="N105" i="59"/>
  <c r="E4" i="70"/>
  <c r="E70" i="70" s="1"/>
  <c r="F153" i="59"/>
  <c r="N71" i="59"/>
  <c r="N61" i="59"/>
  <c r="N63" i="59"/>
  <c r="N122" i="59"/>
  <c r="N98" i="59"/>
  <c r="N97" i="59"/>
  <c r="I4" i="70"/>
  <c r="I70" i="70" s="1"/>
  <c r="K4" i="70"/>
  <c r="K70" i="70" s="1"/>
  <c r="F4" i="70"/>
  <c r="F70" i="70" s="1"/>
  <c r="J4" i="70"/>
  <c r="J70" i="70" s="1"/>
  <c r="G4" i="70"/>
  <c r="F151" i="59"/>
  <c r="N86" i="59"/>
  <c r="F150" i="59"/>
  <c r="N102" i="59"/>
  <c r="N66" i="59"/>
  <c r="N121" i="59"/>
  <c r="N136" i="59"/>
  <c r="N96" i="59"/>
  <c r="F155" i="59"/>
  <c r="N40" i="59"/>
  <c r="N35" i="59"/>
  <c r="N91" i="59"/>
  <c r="N118" i="59"/>
  <c r="N82" i="59"/>
  <c r="N128" i="59"/>
  <c r="F149" i="59"/>
  <c r="N65" i="59"/>
  <c r="N45" i="59"/>
  <c r="N75" i="59"/>
  <c r="N127" i="59"/>
  <c r="N23" i="59"/>
  <c r="N8" i="59"/>
  <c r="N140" i="59"/>
  <c r="N103" i="59"/>
  <c r="N17" i="59"/>
  <c r="N87" i="59"/>
  <c r="N31" i="59"/>
  <c r="N69" i="59"/>
  <c r="N85" i="59"/>
  <c r="N101" i="59"/>
  <c r="N117" i="59"/>
  <c r="N133" i="59"/>
  <c r="N49" i="59"/>
  <c r="N30" i="59"/>
  <c r="N46" i="59"/>
  <c r="N78" i="59"/>
  <c r="N94" i="59"/>
  <c r="N126" i="59"/>
  <c r="N142" i="59"/>
  <c r="N79" i="59"/>
  <c r="N131" i="59"/>
  <c r="N27" i="59"/>
  <c r="N28" i="59"/>
  <c r="N44" i="59"/>
  <c r="N60" i="59"/>
  <c r="N76" i="59"/>
  <c r="N92" i="59"/>
  <c r="N108" i="59"/>
  <c r="N124" i="59"/>
  <c r="N107" i="59"/>
  <c r="N135" i="59"/>
  <c r="N12" i="59"/>
  <c r="N144" i="59"/>
  <c r="N115" i="59"/>
  <c r="N9" i="59"/>
  <c r="N57" i="59"/>
  <c r="N29" i="59"/>
  <c r="N15" i="59"/>
  <c r="N95" i="59"/>
  <c r="N143" i="59"/>
  <c r="N47" i="59"/>
  <c r="N132" i="59"/>
  <c r="N55" i="59"/>
  <c r="N13" i="59"/>
  <c r="N77" i="59"/>
  <c r="N93" i="59"/>
  <c r="N109" i="59"/>
  <c r="N125" i="59"/>
  <c r="N141" i="59"/>
  <c r="N33" i="59"/>
  <c r="N25" i="59"/>
  <c r="N6" i="59"/>
  <c r="N22" i="59"/>
  <c r="N99" i="59"/>
  <c r="N72" i="59"/>
  <c r="N36" i="59"/>
  <c r="N7" i="59"/>
  <c r="N43" i="59"/>
  <c r="N114" i="59"/>
  <c r="N58" i="59"/>
  <c r="N18" i="59"/>
  <c r="N37" i="59"/>
  <c r="N113" i="59"/>
  <c r="N21" i="59"/>
  <c r="N83" i="59"/>
  <c r="N88" i="59"/>
  <c r="N52" i="59"/>
  <c r="N16" i="59"/>
  <c r="N3" i="59"/>
  <c r="N39" i="59"/>
  <c r="N130" i="59"/>
  <c r="N89" i="59"/>
  <c r="D14" i="62"/>
  <c r="D18" i="62" s="1"/>
  <c r="D55" i="79"/>
  <c r="F22" i="79"/>
  <c r="G60" i="62"/>
  <c r="N69" i="62"/>
  <c r="L55" i="78" l="1"/>
  <c r="F32" i="78"/>
  <c r="D43" i="78"/>
  <c r="F43" i="78" s="1"/>
  <c r="F53" i="78"/>
  <c r="L53" i="78" s="1"/>
  <c r="D75" i="78"/>
  <c r="F75" i="78" s="1"/>
  <c r="D64" i="78"/>
  <c r="F64" i="78" s="1"/>
  <c r="F52" i="78"/>
  <c r="L52" i="78" s="1"/>
  <c r="D74" i="78"/>
  <c r="F74" i="78" s="1"/>
  <c r="D76" i="78"/>
  <c r="F76" i="78" s="1"/>
  <c r="D65" i="78"/>
  <c r="F65" i="78" s="1"/>
  <c r="F54" i="78"/>
  <c r="M160" i="59"/>
  <c r="F162" i="59"/>
  <c r="B4" i="70"/>
  <c r="B70" i="70" s="1"/>
  <c r="C4" i="70"/>
  <c r="C70" i="70" s="1"/>
  <c r="M153" i="59"/>
  <c r="M152" i="59"/>
  <c r="N38" i="59"/>
  <c r="N62" i="59"/>
  <c r="M154" i="59"/>
  <c r="M149" i="59"/>
  <c r="M147" i="59"/>
  <c r="N2" i="59"/>
  <c r="M158" i="59"/>
  <c r="N110" i="59"/>
  <c r="H4" i="70"/>
  <c r="H70" i="70" s="1"/>
  <c r="D4" i="70"/>
  <c r="D70" i="70" s="1"/>
  <c r="N74" i="59"/>
  <c r="M155" i="59"/>
  <c r="M157" i="59"/>
  <c r="G70" i="70"/>
  <c r="M156" i="59"/>
  <c r="M150" i="59"/>
  <c r="N14" i="59"/>
  <c r="M151" i="59"/>
  <c r="N26" i="59"/>
  <c r="M159" i="59"/>
  <c r="D66" i="79"/>
  <c r="F66" i="79" s="1"/>
  <c r="F55" i="79"/>
  <c r="D77" i="79"/>
  <c r="F77" i="79" s="1"/>
  <c r="P69" i="62"/>
  <c r="L54" i="78" l="1"/>
  <c r="C16" i="62"/>
  <c r="L5" i="70"/>
  <c r="L71" i="70" s="1"/>
  <c r="N153" i="59"/>
  <c r="O153" i="59"/>
  <c r="C10" i="62"/>
  <c r="F5" i="70"/>
  <c r="N147" i="59"/>
  <c r="C14" i="62"/>
  <c r="J5" i="70"/>
  <c r="O157" i="59"/>
  <c r="N157" i="59"/>
  <c r="N155" i="59"/>
  <c r="O155" i="59"/>
  <c r="H5" i="70"/>
  <c r="C12" i="62"/>
  <c r="C8" i="62"/>
  <c r="D5" i="70"/>
  <c r="O151" i="59"/>
  <c r="N151" i="59"/>
  <c r="C5" i="70"/>
  <c r="N150" i="59"/>
  <c r="C7" i="62"/>
  <c r="O150" i="59"/>
  <c r="O156" i="59"/>
  <c r="N156" i="59"/>
  <c r="I5" i="70"/>
  <c r="C13" i="62"/>
  <c r="M164" i="59"/>
  <c r="O164" i="59" s="1"/>
  <c r="B5" i="70"/>
  <c r="C6" i="62"/>
  <c r="M162" i="59"/>
  <c r="O162" i="59" s="1"/>
  <c r="N149" i="59"/>
  <c r="O149" i="59"/>
  <c r="C11" i="62"/>
  <c r="N154" i="59"/>
  <c r="G5" i="70"/>
  <c r="O154" i="59"/>
  <c r="C17" i="62"/>
  <c r="M5" i="70"/>
  <c r="M71" i="70" s="1"/>
  <c r="K5" i="70"/>
  <c r="N158" i="59"/>
  <c r="O158" i="59"/>
  <c r="C15" i="62"/>
  <c r="N152" i="59"/>
  <c r="O152" i="59"/>
  <c r="C9" i="62"/>
  <c r="E5" i="70"/>
  <c r="O73" i="62"/>
  <c r="O64" i="62" s="1"/>
  <c r="M73" i="62"/>
  <c r="M64" i="62" s="1"/>
  <c r="N73" i="62"/>
  <c r="N64" i="62" s="1"/>
  <c r="U13" i="62" l="1"/>
  <c r="T13" i="62"/>
  <c r="V13" i="62"/>
  <c r="W13" i="62"/>
  <c r="S13" i="62"/>
  <c r="X13" i="62"/>
  <c r="Q13" i="62"/>
  <c r="R13" i="62"/>
  <c r="W15" i="62"/>
  <c r="X15" i="62"/>
  <c r="R15" i="62"/>
  <c r="U15" i="62"/>
  <c r="Q15" i="62"/>
  <c r="S15" i="62"/>
  <c r="V15" i="62"/>
  <c r="T15" i="62"/>
  <c r="W12" i="62"/>
  <c r="R12" i="62"/>
  <c r="X12" i="62"/>
  <c r="U12" i="62"/>
  <c r="T12" i="62"/>
  <c r="V12" i="62"/>
  <c r="S12" i="62"/>
  <c r="Q12" i="62"/>
  <c r="E17" i="62"/>
  <c r="I6" i="70"/>
  <c r="I71" i="70"/>
  <c r="C71" i="70"/>
  <c r="C6" i="70"/>
  <c r="J6" i="70"/>
  <c r="J71" i="70"/>
  <c r="H6" i="70"/>
  <c r="H71" i="70"/>
  <c r="Q14" i="62"/>
  <c r="X14" i="62"/>
  <c r="V14" i="62"/>
  <c r="U14" i="62"/>
  <c r="W14" i="62"/>
  <c r="S14" i="62"/>
  <c r="T14" i="62"/>
  <c r="R14" i="62"/>
  <c r="V11" i="62"/>
  <c r="T11" i="62"/>
  <c r="S11" i="62"/>
  <c r="R11" i="62"/>
  <c r="X11" i="62"/>
  <c r="U11" i="62"/>
  <c r="W11" i="62"/>
  <c r="Q11" i="62"/>
  <c r="E71" i="70"/>
  <c r="E6" i="70"/>
  <c r="G71" i="70"/>
  <c r="G6" i="70"/>
  <c r="D71" i="70"/>
  <c r="D6" i="70"/>
  <c r="K6" i="70"/>
  <c r="K71" i="70"/>
  <c r="B71" i="70"/>
  <c r="B6" i="70"/>
  <c r="F6" i="70"/>
  <c r="F71" i="70"/>
  <c r="E16" i="62"/>
  <c r="N84" i="62"/>
  <c r="F14" i="64"/>
  <c r="E14" i="64"/>
  <c r="M84" i="62"/>
  <c r="O84" i="62"/>
  <c r="Y11" i="62" l="1"/>
  <c r="Z11" i="62" s="1"/>
  <c r="Y13" i="62"/>
  <c r="Z13" i="62" s="1"/>
  <c r="Y14" i="62"/>
  <c r="Z14" i="62" s="1"/>
  <c r="Y15" i="62"/>
  <c r="Z15" i="62" s="1"/>
  <c r="L8" i="70"/>
  <c r="G63" i="62"/>
  <c r="G64" i="62"/>
  <c r="M8" i="70"/>
  <c r="Y12" i="62"/>
  <c r="Z12" i="62" s="1"/>
  <c r="B7" i="79"/>
  <c r="B19" i="79" s="1"/>
  <c r="D19" i="79" s="1"/>
  <c r="M26" i="70"/>
  <c r="M32" i="70"/>
  <c r="C8" i="79"/>
  <c r="M31" i="70"/>
  <c r="B8" i="79"/>
  <c r="B20" i="79" s="1"/>
  <c r="D20" i="79" s="1"/>
  <c r="M36" i="70"/>
  <c r="B9" i="79"/>
  <c r="I14" i="64"/>
  <c r="M27" i="70"/>
  <c r="C7" i="79"/>
  <c r="G68" i="62" l="1"/>
  <c r="G83" i="62"/>
  <c r="G84" i="62"/>
  <c r="G69" i="62"/>
  <c r="D31" i="79"/>
  <c r="D52" i="79"/>
  <c r="F20" i="79"/>
  <c r="D53" i="79"/>
  <c r="B21" i="79"/>
  <c r="D21" i="79" s="1"/>
  <c r="D30" i="79"/>
  <c r="J73" i="62" l="1"/>
  <c r="I73" i="62"/>
  <c r="H73" i="62"/>
  <c r="K73" i="62"/>
  <c r="K64" i="62" s="1"/>
  <c r="K84" i="62" s="1"/>
  <c r="B5" i="79" s="1"/>
  <c r="K72" i="62"/>
  <c r="K63" i="62" s="1"/>
  <c r="K83" i="62" s="1"/>
  <c r="B5" i="78" s="1"/>
  <c r="H72" i="62"/>
  <c r="J72" i="62"/>
  <c r="I72" i="62"/>
  <c r="F52" i="79"/>
  <c r="L52" i="79" s="1"/>
  <c r="D74" i="79"/>
  <c r="F74" i="79" s="1"/>
  <c r="D41" i="79"/>
  <c r="F41" i="79" s="1"/>
  <c r="F30" i="79"/>
  <c r="F31" i="79"/>
  <c r="D42" i="79"/>
  <c r="F42" i="79" s="1"/>
  <c r="D75" i="79"/>
  <c r="F75" i="79" s="1"/>
  <c r="F53" i="79"/>
  <c r="D64" i="79"/>
  <c r="F64" i="79" s="1"/>
  <c r="D32" i="79"/>
  <c r="D54" i="79"/>
  <c r="F21" i="79"/>
  <c r="J63" i="62" l="1"/>
  <c r="H64" i="62"/>
  <c r="P73" i="62"/>
  <c r="P72" i="62"/>
  <c r="H63" i="62"/>
  <c r="I64" i="62"/>
  <c r="J64" i="62"/>
  <c r="I63" i="62"/>
  <c r="F19" i="79"/>
  <c r="F54" i="79"/>
  <c r="D76" i="79"/>
  <c r="F76" i="79" s="1"/>
  <c r="D65" i="79"/>
  <c r="F65" i="79" s="1"/>
  <c r="F32" i="79"/>
  <c r="D43" i="79"/>
  <c r="F43" i="79" s="1"/>
  <c r="L53" i="79"/>
  <c r="P63" i="62" l="1"/>
  <c r="H83" i="62"/>
  <c r="P64" i="62"/>
  <c r="H84" i="62"/>
  <c r="I83" i="62"/>
  <c r="J84" i="62"/>
  <c r="J75" i="62"/>
  <c r="I84" i="62"/>
  <c r="J83" i="62"/>
  <c r="L54" i="79"/>
  <c r="L13" i="70" l="1"/>
  <c r="P83" i="62"/>
  <c r="B2" i="78"/>
  <c r="B3" i="78"/>
  <c r="L17" i="70"/>
  <c r="B2" i="79"/>
  <c r="M13" i="70"/>
  <c r="P84" i="62"/>
  <c r="M55" i="70"/>
  <c r="B4" i="78"/>
  <c r="B18" i="78" s="1"/>
  <c r="D18" i="78" s="1"/>
  <c r="L21" i="70"/>
  <c r="B13" i="64"/>
  <c r="J88" i="62"/>
  <c r="B4" i="79"/>
  <c r="B18" i="79" s="1"/>
  <c r="D18" i="79" s="1"/>
  <c r="J87" i="62"/>
  <c r="B14" i="64"/>
  <c r="M21" i="70"/>
  <c r="J86" i="62"/>
  <c r="B3" i="79"/>
  <c r="M17" i="70"/>
  <c r="L55" i="70"/>
  <c r="D51" i="79" l="1"/>
  <c r="C4" i="79"/>
  <c r="H14" i="64"/>
  <c r="M22" i="70"/>
  <c r="L13" i="64"/>
  <c r="L14" i="64"/>
  <c r="G14" i="64"/>
  <c r="G13" i="64"/>
  <c r="H13" i="64"/>
  <c r="C4" i="78"/>
  <c r="L22" i="70"/>
  <c r="P87" i="62"/>
  <c r="M60" i="70"/>
  <c r="Q84" i="62"/>
  <c r="L60" i="70"/>
  <c r="Q83" i="62"/>
  <c r="D51" i="78"/>
  <c r="B11" i="79"/>
  <c r="B16" i="79"/>
  <c r="B17" i="79"/>
  <c r="D17" i="79" s="1"/>
  <c r="B11" i="78"/>
  <c r="B16" i="78"/>
  <c r="L45" i="70"/>
  <c r="L50" i="70"/>
  <c r="B17" i="78"/>
  <c r="D17" i="78" s="1"/>
  <c r="M50" i="70"/>
  <c r="M45" i="70"/>
  <c r="M65" i="70" l="1"/>
  <c r="D16" i="79"/>
  <c r="B23" i="79"/>
  <c r="C11" i="78"/>
  <c r="D29" i="78"/>
  <c r="M51" i="70"/>
  <c r="M46" i="70"/>
  <c r="L65" i="70"/>
  <c r="B23" i="78"/>
  <c r="D16" i="78"/>
  <c r="L56" i="70"/>
  <c r="L61" i="70"/>
  <c r="C11" i="79"/>
  <c r="D29" i="79"/>
  <c r="D50" i="78"/>
  <c r="F17" i="78"/>
  <c r="D28" i="78"/>
  <c r="M56" i="70"/>
  <c r="G16" i="64"/>
  <c r="M61" i="70"/>
  <c r="F17" i="79"/>
  <c r="D50" i="79"/>
  <c r="D28" i="79"/>
  <c r="L51" i="70"/>
  <c r="L46" i="70"/>
  <c r="D62" i="79"/>
  <c r="F62" i="79" s="1"/>
  <c r="D73" i="79"/>
  <c r="F73" i="79" s="1"/>
  <c r="F51" i="79"/>
  <c r="F51" i="78"/>
  <c r="D73" i="78"/>
  <c r="F73" i="78" s="1"/>
  <c r="D62" i="78"/>
  <c r="F62" i="78" s="1"/>
  <c r="L51" i="79" l="1"/>
  <c r="F18" i="78"/>
  <c r="F18" i="79"/>
  <c r="M66" i="70"/>
  <c r="F16" i="78"/>
  <c r="D23" i="78"/>
  <c r="D49" i="78"/>
  <c r="D27" i="78"/>
  <c r="F50" i="78"/>
  <c r="D72" i="78"/>
  <c r="F72" i="78" s="1"/>
  <c r="D61" i="78"/>
  <c r="F61" i="78" s="1"/>
  <c r="F29" i="78"/>
  <c r="D40" i="78"/>
  <c r="F40" i="78" s="1"/>
  <c r="L51" i="78"/>
  <c r="L66" i="70"/>
  <c r="F29" i="79"/>
  <c r="D40" i="79"/>
  <c r="F40" i="79" s="1"/>
  <c r="F28" i="78"/>
  <c r="D39" i="78"/>
  <c r="F39" i="78" s="1"/>
  <c r="F28" i="79"/>
  <c r="D39" i="79"/>
  <c r="F39" i="79" s="1"/>
  <c r="F50" i="79"/>
  <c r="D61" i="79"/>
  <c r="F61" i="79" s="1"/>
  <c r="D72" i="79"/>
  <c r="F72" i="79" s="1"/>
  <c r="F16" i="79"/>
  <c r="D49" i="79"/>
  <c r="D27" i="79"/>
  <c r="D23" i="79"/>
  <c r="F23" i="78" l="1"/>
  <c r="B86" i="78" s="1"/>
  <c r="F23" i="79"/>
  <c r="B86" i="79" s="1"/>
  <c r="L50" i="79"/>
  <c r="D38" i="79"/>
  <c r="F38" i="79" s="1"/>
  <c r="F45" i="79" s="1"/>
  <c r="B89" i="79" s="1"/>
  <c r="F27" i="79"/>
  <c r="F34" i="79" s="1"/>
  <c r="B88" i="79" s="1"/>
  <c r="D71" i="79"/>
  <c r="D60" i="79"/>
  <c r="D56" i="79"/>
  <c r="F49" i="79"/>
  <c r="F56" i="79" s="1"/>
  <c r="D38" i="78"/>
  <c r="F38" i="78" s="1"/>
  <c r="F45" i="78" s="1"/>
  <c r="B89" i="78" s="1"/>
  <c r="F27" i="78"/>
  <c r="F34" i="78" s="1"/>
  <c r="B88" i="78" s="1"/>
  <c r="D56" i="78"/>
  <c r="F49" i="78"/>
  <c r="D71" i="78"/>
  <c r="D60" i="78"/>
  <c r="L50" i="78"/>
  <c r="F56" i="78" l="1"/>
  <c r="D67" i="79"/>
  <c r="F60" i="79"/>
  <c r="F67" i="79" s="1"/>
  <c r="B87" i="79" s="1"/>
  <c r="D67" i="78"/>
  <c r="F60" i="78"/>
  <c r="F67" i="78" s="1"/>
  <c r="D78" i="78"/>
  <c r="F71" i="78"/>
  <c r="F78" i="78" s="1"/>
  <c r="B90" i="78" s="1"/>
  <c r="D78" i="79"/>
  <c r="F71" i="79"/>
  <c r="F78" i="79" s="1"/>
  <c r="B90" i="79" s="1"/>
  <c r="L49" i="79" l="1"/>
  <c r="B87" i="78"/>
  <c r="B92" i="78" s="1"/>
  <c r="C90" i="79"/>
  <c r="B92" i="79"/>
  <c r="L49" i="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  <comment ref="M48" authorId="0" shapeId="0" xr:uid="{9DB88F1B-4948-46BD-866A-49F21EC9E46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2018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<sst xmlns="http://schemas.openxmlformats.org/spreadsheetml/2006/main" count="440" uniqueCount="183">
  <si>
    <t>IESO</t>
  </si>
  <si>
    <t>Generation</t>
  </si>
  <si>
    <t>Large Use Losses</t>
  </si>
  <si>
    <t>Street Lighting</t>
  </si>
  <si>
    <t>Purchased</t>
  </si>
  <si>
    <t>Heating Degree Days</t>
  </si>
  <si>
    <t>Cooling Degree Days</t>
  </si>
  <si>
    <t>Number of Days in Month</t>
  </si>
  <si>
    <t>Spring Fall Flag</t>
  </si>
  <si>
    <t>CDM</t>
  </si>
  <si>
    <t>Residential Customers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</si>
  <si>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</si>
  <si>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</si>
  <si>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</si>
  <si>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</si>
  <si>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</si>
  <si>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</si>
  <si>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</si>
  <si>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</si>
  <si>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</si>
  <si>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</si>
  <si>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</si>
  <si>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</si>
  <si>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</si>
  <si>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</si>
  <si>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</si>
  <si>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</si>
  <si>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</si>
  <si>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</si>
  <si>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</si>
  <si>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</si>
  <si>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</si>
  <si>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</si>
  <si>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</si>
  <si>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</si>
  <si>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</si>
  <si>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</si>
  <si>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Weather Normal</t>
  </si>
  <si>
    <t>Total to 2018</t>
  </si>
  <si>
    <t>Check totals above should be zero</t>
  </si>
  <si>
    <t>Actual Purchases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</si>
  <si>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</si>
  <si>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</si>
  <si>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</si>
  <si>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</si>
  <si>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</si>
  <si>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</si>
  <si>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GS&gt;50 kW WMP</t>
  </si>
  <si>
    <t>GS&gt;50 kW Cl A</t>
  </si>
  <si>
    <t>Large User</t>
  </si>
  <si>
    <t xml:space="preserve">Streetlights </t>
  </si>
  <si>
    <t>USL</t>
  </si>
  <si>
    <t>Weather Normal Projection</t>
  </si>
  <si>
    <t>Annual kWh at the Meter</t>
  </si>
  <si>
    <t>Weather Normalized</t>
  </si>
  <si>
    <t>Check</t>
  </si>
  <si>
    <t>Average</t>
  </si>
  <si>
    <t>Usage/
Customer</t>
  </si>
  <si>
    <t>GS&gt;50 kW
Cl A</t>
  </si>
  <si>
    <t xml:space="preserve">Used </t>
  </si>
  <si>
    <t xml:space="preserve">Geomean </t>
  </si>
  <si>
    <t>WMP</t>
  </si>
  <si>
    <t>Class A</t>
  </si>
  <si>
    <t>Non Weather Corrected Forecast</t>
  </si>
  <si>
    <t>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</si>
  <si>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</si>
  <si>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</si>
  <si>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</si>
  <si>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</si>
  <si>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GS&gt; Cl B</t>
  </si>
  <si>
    <t>Manual Adjustment to the Load Forecast from 2019 and 2020 Programs on a Net Level</t>
  </si>
  <si>
    <t xml:space="preserve">Weather Corrected Forecast after 2019 and 2020 CDM Adjustments        </t>
  </si>
  <si>
    <t>exl WMP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</si>
  <si>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</si>
  <si>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</si>
  <si>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</si>
  <si>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</si>
  <si>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</si>
  <si>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WNHI - Embedded Distributor</t>
  </si>
  <si>
    <t>Wellesley</t>
  </si>
  <si>
    <t>kW</t>
  </si>
  <si>
    <t>kWh</t>
  </si>
  <si>
    <t>Avg/month</t>
  </si>
  <si>
    <t>Bridge</t>
  </si>
  <si>
    <t>Test</t>
  </si>
  <si>
    <t>Meter History</t>
  </si>
  <si>
    <t>Start</t>
  </si>
  <si>
    <t>End</t>
  </si>
  <si>
    <t>Annual kW for those classes that charge distribution volumetric charges on a kW basis</t>
  </si>
  <si>
    <t>GS&gt;50 kW
WMP</t>
  </si>
  <si>
    <t>GS&gt;50 kW
Class A</t>
  </si>
  <si>
    <t>TX
Allowance
GS&gt;50kW</t>
  </si>
  <si>
    <t>TX
Allowance
Large User</t>
  </si>
  <si>
    <t>Cl B</t>
  </si>
  <si>
    <t>Total GS&gt;</t>
  </si>
  <si>
    <t>kW/kWh</t>
  </si>
  <si>
    <t>2019 Load Forecast</t>
  </si>
  <si>
    <t>2018  %RPP</t>
  </si>
  <si>
    <t>GS&gt;50 kW, WMP</t>
  </si>
  <si>
    <t>Class A w/Loss</t>
  </si>
  <si>
    <t>GS&gt;50 kW, Class A</t>
  </si>
  <si>
    <t>COP</t>
  </si>
  <si>
    <t>Distribution</t>
  </si>
  <si>
    <t>TOTAL</t>
  </si>
  <si>
    <t>Commodity RPP</t>
  </si>
  <si>
    <t>2019 Forecasted Metered kWhs</t>
  </si>
  <si>
    <t>2019
Loss Factor</t>
  </si>
  <si>
    <t>Class per Load Forecast RPP</t>
  </si>
  <si>
    <t>Exclude Wholesale Market Participants</t>
  </si>
  <si>
    <t>Transmission - Network</t>
  </si>
  <si>
    <t>Volume</t>
  </si>
  <si>
    <t>Class per Load Forecast</t>
  </si>
  <si>
    <t>Metric</t>
  </si>
  <si>
    <t>Include Wholesale Market Participants</t>
  </si>
  <si>
    <t>Transmission - Connection</t>
  </si>
  <si>
    <t>Wholesale Market Service</t>
  </si>
  <si>
    <t>Capacity Based Recovery</t>
  </si>
  <si>
    <t>Exclude Class A Customers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</si>
  <si>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</si>
  <si>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</si>
  <si>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</si>
  <si>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</si>
  <si>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</si>
  <si>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</si>
  <si>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4708-Rural Rate Assistance </t>
  </si>
  <si>
    <t xml:space="preserve">4751-Smart Meter Entity </t>
  </si>
  <si>
    <t>2020 Load Forecast</t>
  </si>
  <si>
    <t>2020 Forecasted Metered kWhs</t>
  </si>
  <si>
    <t>2020
Loss Factor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</si>
  <si>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</si>
  <si>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</si>
  <si>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</si>
  <si>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</si>
  <si>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</si>
  <si>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</si>
  <si>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</si>
  <si>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</si>
  <si>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</si>
  <si>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</si>
  <si>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</si>
  <si>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2019 Weather Normal</t>
  </si>
  <si>
    <t>2020 Weather Normal</t>
  </si>
  <si>
    <t>Actual kWh Purchases</t>
  </si>
  <si>
    <t>Predicted kWh Purchases</t>
  </si>
  <si>
    <t>% Difference</t>
  </si>
  <si>
    <t>Billed kWh (excl Embedded)</t>
  </si>
  <si>
    <t>By Class</t>
  </si>
  <si>
    <t xml:space="preserve">  Customers</t>
  </si>
  <si>
    <t xml:space="preserve">  kWh</t>
  </si>
  <si>
    <t xml:space="preserve">  kW</t>
  </si>
  <si>
    <t xml:space="preserve">  Connections</t>
  </si>
  <si>
    <t>Total of Above (excl. Embedded)</t>
  </si>
  <si>
    <t xml:space="preserve">  Customer/Connections</t>
  </si>
  <si>
    <t xml:space="preserve">  kW from applicable classes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</si>
  <si>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</si>
  <si>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</si>
  <si>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</si>
  <si>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</si>
  <si>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</si>
  <si>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</si>
  <si>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>May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</si>
  <si>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</si>
  <si>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</si>
  <si>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Full year Increase over previous year</t>
  </si>
  <si>
    <t>Half year pattern</t>
  </si>
  <si>
    <t>3.1.7-1 CDM Activity Variable Supporting Data</t>
  </si>
  <si>
    <t>Jan</t>
  </si>
  <si>
    <t>Program Year</t>
  </si>
  <si>
    <t>Feb</t>
  </si>
  <si>
    <t>Third Tranche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</si>
  <si>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</si>
  <si>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</si>
  <si>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</si>
  <si>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</si>
  <si>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</si>
  <si>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</si>
  <si>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</si>
  <si>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</si>
  <si>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</si>
  <si>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</si>
  <si>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5 Year 2015 to 2020 target</t>
  </si>
  <si>
    <t xml:space="preserve"> Proposed Cost of Service Method</t>
  </si>
  <si>
    <t>Apply 1/2 year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</si>
</sst>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4" formatCode="#,##0.0;\(#,##0.0\)"/>
    <numFmt numFmtId="186" formatCode="000000000#"/>
    <numFmt numFmtId="187" formatCode="yyyy/mm/dd"/>
    <numFmt numFmtId="188" formatCode="0.00000"/>
    <numFmt numFmtId="189" formatCode="_-* #,##0.00_-;\-* #,##0.00_-;_-* &quot;-&quot;??_-;_-@_-"/>
    <numFmt numFmtId="190" formatCode="_-* #,##0_-;\-* #,##0_-;_-* &quot;-&quot;??_-;_-@_-"/>
    <numFmt numFmtId="192" formatCode="_-* #,##0.00_-;\-* #,##0.00_-;_-* \-??_-;_-@_-"/>
    <numFmt numFmtId="202" formatCode="0.000"/>
    <numFmt numFmtId="203" formatCode="0.00000%"/>
    <numFmt numFmtId="204" formatCode="0.0000000%"/>
    <numFmt numFmtId="205" formatCode="_(* #,##0.0_);_(* \(#,##0.0\);_(* &quot;-&quot;??_);_(@_)"/>
    <numFmt numFmtId="206" formatCode="mm/dd/yyyy"/>
    <numFmt numFmtId="207" formatCode="0\-0"/>
    <numFmt numFmtId="208" formatCode="##\-#"/>
    <numFmt numFmtId="209" formatCode="&quot;£ &quot;#,##0.00;[Red]\-&quot;£ &quot;#,##0.00"/>
    <numFmt numFmtId="210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9" fontId="3" fillId="0" borderId="0" applyFont="0" applyFill="0" applyBorder="0" applyAlignment="0" applyProtection="0"/>
    <xf numFmtId="192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5" fontId="3" fillId="0" borderId="0"/>
    <xf numFmtId="164" fontId="3" fillId="0" borderId="0"/>
    <xf numFmtId="205" fontId="3" fillId="0" borderId="0"/>
    <xf numFmtId="205" fontId="3" fillId="0" borderId="0"/>
    <xf numFmtId="205" fontId="3" fillId="0" borderId="0"/>
    <xf numFmtId="205" fontId="3" fillId="0" borderId="0"/>
    <xf numFmtId="206" fontId="3" fillId="0" borderId="0"/>
    <xf numFmtId="207" fontId="3" fillId="0" borderId="0"/>
    <xf numFmtId="206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208" fontId="3" fillId="0" borderId="0"/>
    <xf numFmtId="175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32" fillId="11" borderId="0" applyNumberFormat="0" applyBorder="0" applyAlignment="0" applyProtection="0"/>
    <xf numFmtId="209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42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75" fontId="0" fillId="0" borderId="0" xfId="0" applyNumberFormat="1"/>
    <xf numFmtId="190" fontId="3" fillId="0" borderId="0" xfId="12" applyNumberFormat="1"/>
    <xf numFmtId="190" fontId="0" fillId="0" borderId="0" xfId="0" applyNumberFormat="1"/>
    <xf numFmtId="0" fontId="3" fillId="7" borderId="8" xfId="0" applyFont="1" applyFill="1" applyBorder="1" applyAlignment="1">
      <alignment horizontal="right" indent="1"/>
    </xf>
    <xf numFmtId="190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8" fontId="0" fillId="0" borderId="0" xfId="0" applyNumberFormat="1"/>
    <xf numFmtId="202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203" fontId="0" fillId="0" borderId="0" xfId="0" applyNumberFormat="1"/>
    <xf numFmtId="204" fontId="0" fillId="0" borderId="0" xfId="0" applyNumberFormat="1"/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4" fontId="0" fillId="0" borderId="0" xfId="0" applyNumberFormat="1" applyAlignment="1">
      <alignment horizontal="right" indent="1"/>
    </xf>
    <xf numFmtId="210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6" borderId="10" xfId="1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6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0" fillId="7" borderId="0" xfId="0" applyFill="1" applyBorder="1"/>
    <xf numFmtId="0" fontId="0" fillId="0" borderId="0" xfId="0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03"/>
  <sheetViews>
    <sheetView topLeftCell="I28" workbookViewId="0">
      <selection activeCell="M3" sqref="M3:M145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10.7109375" style="11" bestFit="1" customWidth="1"/>
    <col min="12" max="12" width="11.7109375" style="11" customWidth="1"/>
    <col min="13" max="13" width="15" style="11" bestFit="1" customWidth="1"/>
    <col min="14" max="14" width="10.7109375" style="7" customWidth="1"/>
    <col min="15" max="15" width="25.7109375" style="11" customWidth="1"/>
    <col min="16" max="16" width="13.140625" bestFit="1" customWidth="1"/>
    <col min="17" max="17" width="13.7109375" customWidth="1"/>
    <col min="18" max="18" width="12.5703125" bestFit="1" customWidth="1"/>
    <col min="19" max="19" width="12.42578125" customWidth="1"/>
    <col min="20" max="20" width="13.5703125" customWidth="1"/>
    <col min="21" max="23" width="12.5703125" customWidth="1"/>
  </cols>
  <sheetData>
    <row r="1" spans="1:33" ht="38.25" x14ac:dyDescent="0.2"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6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19" t="s">
        <v>12</v>
      </c>
      <c r="O1" t="s">
        <v>13</v>
      </c>
      <c r="Y1" t="s">
        <v>13</v>
      </c>
    </row>
    <row r="2" spans="1:33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2295812.7907442786</v>
      </c>
      <c r="L2" s="1">
        <v>75899</v>
      </c>
      <c r="M2" s="3">
        <f>ROUND(($P$17+G2*$P$18+H2*$P$19+I2*$P$20+J2*$P$21+K2*$P$22+L2*$P$23),4)</f>
        <v>172378736.65369999</v>
      </c>
      <c r="N2" s="22">
        <f t="shared" ref="N2:N33" si="0">IFERROR((ABS(M2/F2-1)),0)</f>
        <v>6.3449812526942262E-3</v>
      </c>
      <c r="O2"/>
    </row>
    <row r="3" spans="1:33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2361077.317847278</v>
      </c>
      <c r="L3" s="1">
        <v>75958</v>
      </c>
      <c r="M3" s="3">
        <f t="shared" ref="M3:M66" si="2">ROUND(($P$17+G3*$P$18+H3*$P$19+I3*$P$20+J3*$P$21+K3*$P$22+L3*$P$23),4)</f>
        <v>154506552.2638</v>
      </c>
      <c r="N3" s="22">
        <f t="shared" si="0"/>
        <v>3.6418302453304019E-2</v>
      </c>
      <c r="O3" s="145" t="s">
        <v>14</v>
      </c>
      <c r="P3" s="145"/>
      <c r="Q3" s="146"/>
      <c r="R3" s="146"/>
      <c r="S3" s="146"/>
      <c r="T3" s="146"/>
      <c r="U3" s="146"/>
      <c r="V3" s="146"/>
      <c r="W3" s="146"/>
      <c r="Y3" s="200" t="s">
        <v>14</v>
      </c>
      <c r="Z3" s="200"/>
    </row>
    <row r="4" spans="1:33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2426341.8449502774</v>
      </c>
      <c r="L4" s="1">
        <v>75998</v>
      </c>
      <c r="M4" s="3">
        <f t="shared" si="2"/>
        <v>154181569.80680001</v>
      </c>
      <c r="N4" s="22">
        <f t="shared" si="0"/>
        <v>1.087106483307565E-3</v>
      </c>
      <c r="O4" s="146" t="s">
        <v>15</v>
      </c>
      <c r="P4" s="146">
        <f>+Z4</f>
        <v>0.9558841409449812</v>
      </c>
      <c r="Q4" s="146"/>
      <c r="R4" s="146"/>
      <c r="S4" s="146"/>
      <c r="T4" s="146"/>
      <c r="U4" s="146"/>
      <c r="V4" s="146"/>
      <c r="W4" s="146"/>
      <c r="Y4" s="197" t="s">
        <v>15</v>
      </c>
      <c r="Z4" s="197">
        <v>0.9558841409449812</v>
      </c>
    </row>
    <row r="5" spans="1:33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2491606.3720532767</v>
      </c>
      <c r="L5" s="1">
        <v>76028</v>
      </c>
      <c r="M5" s="3">
        <f t="shared" si="2"/>
        <v>142567440.48140001</v>
      </c>
      <c r="N5" s="22">
        <f t="shared" si="0"/>
        <v>3.919463829437464E-2</v>
      </c>
      <c r="O5" s="146" t="s">
        <v>16</v>
      </c>
      <c r="P5" s="147">
        <f>+Z5</f>
        <v>0.91371449091012469</v>
      </c>
      <c r="Q5" s="146"/>
      <c r="R5" s="146"/>
      <c r="S5" s="146"/>
      <c r="T5" s="146"/>
      <c r="U5" s="146"/>
      <c r="V5" s="146"/>
      <c r="W5" s="146"/>
      <c r="Y5" s="197" t="s">
        <v>16</v>
      </c>
      <c r="Z5" s="197">
        <v>0.91371449091012469</v>
      </c>
    </row>
    <row r="6" spans="1:33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2556870.8991562761</v>
      </c>
      <c r="L6" s="1">
        <v>76065</v>
      </c>
      <c r="M6" s="3">
        <f t="shared" si="2"/>
        <v>140595516.66839999</v>
      </c>
      <c r="N6" s="22">
        <f t="shared" si="0"/>
        <v>5.3443576745918264E-2</v>
      </c>
      <c r="O6" s="146" t="s">
        <v>17</v>
      </c>
      <c r="P6" s="146">
        <f>+Z6</f>
        <v>0.90913295945402506</v>
      </c>
      <c r="Q6" s="146"/>
      <c r="R6" s="146"/>
      <c r="S6" s="146"/>
      <c r="T6" s="146"/>
      <c r="U6" s="146"/>
      <c r="V6" s="146"/>
      <c r="W6" s="146"/>
      <c r="Y6" s="197" t="s">
        <v>17</v>
      </c>
      <c r="Z6" s="197">
        <v>0.90913295945402506</v>
      </c>
    </row>
    <row r="7" spans="1:33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2622135.4262592755</v>
      </c>
      <c r="L7" s="1">
        <v>76141</v>
      </c>
      <c r="M7" s="3">
        <f t="shared" si="2"/>
        <v>146030799.4862</v>
      </c>
      <c r="N7" s="22">
        <f t="shared" si="0"/>
        <v>3.3731575330857799E-2</v>
      </c>
      <c r="O7" s="146" t="s">
        <v>18</v>
      </c>
      <c r="P7" s="146">
        <f>+Z7</f>
        <v>3465062.0910718832</v>
      </c>
      <c r="Q7" s="146"/>
      <c r="R7" s="146"/>
      <c r="S7" s="146"/>
      <c r="T7" s="146"/>
      <c r="U7" s="146"/>
      <c r="V7" s="146"/>
      <c r="W7" s="146"/>
      <c r="Y7" s="197" t="s">
        <v>18</v>
      </c>
      <c r="Z7" s="197">
        <v>3465062.0910718832</v>
      </c>
    </row>
    <row r="8" spans="1:33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2687399.9533622749</v>
      </c>
      <c r="L8" s="1">
        <v>76250</v>
      </c>
      <c r="M8" s="3">
        <f t="shared" si="2"/>
        <v>144304590.9269</v>
      </c>
      <c r="N8" s="22">
        <f t="shared" si="0"/>
        <v>1.5432404083818074E-2</v>
      </c>
      <c r="O8" s="148" t="s">
        <v>19</v>
      </c>
      <c r="P8" s="148">
        <f>+Z8</f>
        <v>120</v>
      </c>
      <c r="Q8" s="146"/>
      <c r="R8" s="146"/>
      <c r="S8" s="146"/>
      <c r="T8" s="146"/>
      <c r="U8" s="146"/>
      <c r="V8" s="146"/>
      <c r="W8" s="146"/>
      <c r="Y8" s="198" t="s">
        <v>19</v>
      </c>
      <c r="Z8" s="198">
        <v>120</v>
      </c>
    </row>
    <row r="9" spans="1:33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2752664.4804652743</v>
      </c>
      <c r="L9" s="1">
        <v>76340</v>
      </c>
      <c r="M9" s="3">
        <f t="shared" si="2"/>
        <v>160073160.28369999</v>
      </c>
      <c r="N9" s="22">
        <f t="shared" si="0"/>
        <v>2.3853734581708474E-2</v>
      </c>
      <c r="O9" s="146"/>
      <c r="P9" s="146"/>
      <c r="Q9" s="146"/>
      <c r="R9" s="146"/>
      <c r="S9" s="146"/>
      <c r="T9" s="146"/>
      <c r="U9" s="146"/>
      <c r="V9" s="146"/>
      <c r="W9" s="146"/>
    </row>
    <row r="10" spans="1:33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2817929.0075682737</v>
      </c>
      <c r="L10" s="1">
        <v>76437</v>
      </c>
      <c r="M10" s="3">
        <f t="shared" si="2"/>
        <v>133817488.08499999</v>
      </c>
      <c r="N10" s="22">
        <f t="shared" si="0"/>
        <v>4.2775075124106721E-2</v>
      </c>
      <c r="O10" s="146" t="s">
        <v>20</v>
      </c>
      <c r="P10" s="146"/>
      <c r="Q10" s="146"/>
      <c r="R10" s="146"/>
      <c r="S10" s="146"/>
      <c r="T10" s="146"/>
      <c r="U10" s="146"/>
      <c r="V10" s="146"/>
      <c r="W10" s="146"/>
      <c r="Y10" t="s">
        <v>20</v>
      </c>
    </row>
    <row r="11" spans="1:33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2883193.5346712731</v>
      </c>
      <c r="L11" s="1">
        <v>76536</v>
      </c>
      <c r="M11" s="3">
        <f t="shared" si="2"/>
        <v>144964728.23469999</v>
      </c>
      <c r="N11" s="22">
        <f t="shared" si="0"/>
        <v>5.6825450484232487E-4</v>
      </c>
      <c r="O11" s="149"/>
      <c r="P11" s="149" t="s">
        <v>21</v>
      </c>
      <c r="Q11" s="149" t="s">
        <v>22</v>
      </c>
      <c r="R11" s="149" t="s">
        <v>23</v>
      </c>
      <c r="S11" s="149" t="s">
        <v>24</v>
      </c>
      <c r="T11" s="149" t="s">
        <v>25</v>
      </c>
      <c r="U11" s="146"/>
      <c r="V11" s="146"/>
      <c r="W11" s="146"/>
      <c r="Y11" s="199"/>
      <c r="Z11" s="199" t="s">
        <v>21</v>
      </c>
      <c r="AA11" s="199" t="s">
        <v>22</v>
      </c>
      <c r="AB11" s="199" t="s">
        <v>23</v>
      </c>
      <c r="AC11" s="199" t="s">
        <v>24</v>
      </c>
      <c r="AD11" s="199" t="s">
        <v>25</v>
      </c>
    </row>
    <row r="12" spans="1:33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2948458.0617742725</v>
      </c>
      <c r="L12" s="1">
        <v>76655</v>
      </c>
      <c r="M12" s="3">
        <f t="shared" si="2"/>
        <v>143373149.56029999</v>
      </c>
      <c r="N12" s="22">
        <f t="shared" si="0"/>
        <v>1.2501862299051369E-2</v>
      </c>
      <c r="O12" s="146" t="s">
        <v>26</v>
      </c>
      <c r="P12" s="146">
        <f t="shared" ref="P12:R14" si="3">+Z12</f>
        <v>6</v>
      </c>
      <c r="Q12" s="146">
        <f t="shared" si="3"/>
        <v>1.4367232924855498E+16</v>
      </c>
      <c r="R12" s="146">
        <f t="shared" si="3"/>
        <v>2394538820809249.5</v>
      </c>
      <c r="S12" s="146">
        <v>208.99934235620105</v>
      </c>
      <c r="T12" s="146">
        <v>3.2521418557450451E-61</v>
      </c>
      <c r="U12" s="146"/>
      <c r="V12" s="146"/>
      <c r="W12" s="146"/>
      <c r="Y12" s="197" t="s">
        <v>26</v>
      </c>
      <c r="Z12" s="197">
        <v>6</v>
      </c>
      <c r="AA12" s="197">
        <v>1.4367232924855498E+16</v>
      </c>
      <c r="AB12" s="197">
        <v>2394538820809249.5</v>
      </c>
      <c r="AC12" s="197">
        <v>199.43429389612953</v>
      </c>
      <c r="AD12" s="197">
        <v>1.0698690469039554E-57</v>
      </c>
    </row>
    <row r="13" spans="1:33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3013722.5888772719</v>
      </c>
      <c r="L13" s="10">
        <v>76755</v>
      </c>
      <c r="M13" s="5">
        <f t="shared" si="2"/>
        <v>163504563.42680001</v>
      </c>
      <c r="N13" s="25">
        <f t="shared" si="0"/>
        <v>1.6292161079154099E-2</v>
      </c>
      <c r="O13" s="146" t="s">
        <v>27</v>
      </c>
      <c r="P13" s="146">
        <f t="shared" si="3"/>
        <v>113</v>
      </c>
      <c r="Q13" s="146">
        <f t="shared" si="3"/>
        <v>1356752048333130</v>
      </c>
      <c r="R13" s="146">
        <f t="shared" si="3"/>
        <v>12006655294983.451</v>
      </c>
      <c r="S13" s="146"/>
      <c r="T13" s="146"/>
      <c r="U13" s="146"/>
      <c r="V13" s="146"/>
      <c r="W13" s="146"/>
      <c r="Y13" s="197" t="s">
        <v>27</v>
      </c>
      <c r="Z13" s="197">
        <v>113</v>
      </c>
      <c r="AA13" s="197">
        <v>1356752048333130</v>
      </c>
      <c r="AB13" s="197">
        <v>12006655294983.451</v>
      </c>
      <c r="AC13" s="197"/>
      <c r="AD13" s="197"/>
    </row>
    <row r="14" spans="1:33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3039169.8407848449</v>
      </c>
      <c r="L14" s="1">
        <v>76818</v>
      </c>
      <c r="M14" s="3">
        <f t="shared" si="2"/>
        <v>166749508.4093</v>
      </c>
      <c r="N14" s="22">
        <f t="shared" si="0"/>
        <v>2.53402036201541E-2</v>
      </c>
      <c r="O14" s="148" t="s">
        <v>28</v>
      </c>
      <c r="P14" s="148">
        <f t="shared" si="3"/>
        <v>119</v>
      </c>
      <c r="Q14" s="148">
        <f t="shared" si="3"/>
        <v>1.5723984973188628E+16</v>
      </c>
      <c r="R14" s="148">
        <f t="shared" si="3"/>
        <v>0</v>
      </c>
      <c r="S14" s="148"/>
      <c r="T14" s="148"/>
      <c r="U14" s="146"/>
      <c r="V14" s="146"/>
      <c r="W14" s="146"/>
      <c r="Y14" s="198" t="s">
        <v>28</v>
      </c>
      <c r="Z14" s="198">
        <v>119</v>
      </c>
      <c r="AA14" s="198">
        <v>1.5723984973188628E+16</v>
      </c>
      <c r="AB14" s="198"/>
      <c r="AC14" s="198"/>
      <c r="AD14" s="198"/>
    </row>
    <row r="15" spans="1:33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3064617.092692418</v>
      </c>
      <c r="L15" s="1">
        <v>76927</v>
      </c>
      <c r="M15" s="3">
        <f t="shared" si="2"/>
        <v>149873337.09619999</v>
      </c>
      <c r="N15" s="22">
        <f t="shared" si="0"/>
        <v>1.3829212318029915E-2</v>
      </c>
      <c r="O15" s="146"/>
      <c r="P15" s="146"/>
      <c r="Q15" s="146"/>
      <c r="R15" s="146"/>
      <c r="S15" s="146"/>
      <c r="T15" s="146"/>
      <c r="U15" s="146"/>
      <c r="V15" s="146"/>
      <c r="W15" s="146"/>
    </row>
    <row r="16" spans="1:33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3090064.3445999911</v>
      </c>
      <c r="L16" s="1">
        <v>77054</v>
      </c>
      <c r="M16" s="3">
        <f t="shared" si="2"/>
        <v>150434859.43439999</v>
      </c>
      <c r="N16" s="22">
        <f t="shared" si="0"/>
        <v>1.2457544713032287E-2</v>
      </c>
      <c r="O16" s="149"/>
      <c r="P16" s="149" t="s">
        <v>29</v>
      </c>
      <c r="Q16" s="149" t="s">
        <v>18</v>
      </c>
      <c r="R16" s="149" t="s">
        <v>30</v>
      </c>
      <c r="S16" s="149" t="s">
        <v>31</v>
      </c>
      <c r="T16" s="149" t="s">
        <v>32</v>
      </c>
      <c r="U16" s="149" t="s">
        <v>33</v>
      </c>
      <c r="V16" s="149" t="s">
        <v>34</v>
      </c>
      <c r="W16" s="149" t="s">
        <v>35</v>
      </c>
      <c r="Y16" s="199"/>
      <c r="Z16" s="199" t="s">
        <v>29</v>
      </c>
      <c r="AA16" s="199" t="s">
        <v>18</v>
      </c>
      <c r="AB16" s="199" t="s">
        <v>30</v>
      </c>
      <c r="AC16" s="199" t="s">
        <v>31</v>
      </c>
      <c r="AD16" s="199" t="s">
        <v>32</v>
      </c>
      <c r="AE16" s="199" t="s">
        <v>33</v>
      </c>
      <c r="AF16" s="199" t="s">
        <v>34</v>
      </c>
      <c r="AG16" s="199" t="s">
        <v>35</v>
      </c>
    </row>
    <row r="17" spans="1:33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3115511.5965075642</v>
      </c>
      <c r="L17" s="1">
        <v>77210</v>
      </c>
      <c r="M17" s="3">
        <f t="shared" si="2"/>
        <v>138182051.58590001</v>
      </c>
      <c r="N17" s="22">
        <f t="shared" si="0"/>
        <v>2.616833429766996E-2</v>
      </c>
      <c r="O17" s="146" t="str">
        <f>+Y17</f>
        <v>Intercept</v>
      </c>
      <c r="P17" s="146">
        <f t="shared" ref="P17:W23" si="4">+Z17</f>
        <v>4449402.0383373648</v>
      </c>
      <c r="Q17" s="146">
        <f t="shared" si="4"/>
        <v>31303621.267432883</v>
      </c>
      <c r="R17" s="146">
        <f t="shared" si="4"/>
        <v>0.14213697515457602</v>
      </c>
      <c r="S17" s="146">
        <f t="shared" si="4"/>
        <v>0.88722492634920824</v>
      </c>
      <c r="T17" s="146">
        <f t="shared" si="4"/>
        <v>-57568717.595255777</v>
      </c>
      <c r="U17" s="146">
        <f t="shared" si="4"/>
        <v>66467521.671930507</v>
      </c>
      <c r="V17" s="146">
        <f t="shared" si="4"/>
        <v>-57568717.595255777</v>
      </c>
      <c r="W17" s="146">
        <f t="shared" si="4"/>
        <v>66467521.671930507</v>
      </c>
      <c r="Y17" s="197" t="s">
        <v>36</v>
      </c>
      <c r="Z17" s="197">
        <v>4449402.0383373648</v>
      </c>
      <c r="AA17" s="197">
        <v>31303621.267432883</v>
      </c>
      <c r="AB17" s="197">
        <v>0.14213697515457602</v>
      </c>
      <c r="AC17" s="197">
        <v>0.88722492634920824</v>
      </c>
      <c r="AD17" s="197">
        <v>-57568717.595255777</v>
      </c>
      <c r="AE17" s="197">
        <v>66467521.671930507</v>
      </c>
      <c r="AF17" s="197">
        <v>-57568717.595255777</v>
      </c>
      <c r="AG17" s="197">
        <v>66467521.671930507</v>
      </c>
    </row>
    <row r="18" spans="1:33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3140958.8484151373</v>
      </c>
      <c r="L18" s="1">
        <v>77319</v>
      </c>
      <c r="M18" s="3">
        <f t="shared" si="2"/>
        <v>145395607.7942</v>
      </c>
      <c r="N18" s="22">
        <f t="shared" si="0"/>
        <v>1.4367470868031251E-2</v>
      </c>
      <c r="O18" s="146" t="str">
        <f t="shared" ref="O18:O23" si="5">+Y18</f>
        <v>Heating Degree Days</v>
      </c>
      <c r="P18" s="146">
        <f t="shared" si="4"/>
        <v>38981.934798917224</v>
      </c>
      <c r="Q18" s="146">
        <f t="shared" si="4"/>
        <v>1826.9124810873575</v>
      </c>
      <c r="R18" s="146">
        <f t="shared" si="4"/>
        <v>21.337603854846741</v>
      </c>
      <c r="S18" s="146">
        <f t="shared" si="4"/>
        <v>1.9374495381892596E-41</v>
      </c>
      <c r="T18" s="146">
        <f t="shared" si="4"/>
        <v>35362.491673017437</v>
      </c>
      <c r="U18" s="146">
        <f t="shared" si="4"/>
        <v>42601.37792481701</v>
      </c>
      <c r="V18" s="146">
        <f t="shared" si="4"/>
        <v>35362.491673017437</v>
      </c>
      <c r="W18" s="146">
        <f t="shared" si="4"/>
        <v>42601.37792481701</v>
      </c>
      <c r="Y18" s="197" t="s">
        <v>5</v>
      </c>
      <c r="Z18" s="197">
        <v>38981.934798917224</v>
      </c>
      <c r="AA18" s="197">
        <v>1826.9124810873575</v>
      </c>
      <c r="AB18" s="197">
        <v>21.337603854846741</v>
      </c>
      <c r="AC18" s="197">
        <v>1.9374495381892596E-41</v>
      </c>
      <c r="AD18" s="197">
        <v>35362.491673017437</v>
      </c>
      <c r="AE18" s="197">
        <v>42601.37792481701</v>
      </c>
      <c r="AF18" s="197">
        <v>35362.491673017437</v>
      </c>
      <c r="AG18" s="197">
        <v>42601.37792481701</v>
      </c>
    </row>
    <row r="19" spans="1:33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3166406.1003227104</v>
      </c>
      <c r="L19" s="1">
        <v>77427</v>
      </c>
      <c r="M19" s="3">
        <f t="shared" si="2"/>
        <v>146580958.39210001</v>
      </c>
      <c r="N19" s="22">
        <f t="shared" si="0"/>
        <v>3.2847891885260272E-2</v>
      </c>
      <c r="O19" s="146" t="str">
        <f t="shared" si="5"/>
        <v>Cooling Degree Days</v>
      </c>
      <c r="P19" s="146">
        <f t="shared" si="4"/>
        <v>372747.20783786458</v>
      </c>
      <c r="Q19" s="146">
        <f t="shared" si="4"/>
        <v>18279.989001969665</v>
      </c>
      <c r="R19" s="146">
        <f t="shared" si="4"/>
        <v>20.390997379577261</v>
      </c>
      <c r="S19" s="146">
        <f t="shared" si="4"/>
        <v>1.1453137736116564E-39</v>
      </c>
      <c r="T19" s="146">
        <f t="shared" si="4"/>
        <v>336531.25265684625</v>
      </c>
      <c r="U19" s="146">
        <f t="shared" si="4"/>
        <v>408963.16301888291</v>
      </c>
      <c r="V19" s="146">
        <f t="shared" si="4"/>
        <v>336531.25265684625</v>
      </c>
      <c r="W19" s="146">
        <f t="shared" si="4"/>
        <v>408963.16301888291</v>
      </c>
      <c r="Y19" s="197" t="s">
        <v>6</v>
      </c>
      <c r="Z19" s="197">
        <v>372747.20783786458</v>
      </c>
      <c r="AA19" s="197">
        <v>18279.989001969665</v>
      </c>
      <c r="AB19" s="197">
        <v>20.390997379577261</v>
      </c>
      <c r="AC19" s="197">
        <v>1.1453137736116564E-39</v>
      </c>
      <c r="AD19" s="197">
        <v>336531.25265684625</v>
      </c>
      <c r="AE19" s="197">
        <v>408963.16301888291</v>
      </c>
      <c r="AF19" s="197">
        <v>336531.25265684625</v>
      </c>
      <c r="AG19" s="197">
        <v>408963.16301888291</v>
      </c>
    </row>
    <row r="20" spans="1:33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3191853.3522302834</v>
      </c>
      <c r="L20" s="1">
        <v>77585</v>
      </c>
      <c r="M20" s="3">
        <f t="shared" si="2"/>
        <v>176968435.37450001</v>
      </c>
      <c r="N20" s="22">
        <f t="shared" si="0"/>
        <v>2.3781870927893634E-2</v>
      </c>
      <c r="O20" s="146" t="str">
        <f t="shared" si="5"/>
        <v>Number of Days in Month</v>
      </c>
      <c r="P20" s="146">
        <f t="shared" si="4"/>
        <v>4209009.5323405256</v>
      </c>
      <c r="Q20" s="146">
        <f t="shared" si="4"/>
        <v>418509.44544582244</v>
      </c>
      <c r="R20" s="146">
        <f t="shared" si="4"/>
        <v>10.05714346030309</v>
      </c>
      <c r="S20" s="146">
        <f t="shared" si="4"/>
        <v>2.2233148722405731E-17</v>
      </c>
      <c r="T20" s="146">
        <f t="shared" si="4"/>
        <v>3379866.8387937401</v>
      </c>
      <c r="U20" s="146">
        <f t="shared" si="4"/>
        <v>5038152.2258873116</v>
      </c>
      <c r="V20" s="146">
        <f t="shared" si="4"/>
        <v>3379866.8387937401</v>
      </c>
      <c r="W20" s="146">
        <f t="shared" si="4"/>
        <v>5038152.2258873116</v>
      </c>
      <c r="Y20" s="197" t="s">
        <v>7</v>
      </c>
      <c r="Z20" s="197">
        <v>4209009.5323405256</v>
      </c>
      <c r="AA20" s="197">
        <v>418509.44544582244</v>
      </c>
      <c r="AB20" s="197">
        <v>10.05714346030309</v>
      </c>
      <c r="AC20" s="197">
        <v>2.2233148722405731E-17</v>
      </c>
      <c r="AD20" s="197">
        <v>3379866.8387937401</v>
      </c>
      <c r="AE20" s="197">
        <v>5038152.2258873116</v>
      </c>
      <c r="AF20" s="197">
        <v>3379866.8387937401</v>
      </c>
      <c r="AG20" s="197">
        <v>5038152.2258873116</v>
      </c>
    </row>
    <row r="21" spans="1:33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3217300.6041378565</v>
      </c>
      <c r="L21" s="1">
        <v>77725</v>
      </c>
      <c r="M21" s="3">
        <f t="shared" si="2"/>
        <v>169617880.71000001</v>
      </c>
      <c r="N21" s="22">
        <f t="shared" si="0"/>
        <v>6.3961686208213742E-3</v>
      </c>
      <c r="O21" s="146" t="str">
        <f t="shared" si="5"/>
        <v>Spring Fall Flag</v>
      </c>
      <c r="P21" s="146">
        <f t="shared" si="4"/>
        <v>-5341847.4338305667</v>
      </c>
      <c r="Q21" s="146">
        <f t="shared" si="4"/>
        <v>788972.18943972513</v>
      </c>
      <c r="R21" s="146">
        <f t="shared" si="4"/>
        <v>-6.7706409748409344</v>
      </c>
      <c r="S21" s="146">
        <f t="shared" si="4"/>
        <v>6.0239762502882432E-10</v>
      </c>
      <c r="T21" s="146">
        <f t="shared" si="4"/>
        <v>-6904943.6396729341</v>
      </c>
      <c r="U21" s="146">
        <f t="shared" si="4"/>
        <v>-3778751.2279881993</v>
      </c>
      <c r="V21" s="146">
        <f t="shared" si="4"/>
        <v>-6904943.6396729341</v>
      </c>
      <c r="W21" s="146">
        <f t="shared" si="4"/>
        <v>-3778751.2279881993</v>
      </c>
      <c r="Y21" s="197" t="s">
        <v>8</v>
      </c>
      <c r="Z21" s="197">
        <v>-5341847.4338305667</v>
      </c>
      <c r="AA21" s="197">
        <v>788972.18943972513</v>
      </c>
      <c r="AB21" s="197">
        <v>-6.7706409748409344</v>
      </c>
      <c r="AC21" s="197">
        <v>6.0239762502882432E-10</v>
      </c>
      <c r="AD21" s="197">
        <v>-6904943.6396729341</v>
      </c>
      <c r="AE21" s="197">
        <v>-3778751.2279881993</v>
      </c>
      <c r="AF21" s="197">
        <v>-6904943.6396729341</v>
      </c>
      <c r="AG21" s="197">
        <v>-3778751.2279881993</v>
      </c>
    </row>
    <row r="22" spans="1:33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3242747.8560454296</v>
      </c>
      <c r="L22" s="1">
        <v>77864</v>
      </c>
      <c r="M22" s="3">
        <f t="shared" si="2"/>
        <v>141291063.55520001</v>
      </c>
      <c r="N22" s="22">
        <f t="shared" si="0"/>
        <v>4.8474644490850149E-3</v>
      </c>
      <c r="O22" s="201" t="str">
        <f t="shared" si="5"/>
        <v>CDM</v>
      </c>
      <c r="P22" s="201">
        <f t="shared" si="4"/>
        <v>-0.35669893156908966</v>
      </c>
      <c r="Q22" s="201">
        <f t="shared" si="4"/>
        <v>0.44091930461997314</v>
      </c>
      <c r="R22" s="201">
        <f t="shared" si="4"/>
        <v>-0.80898914570439884</v>
      </c>
      <c r="S22" s="201">
        <f t="shared" si="4"/>
        <v>0.42022146142831818</v>
      </c>
      <c r="T22" s="201">
        <f t="shared" si="4"/>
        <v>-1.2302395979689509</v>
      </c>
      <c r="U22" s="201">
        <f t="shared" si="4"/>
        <v>0.51684173483077167</v>
      </c>
      <c r="V22" s="201">
        <f t="shared" si="4"/>
        <v>-1.2302395979689509</v>
      </c>
      <c r="W22" s="201">
        <f t="shared" si="4"/>
        <v>0.51684173483077167</v>
      </c>
      <c r="Y22" s="197" t="s">
        <v>9</v>
      </c>
      <c r="Z22" s="197">
        <v>-0.35669893156908966</v>
      </c>
      <c r="AA22" s="197">
        <v>0.44091930461997314</v>
      </c>
      <c r="AB22" s="197">
        <v>-0.80898914570439884</v>
      </c>
      <c r="AC22" s="197">
        <v>0.42022146142831818</v>
      </c>
      <c r="AD22" s="197">
        <v>-1.2302395979689509</v>
      </c>
      <c r="AE22" s="197">
        <v>0.51684173483077167</v>
      </c>
      <c r="AF22" s="197">
        <v>-1.2302395979689509</v>
      </c>
      <c r="AG22" s="197">
        <v>0.51684173483077167</v>
      </c>
    </row>
    <row r="23" spans="1:33" ht="13.5" thickBot="1" x14ac:dyDescent="0.25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3268195.1079530027</v>
      </c>
      <c r="L23" s="1">
        <v>77942</v>
      </c>
      <c r="M23" s="3">
        <f t="shared" si="2"/>
        <v>143173654.79620001</v>
      </c>
      <c r="N23" s="22">
        <f t="shared" si="0"/>
        <v>1.6199173683448587E-2</v>
      </c>
      <c r="O23" s="148" t="str">
        <f t="shared" si="5"/>
        <v>Residential Customers</v>
      </c>
      <c r="P23" s="148">
        <f t="shared" si="4"/>
        <v>46.486156465058357</v>
      </c>
      <c r="Q23" s="148">
        <f t="shared" si="4"/>
        <v>385.43169175019256</v>
      </c>
      <c r="R23" s="148">
        <f t="shared" si="4"/>
        <v>0.12060802850427552</v>
      </c>
      <c r="S23" s="148">
        <f t="shared" si="4"/>
        <v>0.90421569997492512</v>
      </c>
      <c r="T23" s="148">
        <f t="shared" si="4"/>
        <v>-717.12354112638945</v>
      </c>
      <c r="U23" s="148">
        <f t="shared" si="4"/>
        <v>810.09585405650614</v>
      </c>
      <c r="V23" s="148">
        <f t="shared" si="4"/>
        <v>-717.12354112638945</v>
      </c>
      <c r="W23" s="148">
        <f t="shared" si="4"/>
        <v>810.09585405650614</v>
      </c>
      <c r="Y23" s="198" t="s">
        <v>10</v>
      </c>
      <c r="Z23" s="198">
        <v>46.486156465058357</v>
      </c>
      <c r="AA23" s="198">
        <v>385.43169175019256</v>
      </c>
      <c r="AB23" s="198">
        <v>0.12060802850427552</v>
      </c>
      <c r="AC23" s="198">
        <v>0.90421569997492512</v>
      </c>
      <c r="AD23" s="198">
        <v>-717.12354112638945</v>
      </c>
      <c r="AE23" s="198">
        <v>810.09585405650614</v>
      </c>
      <c r="AF23" s="198">
        <v>-717.12354112638945</v>
      </c>
      <c r="AG23" s="198">
        <v>810.09585405650614</v>
      </c>
    </row>
    <row r="24" spans="1:33" x14ac:dyDescent="0.2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3293642.3598605758</v>
      </c>
      <c r="L24" s="1">
        <v>78058</v>
      </c>
      <c r="M24" s="3">
        <f t="shared" si="2"/>
        <v>145521620.2771</v>
      </c>
      <c r="N24" s="22">
        <f t="shared" si="0"/>
        <v>2.176341310375729E-2</v>
      </c>
      <c r="O24" s="197"/>
      <c r="P24" s="197"/>
      <c r="Q24" s="197"/>
      <c r="R24" s="197"/>
      <c r="S24" s="197"/>
      <c r="T24" s="197"/>
      <c r="U24" s="197"/>
      <c r="V24" s="197"/>
      <c r="W24" s="197"/>
    </row>
    <row r="25" spans="1:33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3319089.6117681488</v>
      </c>
      <c r="L25" s="10">
        <v>78142</v>
      </c>
      <c r="M25" s="5">
        <f t="shared" si="2"/>
        <v>165397517.79449999</v>
      </c>
      <c r="N25" s="25">
        <f t="shared" si="0"/>
        <v>6.6231159459940736E-3</v>
      </c>
      <c r="O25" s="202"/>
      <c r="P25" s="202"/>
      <c r="Q25" s="202"/>
      <c r="R25" s="202"/>
      <c r="S25" s="202"/>
      <c r="T25" s="202"/>
      <c r="U25" s="202"/>
      <c r="V25" s="202"/>
      <c r="W25" s="202"/>
    </row>
    <row r="26" spans="1:33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3387075.6844317247</v>
      </c>
      <c r="L26" s="1">
        <v>78212</v>
      </c>
      <c r="M26" s="3">
        <f t="shared" si="2"/>
        <v>169551486.48300001</v>
      </c>
      <c r="N26" s="22">
        <f t="shared" si="0"/>
        <v>1.8556821610717034E-2</v>
      </c>
      <c r="O26" s="202"/>
      <c r="P26" s="202"/>
      <c r="Q26" s="202"/>
      <c r="R26" s="202"/>
      <c r="S26" s="202"/>
      <c r="T26" s="202"/>
      <c r="U26" s="202"/>
      <c r="V26" s="202"/>
      <c r="W26" s="202"/>
    </row>
    <row r="27" spans="1:33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3455061.7570953006</v>
      </c>
      <c r="L27" s="1">
        <v>78243</v>
      </c>
      <c r="M27" s="3">
        <f t="shared" si="2"/>
        <v>151463668.49290001</v>
      </c>
      <c r="N27" s="22">
        <f t="shared" si="0"/>
        <v>1.6320526614693631E-2</v>
      </c>
      <c r="O27" s="202"/>
      <c r="P27" s="202"/>
      <c r="Q27" s="202"/>
      <c r="R27" s="202"/>
      <c r="S27" s="202"/>
      <c r="T27" s="202"/>
      <c r="U27" s="202"/>
      <c r="V27" s="202"/>
      <c r="W27" s="202"/>
    </row>
    <row r="28" spans="1:33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3523047.8297588765</v>
      </c>
      <c r="L28" s="1">
        <v>78316</v>
      </c>
      <c r="M28" s="3">
        <f t="shared" si="2"/>
        <v>156287723.46759999</v>
      </c>
      <c r="N28" s="22">
        <f t="shared" si="0"/>
        <v>3.0204654511629125E-2</v>
      </c>
      <c r="O28"/>
    </row>
    <row r="29" spans="1:33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3591033.9024224523</v>
      </c>
      <c r="L29" s="1">
        <v>78430</v>
      </c>
      <c r="M29" s="3">
        <f t="shared" si="2"/>
        <v>141807513.94549999</v>
      </c>
      <c r="N29" s="22">
        <f t="shared" si="0"/>
        <v>5.0171278250965567E-4</v>
      </c>
      <c r="O29"/>
    </row>
    <row r="30" spans="1:33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3659019.9750860282</v>
      </c>
      <c r="L30" s="1">
        <v>78515</v>
      </c>
      <c r="M30" s="3">
        <f t="shared" si="2"/>
        <v>142911305.19139999</v>
      </c>
      <c r="N30" s="22">
        <f t="shared" si="0"/>
        <v>4.5380362316687073E-3</v>
      </c>
      <c r="O30" s="190"/>
    </row>
    <row r="31" spans="1:33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3727006.0477496041</v>
      </c>
      <c r="L31" s="1">
        <v>78683</v>
      </c>
      <c r="M31" s="3">
        <f t="shared" si="2"/>
        <v>142968220.76269999</v>
      </c>
      <c r="N31" s="22">
        <f t="shared" si="0"/>
        <v>3.7393739746962473E-2</v>
      </c>
      <c r="O31" s="190"/>
    </row>
    <row r="32" spans="1:33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3794992.12041318</v>
      </c>
      <c r="L32" s="1">
        <v>78827</v>
      </c>
      <c r="M32" s="3">
        <f t="shared" si="2"/>
        <v>184986118.50650001</v>
      </c>
      <c r="N32" s="22">
        <f t="shared" si="0"/>
        <v>3.9080014711026179E-2</v>
      </c>
      <c r="O32" s="190"/>
    </row>
    <row r="33" spans="1:14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3862978.1930767559</v>
      </c>
      <c r="L33" s="1">
        <v>78974</v>
      </c>
      <c r="M33" s="3">
        <f t="shared" si="2"/>
        <v>160713101.46579999</v>
      </c>
      <c r="N33" s="22">
        <f t="shared" si="0"/>
        <v>1.5325267736434389E-2</v>
      </c>
    </row>
    <row r="34" spans="1:14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3930964.2657403317</v>
      </c>
      <c r="L34" s="1">
        <v>79048</v>
      </c>
      <c r="M34" s="3">
        <f t="shared" si="2"/>
        <v>139370586.95429999</v>
      </c>
      <c r="N34" s="22">
        <f t="shared" ref="N34:N65" si="6">IFERROR((ABS(M34/F34-1)),0)</f>
        <v>2.0104318813890631E-2</v>
      </c>
    </row>
    <row r="35" spans="1:14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3998950.3384039076</v>
      </c>
      <c r="L35" s="1">
        <v>79169</v>
      </c>
      <c r="M35" s="3">
        <f t="shared" si="2"/>
        <v>142775124.0262</v>
      </c>
      <c r="N35" s="22">
        <f t="shared" si="6"/>
        <v>1.064946810405476E-3</v>
      </c>
    </row>
    <row r="36" spans="1:14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4066936.4110674835</v>
      </c>
      <c r="L36" s="1">
        <v>79320</v>
      </c>
      <c r="M36" s="3">
        <f t="shared" si="2"/>
        <v>142548429.85440001</v>
      </c>
      <c r="N36" s="22">
        <f t="shared" si="6"/>
        <v>1.9341581677921327E-2</v>
      </c>
    </row>
    <row r="37" spans="1:14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4134922.4837310594</v>
      </c>
      <c r="L37" s="10">
        <v>79391</v>
      </c>
      <c r="M37" s="5">
        <f t="shared" si="2"/>
        <v>159562868.25960001</v>
      </c>
      <c r="N37" s="25">
        <f t="shared" si="6"/>
        <v>1.7448969503637279E-3</v>
      </c>
    </row>
    <row r="38" spans="1:14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4186232.8172772932</v>
      </c>
      <c r="L38" s="1">
        <v>79527</v>
      </c>
      <c r="M38" s="3">
        <f t="shared" si="2"/>
        <v>162716221.14140001</v>
      </c>
      <c r="N38" s="22">
        <f t="shared" si="6"/>
        <v>2.4502640321553359E-2</v>
      </c>
    </row>
    <row r="39" spans="1:14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4237543.150823527</v>
      </c>
      <c r="L39" s="1">
        <v>79677</v>
      </c>
      <c r="M39" s="3">
        <f t="shared" si="2"/>
        <v>151024084.7164</v>
      </c>
      <c r="N39" s="22">
        <f t="shared" si="6"/>
        <v>1.9781553147470987E-3</v>
      </c>
    </row>
    <row r="40" spans="1:14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4288853.4843697613</v>
      </c>
      <c r="L40" s="1">
        <v>79729</v>
      </c>
      <c r="M40" s="3">
        <f t="shared" si="2"/>
        <v>146194427.68290001</v>
      </c>
      <c r="N40" s="22">
        <f t="shared" si="6"/>
        <v>1.8007618958936211E-2</v>
      </c>
    </row>
    <row r="41" spans="1:14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4340163.8179159956</v>
      </c>
      <c r="L41" s="1">
        <v>79814</v>
      </c>
      <c r="M41" s="3">
        <f t="shared" si="2"/>
        <v>141803444.81310001</v>
      </c>
      <c r="N41" s="22">
        <f t="shared" si="6"/>
        <v>3.521869007499645E-2</v>
      </c>
    </row>
    <row r="42" spans="1:14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4391474.1514622299</v>
      </c>
      <c r="L42" s="1">
        <v>79902</v>
      </c>
      <c r="M42" s="3">
        <f t="shared" si="2"/>
        <v>142683729.87630001</v>
      </c>
      <c r="N42" s="22">
        <f t="shared" si="6"/>
        <v>1.8857234085870145E-2</v>
      </c>
    </row>
    <row r="43" spans="1:14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4442784.4850084642</v>
      </c>
      <c r="L43" s="1">
        <v>79956</v>
      </c>
      <c r="M43" s="3">
        <f t="shared" si="2"/>
        <v>157014665.8513</v>
      </c>
      <c r="N43" s="22">
        <f t="shared" si="6"/>
        <v>5.5861847005089782E-3</v>
      </c>
    </row>
    <row r="44" spans="1:14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4494094.8185546985</v>
      </c>
      <c r="L44" s="1">
        <v>80039</v>
      </c>
      <c r="M44" s="3">
        <f t="shared" si="2"/>
        <v>184185000.4296</v>
      </c>
      <c r="N44" s="22">
        <f t="shared" si="6"/>
        <v>2.108922618941933E-2</v>
      </c>
    </row>
    <row r="45" spans="1:14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4545405.1521009328</v>
      </c>
      <c r="L45" s="1">
        <v>80099</v>
      </c>
      <c r="M45" s="3">
        <f t="shared" si="2"/>
        <v>159484886.25099999</v>
      </c>
      <c r="N45" s="22">
        <f t="shared" si="6"/>
        <v>2.3442922796531707E-2</v>
      </c>
    </row>
    <row r="46" spans="1:14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4596715.4856471671</v>
      </c>
      <c r="L46" s="1">
        <v>80189</v>
      </c>
      <c r="M46" s="3">
        <f t="shared" si="2"/>
        <v>138408307.63769999</v>
      </c>
      <c r="N46" s="22">
        <f t="shared" si="6"/>
        <v>2.4956887515668602E-2</v>
      </c>
    </row>
    <row r="47" spans="1:14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4648025.8191934014</v>
      </c>
      <c r="L47" s="1">
        <v>80266</v>
      </c>
      <c r="M47" s="3">
        <f t="shared" si="2"/>
        <v>142594594.80939999</v>
      </c>
      <c r="N47" s="22">
        <f t="shared" si="6"/>
        <v>1.3524488785712552E-2</v>
      </c>
    </row>
    <row r="48" spans="1:14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4699336.1527396357</v>
      </c>
      <c r="L48" s="1">
        <v>80345</v>
      </c>
      <c r="M48" s="3">
        <f t="shared" si="2"/>
        <v>146303779.0738</v>
      </c>
      <c r="N48" s="22">
        <f t="shared" si="6"/>
        <v>1.8446158327818818E-2</v>
      </c>
    </row>
    <row r="49" spans="1:14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4750646.48628587</v>
      </c>
      <c r="L49" s="10">
        <v>80415</v>
      </c>
      <c r="M49" s="5">
        <f t="shared" si="2"/>
        <v>159004920.8355</v>
      </c>
      <c r="N49" s="25">
        <f t="shared" si="6"/>
        <v>1.3069578407507665E-2</v>
      </c>
    </row>
    <row r="50" spans="1:14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4775749.6932738069</v>
      </c>
      <c r="L50" s="1">
        <v>80473</v>
      </c>
      <c r="M50" s="3">
        <f t="shared" si="2"/>
        <v>163501076.21470001</v>
      </c>
      <c r="N50" s="22">
        <f t="shared" si="6"/>
        <v>1.7543995466997031E-2</v>
      </c>
    </row>
    <row r="51" spans="1:14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4800852.9002617439</v>
      </c>
      <c r="L51" s="1">
        <v>80540</v>
      </c>
      <c r="M51" s="3">
        <f t="shared" si="2"/>
        <v>155708724.7791</v>
      </c>
      <c r="N51" s="22">
        <f t="shared" si="6"/>
        <v>2.7097780766781154E-2</v>
      </c>
    </row>
    <row r="52" spans="1:14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4825956.1072496809</v>
      </c>
      <c r="L52" s="1">
        <v>80596</v>
      </c>
      <c r="M52" s="3">
        <f t="shared" si="2"/>
        <v>155468979.08320001</v>
      </c>
      <c r="N52" s="22">
        <f t="shared" si="6"/>
        <v>6.0665888358102382E-3</v>
      </c>
    </row>
    <row r="53" spans="1:14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4851059.3142376179</v>
      </c>
      <c r="L53" s="1">
        <v>80632</v>
      </c>
      <c r="M53" s="3">
        <f t="shared" si="2"/>
        <v>142399891.37259999</v>
      </c>
      <c r="N53" s="22">
        <f t="shared" si="6"/>
        <v>4.1376682496006012E-3</v>
      </c>
    </row>
    <row r="54" spans="1:14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4876162.5212255549</v>
      </c>
      <c r="L54" s="1">
        <v>80705</v>
      </c>
      <c r="M54" s="3">
        <f t="shared" si="2"/>
        <v>144839796.3671</v>
      </c>
      <c r="N54" s="22">
        <f t="shared" si="6"/>
        <v>2.756089391596106E-2</v>
      </c>
    </row>
    <row r="55" spans="1:14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4901265.7282134918</v>
      </c>
      <c r="L55" s="1">
        <v>80830</v>
      </c>
      <c r="M55" s="3">
        <f t="shared" si="2"/>
        <v>148611673.39629999</v>
      </c>
      <c r="N55" s="22">
        <f t="shared" si="6"/>
        <v>1.0209459692207767E-2</v>
      </c>
    </row>
    <row r="56" spans="1:14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4926368.9352014288</v>
      </c>
      <c r="L56" s="1">
        <v>80929</v>
      </c>
      <c r="M56" s="3">
        <f t="shared" si="2"/>
        <v>169366478.507</v>
      </c>
      <c r="N56" s="22">
        <f t="shared" si="6"/>
        <v>9.6542389144189666E-3</v>
      </c>
    </row>
    <row r="57" spans="1:14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4951472.1421893658</v>
      </c>
      <c r="L57" s="1">
        <v>80985</v>
      </c>
      <c r="M57" s="3">
        <f t="shared" si="2"/>
        <v>153798329.4289</v>
      </c>
      <c r="N57" s="22">
        <f t="shared" si="6"/>
        <v>1.4830951304446116E-2</v>
      </c>
    </row>
    <row r="58" spans="1:14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4976575.3491773028</v>
      </c>
      <c r="L58" s="1">
        <v>81159</v>
      </c>
      <c r="M58" s="3">
        <f t="shared" si="2"/>
        <v>140115626.26969999</v>
      </c>
      <c r="N58" s="22">
        <f t="shared" si="6"/>
        <v>5.8334711283321017E-3</v>
      </c>
    </row>
    <row r="59" spans="1:14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5001678.5561652398</v>
      </c>
      <c r="L59" s="1">
        <v>81234</v>
      </c>
      <c r="M59" s="3">
        <f t="shared" si="2"/>
        <v>141757196.32030001</v>
      </c>
      <c r="N59" s="22">
        <f t="shared" si="6"/>
        <v>5.87686737517501E-3</v>
      </c>
    </row>
    <row r="60" spans="1:14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5026781.7631531768</v>
      </c>
      <c r="L60" s="1">
        <v>81279</v>
      </c>
      <c r="M60" s="3">
        <f t="shared" si="2"/>
        <v>147544088.84729999</v>
      </c>
      <c r="N60" s="22">
        <f t="shared" si="6"/>
        <v>1.8581314273998006E-2</v>
      </c>
    </row>
    <row r="61" spans="1:14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5051884.9701411137</v>
      </c>
      <c r="L61" s="10">
        <v>81351</v>
      </c>
      <c r="M61" s="5">
        <f t="shared" si="2"/>
        <v>165232664.70910001</v>
      </c>
      <c r="N61" s="25">
        <f t="shared" si="6"/>
        <v>7.337670250380679E-3</v>
      </c>
    </row>
    <row r="62" spans="1:14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5118165.0729239378</v>
      </c>
      <c r="L62" s="1">
        <v>81405</v>
      </c>
      <c r="M62" s="3">
        <f t="shared" si="2"/>
        <v>170707985.72639999</v>
      </c>
      <c r="N62" s="22">
        <f t="shared" si="6"/>
        <v>3.2461766030869921E-2</v>
      </c>
    </row>
    <row r="63" spans="1:14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5184445.1757067619</v>
      </c>
      <c r="L63" s="1">
        <v>81457</v>
      </c>
      <c r="M63" s="3">
        <f t="shared" si="2"/>
        <v>156629095.36050001</v>
      </c>
      <c r="N63" s="22">
        <f t="shared" si="6"/>
        <v>6.5849096822483411E-3</v>
      </c>
    </row>
    <row r="64" spans="1:14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5250725.278489586</v>
      </c>
      <c r="L64" s="1">
        <v>81528</v>
      </c>
      <c r="M64" s="3">
        <f t="shared" si="2"/>
        <v>161017068.21079999</v>
      </c>
      <c r="N64" s="22">
        <f t="shared" si="6"/>
        <v>1.9047755189833593E-2</v>
      </c>
    </row>
    <row r="65" spans="1:14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5317005.38127241</v>
      </c>
      <c r="L65" s="1">
        <v>81614</v>
      </c>
      <c r="M65" s="3">
        <f t="shared" si="2"/>
        <v>142505433.53580001</v>
      </c>
      <c r="N65" s="22">
        <f t="shared" si="6"/>
        <v>2.1616012270901486E-2</v>
      </c>
    </row>
    <row r="66" spans="1:14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5383285.4840552341</v>
      </c>
      <c r="L66" s="1">
        <v>81675</v>
      </c>
      <c r="M66" s="3">
        <f t="shared" si="2"/>
        <v>141377811.72220001</v>
      </c>
      <c r="N66" s="22">
        <f t="shared" ref="N66:N97" si="7">IFERROR((ABS(M66/F66-1)),0)</f>
        <v>1.8506350426885421E-2</v>
      </c>
    </row>
    <row r="67" spans="1:14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8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5449565.5868380582</v>
      </c>
      <c r="L67" s="1">
        <v>81753</v>
      </c>
      <c r="M67" s="3">
        <f t="shared" ref="M67:M130" si="9">ROUND(($P$17+G67*$P$18+H67*$P$19+I67*$P$20+J67*$P$21+K67*$P$22+L67*$P$23),4)</f>
        <v>150413336.0952</v>
      </c>
      <c r="N67" s="22">
        <f t="shared" si="7"/>
        <v>4.6637044748092382E-3</v>
      </c>
    </row>
    <row r="68" spans="1:14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8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5515845.6896208823</v>
      </c>
      <c r="L68" s="1">
        <v>81852</v>
      </c>
      <c r="M68" s="3">
        <f t="shared" si="9"/>
        <v>152272782.05919999</v>
      </c>
      <c r="N68" s="22">
        <f t="shared" si="7"/>
        <v>9.0586234221388118E-3</v>
      </c>
    </row>
    <row r="69" spans="1:14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8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5582125.7924037063</v>
      </c>
      <c r="L69" s="1">
        <v>82014</v>
      </c>
      <c r="M69" s="3">
        <f t="shared" si="9"/>
        <v>148095047.9237</v>
      </c>
      <c r="N69" s="22">
        <f t="shared" si="7"/>
        <v>9.0359183727600767E-3</v>
      </c>
    </row>
    <row r="70" spans="1:14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8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5648405.8951865304</v>
      </c>
      <c r="L70" s="1">
        <v>82117</v>
      </c>
      <c r="M70" s="3">
        <f t="shared" si="9"/>
        <v>135939408.1974</v>
      </c>
      <c r="N70" s="22">
        <f t="shared" si="7"/>
        <v>3.0119597276224486E-2</v>
      </c>
    </row>
    <row r="71" spans="1:14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8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5714685.9979693545</v>
      </c>
      <c r="L71" s="1">
        <v>82238</v>
      </c>
      <c r="M71" s="3">
        <f t="shared" si="9"/>
        <v>141962747.93759999</v>
      </c>
      <c r="N71" s="22">
        <f t="shared" si="7"/>
        <v>1.8328813458553972E-2</v>
      </c>
    </row>
    <row r="72" spans="1:14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8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5780966.1007521786</v>
      </c>
      <c r="L72" s="1">
        <v>82340</v>
      </c>
      <c r="M72" s="3">
        <f t="shared" si="9"/>
        <v>147889631.96650001</v>
      </c>
      <c r="N72" s="22">
        <f t="shared" si="7"/>
        <v>1.2752085555655768E-2</v>
      </c>
    </row>
    <row r="73" spans="1:14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8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5847246.2035350027</v>
      </c>
      <c r="L73" s="10">
        <v>82425</v>
      </c>
      <c r="M73" s="5">
        <f t="shared" si="9"/>
        <v>159978013.13690001</v>
      </c>
      <c r="N73" s="25">
        <f t="shared" si="7"/>
        <v>1.0432332422871227E-2</v>
      </c>
    </row>
    <row r="74" spans="1:14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8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5979908.2824305128</v>
      </c>
      <c r="L74" s="1">
        <v>82551</v>
      </c>
      <c r="M74" s="3">
        <f t="shared" si="9"/>
        <v>169471531.22260001</v>
      </c>
      <c r="N74" s="22">
        <f t="shared" si="7"/>
        <v>6.1137398355979311E-3</v>
      </c>
    </row>
    <row r="75" spans="1:14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8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6112570.361326023</v>
      </c>
      <c r="L75" s="1">
        <v>82614</v>
      </c>
      <c r="M75" s="3">
        <f t="shared" si="9"/>
        <v>159712061.36109999</v>
      </c>
      <c r="N75" s="22">
        <f t="shared" si="7"/>
        <v>7.7777025523251275E-4</v>
      </c>
    </row>
    <row r="76" spans="1:14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8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6245232.4402215332</v>
      </c>
      <c r="L76" s="1">
        <v>82707</v>
      </c>
      <c r="M76" s="3">
        <f t="shared" si="9"/>
        <v>156826738.6543</v>
      </c>
      <c r="N76" s="22">
        <f t="shared" si="7"/>
        <v>1.7858004337242384E-2</v>
      </c>
    </row>
    <row r="77" spans="1:14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8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6377894.5191170434</v>
      </c>
      <c r="L77" s="1">
        <v>82847</v>
      </c>
      <c r="M77" s="3">
        <f t="shared" si="9"/>
        <v>140964198.38550001</v>
      </c>
      <c r="N77" s="22">
        <f t="shared" si="7"/>
        <v>2.2412147053534781E-2</v>
      </c>
    </row>
    <row r="78" spans="1:14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8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6510556.5980125535</v>
      </c>
      <c r="L78" s="1">
        <v>82982</v>
      </c>
      <c r="M78" s="3">
        <f t="shared" si="9"/>
        <v>146551567.82679999</v>
      </c>
      <c r="N78" s="22">
        <f t="shared" si="7"/>
        <v>3.0972513426622328E-2</v>
      </c>
    </row>
    <row r="79" spans="1:14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8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6643218.6769080637</v>
      </c>
      <c r="L79" s="1">
        <v>83063</v>
      </c>
      <c r="M79" s="3">
        <f t="shared" si="9"/>
        <v>139818652.44859999</v>
      </c>
      <c r="N79" s="22">
        <f t="shared" si="7"/>
        <v>2.4450708353626838E-2</v>
      </c>
    </row>
    <row r="80" spans="1:14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8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6775880.7558035739</v>
      </c>
      <c r="L80" s="1">
        <v>83165</v>
      </c>
      <c r="M80" s="3">
        <f t="shared" si="9"/>
        <v>158400100.6665</v>
      </c>
      <c r="N80" s="22">
        <f t="shared" si="7"/>
        <v>1.2074468047603704E-2</v>
      </c>
    </row>
    <row r="81" spans="1:14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8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6908542.8346990841</v>
      </c>
      <c r="L81" s="1">
        <v>83275</v>
      </c>
      <c r="M81" s="3">
        <f t="shared" si="9"/>
        <v>155314540.5643</v>
      </c>
      <c r="N81" s="22">
        <f t="shared" si="7"/>
        <v>1.3248594956543958E-2</v>
      </c>
    </row>
    <row r="82" spans="1:14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8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7041204.9135945942</v>
      </c>
      <c r="L82" s="1">
        <v>83382</v>
      </c>
      <c r="M82" s="3">
        <f t="shared" si="9"/>
        <v>145680704.18610001</v>
      </c>
      <c r="N82" s="22">
        <f t="shared" si="7"/>
        <v>2.2648186319851438E-2</v>
      </c>
    </row>
    <row r="83" spans="1:14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8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7173866.9924901044</v>
      </c>
      <c r="L83" s="1">
        <v>83492</v>
      </c>
      <c r="M83" s="3">
        <f t="shared" si="9"/>
        <v>142249006.4242</v>
      </c>
      <c r="N83" s="22">
        <f t="shared" si="7"/>
        <v>3.1629171102666387E-2</v>
      </c>
    </row>
    <row r="84" spans="1:14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8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7306529.0713856146</v>
      </c>
      <c r="L84" s="1">
        <v>83554</v>
      </c>
      <c r="M84" s="3">
        <f t="shared" si="9"/>
        <v>141924937.63949999</v>
      </c>
      <c r="N84" s="22">
        <f t="shared" si="7"/>
        <v>1.8394241183282256E-2</v>
      </c>
    </row>
    <row r="85" spans="1:14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8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7439191.1502811247</v>
      </c>
      <c r="L85" s="10">
        <v>83642</v>
      </c>
      <c r="M85" s="5">
        <f t="shared" si="9"/>
        <v>154414682.97780001</v>
      </c>
      <c r="N85" s="25">
        <f t="shared" si="7"/>
        <v>3.8503016580021088E-2</v>
      </c>
    </row>
    <row r="86" spans="1:14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8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7582385.6605449002</v>
      </c>
      <c r="L86" s="1">
        <v>83744.75589354735</v>
      </c>
      <c r="M86" s="3">
        <f t="shared" si="9"/>
        <v>164067087.75350001</v>
      </c>
      <c r="N86" s="22">
        <f t="shared" si="7"/>
        <v>1.4955169272131474E-2</v>
      </c>
    </row>
    <row r="87" spans="1:14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8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7725580.1708086757</v>
      </c>
      <c r="L87" s="1">
        <v>83847.638024794171</v>
      </c>
      <c r="M87" s="3">
        <f t="shared" si="9"/>
        <v>152098298.01640001</v>
      </c>
      <c r="N87" s="22">
        <f t="shared" si="7"/>
        <v>2.6391013259273732E-2</v>
      </c>
    </row>
    <row r="88" spans="1:14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8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7868774.6810724512</v>
      </c>
      <c r="L88" s="1">
        <v>83950.646548826029</v>
      </c>
      <c r="M88" s="3">
        <f t="shared" si="9"/>
        <v>149885110.55829999</v>
      </c>
      <c r="N88" s="22">
        <f t="shared" si="7"/>
        <v>2.2721646104242765E-2</v>
      </c>
    </row>
    <row r="89" spans="1:14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8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8011969.1913362266</v>
      </c>
      <c r="L89" s="1">
        <v>84053.78162091902</v>
      </c>
      <c r="M89" s="3">
        <f t="shared" si="9"/>
        <v>143279207.38190001</v>
      </c>
      <c r="N89" s="22">
        <f t="shared" si="7"/>
        <v>4.6486071381907301E-2</v>
      </c>
    </row>
    <row r="90" spans="1:14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8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8155163.7016000021</v>
      </c>
      <c r="L90" s="1">
        <v>84157.043396540015</v>
      </c>
      <c r="M90" s="3">
        <f t="shared" si="9"/>
        <v>144237060.10159999</v>
      </c>
      <c r="N90" s="22">
        <f t="shared" si="7"/>
        <v>3.4137232808003404E-2</v>
      </c>
    </row>
    <row r="91" spans="1:14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8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8298358.2118637776</v>
      </c>
      <c r="L91" s="1">
        <v>84260.432031346863</v>
      </c>
      <c r="M91" s="3">
        <f t="shared" si="9"/>
        <v>146279143.20140001</v>
      </c>
      <c r="N91" s="22">
        <f t="shared" si="7"/>
        <v>2.0129592586138667E-2</v>
      </c>
    </row>
    <row r="92" spans="1:14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8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8441552.7221275531</v>
      </c>
      <c r="L92" s="1">
        <v>84690</v>
      </c>
      <c r="M92" s="3">
        <f t="shared" si="9"/>
        <v>174181466.331</v>
      </c>
      <c r="N92" s="22">
        <f t="shared" si="7"/>
        <v>2.7063838895879044E-2</v>
      </c>
    </row>
    <row r="93" spans="1:14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8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8584747.2323913276</v>
      </c>
      <c r="L93" s="1">
        <v>84785</v>
      </c>
      <c r="M93" s="3">
        <f t="shared" si="9"/>
        <v>174804526.71259999</v>
      </c>
      <c r="N93" s="22">
        <f t="shared" si="7"/>
        <v>1.1126501628879959E-2</v>
      </c>
    </row>
    <row r="94" spans="1:14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8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8727941.7426551022</v>
      </c>
      <c r="L94" s="1">
        <v>84919</v>
      </c>
      <c r="M94" s="3">
        <f t="shared" si="9"/>
        <v>138712952.45539999</v>
      </c>
      <c r="N94" s="22">
        <f t="shared" si="7"/>
        <v>5.8453203757092287E-2</v>
      </c>
    </row>
    <row r="95" spans="1:14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8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8871136.2529188767</v>
      </c>
      <c r="L95" s="1">
        <v>85012</v>
      </c>
      <c r="M95" s="3">
        <f t="shared" si="9"/>
        <v>140701176.64109999</v>
      </c>
      <c r="N95" s="22">
        <f t="shared" si="7"/>
        <v>1.7939785094311933E-2</v>
      </c>
    </row>
    <row r="96" spans="1:14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8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9014330.7631826513</v>
      </c>
      <c r="L96" s="1">
        <v>85166</v>
      </c>
      <c r="M96" s="3">
        <f t="shared" si="9"/>
        <v>141277654.67399999</v>
      </c>
      <c r="N96" s="22">
        <f t="shared" si="7"/>
        <v>1.2056663768606368E-2</v>
      </c>
    </row>
    <row r="97" spans="1:14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8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9157525.2734464258</v>
      </c>
      <c r="L97" s="10">
        <v>85248</v>
      </c>
      <c r="M97" s="5">
        <f t="shared" si="9"/>
        <v>160881465.4826</v>
      </c>
      <c r="N97" s="25">
        <f t="shared" si="7"/>
        <v>1.7462689911483587E-2</v>
      </c>
    </row>
    <row r="98" spans="1:14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8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9401387.9564559143</v>
      </c>
      <c r="L98" s="1">
        <v>85338</v>
      </c>
      <c r="M98" s="3">
        <f t="shared" si="9"/>
        <v>160954591.4174</v>
      </c>
      <c r="N98" s="22">
        <f t="shared" ref="N98:N129" si="10">IFERROR((ABS(M98/F98-1)),0)</f>
        <v>3.3855191577694121E-3</v>
      </c>
    </row>
    <row r="99" spans="1:14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8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9645250.6394654028</v>
      </c>
      <c r="L99" s="1">
        <v>85498</v>
      </c>
      <c r="M99" s="3">
        <f t="shared" si="9"/>
        <v>143804074.47979999</v>
      </c>
      <c r="N99" s="22">
        <f t="shared" si="10"/>
        <v>2.8756369719271424E-2</v>
      </c>
    </row>
    <row r="100" spans="1:14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8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9889113.3224748913</v>
      </c>
      <c r="L100" s="1">
        <v>85646</v>
      </c>
      <c r="M100" s="3">
        <f t="shared" si="9"/>
        <v>153336371.54319999</v>
      </c>
      <c r="N100" s="22">
        <f t="shared" si="10"/>
        <v>4.4879862434313855E-3</v>
      </c>
    </row>
    <row r="101" spans="1:14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8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10132976.00548438</v>
      </c>
      <c r="L101" s="1">
        <v>85773</v>
      </c>
      <c r="M101" s="3">
        <f t="shared" si="9"/>
        <v>136727988.7978</v>
      </c>
      <c r="N101" s="22">
        <f t="shared" si="10"/>
        <v>4.3543706669856963E-2</v>
      </c>
    </row>
    <row r="102" spans="1:14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8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10376838.688493868</v>
      </c>
      <c r="L102" s="1">
        <v>85929</v>
      </c>
      <c r="M102" s="3">
        <f t="shared" si="9"/>
        <v>139244096.05469999</v>
      </c>
      <c r="N102" s="22">
        <f t="shared" si="10"/>
        <v>2.9265453849921963E-2</v>
      </c>
    </row>
    <row r="103" spans="1:14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8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10620701.371503357</v>
      </c>
      <c r="L103" s="1">
        <v>86044</v>
      </c>
      <c r="M103" s="3">
        <f t="shared" si="9"/>
        <v>148721263.4136</v>
      </c>
      <c r="N103" s="22">
        <f t="shared" si="10"/>
        <v>2.0226764224681615E-2</v>
      </c>
    </row>
    <row r="104" spans="1:14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8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10864564.054512845</v>
      </c>
      <c r="L104" s="1">
        <v>86130</v>
      </c>
      <c r="M104" s="3">
        <f t="shared" si="9"/>
        <v>156987625.65689999</v>
      </c>
      <c r="N104" s="22">
        <f t="shared" si="10"/>
        <v>9.8445840222955994E-3</v>
      </c>
    </row>
    <row r="105" spans="1:14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8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11108426.737522334</v>
      </c>
      <c r="L105" s="1">
        <v>86233</v>
      </c>
      <c r="M105" s="3">
        <f t="shared" si="9"/>
        <v>146980421.21740001</v>
      </c>
      <c r="N105" s="22">
        <f t="shared" si="10"/>
        <v>2.6200029272103187E-2</v>
      </c>
    </row>
    <row r="106" spans="1:14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8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11352289.420531822</v>
      </c>
      <c r="L106" s="1">
        <v>86301</v>
      </c>
      <c r="M106" s="3">
        <f t="shared" si="9"/>
        <v>142032451.41339999</v>
      </c>
      <c r="N106" s="22">
        <f t="shared" si="10"/>
        <v>1.6003487454330445E-2</v>
      </c>
    </row>
    <row r="107" spans="1:14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8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11596152.103541311</v>
      </c>
      <c r="L107" s="1">
        <v>86429</v>
      </c>
      <c r="M107" s="3">
        <f t="shared" si="9"/>
        <v>138804384.30309999</v>
      </c>
      <c r="N107" s="22">
        <f t="shared" si="10"/>
        <v>1.524148789890023E-2</v>
      </c>
    </row>
    <row r="108" spans="1:14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8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11840014.786550799</v>
      </c>
      <c r="L108" s="1">
        <v>86606</v>
      </c>
      <c r="M108" s="3">
        <f t="shared" si="9"/>
        <v>143891828.7209</v>
      </c>
      <c r="N108" s="22">
        <f t="shared" si="10"/>
        <v>2.323985912164872E-3</v>
      </c>
    </row>
    <row r="109" spans="1:14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8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12083877.469560288</v>
      </c>
      <c r="L109" s="10">
        <v>86846</v>
      </c>
      <c r="M109" s="5">
        <f t="shared" si="9"/>
        <v>164114176.23019999</v>
      </c>
      <c r="N109" s="25">
        <f t="shared" si="10"/>
        <v>2.6852031191113346E-2</v>
      </c>
    </row>
    <row r="110" spans="1:14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8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12067181.71438046</v>
      </c>
      <c r="L110" s="1">
        <v>86890</v>
      </c>
      <c r="M110" s="3">
        <f t="shared" si="9"/>
        <v>165502137.47099999</v>
      </c>
      <c r="N110" s="22">
        <f t="shared" si="10"/>
        <v>1.6893315126512376E-2</v>
      </c>
    </row>
    <row r="111" spans="1:14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8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12050485.959200632</v>
      </c>
      <c r="L111" s="1">
        <v>86950</v>
      </c>
      <c r="M111" s="3">
        <f t="shared" si="9"/>
        <v>145235597.79390001</v>
      </c>
      <c r="N111" s="22">
        <f t="shared" si="10"/>
        <v>1.1283898475435761E-2</v>
      </c>
    </row>
    <row r="112" spans="1:14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8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12033790.204020804</v>
      </c>
      <c r="L112" s="1">
        <v>87041</v>
      </c>
      <c r="M112" s="3">
        <f t="shared" si="9"/>
        <v>152382833.2031</v>
      </c>
      <c r="N112" s="22">
        <f t="shared" si="10"/>
        <v>3.3080054509571077E-4</v>
      </c>
    </row>
    <row r="113" spans="1:14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8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12017094.448840976</v>
      </c>
      <c r="L113" s="1">
        <v>87199</v>
      </c>
      <c r="M113" s="3">
        <f t="shared" si="9"/>
        <v>143653524.82440001</v>
      </c>
      <c r="N113" s="22">
        <f t="shared" si="10"/>
        <v>9.2262979041544124E-3</v>
      </c>
    </row>
    <row r="114" spans="1:14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8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12000398.693661148</v>
      </c>
      <c r="L114" s="1">
        <v>87308</v>
      </c>
      <c r="M114" s="3">
        <f t="shared" si="9"/>
        <v>145190298.51089999</v>
      </c>
      <c r="N114" s="22">
        <f t="shared" si="10"/>
        <v>4.0831878214242501E-3</v>
      </c>
    </row>
    <row r="115" spans="1:14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8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11983702.93848132</v>
      </c>
      <c r="L115" s="1">
        <v>87372</v>
      </c>
      <c r="M115" s="3">
        <f t="shared" si="9"/>
        <v>147394653.98879999</v>
      </c>
      <c r="N115" s="22">
        <f t="shared" si="10"/>
        <v>2.9387360363372972E-2</v>
      </c>
    </row>
    <row r="116" spans="1:14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8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11967007.183301492</v>
      </c>
      <c r="L116" s="1">
        <v>87462</v>
      </c>
      <c r="M116" s="3">
        <f t="shared" si="9"/>
        <v>168152511.70649999</v>
      </c>
      <c r="N116" s="22">
        <f t="shared" si="10"/>
        <v>4.1384345036911019E-2</v>
      </c>
    </row>
    <row r="117" spans="1:14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8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11950311.428121664</v>
      </c>
      <c r="L117" s="1">
        <v>87528</v>
      </c>
      <c r="M117" s="3">
        <f t="shared" si="9"/>
        <v>169993118.11129999</v>
      </c>
      <c r="N117" s="22">
        <f t="shared" si="10"/>
        <v>2.485203898230337E-2</v>
      </c>
    </row>
    <row r="118" spans="1:14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8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11933615.672941836</v>
      </c>
      <c r="L118" s="1">
        <v>87638</v>
      </c>
      <c r="M118" s="3">
        <f t="shared" si="9"/>
        <v>146394555.50369999</v>
      </c>
      <c r="N118" s="22">
        <f t="shared" si="10"/>
        <v>4.6095187906539437E-2</v>
      </c>
    </row>
    <row r="119" spans="1:14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8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11916919.917762008</v>
      </c>
      <c r="L119" s="1">
        <v>87717</v>
      </c>
      <c r="M119" s="3">
        <f t="shared" si="9"/>
        <v>143806737.3405</v>
      </c>
      <c r="N119" s="22">
        <f t="shared" si="10"/>
        <v>8.9685685261464698E-5</v>
      </c>
    </row>
    <row r="120" spans="1:14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8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11900224.16258218</v>
      </c>
      <c r="L120" s="1">
        <v>87783</v>
      </c>
      <c r="M120" s="3">
        <f t="shared" si="9"/>
        <v>146209407.68619999</v>
      </c>
      <c r="N120" s="22">
        <f t="shared" si="10"/>
        <v>2.7672592691559084E-2</v>
      </c>
    </row>
    <row r="121" spans="1:14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8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11883528.407402351</v>
      </c>
      <c r="L121" s="10">
        <v>87846</v>
      </c>
      <c r="M121" s="5">
        <f t="shared" si="9"/>
        <v>158193824.98269999</v>
      </c>
      <c r="N121" s="25">
        <f t="shared" si="10"/>
        <v>1.0418790597793937E-2</v>
      </c>
    </row>
    <row r="122" spans="1:14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8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11821547.780047238</v>
      </c>
      <c r="L122" s="1">
        <v>87945.891115460312</v>
      </c>
      <c r="M122" s="3">
        <f t="shared" si="9"/>
        <v>164573267.9648</v>
      </c>
      <c r="N122" s="22">
        <f t="shared" si="10"/>
        <v>0</v>
      </c>
    </row>
    <row r="123" spans="1:14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8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11759567.152692124</v>
      </c>
      <c r="L123" s="1">
        <v>88045.895818732795</v>
      </c>
      <c r="M123" s="3">
        <f t="shared" si="9"/>
        <v>148534984.88600001</v>
      </c>
      <c r="N123" s="22">
        <f t="shared" si="10"/>
        <v>0</v>
      </c>
    </row>
    <row r="124" spans="1:14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8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11697586.525337011</v>
      </c>
      <c r="L124" s="1">
        <v>88146.014238979988</v>
      </c>
      <c r="M124" s="3">
        <f t="shared" si="9"/>
        <v>151398505.10370001</v>
      </c>
      <c r="N124" s="22">
        <f t="shared" si="10"/>
        <v>0</v>
      </c>
    </row>
    <row r="125" spans="1:14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8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11635605.897981897</v>
      </c>
      <c r="L125" s="1">
        <v>88246.246505511328</v>
      </c>
      <c r="M125" s="3">
        <f t="shared" si="9"/>
        <v>139631737.64969999</v>
      </c>
      <c r="N125" s="22">
        <f t="shared" si="10"/>
        <v>0</v>
      </c>
    </row>
    <row r="126" spans="1:14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8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11573625.270626783</v>
      </c>
      <c r="L126" s="1">
        <v>88346.592747783274</v>
      </c>
      <c r="M126" s="3">
        <f t="shared" si="9"/>
        <v>141749391.05579999</v>
      </c>
      <c r="N126" s="22">
        <f t="shared" si="10"/>
        <v>0</v>
      </c>
    </row>
    <row r="127" spans="1:14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8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11511644.64327167</v>
      </c>
      <c r="L127" s="1">
        <v>88447.053095399489</v>
      </c>
      <c r="M127" s="3">
        <f t="shared" si="9"/>
        <v>145596262.71720001</v>
      </c>
      <c r="N127" s="22">
        <f t="shared" si="10"/>
        <v>0</v>
      </c>
    </row>
    <row r="128" spans="1:14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8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11449664.015916556</v>
      </c>
      <c r="L128" s="1">
        <v>88547.627678111006</v>
      </c>
      <c r="M128" s="3">
        <f t="shared" si="9"/>
        <v>165584861.778</v>
      </c>
      <c r="N128" s="22">
        <f t="shared" si="10"/>
        <v>0</v>
      </c>
    </row>
    <row r="129" spans="1:15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8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11387683.388561442</v>
      </c>
      <c r="L129" s="1">
        <v>88648.316625816427</v>
      </c>
      <c r="M129" s="3">
        <f t="shared" si="9"/>
        <v>158498138.65580001</v>
      </c>
      <c r="N129" s="22">
        <f t="shared" si="10"/>
        <v>0</v>
      </c>
      <c r="O129" s="190"/>
    </row>
    <row r="130" spans="1:15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8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11325702.761206329</v>
      </c>
      <c r="L130" s="1">
        <v>88749.120068562042</v>
      </c>
      <c r="M130" s="3">
        <f t="shared" si="9"/>
        <v>138629639.19499999</v>
      </c>
      <c r="N130" s="22">
        <f t="shared" ref="N130:N145" si="11">IFERROR((ABS(M130/F130-1)),0)</f>
        <v>0</v>
      </c>
      <c r="O130"/>
    </row>
    <row r="131" spans="1:15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12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11263722.133851215</v>
      </c>
      <c r="L131" s="1">
        <v>88850.038136542018</v>
      </c>
      <c r="M131" s="3">
        <f t="shared" ref="M131:M145" si="13">ROUND(($P$17+G131*$P$18+H131*$P$19+I131*$P$20+J131*$P$21+K131*$P$22+L131*$P$23),4)</f>
        <v>140833172.10510001</v>
      </c>
      <c r="N131" s="22">
        <f t="shared" si="11"/>
        <v>0</v>
      </c>
      <c r="O131" s="190"/>
    </row>
    <row r="132" spans="1:15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12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11201741.506496102</v>
      </c>
      <c r="L132" s="1">
        <v>88951.070960098587</v>
      </c>
      <c r="M132" s="3">
        <f t="shared" si="13"/>
        <v>143354538.47530001</v>
      </c>
      <c r="N132" s="22">
        <f t="shared" si="11"/>
        <v>0</v>
      </c>
      <c r="O132" s="190"/>
    </row>
    <row r="133" spans="1:15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12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11139760.879140988</v>
      </c>
      <c r="L133" s="10">
        <v>89052.218669722162</v>
      </c>
      <c r="M133" s="5">
        <f t="shared" si="13"/>
        <v>159697910.43700001</v>
      </c>
      <c r="N133" s="25">
        <f t="shared" si="11"/>
        <v>0</v>
      </c>
      <c r="O133" s="190"/>
    </row>
    <row r="134" spans="1:15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12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11142794.608950265</v>
      </c>
      <c r="L134" s="1">
        <v>89153.481396051575</v>
      </c>
      <c r="M134" s="3">
        <f t="shared" si="13"/>
        <v>164871514.7265</v>
      </c>
      <c r="N134" s="22">
        <f t="shared" si="11"/>
        <v>0</v>
      </c>
      <c r="O134" s="190"/>
    </row>
    <row r="135" spans="1:15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12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11145828.338759542</v>
      </c>
      <c r="L135" s="1">
        <v>89254.859269874185</v>
      </c>
      <c r="M135" s="3">
        <f t="shared" si="13"/>
        <v>153019114.46169999</v>
      </c>
      <c r="N135" s="22">
        <f t="shared" si="11"/>
        <v>0</v>
      </c>
      <c r="O135" s="190"/>
    </row>
    <row r="136" spans="1:15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12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11148862.068568818</v>
      </c>
      <c r="L136" s="1">
        <v>89356.352422126089</v>
      </c>
      <c r="M136" s="3">
        <f t="shared" si="13"/>
        <v>151650498.50139999</v>
      </c>
      <c r="N136" s="22">
        <f t="shared" si="11"/>
        <v>0</v>
      </c>
      <c r="O136" s="190"/>
    </row>
    <row r="137" spans="1:15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12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11151895.798378095</v>
      </c>
      <c r="L137" s="1">
        <v>89457.960983892248</v>
      </c>
      <c r="M137" s="3">
        <f t="shared" si="13"/>
        <v>139860604.47420001</v>
      </c>
      <c r="N137" s="22">
        <f t="shared" si="11"/>
        <v>0</v>
      </c>
      <c r="O137" s="190"/>
    </row>
    <row r="138" spans="1:15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12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11154929.528187372</v>
      </c>
      <c r="L138" s="1">
        <v>89559.685086406709</v>
      </c>
      <c r="M138" s="3">
        <f t="shared" si="13"/>
        <v>141955131.38</v>
      </c>
      <c r="N138" s="22">
        <f t="shared" si="11"/>
        <v>0</v>
      </c>
      <c r="O138" s="190"/>
    </row>
    <row r="139" spans="1:15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12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11157963.257996649</v>
      </c>
      <c r="L139" s="1">
        <v>89661.524861052734</v>
      </c>
      <c r="M139" s="3">
        <f t="shared" si="13"/>
        <v>145778876.61390001</v>
      </c>
      <c r="N139" s="22">
        <f t="shared" si="11"/>
        <v>0</v>
      </c>
      <c r="O139" s="190"/>
    </row>
    <row r="140" spans="1:15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12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11160996.987805925</v>
      </c>
      <c r="L140" s="1">
        <v>89763.480439362989</v>
      </c>
      <c r="M140" s="3">
        <f t="shared" si="13"/>
        <v>165744349.3202</v>
      </c>
      <c r="N140" s="22">
        <f t="shared" si="11"/>
        <v>0</v>
      </c>
      <c r="O140" s="190"/>
    </row>
    <row r="141" spans="1:15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12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11164030.717615202</v>
      </c>
      <c r="L141" s="1">
        <v>89865.551953019705</v>
      </c>
      <c r="M141" s="3">
        <f t="shared" si="13"/>
        <v>158634499.91639999</v>
      </c>
      <c r="N141" s="22">
        <f t="shared" si="11"/>
        <v>0</v>
      </c>
      <c r="O141" s="190"/>
    </row>
    <row r="142" spans="1:15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12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11167064.447424479</v>
      </c>
      <c r="L142" s="1">
        <v>89967.739533854838</v>
      </c>
      <c r="M142" s="3">
        <f t="shared" si="13"/>
        <v>138742874.24720001</v>
      </c>
      <c r="N142" s="22">
        <f t="shared" si="11"/>
        <v>0</v>
      </c>
      <c r="O142"/>
    </row>
    <row r="143" spans="1:15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12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11170098.177233756</v>
      </c>
      <c r="L143" s="1">
        <v>90070.04331385027</v>
      </c>
      <c r="M143" s="3">
        <f t="shared" si="13"/>
        <v>140923281.0219</v>
      </c>
      <c r="N143" s="22">
        <f t="shared" si="11"/>
        <v>0</v>
      </c>
      <c r="O143" s="190"/>
    </row>
    <row r="144" spans="1:15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12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11173131.907043032</v>
      </c>
      <c r="L144" s="1">
        <v>90172.463425137961</v>
      </c>
      <c r="M144" s="3">
        <f t="shared" si="13"/>
        <v>143421521.3301</v>
      </c>
      <c r="N144" s="22">
        <f t="shared" si="11"/>
        <v>0</v>
      </c>
      <c r="O144" s="190"/>
    </row>
    <row r="145" spans="1:15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12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11176165.636852309</v>
      </c>
      <c r="L145" s="10">
        <v>90275</v>
      </c>
      <c r="M145" s="5">
        <f t="shared" si="13"/>
        <v>159741767.30309999</v>
      </c>
      <c r="N145" s="25">
        <f t="shared" si="11"/>
        <v>0</v>
      </c>
      <c r="O145" s="190"/>
    </row>
    <row r="146" spans="1:15" x14ac:dyDescent="0.2">
      <c r="J146" s="190"/>
      <c r="K146" s="190"/>
      <c r="L146" s="190"/>
      <c r="M146" s="3"/>
      <c r="O146" s="190"/>
    </row>
    <row r="147" spans="1:15" x14ac:dyDescent="0.2">
      <c r="I147" t="s">
        <v>37</v>
      </c>
      <c r="J147" s="190"/>
      <c r="K147" s="190"/>
      <c r="L147" s="190"/>
      <c r="M147" s="3">
        <f>ROUND((SUM(M2:M146)),4)</f>
        <v>21794850678.1516</v>
      </c>
      <c r="N147" s="112">
        <f>AVERAGE(N2:N121)</f>
        <v>1.8769295714780417E-2</v>
      </c>
      <c r="O147" s="189" t="s">
        <v>12</v>
      </c>
    </row>
    <row r="148" spans="1:15" x14ac:dyDescent="0.2">
      <c r="J148" s="190"/>
      <c r="K148" s="190"/>
      <c r="L148" s="190"/>
      <c r="M148" s="190"/>
      <c r="N148" s="26"/>
      <c r="O148" s="190"/>
    </row>
    <row r="149" spans="1:15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J149" s="190"/>
      <c r="K149" s="190"/>
      <c r="L149" s="190"/>
      <c r="M149" s="14">
        <f>ROUND((SUM(M2:M13)),4)</f>
        <v>1800298295.8777001</v>
      </c>
      <c r="N149" s="26">
        <f t="shared" ref="N149:N158" si="14">M149/F149</f>
        <v>1.0094042668718077</v>
      </c>
      <c r="O149" s="27">
        <f t="shared" ref="O149:O158" si="15">+M149-F149</f>
        <v>16772750.204200029</v>
      </c>
    </row>
    <row r="150" spans="1:15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J150" s="190"/>
      <c r="K150" s="190"/>
      <c r="L150" s="190"/>
      <c r="M150" s="14">
        <f>ROUND((SUM(M14:M25)),4)</f>
        <v>1839186495.2196</v>
      </c>
      <c r="N150" s="26">
        <f t="shared" si="14"/>
        <v>0.99561723894713405</v>
      </c>
      <c r="O150" s="27">
        <f t="shared" si="15"/>
        <v>-8096198.644299984</v>
      </c>
    </row>
    <row r="151" spans="1:15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J151" s="190"/>
      <c r="K151" s="190"/>
      <c r="L151" s="190"/>
      <c r="M151" s="14">
        <f>ROUND((SUM(M26:M37)),4)</f>
        <v>1834946147.4099</v>
      </c>
      <c r="N151" s="26">
        <f t="shared" si="14"/>
        <v>0.99100510434122235</v>
      </c>
      <c r="O151" s="27">
        <f t="shared" si="15"/>
        <v>-16654958.751600027</v>
      </c>
    </row>
    <row r="152" spans="1:15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J152" s="190"/>
      <c r="K152" s="190"/>
      <c r="L152" s="190"/>
      <c r="M152" s="14">
        <f>ROUND((SUM(M38:M49)),4)</f>
        <v>1831418063.1184001</v>
      </c>
      <c r="N152" s="26">
        <f t="shared" si="14"/>
        <v>0.99438934971500725</v>
      </c>
      <c r="O152" s="27">
        <f t="shared" si="15"/>
        <v>-10333423.503299952</v>
      </c>
    </row>
    <row r="153" spans="1:15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J153" s="190"/>
      <c r="K153" s="190"/>
      <c r="L153" s="190"/>
      <c r="M153" s="14">
        <f>ROUND((SUM(M50:M61)),4)</f>
        <v>1828344525.2953</v>
      </c>
      <c r="N153" s="26">
        <f t="shared" si="14"/>
        <v>1.0012414989539773</v>
      </c>
      <c r="O153" s="27">
        <f t="shared" si="15"/>
        <v>2267073.2465999126</v>
      </c>
    </row>
    <row r="154" spans="1:15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J154" s="190"/>
      <c r="K154" s="190"/>
      <c r="L154" s="190"/>
      <c r="M154" s="14">
        <f>ROUND((SUM(M62:M73)),4)</f>
        <v>1808788361.8722</v>
      </c>
      <c r="N154" s="26">
        <f t="shared" si="14"/>
        <v>0.99732121175402022</v>
      </c>
      <c r="O154" s="27">
        <f t="shared" si="15"/>
        <v>-4858375.5625998974</v>
      </c>
    </row>
    <row r="155" spans="1:15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J155" s="190"/>
      <c r="K155" s="190"/>
      <c r="L155" s="190"/>
      <c r="M155" s="14">
        <f>ROUND((SUM(M74:M85)),4)</f>
        <v>1811328722.3573</v>
      </c>
      <c r="N155" s="26">
        <f t="shared" si="14"/>
        <v>1.0051824761514583</v>
      </c>
      <c r="O155" s="27">
        <f t="shared" si="15"/>
        <v>9338769.9535000324</v>
      </c>
    </row>
    <row r="156" spans="1:15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J156" s="190"/>
      <c r="K156" s="190"/>
      <c r="L156" s="190"/>
      <c r="M156" s="14">
        <f>ROUND((SUM(M86:M97)),4)</f>
        <v>1830405149.3097999</v>
      </c>
      <c r="N156" s="26">
        <f t="shared" si="14"/>
        <v>1.0103298394409852</v>
      </c>
      <c r="O156" s="27">
        <f t="shared" si="15"/>
        <v>18714473.794799805</v>
      </c>
    </row>
    <row r="157" spans="1:15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J157" s="190"/>
      <c r="K157" s="190"/>
      <c r="L157" s="190"/>
      <c r="M157" s="14">
        <f>ROUND((SUM(M98:M109)),4)</f>
        <v>1775599273.2484</v>
      </c>
      <c r="N157" s="26">
        <f t="shared" si="14"/>
        <v>1.0101208573590335</v>
      </c>
      <c r="O157" s="27">
        <f t="shared" si="15"/>
        <v>17790531.539299965</v>
      </c>
    </row>
    <row r="158" spans="1:15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J158" s="190"/>
      <c r="K158" s="190"/>
      <c r="L158" s="190"/>
      <c r="M158" s="14">
        <f>ROUND((SUM(M110:M121)),4)</f>
        <v>1832109201.1229999</v>
      </c>
      <c r="N158" s="26">
        <f t="shared" si="14"/>
        <v>0.98656975074494924</v>
      </c>
      <c r="O158" s="27">
        <f t="shared" si="15"/>
        <v>-24940642.275900126</v>
      </c>
    </row>
    <row r="159" spans="1:15" x14ac:dyDescent="0.2">
      <c r="A159" s="7">
        <v>2019</v>
      </c>
      <c r="F159" s="14">
        <f>ROUND((SUM(F122:F133)),4)</f>
        <v>0</v>
      </c>
      <c r="J159" s="190"/>
      <c r="K159" s="190"/>
      <c r="L159" s="190"/>
      <c r="M159" s="14">
        <f>ROUND((SUM(M122:M133)),4)</f>
        <v>1798082410.0234001</v>
      </c>
      <c r="O159" s="190"/>
    </row>
    <row r="160" spans="1:15" x14ac:dyDescent="0.2">
      <c r="A160" s="7">
        <v>2020</v>
      </c>
      <c r="F160" s="14">
        <f>ROUND((SUM(F134:F145)),4)</f>
        <v>0</v>
      </c>
      <c r="J160" s="190"/>
      <c r="K160" s="190"/>
      <c r="L160" s="190"/>
      <c r="M160" s="14">
        <f>ROUND((SUM(M134:M145)),4)</f>
        <v>1804344033.2966001</v>
      </c>
      <c r="O160" s="190"/>
    </row>
    <row r="161" spans="1:15" x14ac:dyDescent="0.2">
      <c r="J161" s="190"/>
      <c r="K161" s="190"/>
      <c r="L161" s="190"/>
      <c r="M161" s="14"/>
      <c r="O161" s="1"/>
    </row>
    <row r="162" spans="1:15" x14ac:dyDescent="0.2">
      <c r="A162" s="28" t="s">
        <v>38</v>
      </c>
      <c r="F162" s="14">
        <f>ROUND((SUM(F149:F161)),4)</f>
        <v>18192424234.830898</v>
      </c>
      <c r="J162" s="190"/>
      <c r="K162" s="190"/>
      <c r="L162" s="190"/>
      <c r="M162" s="32">
        <f>ROUND((SUM(M149:M158)),4)</f>
        <v>18192424234.8316</v>
      </c>
      <c r="O162" s="2">
        <f>ROUND((+M162-F162),2)</f>
        <v>0</v>
      </c>
    </row>
    <row r="163" spans="1:15" x14ac:dyDescent="0.2">
      <c r="J163" s="190"/>
      <c r="K163" s="190"/>
      <c r="L163" s="190"/>
      <c r="M163" s="14"/>
      <c r="O163" s="1"/>
    </row>
    <row r="164" spans="1:15" x14ac:dyDescent="0.2">
      <c r="J164" s="190"/>
      <c r="K164" s="190"/>
      <c r="L164" s="190"/>
      <c r="M164" s="29">
        <f>ROUND((SUM(M149:M160)),4)</f>
        <v>21794850678.1516</v>
      </c>
      <c r="O164" s="2">
        <f>+M164-M147</f>
        <v>0</v>
      </c>
    </row>
    <row r="166" spans="1:15" x14ac:dyDescent="0.2">
      <c r="J166" s="190"/>
      <c r="K166"/>
      <c r="L166"/>
      <c r="M166" s="190"/>
      <c r="O166" s="190"/>
    </row>
    <row r="167" spans="1:15" x14ac:dyDescent="0.2">
      <c r="J167" s="190"/>
      <c r="K167"/>
      <c r="L167"/>
      <c r="M167" s="30" t="s">
        <v>39</v>
      </c>
      <c r="N167" s="31"/>
      <c r="O167" s="31"/>
    </row>
    <row r="168" spans="1:15" x14ac:dyDescent="0.2">
      <c r="J168" s="190"/>
      <c r="K168"/>
      <c r="L168"/>
      <c r="M168" s="190"/>
      <c r="O168" s="190"/>
    </row>
    <row r="169" spans="1:15" x14ac:dyDescent="0.2">
      <c r="J169" s="190"/>
      <c r="K169"/>
      <c r="L169"/>
      <c r="M169" s="190"/>
      <c r="O169" s="190"/>
    </row>
    <row r="170" spans="1:15" x14ac:dyDescent="0.2">
      <c r="J170" s="190"/>
      <c r="K170"/>
      <c r="L170"/>
      <c r="M170" s="190"/>
      <c r="O170" s="190"/>
    </row>
    <row r="171" spans="1:15" x14ac:dyDescent="0.2">
      <c r="J171" s="190"/>
      <c r="K171"/>
      <c r="L171"/>
      <c r="M171" s="190"/>
      <c r="O171" s="190"/>
    </row>
    <row r="172" spans="1:15" x14ac:dyDescent="0.2">
      <c r="J172" s="190"/>
      <c r="K172"/>
      <c r="L172"/>
      <c r="M172" s="190"/>
      <c r="O172" s="190"/>
    </row>
    <row r="173" spans="1:15" x14ac:dyDescent="0.2">
      <c r="J173" s="190"/>
      <c r="K173"/>
      <c r="L173"/>
      <c r="M173" s="190"/>
      <c r="O173" s="190"/>
    </row>
    <row r="174" spans="1:15" x14ac:dyDescent="0.2">
      <c r="J174" s="190"/>
      <c r="K174"/>
      <c r="L174"/>
      <c r="M174" s="190"/>
      <c r="O174" s="190"/>
    </row>
    <row r="175" spans="1:15" x14ac:dyDescent="0.2">
      <c r="J175" s="190"/>
      <c r="K175"/>
      <c r="L175"/>
      <c r="M175" s="190"/>
      <c r="O175" s="190"/>
    </row>
    <row r="176" spans="1:15" x14ac:dyDescent="0.2">
      <c r="J176" s="190"/>
      <c r="K176"/>
      <c r="L176"/>
      <c r="M176" s="190"/>
      <c r="O176" s="190"/>
    </row>
    <row r="177" spans="10:12" x14ac:dyDescent="0.2">
      <c r="J177" s="190"/>
      <c r="K177"/>
      <c r="L177"/>
    </row>
    <row r="178" spans="10:12" x14ac:dyDescent="0.2">
      <c r="J178" s="190"/>
      <c r="K178"/>
      <c r="L178"/>
    </row>
    <row r="179" spans="10:12" x14ac:dyDescent="0.2">
      <c r="J179" s="190"/>
      <c r="K179"/>
      <c r="L179"/>
    </row>
    <row r="180" spans="10:12" x14ac:dyDescent="0.2">
      <c r="J180" s="190"/>
      <c r="K180"/>
      <c r="L180"/>
    </row>
    <row r="181" spans="10:12" x14ac:dyDescent="0.2">
      <c r="J181" s="190"/>
      <c r="K181"/>
      <c r="L181"/>
    </row>
    <row r="182" spans="10:12" x14ac:dyDescent="0.2">
      <c r="J182" s="190"/>
      <c r="K182"/>
      <c r="L182"/>
    </row>
    <row r="183" spans="10:12" x14ac:dyDescent="0.2">
      <c r="J183" s="190"/>
      <c r="K183"/>
      <c r="L183"/>
    </row>
    <row r="184" spans="10:12" x14ac:dyDescent="0.2">
      <c r="J184" s="190"/>
      <c r="K184"/>
      <c r="L184"/>
    </row>
    <row r="185" spans="10:12" x14ac:dyDescent="0.2">
      <c r="J185" s="190"/>
      <c r="K185"/>
      <c r="L185"/>
    </row>
    <row r="186" spans="10:12" x14ac:dyDescent="0.2">
      <c r="J186" s="190"/>
      <c r="K186"/>
      <c r="L186"/>
    </row>
    <row r="187" spans="10:12" x14ac:dyDescent="0.2">
      <c r="J187" s="190"/>
      <c r="K187"/>
      <c r="L187"/>
    </row>
    <row r="188" spans="10:12" x14ac:dyDescent="0.2">
      <c r="J188" s="190"/>
      <c r="K188"/>
      <c r="L188"/>
    </row>
    <row r="189" spans="10:12" x14ac:dyDescent="0.2">
      <c r="J189" s="190"/>
      <c r="K189"/>
      <c r="L189"/>
    </row>
    <row r="190" spans="10:12" x14ac:dyDescent="0.2">
      <c r="J190" s="190"/>
      <c r="K190"/>
      <c r="L190"/>
    </row>
    <row r="191" spans="10:12" x14ac:dyDescent="0.2">
      <c r="J191" s="190"/>
      <c r="K191"/>
      <c r="L191"/>
    </row>
    <row r="192" spans="10:12" x14ac:dyDescent="0.2">
      <c r="J192"/>
      <c r="K192"/>
      <c r="L192"/>
    </row>
    <row r="193" spans="10:12" x14ac:dyDescent="0.2">
      <c r="J193"/>
      <c r="K193"/>
      <c r="L193"/>
    </row>
    <row r="194" spans="10:12" x14ac:dyDescent="0.2">
      <c r="J194"/>
      <c r="K194"/>
      <c r="L194"/>
    </row>
    <row r="195" spans="10:12" x14ac:dyDescent="0.2">
      <c r="J195"/>
      <c r="K195"/>
      <c r="L195"/>
    </row>
    <row r="196" spans="10:12" x14ac:dyDescent="0.2">
      <c r="J196"/>
      <c r="K196"/>
      <c r="L196"/>
    </row>
    <row r="197" spans="10:12" x14ac:dyDescent="0.2">
      <c r="J197"/>
      <c r="K197"/>
      <c r="L197"/>
    </row>
    <row r="198" spans="10:12" x14ac:dyDescent="0.2">
      <c r="J198"/>
      <c r="K198"/>
      <c r="L198"/>
    </row>
    <row r="199" spans="10:12" x14ac:dyDescent="0.2">
      <c r="J199"/>
      <c r="K199"/>
      <c r="L199"/>
    </row>
    <row r="200" spans="10:12" x14ac:dyDescent="0.2">
      <c r="J200"/>
      <c r="K200"/>
      <c r="L200"/>
    </row>
    <row r="201" spans="10:12" x14ac:dyDescent="0.2">
      <c r="J201"/>
      <c r="K201"/>
      <c r="L201"/>
    </row>
    <row r="202" spans="10:12" x14ac:dyDescent="0.2">
      <c r="J202"/>
      <c r="K202"/>
      <c r="L202"/>
    </row>
    <row r="203" spans="10:12" x14ac:dyDescent="0.2">
      <c r="J203"/>
      <c r="K203"/>
      <c r="L203"/>
    </row>
  </sheetData>
  <pageMargins left="0.67" right="0.24" top="0.8" bottom="0.55000000000000004" header="0.3" footer="0.18"/>
  <pageSetup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D70" workbookViewId="0">
      <selection activeCell="M32" sqref="M32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40</v>
      </c>
      <c r="C2" s="19" t="s">
        <v>41</v>
      </c>
      <c r="D2" s="19" t="s">
        <v>42</v>
      </c>
      <c r="E2" s="33" t="s">
        <v>43</v>
      </c>
      <c r="F2" s="33"/>
      <c r="G2" s="34" t="s">
        <v>44</v>
      </c>
      <c r="H2" s="34" t="s">
        <v>45</v>
      </c>
      <c r="I2" s="34" t="s">
        <v>46</v>
      </c>
      <c r="J2" s="34" t="s">
        <v>47</v>
      </c>
      <c r="K2" s="34" t="s">
        <v>48</v>
      </c>
      <c r="L2" s="34" t="s">
        <v>49</v>
      </c>
      <c r="M2" s="34" t="s">
        <v>50</v>
      </c>
      <c r="N2" s="34" t="s">
        <v>51</v>
      </c>
    </row>
    <row r="4" spans="1:26" ht="13.5" thickBot="1" x14ac:dyDescent="0.25">
      <c r="A4" s="58"/>
      <c r="B4" s="189" t="s">
        <v>52</v>
      </c>
      <c r="C4" s="190"/>
      <c r="D4" s="190"/>
    </row>
    <row r="5" spans="1:26" ht="13.5" thickBot="1" x14ac:dyDescent="0.25">
      <c r="B5" s="190"/>
      <c r="C5" s="190"/>
      <c r="D5" s="190"/>
      <c r="G5" s="203" t="s">
        <v>53</v>
      </c>
      <c r="H5" s="204"/>
      <c r="I5" s="204"/>
      <c r="J5" s="204"/>
      <c r="K5" s="204"/>
      <c r="L5" s="204"/>
      <c r="M5" s="204"/>
      <c r="N5" s="205"/>
      <c r="Q5" s="212" t="s">
        <v>54</v>
      </c>
      <c r="R5" s="213"/>
      <c r="S5" s="213"/>
      <c r="T5" s="213"/>
      <c r="U5" s="213"/>
      <c r="V5" s="213"/>
      <c r="W5" s="213"/>
      <c r="X5" s="214"/>
    </row>
    <row r="6" spans="1:26" x14ac:dyDescent="0.2">
      <c r="A6">
        <v>2009</v>
      </c>
      <c r="B6" s="1">
        <f>ROUND((SUM(Power!B2:C13)),4)</f>
        <v>1839302872.6294999</v>
      </c>
      <c r="C6" s="1">
        <f>ROUND((Power!M149),4)</f>
        <v>1800298295.8777001</v>
      </c>
      <c r="D6" s="36">
        <f t="shared" ref="D6:D15" si="0">ROUND((1 +(B6-E6)/E6),4)</f>
        <v>1.0347999999999999</v>
      </c>
      <c r="E6" s="37">
        <f t="shared" ref="E6:E15" si="1">ROUND((SUM(G6:N6)),4)</f>
        <v>1777401233</v>
      </c>
      <c r="F6" s="37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39"/>
    </row>
    <row r="7" spans="1:26" x14ac:dyDescent="0.2">
      <c r="A7">
        <v>2010</v>
      </c>
      <c r="B7" s="1">
        <f>ROUND((SUM(Power!B14:C25)),4)</f>
        <v>1896172479.9761</v>
      </c>
      <c r="C7" s="1">
        <f>ROUND((Power!M150),4)</f>
        <v>1839186495.2196</v>
      </c>
      <c r="D7" s="36">
        <f t="shared" si="0"/>
        <v>1.0364</v>
      </c>
      <c r="E7" s="37">
        <f t="shared" si="1"/>
        <v>1829500492</v>
      </c>
      <c r="F7" s="37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39"/>
    </row>
    <row r="8" spans="1:26" x14ac:dyDescent="0.2">
      <c r="A8">
        <v>2011</v>
      </c>
      <c r="B8" s="1">
        <f>ROUND((SUM(Power!B26:C37)),4)</f>
        <v>1897274570.3845999</v>
      </c>
      <c r="C8" s="1">
        <f>ROUND((Power!M151),4)</f>
        <v>1834946147.4099</v>
      </c>
      <c r="D8" s="36">
        <f t="shared" si="0"/>
        <v>1.0346</v>
      </c>
      <c r="E8" s="37">
        <f t="shared" si="1"/>
        <v>1833881352</v>
      </c>
      <c r="F8" s="37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39"/>
    </row>
    <row r="9" spans="1:26" x14ac:dyDescent="0.2">
      <c r="A9">
        <v>2012</v>
      </c>
      <c r="B9" s="1">
        <f>ROUND((SUM(Power!B38:C49)),4)</f>
        <v>1887430252.5181</v>
      </c>
      <c r="C9" s="1">
        <f>ROUND((Power!M152),4)</f>
        <v>1831418063.1184001</v>
      </c>
      <c r="D9" s="36">
        <f t="shared" si="0"/>
        <v>1.0341</v>
      </c>
      <c r="E9" s="37">
        <f t="shared" si="1"/>
        <v>1825234090</v>
      </c>
      <c r="F9" s="37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39"/>
    </row>
    <row r="10" spans="1:26" x14ac:dyDescent="0.2">
      <c r="A10">
        <v>2013</v>
      </c>
      <c r="B10" s="1">
        <f>ROUND((SUM(Power!B50:C61)),4)</f>
        <v>1871565173.3492</v>
      </c>
      <c r="C10" s="1">
        <f>ROUND((Power!M153),4)</f>
        <v>1828344525.2953</v>
      </c>
      <c r="D10" s="36">
        <f t="shared" si="0"/>
        <v>1.0322</v>
      </c>
      <c r="E10" s="37">
        <f t="shared" si="1"/>
        <v>1813262316.5969999</v>
      </c>
      <c r="F10" s="37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8" t="s">
        <v>55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ROUND((Power!M154),4)</f>
        <v>1808788361.8722</v>
      </c>
      <c r="D11" s="36">
        <f t="shared" si="0"/>
        <v>1.0279</v>
      </c>
      <c r="E11" s="37">
        <f t="shared" si="1"/>
        <v>1803531650.6849</v>
      </c>
      <c r="F11" s="37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V11" si="3">(+G11/$E11*$C11)</f>
        <v>639043832.63009977</v>
      </c>
      <c r="R11" s="1">
        <f t="shared" si="3"/>
        <v>242891747.83572167</v>
      </c>
      <c r="S11" s="1">
        <f t="shared" si="3"/>
        <v>799581524.67849338</v>
      </c>
      <c r="T11" s="1">
        <f t="shared" si="3"/>
        <v>17125042.769233536</v>
      </c>
      <c r="U11" s="1">
        <f t="shared" si="3"/>
        <v>26380671.757672865</v>
      </c>
      <c r="V11" s="1">
        <f t="shared" si="3"/>
        <v>63627826.024639904</v>
      </c>
      <c r="W11" s="1">
        <f t="shared" ref="W11:X15" si="4">(+M11/$E11*$C11)</f>
        <v>16086000.627199344</v>
      </c>
      <c r="X11" s="1">
        <f t="shared" si="4"/>
        <v>4051715.5491371346</v>
      </c>
      <c r="Y11" s="73">
        <f>SUM(Q11:X11)</f>
        <v>1808788361.8721974</v>
      </c>
      <c r="Z11" s="73">
        <f>+Y11-C11</f>
        <v>-2.6226043701171875E-6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ROUND((Power!M155),4)</f>
        <v>1811328722.3573</v>
      </c>
      <c r="D12" s="36">
        <f t="shared" si="0"/>
        <v>1.0293000000000001</v>
      </c>
      <c r="E12" s="37">
        <f t="shared" si="1"/>
        <v>1762488283.8699999</v>
      </c>
      <c r="F12" s="37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5">(+G12/$E12*$C12)</f>
        <v>653340415.23095763</v>
      </c>
      <c r="R12" s="1">
        <f t="shared" ref="R12:U15" si="6">(+H12/$E12*$C12)</f>
        <v>244559231.17603719</v>
      </c>
      <c r="S12" s="1">
        <f t="shared" si="6"/>
        <v>812976897.39414966</v>
      </c>
      <c r="T12" s="1">
        <f t="shared" si="6"/>
        <v>17152877.70852723</v>
      </c>
      <c r="U12" s="1">
        <f t="shared" si="6"/>
        <v>25833897.43083445</v>
      </c>
      <c r="V12" s="1">
        <f>(+L12/$E12*$C12)</f>
        <v>36760614.26173605</v>
      </c>
      <c r="W12" s="1">
        <f t="shared" si="4"/>
        <v>16652429.851531459</v>
      </c>
      <c r="X12" s="1">
        <f t="shared" si="4"/>
        <v>4052359.3035266376</v>
      </c>
      <c r="Y12" s="73">
        <f t="shared" ref="Y12:Y15" si="7">SUM(Q12:X12)</f>
        <v>1811328722.3573008</v>
      </c>
      <c r="Z12" s="73">
        <f t="shared" ref="Z12:Z15" si="8">+Y12-C12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ROUND((Power!M156),4)</f>
        <v>1830405149.3097999</v>
      </c>
      <c r="D13" s="36">
        <f t="shared" si="0"/>
        <v>1.0307999999999999</v>
      </c>
      <c r="E13" s="37">
        <f>ROUND((SUM(G13:N13)),4)</f>
        <v>1765790195.1571</v>
      </c>
      <c r="F13" s="37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5"/>
        <v>674482355.75285876</v>
      </c>
      <c r="R13" s="1">
        <f t="shared" si="6"/>
        <v>247840348.58213255</v>
      </c>
      <c r="S13" s="1">
        <f t="shared" si="6"/>
        <v>817510190.17507589</v>
      </c>
      <c r="T13" s="1">
        <f t="shared" si="6"/>
        <v>17458367.294170938</v>
      </c>
      <c r="U13" s="1">
        <f t="shared" si="6"/>
        <v>22232388.877363406</v>
      </c>
      <c r="V13" s="1">
        <f>(+L13/$E13*$C13)</f>
        <v>29964335.298889548</v>
      </c>
      <c r="W13" s="1">
        <f t="shared" si="4"/>
        <v>16855884.52109538</v>
      </c>
      <c r="X13" s="1">
        <f t="shared" si="4"/>
        <v>4061278.8082134691</v>
      </c>
      <c r="Y13" s="73">
        <f t="shared" si="7"/>
        <v>1830405149.3097999</v>
      </c>
      <c r="Z13" s="73">
        <f t="shared" si="8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ROUND((Power!M157),4)</f>
        <v>1775599273.2484</v>
      </c>
      <c r="D14" s="36">
        <f t="shared" si="0"/>
        <v>1.0330999999999999</v>
      </c>
      <c r="E14" s="37">
        <f t="shared" si="1"/>
        <v>1709004939.8992</v>
      </c>
      <c r="F14" s="37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5"/>
        <v>646233847.59409809</v>
      </c>
      <c r="R14" s="1">
        <f t="shared" si="6"/>
        <v>241651675.10165939</v>
      </c>
      <c r="S14" s="1">
        <f t="shared" si="6"/>
        <v>713416186.34680772</v>
      </c>
      <c r="T14" s="1">
        <f t="shared" si="6"/>
        <v>16240817.416025149</v>
      </c>
      <c r="U14" s="1">
        <f t="shared" si="6"/>
        <v>105900111.1557349</v>
      </c>
      <c r="V14" s="1">
        <f>(+L14/$E14*$C14)</f>
        <v>32650187.942573015</v>
      </c>
      <c r="W14" s="1">
        <f t="shared" si="4"/>
        <v>15446464.934709227</v>
      </c>
      <c r="X14" s="1">
        <f t="shared" si="4"/>
        <v>4059982.756792557</v>
      </c>
      <c r="Y14" s="73">
        <f t="shared" si="7"/>
        <v>1775599273.2484004</v>
      </c>
      <c r="Z14" s="73">
        <f t="shared" si="8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ROUND((Power!M158),4)</f>
        <v>1832109201.1229999</v>
      </c>
      <c r="D15" s="36">
        <f t="shared" si="0"/>
        <v>1.0283</v>
      </c>
      <c r="E15" s="1">
        <f t="shared" si="1"/>
        <v>1805957382.2454</v>
      </c>
      <c r="F15" s="37"/>
      <c r="G15" s="37">
        <v>680846102.83019996</v>
      </c>
      <c r="H15" s="37">
        <v>240602996.91260001</v>
      </c>
      <c r="I15" s="37">
        <f>839662732.86-J15-K15</f>
        <v>616139317.53429997</v>
      </c>
      <c r="J15" s="37">
        <v>14788959.359999998</v>
      </c>
      <c r="K15" s="1">
        <v>208734455.96570003</v>
      </c>
      <c r="L15" s="37">
        <v>33369028.32</v>
      </c>
      <c r="M15" s="37">
        <v>7466579.3225999996</v>
      </c>
      <c r="N15" s="37">
        <v>4009942</v>
      </c>
      <c r="O15" s="1">
        <f t="shared" si="2"/>
        <v>1805957382.2454</v>
      </c>
      <c r="Q15" s="1">
        <f t="shared" si="5"/>
        <v>690705341.00480032</v>
      </c>
      <c r="R15" s="1">
        <f t="shared" si="6"/>
        <v>244087135.60741395</v>
      </c>
      <c r="S15" s="1">
        <f t="shared" si="6"/>
        <v>625061545.70753133</v>
      </c>
      <c r="T15" s="1">
        <f t="shared" si="6"/>
        <v>15003116.233452924</v>
      </c>
      <c r="U15" s="1">
        <f t="shared" si="6"/>
        <v>211757110.73020077</v>
      </c>
      <c r="V15" s="1">
        <f>(+L15/$E15*$C15)</f>
        <v>33852240.600270502</v>
      </c>
      <c r="W15" s="1">
        <f t="shared" si="4"/>
        <v>7574701.8242711565</v>
      </c>
      <c r="X15" s="1">
        <f t="shared" si="4"/>
        <v>4068009.4150589844</v>
      </c>
      <c r="Y15" s="73">
        <f t="shared" si="7"/>
        <v>1832109201.1230001</v>
      </c>
      <c r="Z15" s="73">
        <f t="shared" si="8"/>
        <v>0</v>
      </c>
    </row>
    <row r="16" spans="1:26" x14ac:dyDescent="0.2">
      <c r="A16">
        <v>2019</v>
      </c>
      <c r="B16" s="1"/>
      <c r="C16" s="58">
        <f>ROUND((Power!M159),4)</f>
        <v>1798082410.0234001</v>
      </c>
      <c r="D16" s="190"/>
      <c r="E16" s="1">
        <f>ROUND((C16/D18),4)</f>
        <v>1741990321.6658001</v>
      </c>
      <c r="F16" s="37"/>
    </row>
    <row r="17" spans="1:14" x14ac:dyDescent="0.2">
      <c r="A17">
        <v>2020</v>
      </c>
      <c r="B17" s="1"/>
      <c r="C17" s="58">
        <f>ROUND((Power!M160),4)</f>
        <v>1804344033.2966001</v>
      </c>
      <c r="D17" s="190"/>
      <c r="E17" s="1">
        <f>ROUND((C17/D18),4)</f>
        <v>1748056610.4403999</v>
      </c>
      <c r="F17" s="37"/>
    </row>
    <row r="18" spans="1:14" x14ac:dyDescent="0.2">
      <c r="A18" s="41" t="s">
        <v>56</v>
      </c>
      <c r="B18" s="190"/>
      <c r="C18" s="190"/>
      <c r="D18" s="36">
        <f>ROUND((AVERAGE(D6:D15)),4)</f>
        <v>1.0322</v>
      </c>
      <c r="F18" s="37"/>
      <c r="G18" s="37"/>
    </row>
    <row r="19" spans="1:14" x14ac:dyDescent="0.2">
      <c r="B19" s="190"/>
      <c r="C19" s="190"/>
      <c r="D19"/>
      <c r="E19"/>
      <c r="F19" s="37"/>
      <c r="G19" s="37"/>
    </row>
    <row r="20" spans="1:14" x14ac:dyDescent="0.2">
      <c r="B20" s="190"/>
      <c r="C20" s="190"/>
      <c r="D20" s="190"/>
      <c r="G20"/>
    </row>
    <row r="21" spans="1:14" ht="25.5" x14ac:dyDescent="0.2">
      <c r="B21" s="42"/>
      <c r="C21" s="1"/>
      <c r="D21" s="190"/>
      <c r="F21" s="144" t="s">
        <v>57</v>
      </c>
      <c r="G21" s="34" t="s">
        <v>44</v>
      </c>
      <c r="H21" s="34" t="s">
        <v>45</v>
      </c>
      <c r="I21" s="34" t="s">
        <v>46</v>
      </c>
      <c r="J21" s="34" t="s">
        <v>47</v>
      </c>
      <c r="K21" s="34" t="s">
        <v>58</v>
      </c>
      <c r="L21" s="34" t="s">
        <v>49</v>
      </c>
      <c r="M21" s="34" t="s">
        <v>50</v>
      </c>
      <c r="N21" s="34" t="s">
        <v>51</v>
      </c>
    </row>
    <row r="22" spans="1:14" x14ac:dyDescent="0.2">
      <c r="B22" s="190"/>
      <c r="C22" s="190"/>
      <c r="D22" s="190"/>
      <c r="F22">
        <f t="shared" ref="F22:F33" si="9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B23" s="190"/>
      <c r="C23" s="190"/>
      <c r="D23" s="190"/>
      <c r="F23">
        <f t="shared" si="9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B24" s="190"/>
      <c r="C24" s="190"/>
      <c r="D24" s="190"/>
      <c r="F24">
        <f t="shared" si="9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B25" s="190"/>
      <c r="C25" s="190"/>
      <c r="D25" s="190"/>
      <c r="F25">
        <f t="shared" si="9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B26" s="190"/>
      <c r="C26" s="190"/>
      <c r="D26" s="190"/>
      <c r="F26">
        <f t="shared" si="9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B27" s="190"/>
      <c r="C27" s="190"/>
      <c r="D27" s="190"/>
      <c r="F27">
        <f t="shared" si="9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B28" s="190"/>
      <c r="C28" s="190"/>
      <c r="D28" s="190"/>
      <c r="F28">
        <f t="shared" si="9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B29" s="190"/>
      <c r="C29" s="190"/>
      <c r="D29" s="190"/>
      <c r="F29">
        <f t="shared" si="9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B30" s="190"/>
      <c r="C30" s="190"/>
      <c r="D30" s="190"/>
      <c r="F30">
        <f t="shared" si="9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B31" s="190"/>
      <c r="C31" s="190"/>
      <c r="D31" s="190"/>
      <c r="F31">
        <f t="shared" si="9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B32" s="190"/>
      <c r="C32" s="190"/>
      <c r="D32" s="190"/>
      <c r="F32" s="57">
        <f t="shared" si="9"/>
        <v>2019</v>
      </c>
      <c r="G32" s="58">
        <f t="shared" ref="G32:L32" si="10">ROUND((G31*G48),4)</f>
        <v>7743.7042000000001</v>
      </c>
      <c r="H32" s="58">
        <f t="shared" si="10"/>
        <v>30015.849300000002</v>
      </c>
      <c r="I32" s="58">
        <f t="shared" si="10"/>
        <v>662265.22470000002</v>
      </c>
      <c r="J32" s="58">
        <f t="shared" si="10"/>
        <v>2725605.21</v>
      </c>
      <c r="K32" s="58">
        <f t="shared" si="10"/>
        <v>6176084.1971000005</v>
      </c>
      <c r="L32" s="58">
        <f t="shared" si="10"/>
        <v>34219938.542199999</v>
      </c>
      <c r="M32" s="58">
        <f t="shared" ref="M32:N32" si="11">ROUND((M31*M48),4)</f>
        <v>4394.3464000000004</v>
      </c>
      <c r="N32" s="58">
        <f t="shared" si="11"/>
        <v>4338.5763999999999</v>
      </c>
    </row>
    <row r="33" spans="1:23" x14ac:dyDescent="0.2">
      <c r="B33" s="190"/>
      <c r="C33" s="190"/>
      <c r="D33" s="190"/>
      <c r="F33" s="57">
        <f t="shared" si="9"/>
        <v>2020</v>
      </c>
      <c r="G33" s="58">
        <f t="shared" ref="G33:L33" si="12">ROUND((G32*G48),4)</f>
        <v>7697.2420000000002</v>
      </c>
      <c r="H33" s="58">
        <f t="shared" si="12"/>
        <v>29892.784299999999</v>
      </c>
      <c r="I33" s="58">
        <f t="shared" si="12"/>
        <v>648490.10800000001</v>
      </c>
      <c r="J33" s="58">
        <f t="shared" si="12"/>
        <v>2511645.2009999999</v>
      </c>
      <c r="K33" s="58">
        <f t="shared" si="12"/>
        <v>6213140.7023</v>
      </c>
      <c r="L33" s="58">
        <f t="shared" si="12"/>
        <v>35092546.975000001</v>
      </c>
      <c r="M33" s="58">
        <f>ROUND((M32*M48),4)</f>
        <v>4308.6566000000003</v>
      </c>
      <c r="N33" s="58">
        <f>ROUND((N32*N48),4)</f>
        <v>4370.2479999999996</v>
      </c>
    </row>
    <row r="34" spans="1:23" x14ac:dyDescent="0.2">
      <c r="B34" s="190"/>
      <c r="C34" s="190"/>
      <c r="D34" s="190"/>
      <c r="F34"/>
    </row>
    <row r="35" spans="1:23" x14ac:dyDescent="0.2">
      <c r="B35" s="190"/>
      <c r="C35" s="190"/>
      <c r="D35" s="190"/>
      <c r="F35"/>
      <c r="G35" s="38"/>
      <c r="H35" s="38"/>
      <c r="I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43"/>
      <c r="V35" s="43"/>
      <c r="W35" s="43"/>
    </row>
    <row r="36" spans="1:23" x14ac:dyDescent="0.2">
      <c r="B36" s="190"/>
      <c r="C36" s="190"/>
      <c r="D36" s="190"/>
      <c r="F36">
        <v>2010</v>
      </c>
      <c r="G36" s="38">
        <f t="shared" ref="G36:I44" si="13">ROUND((G23/G22),4)</f>
        <v>1.0212000000000001</v>
      </c>
      <c r="H36" s="38">
        <f t="shared" si="13"/>
        <v>1.0132000000000001</v>
      </c>
      <c r="I36" s="38">
        <f t="shared" si="13"/>
        <v>1.0854999999999999</v>
      </c>
      <c r="J36" s="38">
        <v>0</v>
      </c>
      <c r="K36" s="38">
        <v>0</v>
      </c>
      <c r="L36" s="38">
        <f t="shared" ref="L36:L44" si="14">ROUND((L23/L22),4)</f>
        <v>1.75</v>
      </c>
      <c r="M36" s="38">
        <f t="shared" ref="M36:N36" si="15">ROUND((M23/M22),4)</f>
        <v>0.99250000000000005</v>
      </c>
      <c r="N36" s="38">
        <f t="shared" si="15"/>
        <v>0.99929999999999997</v>
      </c>
      <c r="O36" s="38"/>
      <c r="P36" s="43"/>
      <c r="Q36" s="43"/>
      <c r="R36" s="43"/>
      <c r="S36" s="43"/>
      <c r="T36" s="43"/>
      <c r="U36" s="43"/>
      <c r="V36" s="43"/>
      <c r="W36" s="43"/>
    </row>
    <row r="37" spans="1:23" x14ac:dyDescent="0.2">
      <c r="B37" s="190"/>
      <c r="C37" s="190"/>
      <c r="D37" s="190"/>
      <c r="F37">
        <v>2011</v>
      </c>
      <c r="G37" s="38">
        <f t="shared" si="13"/>
        <v>0.97899999999999998</v>
      </c>
      <c r="H37" s="38">
        <f t="shared" si="13"/>
        <v>1.0049999999999999</v>
      </c>
      <c r="I37" s="38">
        <f t="shared" si="13"/>
        <v>1.0078</v>
      </c>
      <c r="J37" s="38">
        <v>0</v>
      </c>
      <c r="K37" s="38">
        <v>0</v>
      </c>
      <c r="L37" s="38">
        <f t="shared" si="14"/>
        <v>0.60150000000000003</v>
      </c>
      <c r="M37" s="38">
        <f t="shared" ref="M37:N37" si="16">ROUND((M24/M23),4)</f>
        <v>0.99270000000000003</v>
      </c>
      <c r="N37" s="38">
        <f t="shared" si="16"/>
        <v>0.97899999999999998</v>
      </c>
      <c r="O37" s="38"/>
      <c r="P37" s="43"/>
      <c r="Q37" s="43"/>
      <c r="R37" s="43"/>
      <c r="S37" s="43"/>
      <c r="T37" s="43"/>
      <c r="U37" s="43"/>
      <c r="V37" s="43"/>
      <c r="W37" s="43"/>
    </row>
    <row r="38" spans="1:23" x14ac:dyDescent="0.2">
      <c r="B38" s="190"/>
      <c r="C38" s="190"/>
      <c r="D38" s="190"/>
      <c r="F38">
        <v>2012</v>
      </c>
      <c r="G38" s="38">
        <f t="shared" si="13"/>
        <v>0.98029999999999995</v>
      </c>
      <c r="H38" s="38">
        <f t="shared" si="13"/>
        <v>0.98939999999999995</v>
      </c>
      <c r="I38" s="38">
        <f t="shared" si="13"/>
        <v>0.98760000000000003</v>
      </c>
      <c r="J38" s="38">
        <v>0</v>
      </c>
      <c r="K38" s="38">
        <v>0</v>
      </c>
      <c r="L38" s="38">
        <f t="shared" si="14"/>
        <v>1.2382</v>
      </c>
      <c r="M38" s="38">
        <f t="shared" ref="M38:N38" si="17">ROUND((M25/M24),4)</f>
        <v>1.0022</v>
      </c>
      <c r="N38" s="38">
        <f t="shared" si="17"/>
        <v>1.0782</v>
      </c>
      <c r="O38" s="38"/>
      <c r="P38" s="43"/>
      <c r="Q38" s="43"/>
      <c r="R38" s="43"/>
      <c r="S38" s="43"/>
      <c r="T38" s="43"/>
      <c r="U38" s="43"/>
      <c r="V38" s="43"/>
      <c r="W38" s="43"/>
    </row>
    <row r="39" spans="1:23" x14ac:dyDescent="0.2">
      <c r="B39" s="190"/>
      <c r="C39" s="190"/>
      <c r="D39" s="190"/>
      <c r="F39">
        <v>2013</v>
      </c>
      <c r="G39" s="38">
        <f t="shared" si="13"/>
        <v>0.98260000000000003</v>
      </c>
      <c r="H39" s="38">
        <f t="shared" si="13"/>
        <v>0.99529999999999996</v>
      </c>
      <c r="I39" s="38">
        <f t="shared" si="13"/>
        <v>0.95899999999999996</v>
      </c>
      <c r="J39" s="38">
        <v>0</v>
      </c>
      <c r="K39" s="38">
        <v>0</v>
      </c>
      <c r="L39" s="38">
        <f t="shared" si="14"/>
        <v>0.85070000000000001</v>
      </c>
      <c r="M39" s="38">
        <f t="shared" ref="M39:N39" si="18">ROUND((M26/M25),4)</f>
        <v>1.0166999999999999</v>
      </c>
      <c r="N39" s="38">
        <f t="shared" si="18"/>
        <v>1.0321</v>
      </c>
      <c r="O39" s="38"/>
      <c r="P39" s="43"/>
      <c r="Q39" s="43"/>
      <c r="R39" s="43"/>
      <c r="S39" s="43"/>
      <c r="T39" s="43"/>
      <c r="U39" s="43"/>
      <c r="V39" s="43"/>
      <c r="W39" s="43"/>
    </row>
    <row r="40" spans="1:23" x14ac:dyDescent="0.2">
      <c r="B40" s="190"/>
      <c r="C40" s="190"/>
      <c r="D40" s="190"/>
      <c r="F40">
        <v>2014</v>
      </c>
      <c r="G40" s="38">
        <f t="shared" si="13"/>
        <v>0.98319999999999996</v>
      </c>
      <c r="H40" s="38">
        <f t="shared" si="13"/>
        <v>0.99690000000000001</v>
      </c>
      <c r="I40" s="38">
        <f t="shared" si="13"/>
        <v>1.0032000000000001</v>
      </c>
      <c r="J40" s="38">
        <f t="shared" ref="J40:K40" si="19">ROUND((J27/J26),4)</f>
        <v>0.9587</v>
      </c>
      <c r="K40" s="38">
        <f t="shared" si="19"/>
        <v>4.4143999999999997</v>
      </c>
      <c r="L40" s="38">
        <f t="shared" si="14"/>
        <v>1.0751999999999999</v>
      </c>
      <c r="M40" s="38">
        <f t="shared" ref="M40:N40" si="20">ROUND((M27/M26),4)</f>
        <v>0.96319999999999995</v>
      </c>
      <c r="N40" s="38">
        <f t="shared" si="20"/>
        <v>1.0492999999999999</v>
      </c>
      <c r="O40" s="38"/>
      <c r="P40" s="43"/>
      <c r="Q40" s="43"/>
      <c r="R40" s="43"/>
      <c r="S40" s="43"/>
      <c r="T40" s="43"/>
      <c r="U40" s="43"/>
      <c r="V40" s="43"/>
      <c r="W40" s="43"/>
    </row>
    <row r="41" spans="1:23" x14ac:dyDescent="0.2">
      <c r="B41" s="190"/>
      <c r="C41" s="190"/>
      <c r="D41" s="190"/>
      <c r="F41">
        <v>2015</v>
      </c>
      <c r="G41" s="38">
        <f t="shared" si="13"/>
        <v>0.98280000000000001</v>
      </c>
      <c r="H41" s="38">
        <f t="shared" si="13"/>
        <v>0.97599999999999998</v>
      </c>
      <c r="I41" s="38">
        <f t="shared" si="13"/>
        <v>0.99750000000000005</v>
      </c>
      <c r="J41" s="38">
        <f t="shared" ref="J41:K41" si="21">ROUND((J28/J27),4)</f>
        <v>0.97750000000000004</v>
      </c>
      <c r="K41" s="38">
        <f t="shared" si="21"/>
        <v>0.9556</v>
      </c>
      <c r="L41" s="38">
        <f t="shared" si="14"/>
        <v>1.1275999999999999</v>
      </c>
      <c r="M41" s="38">
        <f t="shared" ref="M41:N41" si="22">ROUND((M28/M27),4)</f>
        <v>0.99729999999999996</v>
      </c>
      <c r="N41" s="38">
        <f t="shared" si="22"/>
        <v>0.96040000000000003</v>
      </c>
      <c r="O41" s="38"/>
      <c r="P41" s="43"/>
      <c r="Q41" s="43"/>
      <c r="R41" s="43"/>
      <c r="S41" s="43"/>
      <c r="T41" s="43"/>
      <c r="U41" s="43"/>
      <c r="V41" s="43"/>
      <c r="W41" s="43"/>
    </row>
    <row r="42" spans="1:23" x14ac:dyDescent="0.2">
      <c r="B42" s="190"/>
      <c r="C42" s="190"/>
      <c r="D42" s="190"/>
      <c r="F42">
        <v>2016</v>
      </c>
      <c r="G42" s="38">
        <f t="shared" si="13"/>
        <v>1.0063</v>
      </c>
      <c r="H42" s="38">
        <f t="shared" si="13"/>
        <v>0.99850000000000005</v>
      </c>
      <c r="I42" s="38">
        <f t="shared" si="13"/>
        <v>0.99590000000000001</v>
      </c>
      <c r="J42" s="38">
        <f t="shared" ref="J42:K42" si="23">ROUND((J29/J28),4)</f>
        <v>1.0091000000000001</v>
      </c>
      <c r="K42" s="38">
        <f t="shared" si="23"/>
        <v>0.85319999999999996</v>
      </c>
      <c r="L42" s="38">
        <f t="shared" si="14"/>
        <v>0.80810000000000004</v>
      </c>
      <c r="M42" s="38">
        <f t="shared" ref="M42:N42" si="24">ROUND((M29/M28),4)</f>
        <v>0.99380000000000002</v>
      </c>
      <c r="N42" s="38">
        <f t="shared" si="24"/>
        <v>1.0219</v>
      </c>
      <c r="O42" s="38"/>
      <c r="P42" s="43"/>
      <c r="Q42" s="43"/>
      <c r="R42" s="43"/>
      <c r="S42" s="43"/>
      <c r="T42" s="43"/>
      <c r="U42" s="43"/>
      <c r="V42" s="43"/>
      <c r="W42" s="43"/>
    </row>
    <row r="43" spans="1:23" x14ac:dyDescent="0.2">
      <c r="B43" s="190"/>
      <c r="C43" s="190"/>
      <c r="D43" s="190"/>
      <c r="F43">
        <v>2017</v>
      </c>
      <c r="G43" s="38">
        <f t="shared" si="13"/>
        <v>0.93889999999999996</v>
      </c>
      <c r="H43" s="38">
        <f t="shared" si="13"/>
        <v>0.96160000000000001</v>
      </c>
      <c r="I43" s="38">
        <f t="shared" si="13"/>
        <v>0.89949999999999997</v>
      </c>
      <c r="J43" s="38">
        <f t="shared" ref="J43:K43" si="25">ROUND((J30/J29),4)</f>
        <v>0.92810000000000004</v>
      </c>
      <c r="K43" s="38">
        <f t="shared" si="25"/>
        <v>0.17599999999999999</v>
      </c>
      <c r="L43" s="38">
        <f t="shared" si="14"/>
        <v>1.0871</v>
      </c>
      <c r="M43" s="38">
        <f t="shared" ref="M43:N43" si="26">ROUND((M30/M29),4)</f>
        <v>0.8911</v>
      </c>
      <c r="N43" s="38">
        <f t="shared" si="26"/>
        <v>0.97519999999999996</v>
      </c>
      <c r="O43" s="38"/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B44" s="190"/>
      <c r="C44" s="190"/>
      <c r="D44" s="190"/>
      <c r="F44">
        <v>2018</v>
      </c>
      <c r="G44" s="38">
        <f t="shared" si="13"/>
        <v>1.0779000000000001</v>
      </c>
      <c r="H44" s="38">
        <f t="shared" si="13"/>
        <v>1.0284</v>
      </c>
      <c r="I44" s="38">
        <f t="shared" si="13"/>
        <v>0.89139999999999997</v>
      </c>
      <c r="J44" s="38">
        <f t="shared" ref="J44:K44" si="27">ROUND((J31/J30),4)</f>
        <v>0.75690000000000002</v>
      </c>
      <c r="K44" s="38">
        <f t="shared" si="27"/>
        <v>1.6262000000000001</v>
      </c>
      <c r="L44" s="38">
        <f t="shared" si="14"/>
        <v>1.0618000000000001</v>
      </c>
      <c r="M44" s="38">
        <f t="shared" ref="M44:N44" si="28">ROUND((M31/M30),4)</f>
        <v>0.51129999999999998</v>
      </c>
      <c r="N44" s="38">
        <f t="shared" si="28"/>
        <v>0.97670000000000001</v>
      </c>
      <c r="O44" s="38"/>
      <c r="P44" s="43"/>
      <c r="Q44" s="43"/>
      <c r="R44" s="43"/>
      <c r="S44" s="43"/>
      <c r="T44" s="43"/>
      <c r="U44" s="43"/>
      <c r="V44" s="43"/>
      <c r="W44" s="43"/>
    </row>
    <row r="45" spans="1:23" x14ac:dyDescent="0.2">
      <c r="B45" s="190"/>
      <c r="C45" s="190"/>
      <c r="D45" s="190"/>
      <c r="F45">
        <v>2019</v>
      </c>
      <c r="G45" s="38"/>
      <c r="H45" s="38"/>
      <c r="I45" s="38"/>
      <c r="K45" s="38"/>
      <c r="L45" s="38"/>
      <c r="M45" s="38"/>
      <c r="N45" s="38"/>
      <c r="O45" s="38"/>
      <c r="P45" s="43"/>
      <c r="Q45" s="43"/>
      <c r="R45" s="43"/>
      <c r="S45" s="43"/>
      <c r="T45" s="43"/>
      <c r="U45" s="43"/>
      <c r="V45" s="43"/>
      <c r="W45" s="43"/>
    </row>
    <row r="46" spans="1:23" x14ac:dyDescent="0.2">
      <c r="B46" s="190"/>
      <c r="C46" s="190"/>
      <c r="D46" s="190"/>
      <c r="F46">
        <v>2020</v>
      </c>
      <c r="G46" s="38"/>
      <c r="H46" s="38"/>
      <c r="I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43"/>
      <c r="V46" s="43"/>
      <c r="W46" s="43"/>
    </row>
    <row r="47" spans="1:23" x14ac:dyDescent="0.2">
      <c r="A47" s="44"/>
      <c r="B47" s="190"/>
      <c r="C47" s="190"/>
      <c r="D47" s="1"/>
    </row>
    <row r="48" spans="1:23" x14ac:dyDescent="0.2">
      <c r="B48" s="190"/>
      <c r="C48" s="190"/>
      <c r="D48" s="190"/>
      <c r="F48" s="50" t="s">
        <v>59</v>
      </c>
      <c r="G48" s="60">
        <f t="shared" ref="G48:L48" si="29">G50</f>
        <v>0.99399999999999999</v>
      </c>
      <c r="H48" s="60">
        <f t="shared" si="29"/>
        <v>0.99590000000000001</v>
      </c>
      <c r="I48" s="60">
        <f t="shared" si="29"/>
        <v>0.97919999999999996</v>
      </c>
      <c r="J48" s="60">
        <f t="shared" si="29"/>
        <v>0.92149999999999999</v>
      </c>
      <c r="K48" s="60">
        <f t="shared" si="29"/>
        <v>1.006</v>
      </c>
      <c r="L48" s="60">
        <f t="shared" si="29"/>
        <v>1.0255000000000001</v>
      </c>
      <c r="M48" s="60">
        <f>ROUND((GEOMEAN(M36:M43)),4)</f>
        <v>0.98050000000000004</v>
      </c>
      <c r="N48" s="60">
        <f t="shared" ref="N48" si="30">N50</f>
        <v>1.0073000000000001</v>
      </c>
    </row>
    <row r="49" spans="1:23" x14ac:dyDescent="0.2">
      <c r="A49" s="44"/>
      <c r="B49" s="190"/>
      <c r="C49" s="190"/>
      <c r="D49" s="190"/>
      <c r="F49" s="179"/>
      <c r="G49" s="42"/>
      <c r="H49" s="42"/>
      <c r="M49" s="37"/>
      <c r="N49" s="37"/>
    </row>
    <row r="50" spans="1:23" x14ac:dyDescent="0.2">
      <c r="B50" s="190"/>
      <c r="C50" s="190"/>
      <c r="D50" s="190"/>
      <c r="F50" s="50" t="s">
        <v>60</v>
      </c>
      <c r="G50" s="38">
        <f>ROUND((GEOMEAN(G36:G44)),4)</f>
        <v>0.99399999999999999</v>
      </c>
      <c r="H50" s="38">
        <f>ROUND((GEOMEAN(H36:H44)),4)</f>
        <v>0.99590000000000001</v>
      </c>
      <c r="I50" s="38">
        <f>ROUND((GEOMEAN(I36:I44)),4)</f>
        <v>0.97919999999999996</v>
      </c>
      <c r="J50" s="38">
        <f>ROUND((GEOMEAN(J40:J44)),4)</f>
        <v>0.92149999999999999</v>
      </c>
      <c r="K50" s="38">
        <f>ROUND((GEOMEAN(K40:K44)),4)</f>
        <v>1.006</v>
      </c>
      <c r="L50" s="38">
        <f>ROUND((GEOMEAN(L36:L44)),4)</f>
        <v>1.0255000000000001</v>
      </c>
      <c r="M50" s="38">
        <f>ROUND((GEOMEAN(M36:M44)),4)</f>
        <v>0.91200000000000003</v>
      </c>
      <c r="N50" s="38">
        <f t="shared" ref="N50" si="31">ROUND((GEOMEAN(N36:N44)),4)</f>
        <v>1.0073000000000001</v>
      </c>
      <c r="P50" s="43"/>
      <c r="Q50" s="43"/>
      <c r="R50" s="43"/>
      <c r="S50" s="43"/>
      <c r="T50" s="43"/>
      <c r="U50" s="43"/>
      <c r="V50" s="43"/>
      <c r="W50" s="43"/>
    </row>
    <row r="51" spans="1:23" x14ac:dyDescent="0.2">
      <c r="B51" s="190"/>
      <c r="C51" s="190"/>
      <c r="D51" s="190"/>
      <c r="F51" s="179"/>
      <c r="H51" s="38"/>
      <c r="I51" s="38"/>
      <c r="J51" s="38"/>
      <c r="K51" s="38"/>
      <c r="L51" s="38"/>
      <c r="M51" s="38"/>
      <c r="N51" s="38"/>
    </row>
    <row r="53" spans="1:23" x14ac:dyDescent="0.2">
      <c r="B53"/>
      <c r="C53"/>
      <c r="D53" s="190"/>
    </row>
    <row r="57" spans="1:23" x14ac:dyDescent="0.2">
      <c r="B57" s="190"/>
      <c r="C57" s="190"/>
      <c r="D57" s="190"/>
      <c r="H57" s="45" t="s">
        <v>44</v>
      </c>
      <c r="I57" s="46" t="s">
        <v>45</v>
      </c>
      <c r="J57" s="46" t="s">
        <v>46</v>
      </c>
      <c r="K57" s="137" t="s">
        <v>61</v>
      </c>
      <c r="L57" s="137" t="s">
        <v>62</v>
      </c>
      <c r="M57" s="46" t="s">
        <v>49</v>
      </c>
      <c r="N57" s="46" t="s">
        <v>50</v>
      </c>
      <c r="O57" s="46" t="s">
        <v>51</v>
      </c>
    </row>
    <row r="58" spans="1:23" x14ac:dyDescent="0.2">
      <c r="B58" s="190"/>
      <c r="C58" s="190"/>
      <c r="D58" s="190"/>
      <c r="F58" s="136" t="s">
        <v>63</v>
      </c>
      <c r="G58" s="136"/>
      <c r="H58" s="136"/>
      <c r="P58" s="37" t="s">
        <v>28</v>
      </c>
    </row>
    <row r="59" spans="1:23" x14ac:dyDescent="0.2">
      <c r="B59" s="190"/>
      <c r="C59" s="190"/>
      <c r="D59" s="190"/>
      <c r="F59">
        <v>2019</v>
      </c>
      <c r="G59" s="138">
        <f>ROUND((SUM(H59:O59)),4)</f>
        <v>1796800081.4992001</v>
      </c>
      <c r="H59" s="138">
        <f>ROUND((G32*Customer!B14),4)</f>
        <v>686239322.49979997</v>
      </c>
      <c r="I59" s="138">
        <f>ROUND((H32*Customer!C14),4)</f>
        <v>241897729.50870001</v>
      </c>
      <c r="J59" s="138">
        <f>ROUND((I32*Customer!D14),4)</f>
        <v>599350028.35350001</v>
      </c>
      <c r="K59" s="138">
        <f>ROUND((J32*Customer!E14),4)</f>
        <v>13628026.050000001</v>
      </c>
      <c r="L59" s="138">
        <f>ROUND((K32*Customer!F14),4)</f>
        <v>209986862.70140001</v>
      </c>
      <c r="M59" s="138">
        <f>ROUND((L32*Customer!G14),4)</f>
        <v>34219938.542199999</v>
      </c>
      <c r="N59" s="138">
        <f>ROUND((M32*Customer!H14),4)</f>
        <v>7386896.2983999997</v>
      </c>
      <c r="O59" s="138">
        <f>ROUND((N32*Customer!I14),4)</f>
        <v>4091277.5452000001</v>
      </c>
      <c r="P59" s="35">
        <f>ROUND((SUM(H59:O59)),4)</f>
        <v>1796800081.4992001</v>
      </c>
    </row>
    <row r="60" spans="1:23" x14ac:dyDescent="0.2">
      <c r="B60" s="190"/>
      <c r="C60" s="190"/>
      <c r="D60" s="190"/>
      <c r="F60">
        <v>2020</v>
      </c>
      <c r="G60" s="138">
        <f>ROUND((SUM(H60:O60)),4)</f>
        <v>1788253091.5685999</v>
      </c>
      <c r="H60" s="138">
        <f>ROUND((G33*Customer!B15),4)</f>
        <v>691674166.12</v>
      </c>
      <c r="I60" s="138">
        <f>ROUND((H33*Customer!C15),4)</f>
        <v>243207693.06479999</v>
      </c>
      <c r="J60" s="138">
        <f>ROUND((I33*Customer!D15),4)</f>
        <v>582992607.09200001</v>
      </c>
      <c r="K60" s="138">
        <f>ROUND((J33*Customer!E15),4)</f>
        <v>12558226.005000001</v>
      </c>
      <c r="L60" s="138">
        <f>ROUND((K33*Customer!F15),4)</f>
        <v>211246783.87819999</v>
      </c>
      <c r="M60" s="138">
        <f>ROUND((L33*Customer!G15),4)</f>
        <v>35092546.975000001</v>
      </c>
      <c r="N60" s="138">
        <f>ROUND((M33*Customer!H15),4)</f>
        <v>7307481.5936000003</v>
      </c>
      <c r="O60" s="138">
        <f>ROUND((N33*Customer!I15),4)</f>
        <v>4173586.84</v>
      </c>
      <c r="P60" s="35">
        <f>ROUND((SUM(H60:O60)),4)</f>
        <v>1788253091.5685999</v>
      </c>
    </row>
    <row r="61" spans="1:23" x14ac:dyDescent="0.2">
      <c r="B61" s="190"/>
      <c r="C61" s="190"/>
      <c r="D61" s="190"/>
      <c r="F61" s="190"/>
      <c r="G61" s="35"/>
      <c r="H61" s="35"/>
      <c r="I61" s="35"/>
      <c r="J61" s="35"/>
      <c r="M61" s="35"/>
      <c r="N61" s="35"/>
      <c r="O61" s="35"/>
    </row>
    <row r="62" spans="1:23" x14ac:dyDescent="0.2">
      <c r="B62" s="190"/>
      <c r="C62" s="190"/>
      <c r="D62" s="190"/>
      <c r="F62" s="136" t="s">
        <v>64</v>
      </c>
      <c r="G62" s="136"/>
      <c r="H62" s="136"/>
      <c r="I62" s="136"/>
      <c r="J62" s="136"/>
      <c r="M62" s="35"/>
      <c r="N62" s="35"/>
      <c r="P62" s="35" t="s">
        <v>28</v>
      </c>
    </row>
    <row r="63" spans="1:23" x14ac:dyDescent="0.2">
      <c r="B63" s="190"/>
      <c r="C63" s="190"/>
      <c r="D63" s="190"/>
      <c r="F63">
        <v>2019</v>
      </c>
      <c r="G63" s="35">
        <f>ROUND((E16),4)</f>
        <v>1741990321.6658001</v>
      </c>
      <c r="H63" s="35">
        <f t="shared" ref="H63:O64" si="32">ROUND((H59+H72),4)</f>
        <v>659498450.74000001</v>
      </c>
      <c r="I63" s="35">
        <f t="shared" si="32"/>
        <v>232471635.79519999</v>
      </c>
      <c r="J63" s="35">
        <f t="shared" si="32"/>
        <v>581121709.65910006</v>
      </c>
      <c r="K63" s="35">
        <f t="shared" si="32"/>
        <v>13213550.384299999</v>
      </c>
      <c r="L63" s="35">
        <f t="shared" ref="L63" si="33">ROUND((L59+L72),4)</f>
        <v>209986862.70140001</v>
      </c>
      <c r="M63" s="35">
        <f t="shared" si="32"/>
        <v>34219938.542199999</v>
      </c>
      <c r="N63" s="35">
        <f t="shared" si="32"/>
        <v>7386896.2983999997</v>
      </c>
      <c r="O63" s="35">
        <f t="shared" si="32"/>
        <v>4091277.5452000001</v>
      </c>
      <c r="P63" s="47">
        <f>ROUND((SUM(H63:O63)),4)</f>
        <v>1741990321.6658001</v>
      </c>
    </row>
    <row r="64" spans="1:23" ht="12" customHeight="1" x14ac:dyDescent="0.2">
      <c r="B64" s="190"/>
      <c r="C64" s="190"/>
      <c r="D64" s="190"/>
      <c r="F64">
        <v>2020</v>
      </c>
      <c r="G64" s="35">
        <f>ROUND((E17),4)</f>
        <v>1748056610.4403999</v>
      </c>
      <c r="H64" s="35">
        <f>ROUND((H60+H73),4)</f>
        <v>671810747.2378</v>
      </c>
      <c r="I64" s="35">
        <f t="shared" si="32"/>
        <v>236223282.602</v>
      </c>
      <c r="J64" s="35">
        <f t="shared" si="32"/>
        <v>569925434.86800003</v>
      </c>
      <c r="K64" s="35">
        <f t="shared" si="32"/>
        <v>12276746.445800001</v>
      </c>
      <c r="L64" s="35">
        <f t="shared" ref="L64" si="34">ROUND((L60+L73),4)</f>
        <v>211246783.87819999</v>
      </c>
      <c r="M64" s="35">
        <f t="shared" si="32"/>
        <v>35092546.975000001</v>
      </c>
      <c r="N64" s="35">
        <f t="shared" si="32"/>
        <v>7307481.5936000003</v>
      </c>
      <c r="O64" s="35">
        <f t="shared" si="32"/>
        <v>4173586.84</v>
      </c>
      <c r="P64" s="47">
        <f>ROUND((SUM(H64:O64)),4)</f>
        <v>1748056610.4403999</v>
      </c>
    </row>
    <row r="65" spans="2:17" ht="13.5" thickBot="1" x14ac:dyDescent="0.25">
      <c r="B65" s="190"/>
      <c r="C65" s="190"/>
      <c r="D65" s="190"/>
      <c r="F65" s="190"/>
      <c r="G65" s="190"/>
      <c r="H65" s="35"/>
      <c r="I65" s="35"/>
      <c r="J65" s="35"/>
      <c r="K65" s="35"/>
      <c r="L65" s="35"/>
      <c r="M65" s="35"/>
      <c r="N65" s="35"/>
      <c r="O65" s="35"/>
      <c r="P65" s="35"/>
    </row>
    <row r="66" spans="2:17" ht="13.5" thickBot="1" x14ac:dyDescent="0.25">
      <c r="B66"/>
      <c r="C66"/>
      <c r="D66" s="190"/>
      <c r="F66" s="190"/>
      <c r="G66" s="190"/>
      <c r="H66" s="206" t="s">
        <v>65</v>
      </c>
      <c r="I66" s="207"/>
      <c r="J66" s="207"/>
      <c r="K66" s="207"/>
      <c r="L66" s="207"/>
      <c r="M66" s="207"/>
      <c r="N66" s="207"/>
      <c r="O66" s="208"/>
      <c r="P66" s="35"/>
    </row>
    <row r="67" spans="2:17" x14ac:dyDescent="0.2">
      <c r="B67" s="190"/>
      <c r="C67" s="190"/>
      <c r="D67" s="190"/>
      <c r="F67" s="48" t="s">
        <v>66</v>
      </c>
      <c r="G67" s="35"/>
      <c r="H67" s="61">
        <f>(100%+J67)/2</f>
        <v>0.82000000000000006</v>
      </c>
      <c r="I67" s="61">
        <f>H67</f>
        <v>0.82000000000000006</v>
      </c>
      <c r="J67" s="61">
        <v>0.64</v>
      </c>
      <c r="K67" s="61">
        <v>0.64</v>
      </c>
      <c r="L67" s="53"/>
      <c r="M67" s="53"/>
      <c r="N67" s="53"/>
      <c r="O67" s="53"/>
      <c r="P67" s="35" t="s">
        <v>67</v>
      </c>
    </row>
    <row r="68" spans="2:17" x14ac:dyDescent="0.2">
      <c r="B68" s="190"/>
      <c r="C68" s="190"/>
      <c r="D68" s="190"/>
      <c r="F68">
        <v>2019</v>
      </c>
      <c r="G68" s="47">
        <f>ROUND((G63-G59),4)</f>
        <v>-54809759.833400004</v>
      </c>
      <c r="H68" s="47">
        <f t="shared" ref="H68:O68" si="35">ROUND((H59*H$67),4)</f>
        <v>562716244.44980001</v>
      </c>
      <c r="I68" s="47">
        <f t="shared" si="35"/>
        <v>198356138.19710001</v>
      </c>
      <c r="J68" s="47">
        <f>ROUND((J59*J$67),4)</f>
        <v>383584018.1462</v>
      </c>
      <c r="K68" s="47">
        <f t="shared" si="35"/>
        <v>8721936.6720000003</v>
      </c>
      <c r="L68" s="47">
        <v>0</v>
      </c>
      <c r="M68" s="47">
        <f t="shared" si="35"/>
        <v>0</v>
      </c>
      <c r="N68" s="47">
        <f t="shared" si="35"/>
        <v>0</v>
      </c>
      <c r="O68" s="47">
        <f t="shared" si="35"/>
        <v>0</v>
      </c>
      <c r="P68" s="47">
        <f>ROUND((SUM(H68:O68)),4)</f>
        <v>1153378337.4651</v>
      </c>
    </row>
    <row r="69" spans="2:17" x14ac:dyDescent="0.2">
      <c r="B69" s="190"/>
      <c r="C69" s="190"/>
      <c r="D69" s="190"/>
      <c r="F69">
        <v>2020</v>
      </c>
      <c r="G69" s="47">
        <f>ROUND((G64-G60),4)</f>
        <v>-40196481.128200002</v>
      </c>
      <c r="H69" s="47">
        <f t="shared" ref="H69:O69" si="36">ROUND((H60*H67),4)</f>
        <v>567172816.2184</v>
      </c>
      <c r="I69" s="47">
        <f t="shared" si="36"/>
        <v>199430308.31310001</v>
      </c>
      <c r="J69" s="47">
        <f t="shared" si="36"/>
        <v>373115268.53890002</v>
      </c>
      <c r="K69" s="47">
        <f t="shared" si="36"/>
        <v>8037264.6431999998</v>
      </c>
      <c r="L69" s="47">
        <v>0</v>
      </c>
      <c r="M69" s="47">
        <f t="shared" si="36"/>
        <v>0</v>
      </c>
      <c r="N69" s="47">
        <f t="shared" si="36"/>
        <v>0</v>
      </c>
      <c r="O69" s="47">
        <f t="shared" si="36"/>
        <v>0</v>
      </c>
      <c r="P69" s="47">
        <f>ROUND((SUM(H69:O69)),4)</f>
        <v>1147755657.7135999</v>
      </c>
    </row>
    <row r="70" spans="2:17" x14ac:dyDescent="0.2">
      <c r="B70" s="190"/>
      <c r="C70" s="190"/>
      <c r="D70" s="190"/>
      <c r="F70" s="190"/>
      <c r="G70" s="35"/>
      <c r="H70" s="47"/>
      <c r="I70" s="47"/>
      <c r="J70" s="47"/>
      <c r="K70" s="47"/>
      <c r="L70" s="47"/>
      <c r="M70" s="47"/>
      <c r="N70" s="47"/>
      <c r="O70" s="49"/>
      <c r="P70" s="35"/>
    </row>
    <row r="71" spans="2:17" x14ac:dyDescent="0.2">
      <c r="B71" s="190"/>
      <c r="C71" s="190"/>
      <c r="D71" s="190"/>
      <c r="F71" s="118" t="s">
        <v>68</v>
      </c>
      <c r="G71" s="190"/>
      <c r="H71" s="190"/>
      <c r="I71" s="47"/>
      <c r="J71" s="47"/>
      <c r="K71" s="47"/>
      <c r="L71" s="47"/>
      <c r="M71" s="47"/>
      <c r="N71" s="47"/>
      <c r="O71" s="49"/>
      <c r="P71" s="35"/>
    </row>
    <row r="72" spans="2:17" x14ac:dyDescent="0.2">
      <c r="B72" s="190"/>
      <c r="C72" s="190"/>
      <c r="D72" s="190"/>
      <c r="F72">
        <v>2019</v>
      </c>
      <c r="H72" s="47">
        <f>ROUND((H68/$P$68*$G$68),4)</f>
        <v>-26740871.759799998</v>
      </c>
      <c r="I72" s="47">
        <f>ROUND((I68/$P$68*$G$68),4)</f>
        <v>-9426093.7135000005</v>
      </c>
      <c r="J72" s="47">
        <f>ROUND((J68/$P$68*$G$68),4)</f>
        <v>-18228318.694400001</v>
      </c>
      <c r="K72" s="47">
        <f>ROUND((K68/$P$68*$G$68),4)</f>
        <v>-414475.66570000001</v>
      </c>
      <c r="L72" s="47">
        <v>0</v>
      </c>
      <c r="M72" s="47">
        <f t="shared" ref="M72:O72" si="37">ROUND((M68/$P$68*$H$68),4)</f>
        <v>0</v>
      </c>
      <c r="N72" s="47">
        <f t="shared" si="37"/>
        <v>0</v>
      </c>
      <c r="O72" s="47">
        <f t="shared" si="37"/>
        <v>0</v>
      </c>
      <c r="P72" s="47">
        <f>ROUND((SUM(H72:O72)),4)</f>
        <v>-54809759.833400004</v>
      </c>
    </row>
    <row r="73" spans="2:17" x14ac:dyDescent="0.2">
      <c r="B73" s="190"/>
      <c r="C73" s="190"/>
      <c r="D73" s="190"/>
      <c r="F73">
        <v>2020</v>
      </c>
      <c r="H73" s="47">
        <f>ROUND((H69/$P$69*$G$69),4)</f>
        <v>-19863418.882199999</v>
      </c>
      <c r="I73" s="47">
        <f>ROUND((I69/$P$69*$G$69),4)</f>
        <v>-6984410.4627999999</v>
      </c>
      <c r="J73" s="47">
        <f>ROUND((J69/$P$69*$G$69),4)</f>
        <v>-13067172.223999999</v>
      </c>
      <c r="K73" s="47">
        <f>ROUND((K69/$P$69*$G$69),4)</f>
        <v>-281479.55920000002</v>
      </c>
      <c r="L73" s="47">
        <v>0</v>
      </c>
      <c r="M73" s="47">
        <f t="shared" ref="M73:O73" si="38">ROUND((M69/$P$69*$H$69),4)</f>
        <v>0</v>
      </c>
      <c r="N73" s="47">
        <f t="shared" si="38"/>
        <v>0</v>
      </c>
      <c r="O73" s="47">
        <f t="shared" si="38"/>
        <v>0</v>
      </c>
      <c r="P73" s="47">
        <f>ROUND((SUM(H73:O73)),4)</f>
        <v>-40196481.128200002</v>
      </c>
    </row>
    <row r="74" spans="2:17" x14ac:dyDescent="0.2">
      <c r="B74" s="190"/>
      <c r="C74" s="190"/>
      <c r="D74" s="190"/>
      <c r="F74" s="190"/>
      <c r="G74" s="190"/>
    </row>
    <row r="75" spans="2:17" x14ac:dyDescent="0.2">
      <c r="B75" s="190"/>
      <c r="C75" s="190"/>
      <c r="D75" s="190"/>
      <c r="I75" s="170" t="s">
        <v>69</v>
      </c>
      <c r="J75" s="1">
        <f>ROUND((J64+K64),4)</f>
        <v>582202181.31379998</v>
      </c>
    </row>
    <row r="76" spans="2:17" ht="13.5" thickBot="1" x14ac:dyDescent="0.25">
      <c r="B76" s="190"/>
      <c r="C76" s="190"/>
      <c r="D76" s="190"/>
    </row>
    <row r="77" spans="2:17" ht="13.5" thickBot="1" x14ac:dyDescent="0.25">
      <c r="B77" s="190"/>
      <c r="C77" s="190"/>
      <c r="D77" s="190"/>
      <c r="F77" t="s">
        <v>9</v>
      </c>
      <c r="H77" s="209" t="s">
        <v>70</v>
      </c>
      <c r="I77" s="210"/>
      <c r="J77" s="210"/>
      <c r="K77" s="210"/>
      <c r="L77" s="210"/>
      <c r="M77" s="210"/>
      <c r="N77" s="210"/>
      <c r="O77" s="211"/>
    </row>
    <row r="78" spans="2:17" x14ac:dyDescent="0.2">
      <c r="B78" s="190"/>
      <c r="C78" s="190"/>
      <c r="D78" s="190"/>
      <c r="F78"/>
      <c r="H78" s="61">
        <v>0.05</v>
      </c>
      <c r="I78" s="61">
        <v>0.25</v>
      </c>
      <c r="J78" s="61">
        <v>0.7</v>
      </c>
      <c r="K78" s="168"/>
      <c r="L78" s="168"/>
      <c r="M78" s="169"/>
    </row>
    <row r="79" spans="2:17" x14ac:dyDescent="0.2">
      <c r="B79" s="190"/>
      <c r="C79" s="190"/>
      <c r="D79" s="190"/>
      <c r="F79">
        <v>2019</v>
      </c>
      <c r="G79" s="47">
        <f>ROUND((CDM!T48*-1),4)</f>
        <v>-10277361.111199999</v>
      </c>
      <c r="H79" s="47">
        <f>ROUND((G79*H78),4)</f>
        <v>-513868.05560000002</v>
      </c>
      <c r="I79" s="47">
        <f>ROUND((G79*I78),4)</f>
        <v>-2569340.2777999998</v>
      </c>
      <c r="J79" s="47">
        <f>ROUND((G79*J78),4)</f>
        <v>-7194152.7778000003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f>ROUND((SUM(H79:O79)),4)</f>
        <v>-10277361.111199999</v>
      </c>
      <c r="Q79" s="35"/>
    </row>
    <row r="80" spans="2:17" x14ac:dyDescent="0.2">
      <c r="B80" s="190"/>
      <c r="C80" s="190"/>
      <c r="D80" s="190"/>
      <c r="F80">
        <v>2020</v>
      </c>
      <c r="G80" s="47">
        <f>ROUND((CDM!U48*-1),4)</f>
        <v>-23491111.114500001</v>
      </c>
      <c r="H80" s="47">
        <f>ROUND((G80*H78),4)</f>
        <v>-1174555.5556999999</v>
      </c>
      <c r="I80" s="47">
        <f>ROUND((G80*I78),4)</f>
        <v>-5872777.7785999998</v>
      </c>
      <c r="J80" s="47">
        <f>ROUND((G80*J78),4)</f>
        <v>-16443777.780200001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f>ROUND((SUM(H80:O80)),4)</f>
        <v>-23491111.114500001</v>
      </c>
      <c r="Q80" s="35"/>
    </row>
    <row r="81" spans="6:17" x14ac:dyDescent="0.2">
      <c r="F81" s="190"/>
    </row>
    <row r="82" spans="6:17" x14ac:dyDescent="0.2">
      <c r="F82" s="41" t="s">
        <v>71</v>
      </c>
      <c r="G82" s="41"/>
      <c r="H82" s="41"/>
      <c r="I82" s="41"/>
      <c r="J82" s="35"/>
      <c r="K82" s="35"/>
      <c r="L82" s="35"/>
      <c r="P82" s="35" t="s">
        <v>28</v>
      </c>
    </row>
    <row r="83" spans="6:17" x14ac:dyDescent="0.2">
      <c r="F83">
        <v>2019</v>
      </c>
      <c r="G83" s="138">
        <f t="shared" ref="G83:O83" si="39">ROUND((G63+G79),4)</f>
        <v>1731712960.5546</v>
      </c>
      <c r="H83" s="47">
        <f t="shared" si="39"/>
        <v>658984582.68439996</v>
      </c>
      <c r="I83" s="47">
        <f t="shared" si="39"/>
        <v>229902295.5174</v>
      </c>
      <c r="J83" s="47">
        <f t="shared" si="39"/>
        <v>573927556.88129997</v>
      </c>
      <c r="K83" s="47">
        <f t="shared" si="39"/>
        <v>13213550.384299999</v>
      </c>
      <c r="L83" s="47">
        <f t="shared" si="39"/>
        <v>209986862.70140001</v>
      </c>
      <c r="M83" s="47">
        <f t="shared" si="39"/>
        <v>34219938.542199999</v>
      </c>
      <c r="N83" s="47">
        <f t="shared" si="39"/>
        <v>7386896.2983999997</v>
      </c>
      <c r="O83" s="47">
        <f t="shared" si="39"/>
        <v>4091277.5452000001</v>
      </c>
      <c r="P83" s="47">
        <f>ROUND((SUM(H83:O83)),4)</f>
        <v>1731712960.5546</v>
      </c>
      <c r="Q83" s="29">
        <f>P83-G83</f>
        <v>0</v>
      </c>
    </row>
    <row r="84" spans="6:17" x14ac:dyDescent="0.2">
      <c r="F84">
        <v>2020</v>
      </c>
      <c r="G84" s="138">
        <f t="shared" ref="G84:O84" si="40">ROUND((G64+G80),4)</f>
        <v>1724565499.3259001</v>
      </c>
      <c r="H84" s="47">
        <f>ROUND((H64+H80),4)</f>
        <v>670636191.68210006</v>
      </c>
      <c r="I84" s="47">
        <f t="shared" si="40"/>
        <v>230350504.82339999</v>
      </c>
      <c r="J84" s="47">
        <f t="shared" si="40"/>
        <v>553481657.08780003</v>
      </c>
      <c r="K84" s="47">
        <f t="shared" si="40"/>
        <v>12276746.445800001</v>
      </c>
      <c r="L84" s="47">
        <f t="shared" si="40"/>
        <v>211246783.87819999</v>
      </c>
      <c r="M84" s="47">
        <f t="shared" si="40"/>
        <v>35092546.975000001</v>
      </c>
      <c r="N84" s="47">
        <f t="shared" si="40"/>
        <v>7307481.5936000003</v>
      </c>
      <c r="O84" s="47">
        <f t="shared" si="40"/>
        <v>4173586.84</v>
      </c>
      <c r="P84" s="47">
        <f>ROUND((SUM(H84:O84)),4)</f>
        <v>1724565499.3259001</v>
      </c>
      <c r="Q84" s="29">
        <f>ROUND((P84-G84),0)</f>
        <v>0</v>
      </c>
    </row>
    <row r="86" spans="6:17" x14ac:dyDescent="0.2">
      <c r="I86" s="170" t="s">
        <v>69</v>
      </c>
      <c r="J86" s="1">
        <f>ROUND((J84+K84),4)</f>
        <v>565758403.53359997</v>
      </c>
      <c r="P86" s="171">
        <f>ROUND((+ED!C14),4)</f>
        <v>19053029.030000001</v>
      </c>
    </row>
    <row r="87" spans="6:17" x14ac:dyDescent="0.2">
      <c r="H87" s="43"/>
      <c r="I87" s="175" t="s">
        <v>72</v>
      </c>
      <c r="J87" s="1">
        <f>ROUND((J84+L84),4)</f>
        <v>764728440.96599996</v>
      </c>
      <c r="K87" s="43"/>
      <c r="L87" s="43"/>
      <c r="M87" s="43"/>
      <c r="P87" s="47">
        <f>ROUND((P84+P86),4)</f>
        <v>1743618528.3559</v>
      </c>
    </row>
    <row r="88" spans="6:17" x14ac:dyDescent="0.2">
      <c r="H88" s="47"/>
      <c r="I88" s="175" t="s">
        <v>28</v>
      </c>
      <c r="J88" s="1">
        <f>ROUND((J84+K84+L84),4)</f>
        <v>777005187.41180003</v>
      </c>
      <c r="K88" s="47"/>
      <c r="L88" s="47"/>
      <c r="M88" s="47"/>
      <c r="N88" s="47"/>
      <c r="O88" s="47"/>
      <c r="P88" s="172"/>
    </row>
    <row r="89" spans="6:17" x14ac:dyDescent="0.2">
      <c r="H89" s="47"/>
      <c r="I89" s="47"/>
      <c r="J89" s="47"/>
      <c r="K89" s="47"/>
      <c r="L89" s="47"/>
      <c r="M89" s="47"/>
      <c r="N89" s="47"/>
      <c r="O89" s="47"/>
      <c r="P89" s="173"/>
    </row>
    <row r="90" spans="6:17" x14ac:dyDescent="0.2">
      <c r="H90" s="47"/>
      <c r="I90" s="47"/>
      <c r="J90" s="47"/>
      <c r="K90" s="47"/>
      <c r="L90" s="47"/>
      <c r="M90" s="47"/>
      <c r="N90" s="47"/>
    </row>
    <row r="91" spans="6:17" x14ac:dyDescent="0.2">
      <c r="H91" s="47"/>
      <c r="I91" s="47"/>
      <c r="J91" s="47"/>
      <c r="K91" s="47"/>
      <c r="L91" s="47"/>
      <c r="M91" s="47"/>
      <c r="N91" s="47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workbookViewId="0">
      <selection activeCell="I33" sqref="I33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15" t="s">
        <v>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4" ht="25.5" x14ac:dyDescent="0.2">
      <c r="B2" s="34" t="s">
        <v>44</v>
      </c>
      <c r="C2" s="34" t="s">
        <v>45</v>
      </c>
      <c r="D2" s="34" t="s">
        <v>46</v>
      </c>
      <c r="E2" s="34" t="s">
        <v>61</v>
      </c>
      <c r="F2" s="34" t="s">
        <v>48</v>
      </c>
      <c r="G2" s="34" t="s">
        <v>49</v>
      </c>
      <c r="H2" s="34" t="s">
        <v>50</v>
      </c>
      <c r="I2" s="34" t="s">
        <v>51</v>
      </c>
      <c r="J2" s="33" t="s">
        <v>74</v>
      </c>
      <c r="K2" s="34" t="s">
        <v>75</v>
      </c>
      <c r="L2" s="34" t="s">
        <v>28</v>
      </c>
    </row>
    <row r="3" spans="1:14" x14ac:dyDescent="0.2">
      <c r="A3" s="50">
        <v>2008</v>
      </c>
      <c r="B3" s="37">
        <v>75154</v>
      </c>
      <c r="C3" s="37">
        <v>7265</v>
      </c>
      <c r="D3" s="37">
        <v>1014</v>
      </c>
      <c r="E3" s="37"/>
      <c r="F3" s="37"/>
      <c r="G3" s="37">
        <v>4</v>
      </c>
      <c r="H3" s="37">
        <v>1522</v>
      </c>
      <c r="I3" s="37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0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0">
        <v>2010</v>
      </c>
      <c r="B5" s="37">
        <v>77506</v>
      </c>
      <c r="C5" s="37">
        <v>7448</v>
      </c>
      <c r="D5" s="37">
        <v>989</v>
      </c>
      <c r="E5" s="37"/>
      <c r="F5" s="37"/>
      <c r="G5" s="37">
        <v>1</v>
      </c>
      <c r="H5" s="37">
        <v>1574</v>
      </c>
      <c r="I5" s="37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0">
        <v>2011</v>
      </c>
      <c r="B6" s="37">
        <v>78761</v>
      </c>
      <c r="C6" s="37">
        <v>7538</v>
      </c>
      <c r="D6" s="37">
        <v>975</v>
      </c>
      <c r="E6" s="37"/>
      <c r="F6" s="37"/>
      <c r="G6" s="37">
        <v>2</v>
      </c>
      <c r="H6" s="37">
        <v>1568</v>
      </c>
      <c r="I6" s="37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0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0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0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1"/>
    </row>
    <row r="10" spans="1:14" x14ac:dyDescent="0.2">
      <c r="A10" s="50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1"/>
    </row>
    <row r="11" spans="1:14" x14ac:dyDescent="0.2">
      <c r="A11" s="50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1"/>
    </row>
    <row r="12" spans="1:14" x14ac:dyDescent="0.2">
      <c r="A12" s="50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1"/>
    </row>
    <row r="13" spans="1:14" x14ac:dyDescent="0.2">
      <c r="A13" s="50">
        <v>2018</v>
      </c>
      <c r="B13" s="37">
        <v>87395</v>
      </c>
      <c r="C13" s="37">
        <v>7983</v>
      </c>
      <c r="D13" s="37">
        <f>950-E13-F13</f>
        <v>911</v>
      </c>
      <c r="E13" s="37">
        <v>5</v>
      </c>
      <c r="F13" s="37">
        <v>34</v>
      </c>
      <c r="G13" s="37">
        <v>1</v>
      </c>
      <c r="H13" s="37">
        <v>1666</v>
      </c>
      <c r="I13" s="37">
        <v>931</v>
      </c>
      <c r="J13" s="37">
        <f t="shared" si="0"/>
        <v>98926</v>
      </c>
      <c r="K13" s="37">
        <v>1</v>
      </c>
      <c r="L13" s="37">
        <f t="shared" si="1"/>
        <v>98927</v>
      </c>
      <c r="N13" s="51"/>
    </row>
    <row r="14" spans="1:14" x14ac:dyDescent="0.2">
      <c r="A14" s="59">
        <v>2019</v>
      </c>
      <c r="B14" s="58">
        <f>ROUND((B13*B31),0)</f>
        <v>88619</v>
      </c>
      <c r="C14" s="58">
        <f t="shared" ref="C14:I14" si="2">ROUND((C13*C31),0)</f>
        <v>8059</v>
      </c>
      <c r="D14" s="58">
        <f>ROUND((D13*D31),0)</f>
        <v>905</v>
      </c>
      <c r="E14" s="58">
        <f t="shared" ref="E14:F14" si="3">ROUND((E13*E31),0)</f>
        <v>5</v>
      </c>
      <c r="F14" s="58">
        <f t="shared" si="3"/>
        <v>34</v>
      </c>
      <c r="G14" s="58">
        <f>ROUND((G13*G31),0)</f>
        <v>1</v>
      </c>
      <c r="H14" s="58">
        <f>ROUND((H13*H31),0)</f>
        <v>1681</v>
      </c>
      <c r="I14" s="58">
        <f t="shared" si="2"/>
        <v>943</v>
      </c>
      <c r="J14" s="58">
        <f>ROUND((SUM(B14:I14)),0)</f>
        <v>100247</v>
      </c>
      <c r="K14" s="58">
        <v>1</v>
      </c>
      <c r="L14" s="58">
        <f>ROUND((J14+K14),0)</f>
        <v>100248</v>
      </c>
      <c r="N14" s="51"/>
    </row>
    <row r="15" spans="1:14" x14ac:dyDescent="0.2">
      <c r="A15" s="59">
        <v>2020</v>
      </c>
      <c r="B15" s="58">
        <f t="shared" ref="B15:I15" si="4">ROUND((B14*B31),0)</f>
        <v>89860</v>
      </c>
      <c r="C15" s="58">
        <f t="shared" si="4"/>
        <v>8136</v>
      </c>
      <c r="D15" s="58">
        <f>ROUND((D14*D31),0)</f>
        <v>899</v>
      </c>
      <c r="E15" s="58">
        <f t="shared" ref="E15:F15" si="5">ROUND((E14*E31),0)</f>
        <v>5</v>
      </c>
      <c r="F15" s="58">
        <f t="shared" si="5"/>
        <v>34</v>
      </c>
      <c r="G15" s="58">
        <f>ROUND((G14*G31),0)</f>
        <v>1</v>
      </c>
      <c r="H15" s="58">
        <f t="shared" si="4"/>
        <v>1696</v>
      </c>
      <c r="I15" s="58">
        <f t="shared" si="4"/>
        <v>955</v>
      </c>
      <c r="J15" s="58">
        <f>ROUND((SUM(B15:I15)),0)</f>
        <v>101586</v>
      </c>
      <c r="K15" s="58">
        <v>1</v>
      </c>
      <c r="L15" s="58">
        <f>ROUND((J15+K15),0)</f>
        <v>101587</v>
      </c>
      <c r="N15" s="51"/>
    </row>
    <row r="16" spans="1:14" x14ac:dyDescent="0.2">
      <c r="A16" s="41"/>
      <c r="M16" s="137"/>
    </row>
    <row r="17" spans="1:19" x14ac:dyDescent="0.2">
      <c r="A17" s="41" t="s">
        <v>76</v>
      </c>
      <c r="B17" s="40"/>
      <c r="C17" s="40"/>
      <c r="D17" s="40"/>
      <c r="E17" s="40"/>
      <c r="F17" s="40"/>
      <c r="G17" s="40"/>
      <c r="H17" s="40"/>
      <c r="I17" s="40"/>
    </row>
    <row r="18" spans="1:19" x14ac:dyDescent="0.2">
      <c r="A18" s="50">
        <v>2009</v>
      </c>
      <c r="B18" s="36">
        <f t="shared" ref="B18:I18" si="6">ROUND((B4/B3),4)</f>
        <v>1.0145999999999999</v>
      </c>
      <c r="C18" s="36">
        <f t="shared" si="6"/>
        <v>1.0145</v>
      </c>
      <c r="D18" s="36">
        <f t="shared" si="6"/>
        <v>0.99109999999999998</v>
      </c>
      <c r="E18" s="36"/>
      <c r="F18" s="36"/>
      <c r="G18" s="36">
        <f t="shared" si="6"/>
        <v>0.75</v>
      </c>
      <c r="H18" s="36">
        <f t="shared" si="6"/>
        <v>1.0190999999999999</v>
      </c>
      <c r="I18" s="36">
        <f t="shared" si="6"/>
        <v>0.99629999999999996</v>
      </c>
      <c r="K18" s="36">
        <f t="shared" ref="K18:K27" si="7">K4/K3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x14ac:dyDescent="0.2">
      <c r="A19" s="50">
        <v>2010</v>
      </c>
      <c r="B19" s="36">
        <f t="shared" ref="B19:I19" si="8">ROUND((B5/B4),4)</f>
        <v>1.0164</v>
      </c>
      <c r="C19" s="36">
        <f t="shared" si="8"/>
        <v>1.0105999999999999</v>
      </c>
      <c r="D19" s="36">
        <f t="shared" si="8"/>
        <v>0.98409999999999997</v>
      </c>
      <c r="E19" s="36"/>
      <c r="F19" s="36"/>
      <c r="G19" s="36">
        <f t="shared" si="8"/>
        <v>0.33329999999999999</v>
      </c>
      <c r="H19" s="36">
        <f t="shared" si="8"/>
        <v>1.0147999999999999</v>
      </c>
      <c r="I19" s="36">
        <f t="shared" si="8"/>
        <v>0.99270000000000003</v>
      </c>
      <c r="K19" s="36">
        <f t="shared" si="7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x14ac:dyDescent="0.2">
      <c r="A20" s="50">
        <v>2011</v>
      </c>
      <c r="B20" s="36">
        <f t="shared" ref="B20:I20" si="9">ROUND((B6/B5),4)</f>
        <v>1.0162</v>
      </c>
      <c r="C20" s="36">
        <f t="shared" si="9"/>
        <v>1.0121</v>
      </c>
      <c r="D20" s="36">
        <f t="shared" si="9"/>
        <v>0.98580000000000001</v>
      </c>
      <c r="E20" s="36"/>
      <c r="F20" s="36"/>
      <c r="G20" s="36">
        <f t="shared" si="9"/>
        <v>2</v>
      </c>
      <c r="H20" s="36">
        <f t="shared" si="9"/>
        <v>0.99619999999999997</v>
      </c>
      <c r="I20" s="36">
        <f t="shared" si="9"/>
        <v>1.0369999999999999</v>
      </c>
      <c r="K20" s="36">
        <f t="shared" si="7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x14ac:dyDescent="0.2">
      <c r="A21" s="50">
        <v>2012</v>
      </c>
      <c r="B21" s="36">
        <f t="shared" ref="B21:I21" si="10">ROUND((B7/B6),4)</f>
        <v>1.0157</v>
      </c>
      <c r="C21" s="36">
        <f t="shared" si="10"/>
        <v>1.0142</v>
      </c>
      <c r="D21" s="36">
        <f t="shared" si="10"/>
        <v>0.97130000000000005</v>
      </c>
      <c r="E21" s="36"/>
      <c r="F21" s="36"/>
      <c r="G21" s="36">
        <f t="shared" ref="G21:G27" si="11">ROUND((G7/G6),4)</f>
        <v>1</v>
      </c>
      <c r="H21" s="36">
        <f t="shared" si="10"/>
        <v>1.0032000000000001</v>
      </c>
      <c r="I21" s="36">
        <f t="shared" si="10"/>
        <v>1.0329999999999999</v>
      </c>
      <c r="K21" s="36">
        <f t="shared" si="7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x14ac:dyDescent="0.2">
      <c r="A22" s="50">
        <v>2013</v>
      </c>
      <c r="B22" s="36">
        <f t="shared" ref="B22:I22" si="12">ROUND((B8/B7),4)</f>
        <v>1.0112000000000001</v>
      </c>
      <c r="C22" s="36">
        <f t="shared" si="12"/>
        <v>1.0055000000000001</v>
      </c>
      <c r="D22" s="36">
        <f t="shared" si="12"/>
        <v>0.99790000000000001</v>
      </c>
      <c r="E22" s="36">
        <f t="shared" ref="E22" si="13">ROUND((E8/E7),4)</f>
        <v>1</v>
      </c>
      <c r="F22" s="36">
        <f t="shared" ref="F22:F27" si="14">ROUND((F8/F7),4)</f>
        <v>1</v>
      </c>
      <c r="G22" s="36">
        <f t="shared" si="11"/>
        <v>1.5</v>
      </c>
      <c r="H22" s="36">
        <f t="shared" si="12"/>
        <v>0.98599999999999999</v>
      </c>
      <c r="I22" s="36">
        <f t="shared" si="12"/>
        <v>0.97089999999999999</v>
      </c>
      <c r="K22" s="36">
        <f t="shared" si="7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x14ac:dyDescent="0.2">
      <c r="A23" s="50">
        <v>2014</v>
      </c>
      <c r="B23" s="36">
        <f t="shared" ref="B23:I23" si="15">ROUND((B9/B8),4)</f>
        <v>1.0121</v>
      </c>
      <c r="C23" s="36">
        <f t="shared" si="15"/>
        <v>1.0074000000000001</v>
      </c>
      <c r="D23" s="36">
        <f t="shared" si="15"/>
        <v>0.99370000000000003</v>
      </c>
      <c r="E23" s="36">
        <f t="shared" ref="E23" si="16">ROUND((E9/E8),4)</f>
        <v>1</v>
      </c>
      <c r="F23" s="36">
        <f t="shared" si="14"/>
        <v>1</v>
      </c>
      <c r="G23" s="36">
        <f t="shared" si="11"/>
        <v>0.66669999999999996</v>
      </c>
      <c r="H23" s="36">
        <f t="shared" si="15"/>
        <v>1.0419</v>
      </c>
      <c r="I23" s="36">
        <f t="shared" si="15"/>
        <v>1.0394000000000001</v>
      </c>
      <c r="K23" s="36">
        <f t="shared" si="7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50">
        <v>2015</v>
      </c>
      <c r="B24" s="36">
        <f t="shared" ref="B24:I24" si="17">ROUND((B10/B9),4)</f>
        <v>1.0150999999999999</v>
      </c>
      <c r="C24" s="36">
        <f t="shared" si="17"/>
        <v>1.0066999999999999</v>
      </c>
      <c r="D24" s="36">
        <f t="shared" si="17"/>
        <v>0.99470000000000003</v>
      </c>
      <c r="E24" s="36">
        <f t="shared" ref="E24" si="18">ROUND((E10/E9),4)</f>
        <v>1</v>
      </c>
      <c r="F24" s="36">
        <f t="shared" si="14"/>
        <v>1</v>
      </c>
      <c r="G24" s="36">
        <f t="shared" si="11"/>
        <v>0.5</v>
      </c>
      <c r="H24" s="36">
        <f t="shared" si="17"/>
        <v>1.0129999999999999</v>
      </c>
      <c r="I24" s="36">
        <f t="shared" si="17"/>
        <v>1.0163</v>
      </c>
      <c r="K24" s="36">
        <f t="shared" si="7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A25" s="50">
        <v>2016</v>
      </c>
      <c r="B25" s="36">
        <f t="shared" ref="B25:I25" si="19">ROUND((B11/B10),4)</f>
        <v>1.0170999999999999</v>
      </c>
      <c r="C25" s="36">
        <f t="shared" si="19"/>
        <v>1.0063</v>
      </c>
      <c r="D25" s="36">
        <f t="shared" si="19"/>
        <v>1.0011000000000001</v>
      </c>
      <c r="E25" s="36">
        <f t="shared" ref="E25" si="20">ROUND((E11/E10),4)</f>
        <v>1</v>
      </c>
      <c r="F25" s="36">
        <f t="shared" si="14"/>
        <v>1</v>
      </c>
      <c r="G25" s="36">
        <f t="shared" si="11"/>
        <v>1</v>
      </c>
      <c r="H25" s="36">
        <f t="shared" si="19"/>
        <v>1.0098</v>
      </c>
      <c r="I25" s="36">
        <f t="shared" si="19"/>
        <v>0.97230000000000005</v>
      </c>
      <c r="K25" s="36">
        <f t="shared" si="7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">
      <c r="A26" s="50">
        <v>2017</v>
      </c>
      <c r="B26" s="36">
        <f t="shared" ref="B26:I26" si="21">ROUND((B12/B11),4)</f>
        <v>1.0181</v>
      </c>
      <c r="C26" s="36">
        <f t="shared" si="21"/>
        <v>1.0116000000000001</v>
      </c>
      <c r="D26" s="36">
        <f t="shared" si="21"/>
        <v>0.96789999999999998</v>
      </c>
      <c r="E26" s="36">
        <f t="shared" ref="E26" si="22">ROUND((E12/E11),4)</f>
        <v>1</v>
      </c>
      <c r="F26" s="143">
        <f t="shared" si="14"/>
        <v>27</v>
      </c>
      <c r="G26" s="36">
        <f t="shared" si="11"/>
        <v>1</v>
      </c>
      <c r="H26" s="36">
        <f t="shared" si="21"/>
        <v>1.026</v>
      </c>
      <c r="I26" s="36">
        <f t="shared" si="21"/>
        <v>1.0227999999999999</v>
      </c>
      <c r="K26" s="36">
        <f t="shared" si="7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50">
        <v>2018</v>
      </c>
      <c r="B27" s="36">
        <f t="shared" ref="B27:I27" si="23">ROUND((B13/B12),4)</f>
        <v>1.0155000000000001</v>
      </c>
      <c r="C27" s="36">
        <f t="shared" si="23"/>
        <v>1.0059</v>
      </c>
      <c r="D27" s="36">
        <f t="shared" si="23"/>
        <v>1.0065999999999999</v>
      </c>
      <c r="E27" s="36">
        <f t="shared" ref="E27" si="24">ROUND((E13/E12),4)</f>
        <v>1.25</v>
      </c>
      <c r="F27" s="36">
        <f t="shared" si="14"/>
        <v>1.2593000000000001</v>
      </c>
      <c r="G27" s="36">
        <f t="shared" si="11"/>
        <v>1</v>
      </c>
      <c r="H27" s="36">
        <f t="shared" si="23"/>
        <v>0.98229999999999995</v>
      </c>
      <c r="I27" s="36">
        <f t="shared" si="23"/>
        <v>1.0507</v>
      </c>
      <c r="K27" s="36">
        <f t="shared" si="7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">
      <c r="A28" s="50"/>
      <c r="B28" s="36"/>
      <c r="C28" s="36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50"/>
      <c r="B29" s="36"/>
      <c r="C29" s="36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43"/>
      <c r="R29" s="43"/>
      <c r="S29" s="43"/>
    </row>
    <row r="31" spans="1:19" x14ac:dyDescent="0.2">
      <c r="A31" s="50" t="s">
        <v>77</v>
      </c>
      <c r="B31" s="60">
        <v>1.014</v>
      </c>
      <c r="C31" s="60">
        <f t="shared" ref="C31:I31" si="25">C33</f>
        <v>1.0095000000000001</v>
      </c>
      <c r="D31" s="60">
        <f t="shared" si="25"/>
        <v>0.99360000000000004</v>
      </c>
      <c r="E31" s="60">
        <v>1</v>
      </c>
      <c r="F31" s="60">
        <v>1</v>
      </c>
      <c r="G31" s="60">
        <f>G33</f>
        <v>0.87050000000000005</v>
      </c>
      <c r="H31" s="60">
        <f t="shared" si="25"/>
        <v>1.0091000000000001</v>
      </c>
      <c r="I31" s="60">
        <f t="shared" si="25"/>
        <v>1.0127999999999999</v>
      </c>
      <c r="J31" s="18"/>
      <c r="K31" s="60">
        <f>K33</f>
        <v>1</v>
      </c>
    </row>
    <row r="32" spans="1:19" x14ac:dyDescent="0.2">
      <c r="A32" s="50"/>
      <c r="B32" s="38"/>
      <c r="C32" s="38"/>
      <c r="D32" s="38"/>
      <c r="E32" s="38"/>
      <c r="F32" s="38"/>
      <c r="G32" s="38"/>
      <c r="H32" s="38"/>
      <c r="I32" s="38"/>
      <c r="K32" s="38"/>
    </row>
    <row r="33" spans="1:11" x14ac:dyDescent="0.2">
      <c r="A33" s="50" t="s">
        <v>60</v>
      </c>
      <c r="B33" s="38">
        <f t="shared" ref="B33:I33" si="26">ROUND((GEOMEAN(B18:B27)),4)</f>
        <v>1.0152000000000001</v>
      </c>
      <c r="C33" s="38">
        <f t="shared" si="26"/>
        <v>1.0095000000000001</v>
      </c>
      <c r="D33" s="38">
        <f>ROUND((GEOMEAN(D22:D27)),4)</f>
        <v>0.99360000000000004</v>
      </c>
      <c r="E33" s="38">
        <f>ROUND((GEOMEAN(E22:E27)),4)</f>
        <v>1.0379</v>
      </c>
      <c r="F33" s="38">
        <f>ROUND((GEOMEAN(F22:F27)),4)</f>
        <v>1.7999000000000001</v>
      </c>
      <c r="G33" s="38">
        <f>ROUND((GEOMEAN(G18:G27)),4)</f>
        <v>0.87050000000000005</v>
      </c>
      <c r="H33" s="38">
        <f t="shared" si="26"/>
        <v>1.0091000000000001</v>
      </c>
      <c r="I33" s="38">
        <f t="shared" si="26"/>
        <v>1.0127999999999999</v>
      </c>
      <c r="K33" s="38">
        <f>GEOMEAN(K18:K27)</f>
        <v>1</v>
      </c>
    </row>
    <row r="34" spans="1:11" x14ac:dyDescent="0.2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">
      <c r="B42" s="38"/>
      <c r="C42" s="38"/>
      <c r="D42" s="38"/>
      <c r="E42" s="38"/>
      <c r="F42" s="38"/>
      <c r="G42" s="38"/>
      <c r="H42" s="38"/>
      <c r="I42" s="38"/>
    </row>
    <row r="43" spans="1:11" x14ac:dyDescent="0.2">
      <c r="B43" s="38"/>
      <c r="C43" s="38"/>
      <c r="D43" s="38"/>
      <c r="E43" s="38"/>
      <c r="F43" s="38"/>
      <c r="G43" s="38"/>
      <c r="H43" s="38"/>
      <c r="I43" s="38"/>
    </row>
    <row r="44" spans="1:11" x14ac:dyDescent="0.2">
      <c r="B44" s="38"/>
      <c r="C44" s="38"/>
      <c r="D44" s="38"/>
      <c r="E44" s="38"/>
      <c r="F44" s="38"/>
      <c r="G44" s="38"/>
      <c r="H44" s="38"/>
      <c r="I44" s="38"/>
    </row>
    <row r="45" spans="1:11" x14ac:dyDescent="0.2">
      <c r="B45" s="38"/>
      <c r="C45" s="38"/>
      <c r="D45" s="38"/>
      <c r="E45" s="38"/>
      <c r="F45" s="38"/>
      <c r="G45" s="38"/>
      <c r="H45" s="38"/>
      <c r="I45" s="38"/>
    </row>
    <row r="46" spans="1:11" x14ac:dyDescent="0.2">
      <c r="B46" s="38"/>
      <c r="C46" s="38"/>
      <c r="D46" s="38"/>
      <c r="E46" s="38"/>
      <c r="F46" s="38"/>
      <c r="G46" s="38"/>
      <c r="H46" s="38"/>
      <c r="I46" s="38"/>
    </row>
    <row r="47" spans="1:11" x14ac:dyDescent="0.2">
      <c r="B47" s="38"/>
      <c r="C47" s="38"/>
      <c r="D47" s="38"/>
      <c r="E47" s="38"/>
      <c r="F47" s="38"/>
      <c r="G47" s="38"/>
      <c r="H47" s="38"/>
      <c r="I47" s="38"/>
    </row>
    <row r="48" spans="1:11" x14ac:dyDescent="0.2">
      <c r="B48" s="38"/>
      <c r="C48" s="38"/>
      <c r="D48" s="38"/>
      <c r="E48" s="38"/>
      <c r="F48" s="38"/>
      <c r="G48" s="38"/>
      <c r="H48" s="38"/>
      <c r="I48" s="38"/>
    </row>
    <row r="49" spans="2:9" x14ac:dyDescent="0.2">
      <c r="B49" s="38"/>
      <c r="C49" s="38"/>
      <c r="D49" s="38"/>
      <c r="E49" s="38"/>
      <c r="F49" s="38"/>
      <c r="G49" s="38"/>
      <c r="H49" s="38"/>
      <c r="I49" s="38"/>
    </row>
    <row r="50" spans="2:9" x14ac:dyDescent="0.2">
      <c r="B50" s="38"/>
      <c r="C50" s="38"/>
      <c r="D50" s="38"/>
      <c r="E50" s="38"/>
      <c r="F50" s="38"/>
      <c r="G50" s="38"/>
      <c r="H50" s="38"/>
      <c r="I50" s="38"/>
    </row>
    <row r="51" spans="2:9" x14ac:dyDescent="0.2">
      <c r="B51" s="38"/>
      <c r="C51" s="38"/>
      <c r="D51" s="38"/>
      <c r="E51" s="38"/>
      <c r="F51" s="38"/>
      <c r="G51" s="38"/>
      <c r="H51" s="38"/>
      <c r="I51" s="38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  <row r="55" spans="2:9" x14ac:dyDescent="0.2">
      <c r="B55" s="38"/>
      <c r="C55" s="38"/>
      <c r="D55" s="38"/>
      <c r="E55" s="38"/>
      <c r="F55" s="38"/>
      <c r="G55" s="38"/>
      <c r="H55" s="38"/>
      <c r="I55" s="38"/>
    </row>
    <row r="56" spans="2:9" x14ac:dyDescent="0.2">
      <c r="B56" s="38"/>
      <c r="C56" s="38"/>
      <c r="D56" s="38"/>
      <c r="E56" s="38"/>
      <c r="F56" s="38"/>
      <c r="G56" s="38"/>
      <c r="H56" s="38"/>
      <c r="I56" s="38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  <row r="58" spans="2:9" x14ac:dyDescent="0.2">
      <c r="B58" s="38"/>
      <c r="C58" s="38"/>
      <c r="D58" s="38"/>
      <c r="E58" s="38"/>
      <c r="F58" s="38"/>
      <c r="G58" s="38"/>
      <c r="H58" s="38"/>
      <c r="I58" s="38"/>
    </row>
    <row r="59" spans="2:9" x14ac:dyDescent="0.2">
      <c r="B59" s="38"/>
      <c r="C59" s="38"/>
      <c r="D59" s="38"/>
      <c r="E59" s="38"/>
      <c r="F59" s="38"/>
      <c r="G59" s="38"/>
      <c r="H59" s="38"/>
      <c r="I59" s="38"/>
    </row>
    <row r="60" spans="2:9" x14ac:dyDescent="0.2">
      <c r="B60" s="38"/>
      <c r="C60" s="38"/>
      <c r="H60" s="38"/>
      <c r="I60" s="38"/>
    </row>
    <row r="66" spans="2:9" x14ac:dyDescent="0.2">
      <c r="D66" s="52"/>
      <c r="E66" s="52"/>
      <c r="F66" s="52"/>
      <c r="G66" s="52"/>
    </row>
    <row r="67" spans="2:9" x14ac:dyDescent="0.2">
      <c r="B67" s="52"/>
      <c r="C67" s="52"/>
      <c r="D67" s="52"/>
      <c r="E67" s="52"/>
      <c r="F67" s="52"/>
      <c r="G67" s="52"/>
      <c r="H67" s="52"/>
      <c r="I67" s="52"/>
    </row>
    <row r="68" spans="2:9" x14ac:dyDescent="0.2">
      <c r="B68" s="52"/>
      <c r="C68" s="52"/>
      <c r="H68" s="52"/>
      <c r="I68" s="52"/>
    </row>
    <row r="86" spans="2:9" x14ac:dyDescent="0.2">
      <c r="D86" s="53"/>
      <c r="E86" s="53"/>
      <c r="F86" s="53"/>
      <c r="G86" s="53"/>
    </row>
    <row r="87" spans="2:9" x14ac:dyDescent="0.2">
      <c r="B87" s="53"/>
      <c r="C87" s="53"/>
      <c r="D87" s="53"/>
      <c r="E87" s="53"/>
      <c r="F87" s="53"/>
      <c r="G87" s="53"/>
      <c r="H87" s="53"/>
      <c r="I87" s="53"/>
    </row>
    <row r="88" spans="2:9" x14ac:dyDescent="0.2">
      <c r="B88" s="53"/>
      <c r="C88" s="53"/>
      <c r="H88" s="53"/>
      <c r="I88" s="53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B13" sqref="B13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6" t="s">
        <v>78</v>
      </c>
      <c r="B1" s="216"/>
      <c r="C1" s="216"/>
      <c r="D1" s="216"/>
    </row>
    <row r="2" spans="1:4" ht="15" x14ac:dyDescent="0.25">
      <c r="A2" s="124" t="s">
        <v>79</v>
      </c>
      <c r="B2" s="124" t="s">
        <v>80</v>
      </c>
      <c r="C2" s="125" t="s">
        <v>81</v>
      </c>
      <c r="D2" s="125" t="s">
        <v>82</v>
      </c>
    </row>
    <row r="3" spans="1:4" ht="14.25" x14ac:dyDescent="0.2">
      <c r="A3" s="191">
        <v>2009</v>
      </c>
      <c r="B3" s="192">
        <v>49918.169999999991</v>
      </c>
      <c r="C3" s="192">
        <v>22622441.550000001</v>
      </c>
      <c r="D3" s="192">
        <f>ROUND((C3/12),2)</f>
        <v>1885203.46</v>
      </c>
    </row>
    <row r="4" spans="1:4" ht="14.25" x14ac:dyDescent="0.2">
      <c r="A4" s="191">
        <v>2010</v>
      </c>
      <c r="B4" s="192">
        <v>53143.520000000004</v>
      </c>
      <c r="C4" s="192">
        <v>24190281.489999998</v>
      </c>
      <c r="D4" s="192">
        <f t="shared" ref="D4:D14" si="0">ROUND((C4/12),2)</f>
        <v>2015856.79</v>
      </c>
    </row>
    <row r="5" spans="1:4" ht="14.25" x14ac:dyDescent="0.2">
      <c r="A5" s="191">
        <v>2011</v>
      </c>
      <c r="B5" s="192">
        <v>49138.899999999994</v>
      </c>
      <c r="C5" s="192">
        <v>21309995.489999998</v>
      </c>
      <c r="D5" s="192">
        <f t="shared" si="0"/>
        <v>1775832.96</v>
      </c>
    </row>
    <row r="6" spans="1:4" ht="14.25" x14ac:dyDescent="0.2">
      <c r="A6" s="191">
        <v>2012</v>
      </c>
      <c r="B6" s="192">
        <v>37866.879999999997</v>
      </c>
      <c r="C6" s="192">
        <v>17590423.550000001</v>
      </c>
      <c r="D6" s="192">
        <f t="shared" si="0"/>
        <v>1465868.63</v>
      </c>
    </row>
    <row r="7" spans="1:4" ht="14.25" x14ac:dyDescent="0.2">
      <c r="A7" s="191">
        <v>2013</v>
      </c>
      <c r="B7" s="192">
        <v>32780.5</v>
      </c>
      <c r="C7" s="192">
        <v>15021820.6</v>
      </c>
      <c r="D7" s="192">
        <f t="shared" si="0"/>
        <v>1251818.3799999999</v>
      </c>
    </row>
    <row r="8" spans="1:4" ht="14.25" x14ac:dyDescent="0.2">
      <c r="A8" s="191">
        <v>2014</v>
      </c>
      <c r="B8" s="192">
        <v>32611.380000000005</v>
      </c>
      <c r="C8" s="192">
        <v>14039293.18</v>
      </c>
      <c r="D8" s="192">
        <f t="shared" si="0"/>
        <v>1169941.1000000001</v>
      </c>
    </row>
    <row r="9" spans="1:4" ht="14.25" x14ac:dyDescent="0.2">
      <c r="A9" s="191">
        <v>2015</v>
      </c>
      <c r="B9" s="192">
        <v>49708.520000000004</v>
      </c>
      <c r="C9" s="192">
        <v>23075916.899999999</v>
      </c>
      <c r="D9" s="192">
        <f t="shared" si="0"/>
        <v>1922993.08</v>
      </c>
    </row>
    <row r="10" spans="1:4" ht="14.25" x14ac:dyDescent="0.2">
      <c r="A10" s="191">
        <v>2016</v>
      </c>
      <c r="B10" s="192">
        <v>49930.489999999991</v>
      </c>
      <c r="C10" s="192">
        <v>19564437.330000002</v>
      </c>
      <c r="D10" s="192">
        <f t="shared" si="0"/>
        <v>1630369.78</v>
      </c>
    </row>
    <row r="11" spans="1:4" ht="14.25" x14ac:dyDescent="0.2">
      <c r="A11" s="191">
        <v>2017</v>
      </c>
      <c r="B11" s="192">
        <v>44998.2</v>
      </c>
      <c r="C11" s="192">
        <v>20383811.499999996</v>
      </c>
      <c r="D11" s="192">
        <f t="shared" si="0"/>
        <v>1698650.96</v>
      </c>
    </row>
    <row r="12" spans="1:4" ht="14.25" x14ac:dyDescent="0.2">
      <c r="A12" s="191">
        <v>2018</v>
      </c>
      <c r="B12" s="192">
        <v>33065.300000000003</v>
      </c>
      <c r="C12" s="192">
        <v>12731868.73</v>
      </c>
      <c r="D12" s="192">
        <f t="shared" si="0"/>
        <v>1060989.06</v>
      </c>
    </row>
    <row r="13" spans="1:4" ht="14.25" x14ac:dyDescent="0.2">
      <c r="A13" s="191" t="s">
        <v>83</v>
      </c>
      <c r="B13" s="192">
        <f>ROUND((AVERAGE(B3:B12)),2)</f>
        <v>43316.19</v>
      </c>
      <c r="C13" s="192">
        <f>ROUND((AVERAGE(C3:C12)),2)</f>
        <v>19053029.030000001</v>
      </c>
      <c r="D13" s="192">
        <f t="shared" si="0"/>
        <v>1587752.42</v>
      </c>
    </row>
    <row r="14" spans="1:4" ht="14.25" x14ac:dyDescent="0.2">
      <c r="A14" s="191" t="s">
        <v>84</v>
      </c>
      <c r="B14" s="192">
        <f>ROUND((AVERAGE(B3:B12)),2)</f>
        <v>43316.19</v>
      </c>
      <c r="C14" s="192">
        <f>ROUND((AVERAGE(C3:C12)),2)</f>
        <v>19053029.030000001</v>
      </c>
      <c r="D14" s="192">
        <f t="shared" si="0"/>
        <v>1587752.42</v>
      </c>
    </row>
    <row r="15" spans="1:4" ht="14.25" x14ac:dyDescent="0.2">
      <c r="A15" s="191"/>
      <c r="B15" s="192"/>
      <c r="C15" s="192"/>
      <c r="D15" s="192"/>
    </row>
    <row r="16" spans="1:4" ht="14.25" x14ac:dyDescent="0.2">
      <c r="A16" s="191"/>
      <c r="B16" s="191"/>
      <c r="C16" s="193"/>
      <c r="D16" s="194"/>
    </row>
    <row r="17" spans="1:4" ht="14.25" x14ac:dyDescent="0.2">
      <c r="A17" s="191"/>
      <c r="B17" s="191"/>
      <c r="C17" s="193"/>
      <c r="D17" s="194"/>
    </row>
    <row r="18" spans="1:4" ht="15" x14ac:dyDescent="0.25">
      <c r="A18" s="124" t="s">
        <v>85</v>
      </c>
      <c r="B18" s="125" t="s">
        <v>86</v>
      </c>
      <c r="C18" s="125" t="s">
        <v>87</v>
      </c>
      <c r="D18" s="194"/>
    </row>
    <row r="19" spans="1:4" ht="14.25" x14ac:dyDescent="0.2">
      <c r="A19" s="195">
        <v>244192680</v>
      </c>
      <c r="B19" s="196">
        <v>37347</v>
      </c>
      <c r="C19" s="196">
        <v>38359</v>
      </c>
      <c r="D19" s="194"/>
    </row>
    <row r="20" spans="1:4" ht="14.25" x14ac:dyDescent="0.2">
      <c r="A20" s="195">
        <v>1000023320</v>
      </c>
      <c r="B20" s="196">
        <v>38360</v>
      </c>
      <c r="C20" s="196">
        <v>40908</v>
      </c>
      <c r="D20" s="194"/>
    </row>
    <row r="21" spans="1:4" ht="14.25" x14ac:dyDescent="0.2">
      <c r="A21" s="195">
        <v>1000023650</v>
      </c>
      <c r="B21" s="196">
        <v>40909</v>
      </c>
      <c r="C21" s="196">
        <v>41274</v>
      </c>
      <c r="D21" s="19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G15" sqref="G15:G16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3" t="s">
        <v>88</v>
      </c>
      <c r="B1" s="113"/>
      <c r="C1" s="113"/>
      <c r="D1" s="113"/>
      <c r="E1" s="113"/>
      <c r="F1" s="113"/>
    </row>
    <row r="2" spans="1:13" ht="42" customHeight="1" x14ac:dyDescent="0.2">
      <c r="B2" s="54" t="s">
        <v>46</v>
      </c>
      <c r="C2" s="54" t="s">
        <v>89</v>
      </c>
      <c r="D2" s="54" t="s">
        <v>90</v>
      </c>
      <c r="E2" s="54" t="s">
        <v>49</v>
      </c>
      <c r="F2" s="54" t="s">
        <v>50</v>
      </c>
      <c r="G2" s="54" t="s">
        <v>28</v>
      </c>
      <c r="H2" s="54" t="s">
        <v>91</v>
      </c>
      <c r="I2" s="54" t="s">
        <v>92</v>
      </c>
      <c r="J2" s="54"/>
    </row>
    <row r="3" spans="1:13" x14ac:dyDescent="0.2">
      <c r="A3" s="188">
        <v>2009</v>
      </c>
      <c r="B3" s="103">
        <v>2169096</v>
      </c>
      <c r="C3" s="103"/>
      <c r="D3" s="103"/>
      <c r="E3" s="103">
        <v>171311</v>
      </c>
      <c r="F3" s="103">
        <v>44226</v>
      </c>
      <c r="G3" s="103">
        <f t="shared" ref="G3:G12" si="0">SUM(B3:F3)</f>
        <v>2384633</v>
      </c>
      <c r="H3" s="103">
        <v>1029080.11</v>
      </c>
      <c r="I3" s="103">
        <v>171310.71</v>
      </c>
      <c r="J3" s="51">
        <f>(H3+C3)/B3</f>
        <v>0.47442810737745122</v>
      </c>
    </row>
    <row r="4" spans="1:13" x14ac:dyDescent="0.2">
      <c r="A4" s="188">
        <v>2010</v>
      </c>
      <c r="B4" s="103">
        <v>2260312</v>
      </c>
      <c r="C4" s="103"/>
      <c r="D4" s="103"/>
      <c r="E4" s="103">
        <v>95621</v>
      </c>
      <c r="F4" s="103">
        <v>44895</v>
      </c>
      <c r="G4" s="103">
        <f t="shared" si="0"/>
        <v>2400828</v>
      </c>
      <c r="H4" s="103">
        <v>1114073.81</v>
      </c>
      <c r="I4" s="103">
        <v>95621.02</v>
      </c>
      <c r="J4" s="51">
        <f t="shared" ref="J4:J12" si="1">(H4+C4)/B4</f>
        <v>0.49288496897773409</v>
      </c>
    </row>
    <row r="5" spans="1:13" x14ac:dyDescent="0.2">
      <c r="A5" s="188">
        <v>2011</v>
      </c>
      <c r="B5" s="103">
        <v>2244883</v>
      </c>
      <c r="C5" s="103"/>
      <c r="D5" s="103"/>
      <c r="E5" s="103">
        <v>105771</v>
      </c>
      <c r="F5" s="103">
        <v>44252</v>
      </c>
      <c r="G5" s="103">
        <f t="shared" si="0"/>
        <v>2394906</v>
      </c>
      <c r="H5" s="103">
        <v>1109674.6200000001</v>
      </c>
      <c r="I5" s="103">
        <v>105771.07</v>
      </c>
      <c r="J5" s="51">
        <f t="shared" si="1"/>
        <v>0.49431289737594347</v>
      </c>
    </row>
    <row r="6" spans="1:13" x14ac:dyDescent="0.2">
      <c r="A6" s="188">
        <v>2012</v>
      </c>
      <c r="B6" s="103">
        <f>2227931-C6-D6</f>
        <v>2191041.8129999996</v>
      </c>
      <c r="C6" s="103">
        <v>4890.768</v>
      </c>
      <c r="D6" s="103">
        <v>31998.419000000002</v>
      </c>
      <c r="E6" s="103">
        <v>136790</v>
      </c>
      <c r="F6" s="103">
        <v>44229</v>
      </c>
      <c r="G6" s="103">
        <f t="shared" si="0"/>
        <v>2408950</v>
      </c>
      <c r="H6" s="103">
        <v>1090918.6399999999</v>
      </c>
      <c r="I6" s="103">
        <v>136790.35999999999</v>
      </c>
      <c r="J6" s="51">
        <f t="shared" si="1"/>
        <v>0.50013167320600105</v>
      </c>
    </row>
    <row r="7" spans="1:13" x14ac:dyDescent="0.2">
      <c r="A7" s="188">
        <v>2013</v>
      </c>
      <c r="B7" s="103">
        <f>2225335.99-C7-D7</f>
        <v>2172493.1097000004</v>
      </c>
      <c r="C7" s="103">
        <v>36056.200400000002</v>
      </c>
      <c r="D7" s="103">
        <v>16786.679899999999</v>
      </c>
      <c r="E7" s="103">
        <v>181960.6</v>
      </c>
      <c r="F7" s="103">
        <v>44582.02</v>
      </c>
      <c r="G7" s="103">
        <f t="shared" si="0"/>
        <v>2451878.6100000003</v>
      </c>
      <c r="H7" s="103">
        <v>1097384.2276999999</v>
      </c>
      <c r="I7" s="103">
        <v>181960.59980000003</v>
      </c>
      <c r="J7" s="51">
        <f t="shared" si="1"/>
        <v>0.5217233707390293</v>
      </c>
    </row>
    <row r="8" spans="1:13" x14ac:dyDescent="0.2">
      <c r="A8" s="188">
        <v>2014</v>
      </c>
      <c r="B8" s="103">
        <f>2159270.96-C8-D8</f>
        <v>2072802.4709999999</v>
      </c>
      <c r="C8" s="103">
        <v>31006.339600000003</v>
      </c>
      <c r="D8" s="103">
        <v>55462.149399999995</v>
      </c>
      <c r="E8" s="103">
        <v>126219.41</v>
      </c>
      <c r="F8" s="103">
        <v>44711.85</v>
      </c>
      <c r="G8" s="103">
        <f t="shared" si="0"/>
        <v>2330202.2200000002</v>
      </c>
      <c r="H8" s="103">
        <v>1057011.3</v>
      </c>
      <c r="I8" s="103">
        <v>126219.41179999997</v>
      </c>
      <c r="J8" s="51">
        <f t="shared" si="1"/>
        <v>0.52490174766874842</v>
      </c>
    </row>
    <row r="9" spans="1:13" x14ac:dyDescent="0.2">
      <c r="A9" s="188">
        <v>2015</v>
      </c>
      <c r="B9" s="103">
        <f>2147080.08-C9-D9</f>
        <v>2063302.6587</v>
      </c>
      <c r="C9" s="103">
        <v>30561.897200000003</v>
      </c>
      <c r="D9" s="103">
        <v>53215.524099999995</v>
      </c>
      <c r="E9" s="103">
        <v>62997.91</v>
      </c>
      <c r="F9" s="103">
        <v>45213.11</v>
      </c>
      <c r="G9" s="103">
        <f t="shared" si="0"/>
        <v>2255291.1</v>
      </c>
      <c r="H9" s="103">
        <v>1071480.1832999999</v>
      </c>
      <c r="I9" s="103">
        <v>74090.267500000002</v>
      </c>
      <c r="J9" s="51">
        <f t="shared" si="1"/>
        <v>0.53411557235832297</v>
      </c>
    </row>
    <row r="10" spans="1:13" x14ac:dyDescent="0.2">
      <c r="A10" s="188">
        <v>2016</v>
      </c>
      <c r="B10" s="103">
        <f>2170742.11-C10-D10</f>
        <v>2088279.5105999999</v>
      </c>
      <c r="C10" s="103">
        <v>31132.920500000004</v>
      </c>
      <c r="D10" s="103">
        <v>51329.678899999992</v>
      </c>
      <c r="E10" s="103">
        <v>62931.33</v>
      </c>
      <c r="F10" s="103">
        <v>45218.23</v>
      </c>
      <c r="G10" s="103">
        <f t="shared" si="0"/>
        <v>2278891.67</v>
      </c>
      <c r="H10" s="103">
        <v>1072433.5667000001</v>
      </c>
      <c r="I10" s="103">
        <v>62478.332399999992</v>
      </c>
      <c r="J10" s="51">
        <f t="shared" si="1"/>
        <v>0.52845726905730439</v>
      </c>
    </row>
    <row r="11" spans="1:13" x14ac:dyDescent="0.2">
      <c r="A11" s="188">
        <v>2017</v>
      </c>
      <c r="B11" s="103">
        <f>2109153.15-C11-D11</f>
        <v>1832120.3498</v>
      </c>
      <c r="C11" s="103">
        <v>30205.531800000008</v>
      </c>
      <c r="D11" s="103">
        <v>246827.2684</v>
      </c>
      <c r="E11" s="103">
        <v>58806.46</v>
      </c>
      <c r="F11" s="103">
        <v>42035.72</v>
      </c>
      <c r="G11" s="103">
        <f t="shared" si="0"/>
        <v>2209995.33</v>
      </c>
      <c r="H11" s="103">
        <v>1056503.9194999998</v>
      </c>
      <c r="I11" s="103">
        <v>58119.461999999992</v>
      </c>
      <c r="J11" s="51">
        <f t="shared" si="1"/>
        <v>0.59314304948287289</v>
      </c>
    </row>
    <row r="12" spans="1:13" x14ac:dyDescent="0.2">
      <c r="A12" s="188">
        <v>2018</v>
      </c>
      <c r="B12" s="103">
        <f>2202763.0515-C12-D12</f>
        <v>1663598.9622000002</v>
      </c>
      <c r="C12" s="103">
        <v>34080.072999999997</v>
      </c>
      <c r="D12" s="103">
        <v>505084.01630000002</v>
      </c>
      <c r="E12" s="103">
        <v>69010.508700000006</v>
      </c>
      <c r="F12" s="103">
        <v>20808.9388</v>
      </c>
      <c r="G12" s="103">
        <f t="shared" si="0"/>
        <v>2292582.4990000003</v>
      </c>
      <c r="H12" s="103">
        <v>1081229.5778000001</v>
      </c>
      <c r="I12" s="103">
        <v>68264.508699999991</v>
      </c>
      <c r="J12" s="51">
        <f t="shared" si="1"/>
        <v>0.67041978033280125</v>
      </c>
    </row>
    <row r="13" spans="1:13" x14ac:dyDescent="0.2">
      <c r="A13" s="188">
        <v>2019</v>
      </c>
      <c r="B13" s="104">
        <f>ROUND((Energy!J83*Load!B31),4)</f>
        <v>1524795.4236000001</v>
      </c>
      <c r="C13" s="104">
        <f>+C12</f>
        <v>34080.072999999997</v>
      </c>
      <c r="D13" s="104">
        <f>ROUND((Energy!L63*Load!D31),4)</f>
        <v>499673.06400000001</v>
      </c>
      <c r="E13" s="104">
        <f>ROUND((Energy!M63*Load!E31),4)</f>
        <v>68382.8269</v>
      </c>
      <c r="F13" s="104">
        <f>ROUND((Energy!N63*Load!F31),4)</f>
        <v>20613.041099999999</v>
      </c>
      <c r="G13" s="104">
        <f>ROUND((SUM(B13:F13)),4)</f>
        <v>2147544.4286000002</v>
      </c>
      <c r="H13" s="104">
        <f>ROUND(((B13+C13+D13)*J13),4)</f>
        <v>1098136.5249000001</v>
      </c>
      <c r="I13" s="104">
        <f>ROUND((E13),4)</f>
        <v>68382.8269</v>
      </c>
      <c r="J13" s="51">
        <f>AVERAGE(J3:J12)</f>
        <v>0.53345184365762077</v>
      </c>
      <c r="L13" s="73">
        <f>ROUND((B14+C14),4)</f>
        <v>1504555.3754</v>
      </c>
      <c r="M13" s="48" t="s">
        <v>93</v>
      </c>
    </row>
    <row r="14" spans="1:13" x14ac:dyDescent="0.2">
      <c r="A14" s="188">
        <v>2020</v>
      </c>
      <c r="B14" s="104">
        <f>ROUND((Energy!J84*Load!B31),4)</f>
        <v>1470475.3023999999</v>
      </c>
      <c r="C14" s="104">
        <f>+C13</f>
        <v>34080.072999999997</v>
      </c>
      <c r="D14" s="104">
        <f>ROUND((Energy!L64*Load!D31),4)</f>
        <v>502671.10230000003</v>
      </c>
      <c r="E14" s="104">
        <f>ROUND((Energy!M64*Load!E31),4)</f>
        <v>70126.589000000007</v>
      </c>
      <c r="F14" s="104">
        <f>ROUND((Energy!N64*Load!F31),4)</f>
        <v>20391.435300000001</v>
      </c>
      <c r="G14" s="104">
        <f>ROUND((SUM(B14:F14)),4)</f>
        <v>2097744.5019999999</v>
      </c>
      <c r="H14" s="104">
        <f>ROUND(((B14+C14+D14)*J13),4)</f>
        <v>1070758.6651999999</v>
      </c>
      <c r="I14" s="104">
        <f>ROUND((E14),4)</f>
        <v>70126.589000000007</v>
      </c>
      <c r="J14" s="51">
        <f>AVERAGE(J4:J13)</f>
        <v>0.53935421728563782</v>
      </c>
      <c r="L14" s="73">
        <f>ROUND((B14+C14+D14),4)</f>
        <v>2007226.4776999999</v>
      </c>
      <c r="M14" s="48" t="s">
        <v>94</v>
      </c>
    </row>
    <row r="15" spans="1:13" x14ac:dyDescent="0.2">
      <c r="A15" s="41"/>
      <c r="E15" s="55"/>
      <c r="G15" s="37">
        <f>ROUND((ED!B14),4)</f>
        <v>43316.19</v>
      </c>
      <c r="I15" s="1"/>
      <c r="L15" s="113"/>
    </row>
    <row r="16" spans="1:13" x14ac:dyDescent="0.2">
      <c r="A16" s="41" t="s">
        <v>95</v>
      </c>
      <c r="B16" s="40"/>
      <c r="E16" s="40"/>
      <c r="F16" s="40"/>
      <c r="G16" s="37">
        <f>ROUND((G14+G15),4)</f>
        <v>2141060.6919999998</v>
      </c>
      <c r="I16" s="1"/>
    </row>
    <row r="17" spans="1:12" x14ac:dyDescent="0.2">
      <c r="A17" s="190">
        <v>2009</v>
      </c>
      <c r="B17" s="55">
        <f>+B3/Energy!I6</f>
        <v>2.642274511612796E-3</v>
      </c>
      <c r="C17" s="55"/>
      <c r="D17" s="55"/>
      <c r="E17" s="55">
        <f>+E3/Energy!L6</f>
        <v>2.1461523606441978E-3</v>
      </c>
      <c r="F17" s="55">
        <f>+F3/Energy!M6</f>
        <v>2.7778555929640725E-3</v>
      </c>
      <c r="H17" s="55"/>
      <c r="I17" s="55"/>
      <c r="L17" s="176">
        <f>(B3+C3+D3)/(Energy!I6+Energy!J6+Energy!K6)</f>
        <v>2.642274511612796E-3</v>
      </c>
    </row>
    <row r="18" spans="1:12" x14ac:dyDescent="0.2">
      <c r="A18" s="190">
        <v>2010</v>
      </c>
      <c r="B18" s="55">
        <f>+B4/Energy!I7</f>
        <v>2.5776612434298585E-3</v>
      </c>
      <c r="C18" s="55"/>
      <c r="D18" s="55"/>
      <c r="E18" s="55">
        <f>+E4/Energy!L7</f>
        <v>2.0535557089132192E-3</v>
      </c>
      <c r="F18" s="55">
        <f>+F4/Energy!M7</f>
        <v>2.7997924804664663E-3</v>
      </c>
      <c r="H18" s="55"/>
      <c r="I18" s="55"/>
      <c r="J18" s="141"/>
      <c r="L18" s="176">
        <f>(B4+C4+D4)/(Energy!I7+Energy!J7+Energy!K7)</f>
        <v>2.5776612434298585E-3</v>
      </c>
    </row>
    <row r="19" spans="1:12" x14ac:dyDescent="0.2">
      <c r="A19" s="190">
        <v>2011</v>
      </c>
      <c r="B19" s="55">
        <f>+B5/Energy!I8</f>
        <v>2.576611271021607E-3</v>
      </c>
      <c r="C19" s="55"/>
      <c r="D19" s="55"/>
      <c r="E19" s="55">
        <f>+E5/Energy!L8</f>
        <v>1.8882530047298353E-3</v>
      </c>
      <c r="F19" s="55">
        <f>+F5/Energy!M8</f>
        <v>2.7906006475918867E-3</v>
      </c>
      <c r="H19" s="55"/>
      <c r="I19" s="55"/>
      <c r="L19" s="176">
        <f>(B5+C5+D5)/(Energy!I8+Energy!J8+Energy!K8)</f>
        <v>2.576611271021607E-3</v>
      </c>
    </row>
    <row r="20" spans="1:12" x14ac:dyDescent="0.2">
      <c r="A20" s="190">
        <v>2012</v>
      </c>
      <c r="B20" s="55">
        <f>+B6/Energy!I9</f>
        <v>2.6217520613837516E-3</v>
      </c>
      <c r="C20" s="55">
        <f>+C6/Energy!J9</f>
        <v>1.9262127734185591E-3</v>
      </c>
      <c r="D20" s="55">
        <f>+D6/Energy!K9</f>
        <v>2.5531764360811021E-3</v>
      </c>
      <c r="E20" s="55">
        <f>+E6/Energy!L9</f>
        <v>1.9722772135614469E-3</v>
      </c>
      <c r="F20" s="55">
        <f>+F6/Energy!M9</f>
        <v>2.7741083968947596E-3</v>
      </c>
      <c r="H20" s="55"/>
      <c r="I20" s="55"/>
      <c r="L20" s="176">
        <f>(B6+C6+D6)/(Energy!I9+Energy!J9+Energy!K9)</f>
        <v>2.6186661485402361E-3</v>
      </c>
    </row>
    <row r="21" spans="1:12" x14ac:dyDescent="0.2">
      <c r="A21" s="190">
        <v>2013</v>
      </c>
      <c r="B21" s="55">
        <f>+B7/Energy!I10</f>
        <v>2.7163213752015298E-3</v>
      </c>
      <c r="C21" s="55">
        <f>+C7/Energy!J10</f>
        <v>2.0242948661780644E-3</v>
      </c>
      <c r="D21" s="55">
        <f>+D7/Energy!K10</f>
        <v>2.8171819151831998E-3</v>
      </c>
      <c r="E21" s="55">
        <f>+E7/Energy!L10</f>
        <v>2.0559207695721965E-3</v>
      </c>
      <c r="F21" s="55">
        <f>+F7/Energy!M10</f>
        <v>2.7893495256385578E-3</v>
      </c>
      <c r="H21" s="55"/>
      <c r="I21" s="55"/>
      <c r="L21" s="176">
        <f>(B7+C7+D7)/(Energy!I10+Energy!J10+Energy!K10)</f>
        <v>2.7020842138757968E-3</v>
      </c>
    </row>
    <row r="22" spans="1:12" x14ac:dyDescent="0.2">
      <c r="A22" s="190">
        <v>2014</v>
      </c>
      <c r="B22" s="55">
        <f>+B8/Energy!I11</f>
        <v>2.5999150247194573E-3</v>
      </c>
      <c r="C22" s="55">
        <f>+C8/Energy!J11</f>
        <v>1.8158619202389486E-3</v>
      </c>
      <c r="D22" s="55">
        <f>+D8/Energy!K11</f>
        <v>2.108505959605044E-3</v>
      </c>
      <c r="E22" s="55">
        <f>+E8/Energy!L11</f>
        <v>1.9894958958666118E-3</v>
      </c>
      <c r="F22" s="55">
        <f>+F8/Energy!M11</f>
        <v>2.7876519225899336E-3</v>
      </c>
      <c r="H22" s="55"/>
      <c r="I22" s="55"/>
      <c r="L22" s="176">
        <f>(B8+C8+D8)/(Energy!I11+Energy!J11+Energy!K11)</f>
        <v>2.5686126363474305E-3</v>
      </c>
    </row>
    <row r="23" spans="1:12" x14ac:dyDescent="0.2">
      <c r="A23" s="190">
        <v>2015</v>
      </c>
      <c r="B23" s="55">
        <f>+B9/Energy!I12</f>
        <v>2.6082893530812112E-3</v>
      </c>
      <c r="C23" s="55">
        <f>+C9/Energy!J12</f>
        <v>1.8311096625228391E-3</v>
      </c>
      <c r="D23" s="55">
        <f>+D9/Energy!K12</f>
        <v>2.1169931261300957E-3</v>
      </c>
      <c r="E23" s="55">
        <f>+E9/Energy!L12</f>
        <v>1.7612232786520065E-3</v>
      </c>
      <c r="F23" s="55">
        <f>+F9/Energy!M12</f>
        <v>2.7903443598840576E-3</v>
      </c>
      <c r="H23" s="55"/>
      <c r="I23" s="55"/>
      <c r="L23" s="176">
        <f>(B9+C9+D9)/(Energy!I12+Energy!J12+Energy!K12)</f>
        <v>2.5778874033724271E-3</v>
      </c>
    </row>
    <row r="24" spans="1:12" x14ac:dyDescent="0.2">
      <c r="A24" s="190">
        <v>2016</v>
      </c>
      <c r="B24" s="55">
        <f>+B10/Energy!I13</f>
        <v>2.6479121991745676E-3</v>
      </c>
      <c r="C24" s="55">
        <f>+C10/Energy!J13</f>
        <v>1.848520896800277E-3</v>
      </c>
      <c r="D24" s="55">
        <f>+D10/Energy!K13</f>
        <v>2.3932636526091781E-3</v>
      </c>
      <c r="E24" s="55">
        <f>+E10/Energy!L13</f>
        <v>2.1770599579231131E-3</v>
      </c>
      <c r="F24" s="55">
        <f>+F10/Energy!M13</f>
        <v>2.780802461097606E-3</v>
      </c>
      <c r="H24" s="55"/>
      <c r="I24" s="55"/>
      <c r="L24" s="176">
        <f>(B10+C10+D10)/(Energy!I13+Energy!J13+Energy!K13)</f>
        <v>2.6250266522482336E-3</v>
      </c>
    </row>
    <row r="25" spans="1:12" x14ac:dyDescent="0.2">
      <c r="A25" s="190">
        <v>2017</v>
      </c>
      <c r="B25" s="55">
        <f>+B11/Energy!I14</f>
        <v>2.668164984847953E-3</v>
      </c>
      <c r="C25" s="55">
        <f>+C11/Energy!J14</f>
        <v>1.9323253125546459E-3</v>
      </c>
      <c r="D25" s="55">
        <f>+D11/Energy!K14</f>
        <v>2.4215774376700038E-3</v>
      </c>
      <c r="E25" s="55">
        <f>+E11/Energy!L14</f>
        <v>1.8712895476136534E-3</v>
      </c>
      <c r="F25" s="55">
        <f>+F11/Energy!M14</f>
        <v>2.8274245737568309E-3</v>
      </c>
      <c r="H25" s="55"/>
      <c r="I25" s="55"/>
      <c r="L25" s="176">
        <f>(B11+C11+D11)/(Energy!I14+Energy!J14+Energy!K14)</f>
        <v>2.62260940792649E-3</v>
      </c>
    </row>
    <row r="26" spans="1:12" x14ac:dyDescent="0.2">
      <c r="A26" s="190">
        <v>2018</v>
      </c>
      <c r="B26" s="55">
        <f>+B12/Energy!I15</f>
        <v>2.7000370125014606E-3</v>
      </c>
      <c r="C26" s="55">
        <f>+C12/Energy!J15</f>
        <v>2.3044267125499765E-3</v>
      </c>
      <c r="D26" s="55">
        <f>+D12/Energy!K15</f>
        <v>2.4197443300065283E-3</v>
      </c>
      <c r="E26" s="55">
        <f>+E12/Energy!L15</f>
        <v>2.0681006362609005E-3</v>
      </c>
      <c r="F26" s="55">
        <f>+F12/Energy!M15</f>
        <v>2.7869440477267904E-3</v>
      </c>
      <c r="H26" s="55"/>
      <c r="I26" s="55"/>
      <c r="L26" s="176">
        <f>(B12+C12+D12)/(Energy!I15+Energy!J15+Energy!K15)</f>
        <v>2.6233902795674922E-3</v>
      </c>
    </row>
    <row r="27" spans="1:12" x14ac:dyDescent="0.2">
      <c r="A27" s="190">
        <v>2019</v>
      </c>
      <c r="B27" s="55"/>
      <c r="C27" s="55"/>
      <c r="D27" s="55"/>
      <c r="E27" s="55"/>
      <c r="F27" s="55"/>
      <c r="H27" s="55"/>
      <c r="I27" s="55"/>
    </row>
    <row r="28" spans="1:12" x14ac:dyDescent="0.2">
      <c r="A28" s="190">
        <v>2020</v>
      </c>
      <c r="B28" s="55"/>
      <c r="C28" s="55"/>
      <c r="D28" s="55"/>
      <c r="E28" s="55"/>
      <c r="F28" s="55"/>
      <c r="H28" s="55"/>
      <c r="I28" s="55"/>
    </row>
    <row r="29" spans="1:12" x14ac:dyDescent="0.2">
      <c r="A29" s="190">
        <v>2021</v>
      </c>
      <c r="B29" s="55"/>
      <c r="C29" s="55"/>
      <c r="D29" s="55"/>
      <c r="E29" s="55"/>
      <c r="F29" s="55"/>
      <c r="H29" s="55"/>
      <c r="I29" s="55"/>
    </row>
    <row r="30" spans="1:12" x14ac:dyDescent="0.2">
      <c r="A30" s="190">
        <v>2022</v>
      </c>
      <c r="B30" s="55"/>
      <c r="C30" s="55"/>
      <c r="D30" s="55"/>
      <c r="E30" s="55"/>
      <c r="F30" s="55"/>
      <c r="H30" s="55"/>
      <c r="I30" s="55"/>
    </row>
    <row r="31" spans="1:12" x14ac:dyDescent="0.2">
      <c r="A31" s="190" t="s">
        <v>56</v>
      </c>
      <c r="B31" s="55">
        <f>AVERAGE(B21:B26)</f>
        <v>2.65677332492103E-3</v>
      </c>
      <c r="C31" s="55">
        <f>AVERAGE(C21:C26)</f>
        <v>1.9594232284741251E-3</v>
      </c>
      <c r="D31" s="55">
        <f>AVERAGE(D21:D26)</f>
        <v>2.3795444035340082E-3</v>
      </c>
      <c r="E31" s="55">
        <f>AVERAGE(E17:E26)</f>
        <v>1.9983328373737183E-3</v>
      </c>
      <c r="F31" s="55">
        <f>AVERAGE(F17:F26)</f>
        <v>2.7904874008610964E-3</v>
      </c>
      <c r="H31" s="55"/>
      <c r="I31" s="55"/>
      <c r="L31" s="55">
        <f>AVERAGE(L21:L26)</f>
        <v>2.6199350988896446E-3</v>
      </c>
    </row>
    <row r="32" spans="1:12" x14ac:dyDescent="0.2">
      <c r="C32" s="55"/>
    </row>
    <row r="35" spans="2:5" x14ac:dyDescent="0.2">
      <c r="B35" s="53"/>
      <c r="C35" s="53"/>
      <c r="D35" s="53"/>
      <c r="E35" s="53"/>
    </row>
    <row r="36" spans="2:5" x14ac:dyDescent="0.2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topLeftCell="A67" workbookViewId="0">
      <selection activeCell="F19" sqref="F19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2" t="s">
        <v>96</v>
      </c>
      <c r="B1" s="63" t="s">
        <v>81</v>
      </c>
      <c r="C1" s="63" t="s">
        <v>80</v>
      </c>
      <c r="D1" s="63" t="s">
        <v>97</v>
      </c>
      <c r="F1" s="63"/>
      <c r="G1" s="63"/>
    </row>
    <row r="2" spans="1:14" x14ac:dyDescent="0.2">
      <c r="A2" s="64" t="s">
        <v>44</v>
      </c>
      <c r="B2" s="65">
        <f>ROUND((Energy!$H$83),4)</f>
        <v>658984582.68439996</v>
      </c>
      <c r="C2" s="66"/>
      <c r="D2" s="102">
        <v>0.98092866786078092</v>
      </c>
    </row>
    <row r="3" spans="1:14" x14ac:dyDescent="0.2">
      <c r="A3" s="64" t="s">
        <v>45</v>
      </c>
      <c r="B3" s="65">
        <f>ROUND((Energy!$I$83),4)</f>
        <v>229902295.5174</v>
      </c>
      <c r="C3" s="66"/>
      <c r="D3" s="102">
        <v>0.84741264163513119</v>
      </c>
      <c r="F3" s="3"/>
      <c r="G3" s="56"/>
      <c r="H3" s="108"/>
    </row>
    <row r="4" spans="1:14" x14ac:dyDescent="0.2">
      <c r="A4" s="64" t="s">
        <v>46</v>
      </c>
      <c r="B4" s="65">
        <f>ROUND((Energy!$J$83),4)</f>
        <v>573927556.88129997</v>
      </c>
      <c r="C4" s="68">
        <f>ROUND((Load!$B$13),4)</f>
        <v>1524795.4236000001</v>
      </c>
      <c r="D4" s="102">
        <v>0.14686416109839648</v>
      </c>
      <c r="E4" s="114"/>
      <c r="F4" s="113"/>
      <c r="G4" s="73"/>
    </row>
    <row r="5" spans="1:14" x14ac:dyDescent="0.2">
      <c r="A5" s="70" t="s">
        <v>98</v>
      </c>
      <c r="B5" s="65">
        <f>ROUND((Energy!$K$83),4)</f>
        <v>13213550.384299999</v>
      </c>
      <c r="C5" s="68">
        <f>ROUND((Load!$C$13),4)</f>
        <v>34080.072999999997</v>
      </c>
      <c r="D5" s="102">
        <v>0</v>
      </c>
      <c r="E5" s="114"/>
      <c r="F5" s="113" t="s">
        <v>99</v>
      </c>
      <c r="G5" s="180"/>
    </row>
    <row r="6" spans="1:14" x14ac:dyDescent="0.2">
      <c r="A6" s="70" t="s">
        <v>100</v>
      </c>
      <c r="B6" s="65">
        <f>ROUND((Energy!$L$83),4)</f>
        <v>209986862.70140001</v>
      </c>
      <c r="C6" s="68">
        <f>ROUND((Load!$D$13),4)</f>
        <v>499673.06400000001</v>
      </c>
      <c r="D6" s="102">
        <v>0</v>
      </c>
      <c r="E6" s="114"/>
      <c r="F6" s="113">
        <f>ROUND((B6*1.0351),4)</f>
        <v>217357401.58219999</v>
      </c>
      <c r="G6" s="180"/>
    </row>
    <row r="7" spans="1:14" x14ac:dyDescent="0.2">
      <c r="A7" s="64" t="s">
        <v>49</v>
      </c>
      <c r="B7" s="65">
        <f>ROUND((Energy!$M$83),4)</f>
        <v>34219938.542199999</v>
      </c>
      <c r="C7" s="68">
        <f>ROUND((Load!$E$13),4)</f>
        <v>68382.8269</v>
      </c>
      <c r="D7" s="102">
        <v>0</v>
      </c>
      <c r="E7" s="114"/>
      <c r="F7" s="113"/>
      <c r="G7" s="180"/>
      <c r="K7" s="69"/>
    </row>
    <row r="8" spans="1:14" x14ac:dyDescent="0.2">
      <c r="A8" s="64" t="s">
        <v>50</v>
      </c>
      <c r="B8" s="65">
        <f>ROUND((Energy!$N$83),4)</f>
        <v>7386896.2983999997</v>
      </c>
      <c r="C8" s="68">
        <f>ROUND((Load!$F$13),4)</f>
        <v>20613.041099999999</v>
      </c>
      <c r="D8" s="102">
        <v>1.270590326270077E-2</v>
      </c>
      <c r="F8" s="63"/>
      <c r="G8" s="139"/>
    </row>
    <row r="9" spans="1:14" x14ac:dyDescent="0.2">
      <c r="A9" s="64" t="s">
        <v>51</v>
      </c>
      <c r="B9" s="65">
        <f>ROUND((Energy!$O$83),4)</f>
        <v>4091277.5452000001</v>
      </c>
      <c r="C9" s="66"/>
      <c r="D9" s="102">
        <v>1</v>
      </c>
      <c r="F9" s="181"/>
      <c r="G9" s="139" t="s">
        <v>101</v>
      </c>
      <c r="I9" s="105"/>
    </row>
    <row r="10" spans="1:14" x14ac:dyDescent="0.2">
      <c r="A10" s="70" t="s">
        <v>75</v>
      </c>
      <c r="B10" s="65">
        <f>ROUND((ED!$C$13),4)</f>
        <v>19053029.030000001</v>
      </c>
      <c r="C10" s="68">
        <f>ROUND((ED!$B$13),4)</f>
        <v>43316.19</v>
      </c>
      <c r="D10" s="67">
        <v>0</v>
      </c>
      <c r="F10" s="181"/>
      <c r="G10" s="139" t="s">
        <v>102</v>
      </c>
      <c r="I10" s="105"/>
    </row>
    <row r="11" spans="1:14" x14ac:dyDescent="0.2">
      <c r="A11" s="71" t="s">
        <v>103</v>
      </c>
      <c r="B11" s="72">
        <f>ROUND((SUM(B2:B10)),4)</f>
        <v>1750765989.5846</v>
      </c>
      <c r="C11" s="72">
        <f>ROUND((SUM(C2:C10)),4)</f>
        <v>2190860.6186000002</v>
      </c>
      <c r="D11" s="72"/>
      <c r="F11" s="181"/>
      <c r="G11" s="139"/>
      <c r="I11" s="105"/>
    </row>
    <row r="12" spans="1:14" x14ac:dyDescent="0.2">
      <c r="B12" s="73"/>
      <c r="C12" s="73"/>
    </row>
    <row r="13" spans="1:14" x14ac:dyDescent="0.2">
      <c r="J13" s="142"/>
      <c r="K13" s="48"/>
    </row>
    <row r="14" spans="1:14" x14ac:dyDescent="0.2">
      <c r="A14" s="62" t="s">
        <v>104</v>
      </c>
      <c r="B14" s="222" t="s">
        <v>105</v>
      </c>
      <c r="C14" s="222" t="s">
        <v>106</v>
      </c>
      <c r="D14" s="74"/>
      <c r="E14" s="75"/>
      <c r="F14" s="76"/>
    </row>
    <row r="15" spans="1:14" x14ac:dyDescent="0.2">
      <c r="A15" s="77" t="s">
        <v>107</v>
      </c>
      <c r="B15" s="223"/>
      <c r="C15" s="224"/>
      <c r="D15" s="225">
        <v>2019</v>
      </c>
      <c r="E15" s="226"/>
      <c r="F15" s="227"/>
    </row>
    <row r="16" spans="1:14" x14ac:dyDescent="0.2">
      <c r="A16" s="64" t="str">
        <f>A2</f>
        <v xml:space="preserve">Residential </v>
      </c>
      <c r="B16" s="65">
        <f>+B2</f>
        <v>658984582.68439996</v>
      </c>
      <c r="C16" s="93">
        <v>1.0350999999999999</v>
      </c>
      <c r="D16" s="65">
        <f t="shared" ref="D16:D22" si="0">ROUND((B16*C16),4)</f>
        <v>682114941.53659999</v>
      </c>
      <c r="E16" s="94">
        <v>9.4299999999999995E-2</v>
      </c>
      <c r="F16" s="79">
        <f t="shared" ref="F16:F22" si="1">ROUND((D16*E16),2)</f>
        <v>64323438.990000002</v>
      </c>
      <c r="G16" s="111"/>
      <c r="H16" s="48"/>
      <c r="J16" s="106"/>
      <c r="L16" s="110"/>
      <c r="N16" s="110"/>
    </row>
    <row r="17" spans="1:14" x14ac:dyDescent="0.2">
      <c r="A17" s="64" t="str">
        <f>A3</f>
        <v>GS&lt;50 kW</v>
      </c>
      <c r="B17" s="65">
        <f>+B3</f>
        <v>229902295.5174</v>
      </c>
      <c r="C17" s="78">
        <f t="shared" ref="C17:C22" si="2">$C$16</f>
        <v>1.0350999999999999</v>
      </c>
      <c r="D17" s="65">
        <f t="shared" si="0"/>
        <v>237971866.09009999</v>
      </c>
      <c r="E17" s="107">
        <f t="shared" ref="E17" si="3">E16</f>
        <v>9.4299999999999995E-2</v>
      </c>
      <c r="F17" s="79">
        <f t="shared" si="1"/>
        <v>22440746.969999999</v>
      </c>
      <c r="H17" s="109"/>
      <c r="J17" s="106"/>
      <c r="L17" s="110"/>
      <c r="N17" s="110"/>
    </row>
    <row r="18" spans="1:14" x14ac:dyDescent="0.2">
      <c r="A18" s="64" t="str">
        <f>A4</f>
        <v>GS&gt;50 kW</v>
      </c>
      <c r="B18" s="65">
        <f>+B4+B6</f>
        <v>783914419.58270001</v>
      </c>
      <c r="C18" s="78">
        <f t="shared" si="2"/>
        <v>1.0350999999999999</v>
      </c>
      <c r="D18" s="65">
        <f t="shared" si="0"/>
        <v>811429815.71010005</v>
      </c>
      <c r="E18" s="107">
        <v>9.1304507531763127E-2</v>
      </c>
      <c r="F18" s="79">
        <f t="shared" si="1"/>
        <v>74087199.719999999</v>
      </c>
      <c r="H18" t="s">
        <v>108</v>
      </c>
      <c r="J18" s="106"/>
      <c r="L18" s="110"/>
      <c r="N18" s="110"/>
    </row>
    <row r="19" spans="1:14" x14ac:dyDescent="0.2">
      <c r="A19" s="64" t="str">
        <f>A7</f>
        <v>Large User</v>
      </c>
      <c r="B19" s="65">
        <f>+B7</f>
        <v>34219938.542199999</v>
      </c>
      <c r="C19" s="93">
        <v>1.0053000000000001</v>
      </c>
      <c r="D19" s="65">
        <f t="shared" si="0"/>
        <v>34401304.216499999</v>
      </c>
      <c r="E19" s="107">
        <v>2.4799999999999999E-2</v>
      </c>
      <c r="F19" s="79">
        <v>851796.87</v>
      </c>
      <c r="J19" s="105"/>
      <c r="L19" s="110"/>
      <c r="N19" s="110"/>
    </row>
    <row r="20" spans="1:14" x14ac:dyDescent="0.2">
      <c r="A20" s="64" t="str">
        <f>A8</f>
        <v xml:space="preserve">Streetlights </v>
      </c>
      <c r="B20" s="65">
        <f>+B8</f>
        <v>7386896.2983999997</v>
      </c>
      <c r="C20" s="78">
        <f t="shared" si="2"/>
        <v>1.0350999999999999</v>
      </c>
      <c r="D20" s="65">
        <f t="shared" si="0"/>
        <v>7646176.3585000001</v>
      </c>
      <c r="E20" s="107">
        <f>+E16</f>
        <v>9.4299999999999995E-2</v>
      </c>
      <c r="F20" s="79">
        <f t="shared" si="1"/>
        <v>721034.43</v>
      </c>
      <c r="L20" s="110"/>
      <c r="N20" s="110"/>
    </row>
    <row r="21" spans="1:14" x14ac:dyDescent="0.2">
      <c r="A21" s="64" t="str">
        <f>A9</f>
        <v>USL</v>
      </c>
      <c r="B21" s="65">
        <f>B9*D9</f>
        <v>4091277.5452000001</v>
      </c>
      <c r="C21" s="78">
        <f t="shared" si="2"/>
        <v>1.0350999999999999</v>
      </c>
      <c r="D21" s="65">
        <f t="shared" si="0"/>
        <v>4234881.3870000001</v>
      </c>
      <c r="E21" s="107">
        <f>+E16</f>
        <v>9.4299999999999995E-2</v>
      </c>
      <c r="F21" s="79">
        <f t="shared" si="1"/>
        <v>399349.31</v>
      </c>
      <c r="N21" s="110"/>
    </row>
    <row r="22" spans="1:14" x14ac:dyDescent="0.2">
      <c r="A22" s="64" t="str">
        <f>A10</f>
        <v>Embedded Distributor</v>
      </c>
      <c r="B22" s="65">
        <f>B10*D10</f>
        <v>0</v>
      </c>
      <c r="C22" s="78">
        <f t="shared" si="2"/>
        <v>1.0350999999999999</v>
      </c>
      <c r="D22" s="65">
        <f t="shared" si="0"/>
        <v>0</v>
      </c>
      <c r="E22" s="107">
        <f>+E16</f>
        <v>9.4299999999999995E-2</v>
      </c>
      <c r="F22" s="79">
        <f t="shared" si="1"/>
        <v>0</v>
      </c>
      <c r="L22" s="110"/>
      <c r="N22" s="110"/>
    </row>
    <row r="23" spans="1:14" x14ac:dyDescent="0.2">
      <c r="A23" s="71" t="s">
        <v>103</v>
      </c>
      <c r="B23" s="72">
        <f>SUM(B16:B21)</f>
        <v>1718499410.1703002</v>
      </c>
      <c r="C23" s="77"/>
      <c r="D23" s="72">
        <f>SUM(D16:D21)</f>
        <v>1777798985.2988002</v>
      </c>
      <c r="E23" s="80"/>
      <c r="F23" s="81">
        <f>ROUND((SUM(F16:F21)),2)</f>
        <v>162823566.28999999</v>
      </c>
      <c r="L23" s="110"/>
    </row>
    <row r="24" spans="1:14" x14ac:dyDescent="0.2">
      <c r="A24" s="82"/>
      <c r="B24" s="83"/>
      <c r="C24" s="41"/>
      <c r="D24" s="83"/>
      <c r="E24" s="84"/>
      <c r="F24" s="85"/>
      <c r="L24" s="110"/>
    </row>
    <row r="25" spans="1:14" x14ac:dyDescent="0.2">
      <c r="A25" s="86" t="s">
        <v>109</v>
      </c>
      <c r="B25" s="87"/>
      <c r="C25" s="184" t="s">
        <v>110</v>
      </c>
      <c r="D25" s="88"/>
      <c r="E25" s="89"/>
      <c r="F25" s="87"/>
    </row>
    <row r="26" spans="1:14" x14ac:dyDescent="0.2">
      <c r="A26" s="77" t="s">
        <v>111</v>
      </c>
      <c r="B26" s="183"/>
      <c r="C26" s="182" t="s">
        <v>112</v>
      </c>
      <c r="D26" s="217">
        <f>$D$15</f>
        <v>2019</v>
      </c>
      <c r="E26" s="218"/>
      <c r="F26" s="221"/>
    </row>
    <row r="27" spans="1:14" x14ac:dyDescent="0.2">
      <c r="A27" s="64" t="str">
        <f>+A16</f>
        <v xml:space="preserve">Residential </v>
      </c>
      <c r="B27" s="65"/>
      <c r="C27" s="78" t="s">
        <v>81</v>
      </c>
      <c r="D27" s="65">
        <f>D16</f>
        <v>682114941.53659999</v>
      </c>
      <c r="E27" s="90">
        <v>5.8999999999999999E-3</v>
      </c>
      <c r="F27" s="79">
        <f t="shared" ref="F27:F33" si="4">ROUND((D27*E27),2)</f>
        <v>4024478.16</v>
      </c>
      <c r="H27" s="48"/>
    </row>
    <row r="28" spans="1:14" x14ac:dyDescent="0.2">
      <c r="A28" s="64" t="str">
        <f t="shared" ref="A28:A32" si="5">+A17</f>
        <v>GS&lt;50 kW</v>
      </c>
      <c r="B28" s="65"/>
      <c r="C28" s="78" t="s">
        <v>81</v>
      </c>
      <c r="D28" s="65">
        <f>D17</f>
        <v>237971866.09009999</v>
      </c>
      <c r="E28" s="90">
        <v>5.1000000000000004E-3</v>
      </c>
      <c r="F28" s="79">
        <f t="shared" si="4"/>
        <v>1213656.52</v>
      </c>
    </row>
    <row r="29" spans="1:14" x14ac:dyDescent="0.2">
      <c r="A29" s="64" t="str">
        <f t="shared" si="5"/>
        <v>GS&gt;50 kW</v>
      </c>
      <c r="B29" s="65"/>
      <c r="C29" s="78" t="s">
        <v>80</v>
      </c>
      <c r="D29" s="65">
        <f>+C4+C5+C6</f>
        <v>2058548.5606000002</v>
      </c>
      <c r="E29" s="90">
        <v>2.7204999999999999</v>
      </c>
      <c r="F29" s="79">
        <f t="shared" si="4"/>
        <v>5600281.3600000003</v>
      </c>
      <c r="H29" s="48" t="s">
        <v>113</v>
      </c>
    </row>
    <row r="30" spans="1:14" x14ac:dyDescent="0.2">
      <c r="A30" s="64" t="str">
        <f t="shared" si="5"/>
        <v>Large User</v>
      </c>
      <c r="B30" s="65"/>
      <c r="C30" s="78" t="s">
        <v>80</v>
      </c>
      <c r="D30" s="65">
        <f>C7</f>
        <v>68382.8269</v>
      </c>
      <c r="E30" s="90">
        <v>2.5569000000000002</v>
      </c>
      <c r="F30" s="79">
        <f t="shared" si="4"/>
        <v>174848.05</v>
      </c>
    </row>
    <row r="31" spans="1:14" x14ac:dyDescent="0.2">
      <c r="A31" s="64" t="str">
        <f t="shared" si="5"/>
        <v xml:space="preserve">Streetlights </v>
      </c>
      <c r="B31" s="65"/>
      <c r="C31" s="78" t="s">
        <v>80</v>
      </c>
      <c r="D31" s="65">
        <f>C8</f>
        <v>20613.041099999999</v>
      </c>
      <c r="E31" s="90">
        <v>1.6543000000000001</v>
      </c>
      <c r="F31" s="79">
        <f t="shared" si="4"/>
        <v>34100.15</v>
      </c>
    </row>
    <row r="32" spans="1:14" x14ac:dyDescent="0.2">
      <c r="A32" s="64" t="str">
        <f t="shared" si="5"/>
        <v>USL</v>
      </c>
      <c r="B32" s="65"/>
      <c r="C32" s="78" t="s">
        <v>81</v>
      </c>
      <c r="D32" s="65">
        <f>D21</f>
        <v>4234881.3870000001</v>
      </c>
      <c r="E32" s="90">
        <v>5.1000000000000004E-3</v>
      </c>
      <c r="F32" s="79">
        <f t="shared" si="4"/>
        <v>21597.9</v>
      </c>
    </row>
    <row r="33" spans="1:8" x14ac:dyDescent="0.2">
      <c r="A33" s="91" t="str">
        <f>+A22</f>
        <v>Embedded Distributor</v>
      </c>
      <c r="B33" s="92"/>
      <c r="C33" s="93" t="s">
        <v>80</v>
      </c>
      <c r="D33" s="92">
        <f>+C10</f>
        <v>43316.19</v>
      </c>
      <c r="E33" s="94">
        <v>2.5649999999999999</v>
      </c>
      <c r="F33" s="95">
        <f t="shared" si="4"/>
        <v>111106.03</v>
      </c>
    </row>
    <row r="34" spans="1:8" x14ac:dyDescent="0.2">
      <c r="A34" s="71" t="s">
        <v>103</v>
      </c>
      <c r="B34" s="72"/>
      <c r="C34" s="77"/>
      <c r="D34" s="72"/>
      <c r="E34" s="80"/>
      <c r="F34" s="81">
        <f>ROUND((SUM(F27:F33)),2)</f>
        <v>11180068.17</v>
      </c>
    </row>
    <row r="36" spans="1:8" x14ac:dyDescent="0.2">
      <c r="A36" s="86" t="s">
        <v>114</v>
      </c>
      <c r="B36" s="87"/>
      <c r="C36" s="96" t="s">
        <v>110</v>
      </c>
      <c r="D36" s="88"/>
      <c r="E36" s="89"/>
      <c r="F36" s="87"/>
    </row>
    <row r="37" spans="1:8" x14ac:dyDescent="0.2">
      <c r="A37" s="77" t="s">
        <v>111</v>
      </c>
      <c r="B37" s="183"/>
      <c r="C37" s="97" t="s">
        <v>112</v>
      </c>
      <c r="D37" s="217">
        <f>$D$15</f>
        <v>2019</v>
      </c>
      <c r="E37" s="218"/>
      <c r="F37" s="221"/>
    </row>
    <row r="38" spans="1:8" x14ac:dyDescent="0.2">
      <c r="A38" s="64" t="str">
        <f>+A16</f>
        <v xml:space="preserve">Residential </v>
      </c>
      <c r="B38" s="65"/>
      <c r="C38" s="78" t="str">
        <f t="shared" ref="C38:D43" si="6">C27</f>
        <v>kWh</v>
      </c>
      <c r="D38" s="65">
        <f t="shared" si="6"/>
        <v>682114941.53659999</v>
      </c>
      <c r="E38" s="90">
        <v>1.6999999999999999E-3</v>
      </c>
      <c r="F38" s="79">
        <f t="shared" ref="F38:F44" si="7">ROUND((D38*E38),2)</f>
        <v>1159595.3999999999</v>
      </c>
    </row>
    <row r="39" spans="1:8" x14ac:dyDescent="0.2">
      <c r="A39" s="64" t="str">
        <f t="shared" ref="A39:A44" si="8">+A17</f>
        <v>GS&lt;50 kW</v>
      </c>
      <c r="B39" s="65"/>
      <c r="C39" s="78" t="str">
        <f t="shared" si="6"/>
        <v>kWh</v>
      </c>
      <c r="D39" s="65">
        <f t="shared" si="6"/>
        <v>237971866.09009999</v>
      </c>
      <c r="E39" s="90">
        <v>1.5E-3</v>
      </c>
      <c r="F39" s="79">
        <f t="shared" si="7"/>
        <v>356957.8</v>
      </c>
    </row>
    <row r="40" spans="1:8" x14ac:dyDescent="0.2">
      <c r="A40" s="64" t="str">
        <f t="shared" si="8"/>
        <v>GS&gt;50 kW</v>
      </c>
      <c r="B40" s="65"/>
      <c r="C40" s="78" t="str">
        <f t="shared" si="6"/>
        <v>kW</v>
      </c>
      <c r="D40" s="65">
        <f>D29</f>
        <v>2058548.5606000002</v>
      </c>
      <c r="E40" s="90">
        <v>0.84489999999999998</v>
      </c>
      <c r="F40" s="79">
        <f t="shared" si="7"/>
        <v>1739267.68</v>
      </c>
      <c r="H40" s="48" t="s">
        <v>113</v>
      </c>
    </row>
    <row r="41" spans="1:8" x14ac:dyDescent="0.2">
      <c r="A41" s="64" t="str">
        <f t="shared" si="8"/>
        <v>Large User</v>
      </c>
      <c r="B41" s="65"/>
      <c r="C41" s="78" t="str">
        <f t="shared" si="6"/>
        <v>kW</v>
      </c>
      <c r="D41" s="65">
        <f t="shared" si="6"/>
        <v>68382.8269</v>
      </c>
      <c r="E41" s="90">
        <v>0.79430000000000001</v>
      </c>
      <c r="F41" s="79">
        <f t="shared" si="7"/>
        <v>54316.480000000003</v>
      </c>
    </row>
    <row r="42" spans="1:8" x14ac:dyDescent="0.2">
      <c r="A42" s="64" t="str">
        <f t="shared" si="8"/>
        <v xml:space="preserve">Streetlights </v>
      </c>
      <c r="B42" s="65"/>
      <c r="C42" s="78" t="str">
        <f t="shared" si="6"/>
        <v>kW</v>
      </c>
      <c r="D42" s="65">
        <f t="shared" si="6"/>
        <v>20613.041099999999</v>
      </c>
      <c r="E42" s="90">
        <v>0.51429999999999998</v>
      </c>
      <c r="F42" s="79">
        <f t="shared" si="7"/>
        <v>10601.29</v>
      </c>
    </row>
    <row r="43" spans="1:8" x14ac:dyDescent="0.2">
      <c r="A43" s="64" t="str">
        <f t="shared" si="8"/>
        <v>USL</v>
      </c>
      <c r="B43" s="65"/>
      <c r="C43" s="78" t="str">
        <f t="shared" si="6"/>
        <v>kWh</v>
      </c>
      <c r="D43" s="65">
        <f t="shared" si="6"/>
        <v>4234881.3870000001</v>
      </c>
      <c r="E43" s="90">
        <v>1.5E-3</v>
      </c>
      <c r="F43" s="79">
        <f t="shared" si="7"/>
        <v>6352.32</v>
      </c>
    </row>
    <row r="44" spans="1:8" x14ac:dyDescent="0.2">
      <c r="A44" s="91" t="str">
        <f t="shared" si="8"/>
        <v>Embedded Distributor</v>
      </c>
      <c r="B44" s="92"/>
      <c r="C44" s="93" t="s">
        <v>80</v>
      </c>
      <c r="D44" s="92">
        <f>D33</f>
        <v>43316.19</v>
      </c>
      <c r="E44" s="94">
        <v>0.79700000000000004</v>
      </c>
      <c r="F44" s="95">
        <f t="shared" si="7"/>
        <v>34523</v>
      </c>
    </row>
    <row r="45" spans="1:8" x14ac:dyDescent="0.2">
      <c r="A45" s="71" t="s">
        <v>103</v>
      </c>
      <c r="B45" s="72"/>
      <c r="C45" s="77"/>
      <c r="D45" s="72"/>
      <c r="E45" s="80"/>
      <c r="F45" s="81">
        <f>ROUND((SUM(F38:F44)),2)</f>
        <v>3361613.97</v>
      </c>
    </row>
    <row r="47" spans="1:8" x14ac:dyDescent="0.2">
      <c r="A47" s="86" t="s">
        <v>115</v>
      </c>
      <c r="B47" s="87"/>
      <c r="C47" s="184" t="s">
        <v>110</v>
      </c>
      <c r="D47" s="88"/>
      <c r="E47" s="89"/>
      <c r="F47" s="87"/>
    </row>
    <row r="48" spans="1:8" x14ac:dyDescent="0.2">
      <c r="A48" s="77" t="s">
        <v>111</v>
      </c>
      <c r="B48" s="183"/>
      <c r="C48" s="182" t="s">
        <v>112</v>
      </c>
      <c r="D48" s="217">
        <f>$D$15</f>
        <v>2019</v>
      </c>
      <c r="E48" s="218"/>
      <c r="F48" s="219"/>
    </row>
    <row r="49" spans="1:12" x14ac:dyDescent="0.2">
      <c r="A49" s="64" t="str">
        <f>+A16</f>
        <v xml:space="preserve">Residential </v>
      </c>
      <c r="B49" s="65"/>
      <c r="C49" s="78" t="s">
        <v>81</v>
      </c>
      <c r="D49" s="65">
        <f>+D16</f>
        <v>682114941.53659999</v>
      </c>
      <c r="E49" s="90">
        <v>3.0000000000000001E-3</v>
      </c>
      <c r="F49" s="79">
        <f t="shared" ref="F49:F55" si="9">ROUND((D49*E49),2)</f>
        <v>2046344.82</v>
      </c>
      <c r="L49" s="110">
        <f t="shared" ref="L49:L54" si="10">+F49+F71</f>
        <v>2387402.29</v>
      </c>
    </row>
    <row r="50" spans="1:12" x14ac:dyDescent="0.2">
      <c r="A50" s="64" t="str">
        <f t="shared" ref="A50:A55" si="11">+A17</f>
        <v>GS&lt;50 kW</v>
      </c>
      <c r="B50" s="65"/>
      <c r="C50" s="78" t="s">
        <v>81</v>
      </c>
      <c r="D50" s="65">
        <f t="shared" ref="D50:D55" si="12">+D17</f>
        <v>237971866.09009999</v>
      </c>
      <c r="E50" s="90">
        <f>+E49</f>
        <v>3.0000000000000001E-3</v>
      </c>
      <c r="F50" s="79">
        <f t="shared" si="9"/>
        <v>713915.6</v>
      </c>
      <c r="L50" s="110">
        <f t="shared" si="10"/>
        <v>832901.53</v>
      </c>
    </row>
    <row r="51" spans="1:12" x14ac:dyDescent="0.2">
      <c r="A51" s="64" t="str">
        <f t="shared" si="11"/>
        <v>GS&gt;50 kW</v>
      </c>
      <c r="B51" s="65"/>
      <c r="C51" s="78" t="s">
        <v>81</v>
      </c>
      <c r="D51" s="65">
        <f t="shared" si="12"/>
        <v>811429815.71010005</v>
      </c>
      <c r="E51" s="90">
        <f>+E49</f>
        <v>3.0000000000000001E-3</v>
      </c>
      <c r="F51" s="79">
        <f t="shared" si="9"/>
        <v>2434289.4500000002</v>
      </c>
      <c r="H51" s="48" t="s">
        <v>108</v>
      </c>
      <c r="L51" s="110">
        <f t="shared" si="10"/>
        <v>2840004.3600000003</v>
      </c>
    </row>
    <row r="52" spans="1:12" x14ac:dyDescent="0.2">
      <c r="A52" s="64" t="str">
        <f t="shared" si="11"/>
        <v>Large User</v>
      </c>
      <c r="B52" s="65"/>
      <c r="C52" s="78" t="s">
        <v>81</v>
      </c>
      <c r="D52" s="65">
        <f t="shared" si="12"/>
        <v>34401304.216499999</v>
      </c>
      <c r="E52" s="90">
        <f>+E49</f>
        <v>3.0000000000000001E-3</v>
      </c>
      <c r="F52" s="79">
        <f t="shared" si="9"/>
        <v>103203.91</v>
      </c>
      <c r="L52" s="110">
        <f t="shared" si="10"/>
        <v>120404.56</v>
      </c>
    </row>
    <row r="53" spans="1:12" x14ac:dyDescent="0.2">
      <c r="A53" s="64" t="str">
        <f t="shared" si="11"/>
        <v xml:space="preserve">Streetlights </v>
      </c>
      <c r="B53" s="65"/>
      <c r="C53" s="78" t="s">
        <v>81</v>
      </c>
      <c r="D53" s="65">
        <f t="shared" si="12"/>
        <v>7646176.3585000001</v>
      </c>
      <c r="E53" s="90">
        <f>+E49</f>
        <v>3.0000000000000001E-3</v>
      </c>
      <c r="F53" s="79">
        <f t="shared" si="9"/>
        <v>22938.53</v>
      </c>
      <c r="L53" s="110">
        <f t="shared" si="10"/>
        <v>26761.62</v>
      </c>
    </row>
    <row r="54" spans="1:12" x14ac:dyDescent="0.2">
      <c r="A54" s="64" t="str">
        <f t="shared" si="11"/>
        <v>USL</v>
      </c>
      <c r="B54" s="65"/>
      <c r="C54" s="78" t="s">
        <v>81</v>
      </c>
      <c r="D54" s="65">
        <f t="shared" si="12"/>
        <v>4234881.3870000001</v>
      </c>
      <c r="E54" s="90">
        <f>+E49</f>
        <v>3.0000000000000001E-3</v>
      </c>
      <c r="F54" s="79">
        <f t="shared" si="9"/>
        <v>12704.64</v>
      </c>
      <c r="L54" s="110">
        <f t="shared" si="10"/>
        <v>14822.08</v>
      </c>
    </row>
    <row r="55" spans="1:12" x14ac:dyDescent="0.2">
      <c r="A55" s="70" t="str">
        <f t="shared" si="11"/>
        <v>Embedded Distributor</v>
      </c>
      <c r="B55" s="65"/>
      <c r="C55" s="78" t="s">
        <v>81</v>
      </c>
      <c r="D55" s="65">
        <f t="shared" si="12"/>
        <v>0</v>
      </c>
      <c r="E55" s="90">
        <f>+E49</f>
        <v>3.0000000000000001E-3</v>
      </c>
      <c r="F55" s="79">
        <f t="shared" si="9"/>
        <v>0</v>
      </c>
      <c r="L55" s="110">
        <f>+F55+F66+F77</f>
        <v>0</v>
      </c>
    </row>
    <row r="56" spans="1:12" x14ac:dyDescent="0.2">
      <c r="A56" s="71" t="s">
        <v>103</v>
      </c>
      <c r="B56" s="72"/>
      <c r="C56" s="77"/>
      <c r="D56" s="72">
        <f>SUM(D49:D55)</f>
        <v>1777798985.2988002</v>
      </c>
      <c r="E56" s="80"/>
      <c r="F56" s="81">
        <f>ROUND((SUM(F49:F55)),2)</f>
        <v>5333396.95</v>
      </c>
    </row>
    <row r="58" spans="1:12" x14ac:dyDescent="0.2">
      <c r="A58" s="86" t="s">
        <v>116</v>
      </c>
      <c r="B58" s="87"/>
      <c r="C58" s="184" t="s">
        <v>110</v>
      </c>
      <c r="D58" s="88"/>
      <c r="E58" s="89"/>
      <c r="F58" s="87"/>
    </row>
    <row r="59" spans="1:12" x14ac:dyDescent="0.2">
      <c r="A59" s="77" t="s">
        <v>111</v>
      </c>
      <c r="B59" s="183"/>
      <c r="C59" s="182" t="s">
        <v>112</v>
      </c>
      <c r="D59" s="217">
        <f>$D$15</f>
        <v>2019</v>
      </c>
      <c r="E59" s="218"/>
      <c r="F59" s="219"/>
    </row>
    <row r="60" spans="1:12" x14ac:dyDescent="0.2">
      <c r="A60" s="64" t="str">
        <f>+A16</f>
        <v xml:space="preserve">Residential </v>
      </c>
      <c r="B60" s="65"/>
      <c r="C60" s="78" t="s">
        <v>81</v>
      </c>
      <c r="D60" s="65">
        <f>+D49</f>
        <v>682114941.53659999</v>
      </c>
      <c r="E60" s="90">
        <v>4.0000000000000002E-4</v>
      </c>
      <c r="F60" s="79">
        <f t="shared" ref="F60:F66" si="13">ROUND((D60*E60),2)</f>
        <v>272845.98</v>
      </c>
    </row>
    <row r="61" spans="1:12" x14ac:dyDescent="0.2">
      <c r="A61" s="64" t="str">
        <f t="shared" ref="A61:A66" si="14">+A17</f>
        <v>GS&lt;50 kW</v>
      </c>
      <c r="B61" s="65"/>
      <c r="C61" s="78" t="s">
        <v>81</v>
      </c>
      <c r="D61" s="65">
        <f>+D50</f>
        <v>237971866.09009999</v>
      </c>
      <c r="E61" s="90">
        <f>+E60</f>
        <v>4.0000000000000002E-4</v>
      </c>
      <c r="F61" s="79">
        <f t="shared" si="13"/>
        <v>95188.75</v>
      </c>
    </row>
    <row r="62" spans="1:12" x14ac:dyDescent="0.2">
      <c r="A62" s="64" t="str">
        <f t="shared" si="14"/>
        <v>GS&gt;50 kW</v>
      </c>
      <c r="B62" s="65"/>
      <c r="C62" s="78" t="s">
        <v>81</v>
      </c>
      <c r="D62" s="65">
        <f>+D51-F6</f>
        <v>594072414.12790012</v>
      </c>
      <c r="E62" s="90">
        <f>+E60</f>
        <v>4.0000000000000002E-4</v>
      </c>
      <c r="F62" s="79">
        <f t="shared" si="13"/>
        <v>237628.97</v>
      </c>
      <c r="H62" s="48" t="s">
        <v>108</v>
      </c>
    </row>
    <row r="63" spans="1:12" x14ac:dyDescent="0.2">
      <c r="A63" s="64" t="str">
        <f t="shared" si="14"/>
        <v>Large User</v>
      </c>
      <c r="B63" s="65"/>
      <c r="C63" s="78" t="s">
        <v>81</v>
      </c>
      <c r="D63" s="65">
        <v>0</v>
      </c>
      <c r="E63" s="90">
        <f>+E60</f>
        <v>4.0000000000000002E-4</v>
      </c>
      <c r="F63" s="79">
        <f t="shared" si="13"/>
        <v>0</v>
      </c>
      <c r="H63" t="s">
        <v>117</v>
      </c>
    </row>
    <row r="64" spans="1:12" x14ac:dyDescent="0.2">
      <c r="A64" s="64" t="str">
        <f t="shared" si="14"/>
        <v xml:space="preserve">Streetlights </v>
      </c>
      <c r="B64" s="65"/>
      <c r="C64" s="78" t="s">
        <v>81</v>
      </c>
      <c r="D64" s="65">
        <f>+D53</f>
        <v>7646176.3585000001</v>
      </c>
      <c r="E64" s="90">
        <f>+E60</f>
        <v>4.0000000000000002E-4</v>
      </c>
      <c r="F64" s="79">
        <f t="shared" si="13"/>
        <v>3058.47</v>
      </c>
    </row>
    <row r="65" spans="1:8" x14ac:dyDescent="0.2">
      <c r="A65" s="64" t="str">
        <f t="shared" si="14"/>
        <v>USL</v>
      </c>
      <c r="B65" s="65"/>
      <c r="C65" s="78" t="s">
        <v>81</v>
      </c>
      <c r="D65" s="65">
        <f>+D54</f>
        <v>4234881.3870000001</v>
      </c>
      <c r="E65" s="90">
        <f>+E60</f>
        <v>4.0000000000000002E-4</v>
      </c>
      <c r="F65" s="79">
        <f t="shared" si="13"/>
        <v>1693.95</v>
      </c>
    </row>
    <row r="66" spans="1:8" x14ac:dyDescent="0.2">
      <c r="A66" s="70" t="str">
        <f t="shared" si="14"/>
        <v>Embedded Distributor</v>
      </c>
      <c r="B66" s="65"/>
      <c r="C66" s="78" t="s">
        <v>81</v>
      </c>
      <c r="D66" s="65">
        <f>+D55</f>
        <v>0</v>
      </c>
      <c r="E66" s="90">
        <f>+E60</f>
        <v>4.0000000000000002E-4</v>
      </c>
      <c r="F66" s="79">
        <f t="shared" si="13"/>
        <v>0</v>
      </c>
    </row>
    <row r="67" spans="1:8" x14ac:dyDescent="0.2">
      <c r="A67" s="71" t="s">
        <v>103</v>
      </c>
      <c r="B67" s="72"/>
      <c r="C67" s="77"/>
      <c r="D67" s="72">
        <f>SUM(D60:D66)</f>
        <v>1526040279.5001001</v>
      </c>
      <c r="E67" s="80"/>
      <c r="F67" s="81">
        <f>ROUND((SUM(F60:F66)),2)</f>
        <v>610416.12</v>
      </c>
    </row>
    <row r="69" spans="1:8" x14ac:dyDescent="0.2">
      <c r="A69" s="86" t="s">
        <v>118</v>
      </c>
      <c r="B69" s="87"/>
      <c r="C69" s="184" t="s">
        <v>110</v>
      </c>
      <c r="D69" s="88"/>
      <c r="E69" s="89"/>
      <c r="F69" s="87"/>
    </row>
    <row r="70" spans="1:8" x14ac:dyDescent="0.2">
      <c r="A70" s="77" t="s">
        <v>111</v>
      </c>
      <c r="B70" s="183"/>
      <c r="C70" s="182" t="s">
        <v>112</v>
      </c>
      <c r="D70" s="220">
        <f>$D$15</f>
        <v>2019</v>
      </c>
      <c r="E70" s="218"/>
      <c r="F70" s="221"/>
    </row>
    <row r="71" spans="1:8" x14ac:dyDescent="0.2">
      <c r="A71" s="64" t="str">
        <f>+A16</f>
        <v xml:space="preserve">Residential </v>
      </c>
      <c r="B71" s="65"/>
      <c r="C71" s="78" t="s">
        <v>81</v>
      </c>
      <c r="D71" s="65">
        <f t="shared" ref="D71:D77" si="15">D49</f>
        <v>682114941.53659999</v>
      </c>
      <c r="E71" s="90">
        <v>5.0000000000000001E-4</v>
      </c>
      <c r="F71" s="79">
        <f t="shared" ref="F71:F77" si="16">ROUND((D71*E71),2)</f>
        <v>341057.47</v>
      </c>
    </row>
    <row r="72" spans="1:8" x14ac:dyDescent="0.2">
      <c r="A72" s="64" t="str">
        <f t="shared" ref="A72:A77" si="17">+A17</f>
        <v>GS&lt;50 kW</v>
      </c>
      <c r="B72" s="65"/>
      <c r="C72" s="78" t="s">
        <v>81</v>
      </c>
      <c r="D72" s="65">
        <f t="shared" si="15"/>
        <v>237971866.09009999</v>
      </c>
      <c r="E72" s="90">
        <f>+E71</f>
        <v>5.0000000000000001E-4</v>
      </c>
      <c r="F72" s="79">
        <f t="shared" si="16"/>
        <v>118985.93</v>
      </c>
      <c r="H72" s="48"/>
    </row>
    <row r="73" spans="1:8" x14ac:dyDescent="0.2">
      <c r="A73" s="64" t="str">
        <f t="shared" si="17"/>
        <v>GS&gt;50 kW</v>
      </c>
      <c r="B73" s="65"/>
      <c r="C73" s="78" t="s">
        <v>81</v>
      </c>
      <c r="D73" s="65">
        <f t="shared" si="15"/>
        <v>811429815.71010005</v>
      </c>
      <c r="E73" s="90">
        <f>+E71</f>
        <v>5.0000000000000001E-4</v>
      </c>
      <c r="F73" s="79">
        <f t="shared" si="16"/>
        <v>405714.91</v>
      </c>
      <c r="H73" s="48" t="s">
        <v>108</v>
      </c>
    </row>
    <row r="74" spans="1:8" x14ac:dyDescent="0.2">
      <c r="A74" s="64" t="str">
        <f t="shared" si="17"/>
        <v>Large User</v>
      </c>
      <c r="B74" s="65"/>
      <c r="C74" s="78" t="s">
        <v>81</v>
      </c>
      <c r="D74" s="65">
        <f t="shared" si="15"/>
        <v>34401304.216499999</v>
      </c>
      <c r="E74" s="90">
        <f>+E71</f>
        <v>5.0000000000000001E-4</v>
      </c>
      <c r="F74" s="79">
        <f t="shared" si="16"/>
        <v>17200.650000000001</v>
      </c>
    </row>
    <row r="75" spans="1:8" x14ac:dyDescent="0.2">
      <c r="A75" s="64" t="str">
        <f t="shared" si="17"/>
        <v xml:space="preserve">Streetlights </v>
      </c>
      <c r="B75" s="65"/>
      <c r="C75" s="78" t="s">
        <v>81</v>
      </c>
      <c r="D75" s="65">
        <f t="shared" si="15"/>
        <v>7646176.3585000001</v>
      </c>
      <c r="E75" s="90">
        <f>+E71</f>
        <v>5.0000000000000001E-4</v>
      </c>
      <c r="F75" s="79">
        <f t="shared" si="16"/>
        <v>3823.09</v>
      </c>
    </row>
    <row r="76" spans="1:8" x14ac:dyDescent="0.2">
      <c r="A76" s="64" t="str">
        <f t="shared" si="17"/>
        <v>USL</v>
      </c>
      <c r="B76" s="65"/>
      <c r="C76" s="78" t="s">
        <v>81</v>
      </c>
      <c r="D76" s="65">
        <f t="shared" si="15"/>
        <v>4234881.3870000001</v>
      </c>
      <c r="E76" s="90">
        <f>+E71</f>
        <v>5.0000000000000001E-4</v>
      </c>
      <c r="F76" s="79">
        <f t="shared" si="16"/>
        <v>2117.44</v>
      </c>
    </row>
    <row r="77" spans="1:8" x14ac:dyDescent="0.2">
      <c r="A77" s="70" t="str">
        <f t="shared" si="17"/>
        <v>Embedded Distributor</v>
      </c>
      <c r="B77" s="65"/>
      <c r="C77" s="78" t="s">
        <v>81</v>
      </c>
      <c r="D77" s="65">
        <f t="shared" si="15"/>
        <v>0</v>
      </c>
      <c r="E77" s="90">
        <f>+E71</f>
        <v>5.0000000000000001E-4</v>
      </c>
      <c r="F77" s="79">
        <f t="shared" si="16"/>
        <v>0</v>
      </c>
    </row>
    <row r="78" spans="1:8" x14ac:dyDescent="0.2">
      <c r="A78" s="71" t="s">
        <v>103</v>
      </c>
      <c r="B78" s="72"/>
      <c r="C78" s="77"/>
      <c r="D78" s="72">
        <f>SUM(D71:D77)</f>
        <v>1777798985.2988002</v>
      </c>
      <c r="E78" s="80"/>
      <c r="F78" s="81">
        <f>ROUND((SUM(F71:F77)),2)</f>
        <v>888899.49</v>
      </c>
    </row>
    <row r="80" spans="1:8" x14ac:dyDescent="0.2">
      <c r="A80" s="86" t="s">
        <v>119</v>
      </c>
      <c r="B80" s="87"/>
      <c r="C80" s="96"/>
      <c r="D80" s="88"/>
      <c r="E80" s="89"/>
      <c r="F80" s="87"/>
    </row>
    <row r="81" spans="1:6" x14ac:dyDescent="0.2">
      <c r="A81" s="77" t="s">
        <v>111</v>
      </c>
      <c r="B81" s="183"/>
      <c r="C81" s="97"/>
      <c r="D81" s="220">
        <f>$D$15</f>
        <v>2019</v>
      </c>
      <c r="E81" s="218"/>
      <c r="F81" s="221"/>
    </row>
    <row r="82" spans="1:6" x14ac:dyDescent="0.2">
      <c r="A82" s="64" t="str">
        <f>+A16</f>
        <v xml:space="preserve">Residential </v>
      </c>
      <c r="B82" s="65"/>
      <c r="C82" s="78"/>
      <c r="D82" s="65">
        <f>ROUND((Customer!B14*12),0)</f>
        <v>1063428</v>
      </c>
      <c r="E82" s="90">
        <v>0.56999999999999995</v>
      </c>
      <c r="F82" s="79">
        <f>ROUND((D82*E82),2)</f>
        <v>606153.96</v>
      </c>
    </row>
    <row r="83" spans="1:6" x14ac:dyDescent="0.2">
      <c r="A83" s="64" t="str">
        <f>A17</f>
        <v>GS&lt;50 kW</v>
      </c>
      <c r="B83" s="65"/>
      <c r="C83" s="78"/>
      <c r="D83" s="65">
        <f>ROUND((Customer!C14*12),0)</f>
        <v>96708</v>
      </c>
      <c r="E83" s="90">
        <f>+E82</f>
        <v>0.56999999999999995</v>
      </c>
      <c r="F83" s="79">
        <f>ROUND((D83*E83),2)</f>
        <v>55123.56</v>
      </c>
    </row>
    <row r="84" spans="1:6" x14ac:dyDescent="0.2">
      <c r="A84" s="71" t="s">
        <v>103</v>
      </c>
      <c r="B84" s="72"/>
      <c r="C84" s="77"/>
      <c r="D84" s="72">
        <f>SUM(D82:D83)</f>
        <v>1160136</v>
      </c>
      <c r="E84" s="80"/>
      <c r="F84" s="81">
        <f>ROUND((SUM(F82:F83)),2)</f>
        <v>661277.52</v>
      </c>
    </row>
    <row r="85" spans="1:6" x14ac:dyDescent="0.2">
      <c r="A85" s="98"/>
      <c r="B85" s="185">
        <f>$D$15</f>
        <v>2019</v>
      </c>
    </row>
    <row r="86" spans="1:6" x14ac:dyDescent="0.2">
      <c r="A86" s="99" t="s">
        <v>120</v>
      </c>
      <c r="B86" s="100">
        <f>F23</f>
        <v>162823566.28999999</v>
      </c>
    </row>
    <row r="87" spans="1:6" x14ac:dyDescent="0.2">
      <c r="A87" s="99" t="s">
        <v>121</v>
      </c>
      <c r="B87" s="100">
        <f>F56+F67</f>
        <v>5943813.0700000003</v>
      </c>
    </row>
    <row r="88" spans="1:6" x14ac:dyDescent="0.2">
      <c r="A88" s="99" t="s">
        <v>122</v>
      </c>
      <c r="B88" s="100">
        <f>F34</f>
        <v>11180068.17</v>
      </c>
    </row>
    <row r="89" spans="1:6" x14ac:dyDescent="0.2">
      <c r="A89" s="99" t="s">
        <v>123</v>
      </c>
      <c r="B89" s="100">
        <f>F45</f>
        <v>3361613.97</v>
      </c>
    </row>
    <row r="90" spans="1:6" x14ac:dyDescent="0.2">
      <c r="A90" s="99" t="s">
        <v>124</v>
      </c>
      <c r="B90" s="100">
        <f>F78</f>
        <v>888899.49</v>
      </c>
    </row>
    <row r="91" spans="1:6" x14ac:dyDescent="0.2">
      <c r="A91" s="101" t="s">
        <v>125</v>
      </c>
      <c r="B91" s="100">
        <f>+F84</f>
        <v>661277.52</v>
      </c>
    </row>
    <row r="92" spans="1:6" x14ac:dyDescent="0.2">
      <c r="A92" s="74" t="s">
        <v>103</v>
      </c>
      <c r="B92" s="81">
        <f>SUM(B86:B91)</f>
        <v>184859238.50999999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opLeftCell="A70" workbookViewId="0">
      <selection activeCell="F19" sqref="F19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2" t="s">
        <v>126</v>
      </c>
      <c r="B1" s="63" t="s">
        <v>81</v>
      </c>
      <c r="C1" s="63" t="s">
        <v>80</v>
      </c>
      <c r="D1" s="63" t="s">
        <v>97</v>
      </c>
      <c r="F1" s="63"/>
      <c r="G1" s="63"/>
    </row>
    <row r="2" spans="1:14" x14ac:dyDescent="0.2">
      <c r="A2" s="64" t="s">
        <v>44</v>
      </c>
      <c r="B2" s="65">
        <f>ROUND((Energy!$H$84),4)</f>
        <v>670636191.68210006</v>
      </c>
      <c r="C2" s="66"/>
      <c r="D2" s="102">
        <v>0.98092866786078092</v>
      </c>
    </row>
    <row r="3" spans="1:14" x14ac:dyDescent="0.2">
      <c r="A3" s="64" t="s">
        <v>45</v>
      </c>
      <c r="B3" s="65">
        <f>ROUND((Energy!$I$84),4)</f>
        <v>230350504.82339999</v>
      </c>
      <c r="C3" s="66"/>
      <c r="D3" s="102">
        <v>0.84741264163513119</v>
      </c>
      <c r="F3" s="3"/>
      <c r="G3" s="56"/>
      <c r="H3" s="108"/>
    </row>
    <row r="4" spans="1:14" x14ac:dyDescent="0.2">
      <c r="A4" s="64" t="s">
        <v>46</v>
      </c>
      <c r="B4" s="65">
        <f>ROUND((Energy!$J$84),4)</f>
        <v>553481657.08780003</v>
      </c>
      <c r="C4" s="68">
        <f>ROUND((Load!$B$14),4)</f>
        <v>1470475.3023999999</v>
      </c>
      <c r="D4" s="102">
        <v>0.14686416109839648</v>
      </c>
      <c r="E4" s="114"/>
      <c r="F4" s="73"/>
      <c r="G4" s="73"/>
    </row>
    <row r="5" spans="1:14" x14ac:dyDescent="0.2">
      <c r="A5" s="70" t="s">
        <v>98</v>
      </c>
      <c r="B5" s="65">
        <f>ROUND((Energy!$K$84),4)</f>
        <v>12276746.445800001</v>
      </c>
      <c r="C5" s="68">
        <f>ROUND((Load!$C$14),4)</f>
        <v>34080.072999999997</v>
      </c>
      <c r="D5" s="102">
        <v>0</v>
      </c>
      <c r="E5" s="114"/>
      <c r="F5" s="73" t="s">
        <v>99</v>
      </c>
      <c r="G5" s="73"/>
    </row>
    <row r="6" spans="1:14" x14ac:dyDescent="0.2">
      <c r="A6" s="70" t="s">
        <v>100</v>
      </c>
      <c r="B6" s="65">
        <f>ROUND((Energy!$L$84),4)</f>
        <v>211246783.87819999</v>
      </c>
      <c r="C6" s="68">
        <f>ROUND((Load!$D$14),4)</f>
        <v>502671.10230000003</v>
      </c>
      <c r="D6" s="102">
        <v>0</v>
      </c>
      <c r="E6" s="114"/>
      <c r="F6" s="73">
        <f>ROUND((B6*1.0322),4)</f>
        <v>218048930.31909999</v>
      </c>
      <c r="G6" s="73"/>
    </row>
    <row r="7" spans="1:14" x14ac:dyDescent="0.2">
      <c r="A7" s="64" t="s">
        <v>49</v>
      </c>
      <c r="B7" s="65">
        <f>ROUND((Energy!$M$84),4)</f>
        <v>35092546.975000001</v>
      </c>
      <c r="C7" s="68">
        <f>ROUND((Load!$E$14),4)</f>
        <v>70126.589000000007</v>
      </c>
      <c r="D7" s="102">
        <v>0</v>
      </c>
      <c r="E7" s="114"/>
      <c r="F7" s="73"/>
      <c r="G7" s="73"/>
      <c r="K7" s="69"/>
    </row>
    <row r="8" spans="1:14" x14ac:dyDescent="0.2">
      <c r="A8" s="64" t="s">
        <v>50</v>
      </c>
      <c r="B8" s="65">
        <f>ROUND((Energy!$N$84),4)</f>
        <v>7307481.5936000003</v>
      </c>
      <c r="C8" s="68">
        <f>ROUND((Load!$F$14),4)</f>
        <v>20391.435300000001</v>
      </c>
      <c r="D8" s="102">
        <v>1.270590326270077E-2</v>
      </c>
      <c r="F8" s="63"/>
    </row>
    <row r="9" spans="1:14" x14ac:dyDescent="0.2">
      <c r="A9" s="64" t="s">
        <v>51</v>
      </c>
      <c r="B9" s="65">
        <f>ROUND((Energy!$O$84),4)</f>
        <v>4173586.84</v>
      </c>
      <c r="C9" s="66"/>
      <c r="D9" s="102">
        <v>1</v>
      </c>
      <c r="F9" s="110"/>
      <c r="G9" s="48"/>
    </row>
    <row r="10" spans="1:14" x14ac:dyDescent="0.2">
      <c r="A10" s="70" t="s">
        <v>75</v>
      </c>
      <c r="B10" s="65">
        <f>ROUND((ED!C14),4)</f>
        <v>19053029.030000001</v>
      </c>
      <c r="C10" s="68">
        <f>ROUND((ED!$B$14),4)</f>
        <v>43316.19</v>
      </c>
      <c r="D10" s="67">
        <v>0</v>
      </c>
      <c r="F10" s="110"/>
      <c r="G10" s="48"/>
    </row>
    <row r="11" spans="1:14" x14ac:dyDescent="0.2">
      <c r="A11" s="71" t="s">
        <v>103</v>
      </c>
      <c r="B11" s="72">
        <f>ROUND((SUM(B2:B10)),4)</f>
        <v>1743618528.3559</v>
      </c>
      <c r="C11" s="72">
        <f>ROUND((SUM(C2:C10)),4)</f>
        <v>2141060.6919999998</v>
      </c>
      <c r="D11" s="72"/>
      <c r="F11" s="110"/>
      <c r="G11" s="48"/>
    </row>
    <row r="12" spans="1:14" x14ac:dyDescent="0.2">
      <c r="B12" s="73"/>
      <c r="C12" s="73"/>
    </row>
    <row r="14" spans="1:14" x14ac:dyDescent="0.2">
      <c r="A14" s="62" t="s">
        <v>104</v>
      </c>
      <c r="B14" s="222" t="s">
        <v>127</v>
      </c>
      <c r="C14" s="222" t="s">
        <v>128</v>
      </c>
      <c r="D14" s="74"/>
      <c r="E14" s="75"/>
      <c r="F14" s="76"/>
    </row>
    <row r="15" spans="1:14" x14ac:dyDescent="0.2">
      <c r="A15" s="77" t="s">
        <v>107</v>
      </c>
      <c r="B15" s="223"/>
      <c r="C15" s="224"/>
      <c r="D15" s="225">
        <v>2020</v>
      </c>
      <c r="E15" s="226"/>
      <c r="F15" s="227"/>
    </row>
    <row r="16" spans="1:14" x14ac:dyDescent="0.2">
      <c r="A16" s="64" t="str">
        <f>A2</f>
        <v xml:space="preserve">Residential </v>
      </c>
      <c r="B16" s="65">
        <f>+B2</f>
        <v>670636191.68210006</v>
      </c>
      <c r="C16" s="93">
        <v>1.0348999999999999</v>
      </c>
      <c r="D16" s="65">
        <f>ROUND((B16*C16),4)</f>
        <v>694041394.77180004</v>
      </c>
      <c r="E16" s="94">
        <v>9.4299999999999995E-2</v>
      </c>
      <c r="F16" s="79">
        <f>ROUND((D16*E16),2)</f>
        <v>65448103.530000001</v>
      </c>
      <c r="G16" s="110"/>
      <c r="H16" s="110"/>
      <c r="J16" s="106"/>
      <c r="L16" s="110"/>
      <c r="N16" s="110"/>
    </row>
    <row r="17" spans="1:14" x14ac:dyDescent="0.2">
      <c r="A17" s="64" t="str">
        <f>A3</f>
        <v>GS&lt;50 kW</v>
      </c>
      <c r="B17" s="65">
        <f>+B3</f>
        <v>230350504.82339999</v>
      </c>
      <c r="C17" s="78">
        <f t="shared" ref="C17:C22" si="0">$C$16</f>
        <v>1.0348999999999999</v>
      </c>
      <c r="D17" s="65">
        <f t="shared" ref="D17:D22" si="1">ROUND((B17*C17),4)</f>
        <v>238389737.44170001</v>
      </c>
      <c r="E17" s="107">
        <f t="shared" ref="E17" si="2">E16</f>
        <v>9.4299999999999995E-2</v>
      </c>
      <c r="F17" s="79">
        <f t="shared" ref="F17:F22" si="3">ROUND((D17*E17),2)</f>
        <v>22480152.239999998</v>
      </c>
      <c r="J17" s="106"/>
      <c r="L17" s="110"/>
      <c r="N17" s="110"/>
    </row>
    <row r="18" spans="1:14" x14ac:dyDescent="0.2">
      <c r="A18" s="64" t="str">
        <f>A4</f>
        <v>GS&gt;50 kW</v>
      </c>
      <c r="B18" s="65">
        <f>+B4+B6</f>
        <v>764728440.96600008</v>
      </c>
      <c r="C18" s="78">
        <f t="shared" si="0"/>
        <v>1.0348999999999999</v>
      </c>
      <c r="D18" s="65">
        <f t="shared" si="1"/>
        <v>791417463.55569994</v>
      </c>
      <c r="E18" s="107">
        <v>9.1258343574467896E-2</v>
      </c>
      <c r="F18" s="79">
        <f>ROUND((D18*E18),2)</f>
        <v>72223446.799999997</v>
      </c>
      <c r="J18" s="106"/>
      <c r="L18" s="110"/>
      <c r="N18" s="110"/>
    </row>
    <row r="19" spans="1:14" x14ac:dyDescent="0.2">
      <c r="A19" s="64" t="str">
        <f t="shared" ref="A19:A22" si="4">A7</f>
        <v>Large User</v>
      </c>
      <c r="B19" s="65">
        <f>+B7</f>
        <v>35092546.975000001</v>
      </c>
      <c r="C19" s="93">
        <v>1.0053000000000001</v>
      </c>
      <c r="D19" s="65">
        <f t="shared" si="1"/>
        <v>35278537.473999999</v>
      </c>
      <c r="E19" s="107">
        <v>2.4730598048260801E-2</v>
      </c>
      <c r="F19" s="79">
        <f t="shared" si="3"/>
        <v>872459.33</v>
      </c>
      <c r="J19" s="105"/>
      <c r="L19" s="110"/>
      <c r="N19" s="110"/>
    </row>
    <row r="20" spans="1:14" x14ac:dyDescent="0.2">
      <c r="A20" s="64" t="str">
        <f t="shared" si="4"/>
        <v xml:space="preserve">Streetlights </v>
      </c>
      <c r="B20" s="65">
        <f>+B8</f>
        <v>7307481.5936000003</v>
      </c>
      <c r="C20" s="78">
        <f t="shared" si="0"/>
        <v>1.0348999999999999</v>
      </c>
      <c r="D20" s="65">
        <f t="shared" si="1"/>
        <v>7562512.7012</v>
      </c>
      <c r="E20" s="107">
        <f>+E16</f>
        <v>9.4299999999999995E-2</v>
      </c>
      <c r="F20" s="79">
        <f t="shared" si="3"/>
        <v>713144.95</v>
      </c>
      <c r="L20" s="110"/>
      <c r="N20" s="110"/>
    </row>
    <row r="21" spans="1:14" x14ac:dyDescent="0.2">
      <c r="A21" s="64" t="str">
        <f t="shared" si="4"/>
        <v>USL</v>
      </c>
      <c r="B21" s="65">
        <f t="shared" ref="B21:B22" si="5">B9*D9</f>
        <v>4173586.84</v>
      </c>
      <c r="C21" s="78">
        <f t="shared" si="0"/>
        <v>1.0348999999999999</v>
      </c>
      <c r="D21" s="65">
        <f t="shared" si="1"/>
        <v>4319245.0207000002</v>
      </c>
      <c r="E21" s="107">
        <f>E16</f>
        <v>9.4299999999999995E-2</v>
      </c>
      <c r="F21" s="79">
        <f t="shared" si="3"/>
        <v>407304.81</v>
      </c>
      <c r="L21" s="110"/>
      <c r="N21" s="110"/>
    </row>
    <row r="22" spans="1:14" x14ac:dyDescent="0.2">
      <c r="A22" s="64" t="str">
        <f t="shared" si="4"/>
        <v>Embedded Distributor</v>
      </c>
      <c r="B22" s="65">
        <f t="shared" si="5"/>
        <v>0</v>
      </c>
      <c r="C22" s="78">
        <f t="shared" si="0"/>
        <v>1.0348999999999999</v>
      </c>
      <c r="D22" s="65">
        <f t="shared" si="1"/>
        <v>0</v>
      </c>
      <c r="E22" s="107">
        <f>E16</f>
        <v>9.4299999999999995E-2</v>
      </c>
      <c r="F22" s="79">
        <f t="shared" si="3"/>
        <v>0</v>
      </c>
      <c r="L22" s="110"/>
      <c r="N22" s="110"/>
    </row>
    <row r="23" spans="1:14" x14ac:dyDescent="0.2">
      <c r="A23" s="71" t="s">
        <v>103</v>
      </c>
      <c r="B23" s="72">
        <f>SUM(B16:B21)</f>
        <v>1712288752.8801</v>
      </c>
      <c r="C23" s="77"/>
      <c r="D23" s="72">
        <f>ROUND((SUM(D16:D21)),4)</f>
        <v>1771008890.9651</v>
      </c>
      <c r="E23" s="80"/>
      <c r="F23" s="81">
        <f>ROUND((SUM(F16:F21)),2)</f>
        <v>162144611.66</v>
      </c>
      <c r="L23" s="110"/>
    </row>
    <row r="24" spans="1:14" x14ac:dyDescent="0.2">
      <c r="D24" s="69"/>
    </row>
    <row r="25" spans="1:14" x14ac:dyDescent="0.2">
      <c r="A25" s="86" t="s">
        <v>109</v>
      </c>
      <c r="B25" s="87"/>
      <c r="C25" s="184" t="s">
        <v>110</v>
      </c>
      <c r="D25" s="88"/>
      <c r="E25" s="89"/>
      <c r="F25" s="87"/>
    </row>
    <row r="26" spans="1:14" x14ac:dyDescent="0.2">
      <c r="A26" s="77" t="s">
        <v>111</v>
      </c>
      <c r="B26" s="183"/>
      <c r="C26" s="182" t="s">
        <v>112</v>
      </c>
      <c r="D26" s="217">
        <f>$D$15</f>
        <v>2020</v>
      </c>
      <c r="E26" s="218"/>
      <c r="F26" s="221"/>
    </row>
    <row r="27" spans="1:14" x14ac:dyDescent="0.2">
      <c r="A27" s="64" t="str">
        <f>+A16</f>
        <v xml:space="preserve">Residential </v>
      </c>
      <c r="B27" s="65"/>
      <c r="C27" s="78" t="s">
        <v>81</v>
      </c>
      <c r="D27" s="65">
        <f>D16</f>
        <v>694041394.77180004</v>
      </c>
      <c r="E27" s="90">
        <f>ROUND((0.00613697927588184),4)</f>
        <v>6.1000000000000004E-3</v>
      </c>
      <c r="F27" s="79">
        <f t="shared" ref="F27:F33" si="6">ROUND((D27*E27),2)</f>
        <v>4233652.51</v>
      </c>
      <c r="H27" s="48"/>
    </row>
    <row r="28" spans="1:14" x14ac:dyDescent="0.2">
      <c r="A28" s="64" t="str">
        <f t="shared" ref="A28:A33" si="7">+A17</f>
        <v>GS&lt;50 kW</v>
      </c>
      <c r="B28" s="65"/>
      <c r="C28" s="78" t="s">
        <v>81</v>
      </c>
      <c r="D28" s="65">
        <f>D17</f>
        <v>238389737.44170001</v>
      </c>
      <c r="E28" s="90">
        <f>ROUND((0.00530484651196029),4)</f>
        <v>5.3E-3</v>
      </c>
      <c r="F28" s="79">
        <f t="shared" si="6"/>
        <v>1263465.6100000001</v>
      </c>
    </row>
    <row r="29" spans="1:14" x14ac:dyDescent="0.2">
      <c r="A29" s="64" t="str">
        <f t="shared" si="7"/>
        <v>GS&gt;50 kW</v>
      </c>
      <c r="B29" s="65"/>
      <c r="C29" s="78" t="s">
        <v>80</v>
      </c>
      <c r="D29" s="65">
        <f>+C4+C5+C6</f>
        <v>2007226.4777000002</v>
      </c>
      <c r="E29" s="90">
        <f>ROUND((2.8297715456094),4)</f>
        <v>2.8298000000000001</v>
      </c>
      <c r="F29" s="79">
        <f t="shared" si="6"/>
        <v>5680049.4900000002</v>
      </c>
      <c r="H29" s="48" t="s">
        <v>113</v>
      </c>
    </row>
    <row r="30" spans="1:14" x14ac:dyDescent="0.2">
      <c r="A30" s="64" t="str">
        <f t="shared" si="7"/>
        <v>Large User</v>
      </c>
      <c r="B30" s="65"/>
      <c r="C30" s="78" t="s">
        <v>80</v>
      </c>
      <c r="D30" s="65">
        <f>C7</f>
        <v>70126.589000000007</v>
      </c>
      <c r="E30" s="90">
        <f>ROUND((2.65960031905633),4)</f>
        <v>2.6596000000000002</v>
      </c>
      <c r="F30" s="79">
        <f t="shared" si="6"/>
        <v>186508.68</v>
      </c>
    </row>
    <row r="31" spans="1:14" x14ac:dyDescent="0.2">
      <c r="A31" s="64" t="str">
        <f t="shared" si="7"/>
        <v xml:space="preserve">Streetlights </v>
      </c>
      <c r="B31" s="65"/>
      <c r="C31" s="78" t="s">
        <v>80</v>
      </c>
      <c r="D31" s="65">
        <f>C8</f>
        <v>20391.435300000001</v>
      </c>
      <c r="E31" s="90">
        <f>ROUND((1.72074654260113),4)</f>
        <v>1.7206999999999999</v>
      </c>
      <c r="F31" s="79">
        <f t="shared" si="6"/>
        <v>35087.54</v>
      </c>
    </row>
    <row r="32" spans="1:14" x14ac:dyDescent="0.2">
      <c r="A32" s="64" t="str">
        <f t="shared" si="7"/>
        <v>USL</v>
      </c>
      <c r="B32" s="65"/>
      <c r="C32" s="78" t="s">
        <v>81</v>
      </c>
      <c r="D32" s="65">
        <f>D21</f>
        <v>4319245.0207000002</v>
      </c>
      <c r="E32" s="90">
        <f>ROUND((0.00530484641458397),4)</f>
        <v>5.3E-3</v>
      </c>
      <c r="F32" s="79">
        <f t="shared" si="6"/>
        <v>22892</v>
      </c>
    </row>
    <row r="33" spans="1:8" x14ac:dyDescent="0.2">
      <c r="A33" s="91" t="str">
        <f t="shared" si="7"/>
        <v>Embedded Distributor</v>
      </c>
      <c r="B33" s="92"/>
      <c r="C33" s="93" t="s">
        <v>80</v>
      </c>
      <c r="D33" s="92">
        <f>+C10</f>
        <v>43316.19</v>
      </c>
      <c r="E33" s="94">
        <f>ROUND((2.66802546395928),4)</f>
        <v>2.6680000000000001</v>
      </c>
      <c r="F33" s="95">
        <f t="shared" si="6"/>
        <v>115567.59</v>
      </c>
    </row>
    <row r="34" spans="1:8" x14ac:dyDescent="0.2">
      <c r="A34" s="71" t="s">
        <v>103</v>
      </c>
      <c r="B34" s="72"/>
      <c r="C34" s="77"/>
      <c r="D34" s="72"/>
      <c r="E34" s="80"/>
      <c r="F34" s="81">
        <f>ROUND((SUM(F27:F33)),2)</f>
        <v>11537223.42</v>
      </c>
    </row>
    <row r="36" spans="1:8" x14ac:dyDescent="0.2">
      <c r="A36" s="86" t="s">
        <v>114</v>
      </c>
      <c r="B36" s="87"/>
      <c r="C36" s="96" t="s">
        <v>110</v>
      </c>
      <c r="D36" s="88"/>
      <c r="E36" s="89"/>
      <c r="F36" s="87"/>
    </row>
    <row r="37" spans="1:8" x14ac:dyDescent="0.2">
      <c r="A37" s="77" t="s">
        <v>111</v>
      </c>
      <c r="B37" s="183"/>
      <c r="C37" s="97" t="s">
        <v>112</v>
      </c>
      <c r="D37" s="217">
        <f>$D$15</f>
        <v>2020</v>
      </c>
      <c r="E37" s="218"/>
      <c r="F37" s="221"/>
    </row>
    <row r="38" spans="1:8" x14ac:dyDescent="0.2">
      <c r="A38" s="64" t="str">
        <f>+A16</f>
        <v xml:space="preserve">Residential </v>
      </c>
      <c r="B38" s="65"/>
      <c r="C38" s="78" t="str">
        <f t="shared" ref="C38:D43" si="8">C27</f>
        <v>kWh</v>
      </c>
      <c r="D38" s="65">
        <f t="shared" si="8"/>
        <v>694041394.77180004</v>
      </c>
      <c r="E38" s="107">
        <f>ROUND((0.00170039331487917),4)</f>
        <v>1.6999999999999999E-3</v>
      </c>
      <c r="F38" s="79">
        <f t="shared" ref="F38:F44" si="9">ROUND((D38*E38),2)</f>
        <v>1179870.3700000001</v>
      </c>
    </row>
    <row r="39" spans="1:8" x14ac:dyDescent="0.2">
      <c r="A39" s="64" t="str">
        <f t="shared" ref="A39:A44" si="10">+A17</f>
        <v>GS&lt;50 kW</v>
      </c>
      <c r="B39" s="65"/>
      <c r="C39" s="78" t="str">
        <f t="shared" si="8"/>
        <v>kWh</v>
      </c>
      <c r="D39" s="65">
        <f t="shared" si="8"/>
        <v>238389737.44170001</v>
      </c>
      <c r="E39" s="90">
        <f>ROUND((0.00150034702396375),4)</f>
        <v>1.5E-3</v>
      </c>
      <c r="F39" s="79">
        <f t="shared" si="9"/>
        <v>357584.61</v>
      </c>
    </row>
    <row r="40" spans="1:8" x14ac:dyDescent="0.2">
      <c r="A40" s="64" t="str">
        <f t="shared" si="10"/>
        <v>GS&gt;50 kW</v>
      </c>
      <c r="B40" s="65"/>
      <c r="C40" s="78" t="str">
        <f t="shared" si="8"/>
        <v>kW</v>
      </c>
      <c r="D40" s="65">
        <f>D29</f>
        <v>2007226.4777000002</v>
      </c>
      <c r="E40" s="90">
        <f>ROUND((0.845095477484139),4)</f>
        <v>0.84509999999999996</v>
      </c>
      <c r="F40" s="79">
        <f t="shared" si="9"/>
        <v>1696307.1</v>
      </c>
      <c r="H40" s="48" t="s">
        <v>113</v>
      </c>
    </row>
    <row r="41" spans="1:8" x14ac:dyDescent="0.2">
      <c r="A41" s="64" t="str">
        <f t="shared" si="10"/>
        <v>Large User</v>
      </c>
      <c r="B41" s="65"/>
      <c r="C41" s="78" t="str">
        <f t="shared" si="8"/>
        <v>kW</v>
      </c>
      <c r="D41" s="65">
        <f t="shared" si="8"/>
        <v>70126.589000000007</v>
      </c>
      <c r="E41" s="90">
        <f>ROUND((0.794483802559181),4)</f>
        <v>0.79449999999999998</v>
      </c>
      <c r="F41" s="79">
        <f t="shared" si="9"/>
        <v>55715.57</v>
      </c>
    </row>
    <row r="42" spans="1:8" x14ac:dyDescent="0.2">
      <c r="A42" s="64" t="str">
        <f t="shared" si="10"/>
        <v xml:space="preserve">Streetlights </v>
      </c>
      <c r="B42" s="65"/>
      <c r="C42" s="78" t="str">
        <f t="shared" si="8"/>
        <v>kW</v>
      </c>
      <c r="D42" s="65">
        <f t="shared" si="8"/>
        <v>20391.435300000001</v>
      </c>
      <c r="E42" s="90">
        <f>ROUND((0.514418792183765),4)</f>
        <v>0.51439999999999997</v>
      </c>
      <c r="F42" s="79">
        <f t="shared" si="9"/>
        <v>10489.35</v>
      </c>
    </row>
    <row r="43" spans="1:8" x14ac:dyDescent="0.2">
      <c r="A43" s="64" t="str">
        <f t="shared" si="10"/>
        <v>USL</v>
      </c>
      <c r="B43" s="65"/>
      <c r="C43" s="78" t="str">
        <f t="shared" si="8"/>
        <v>kWh</v>
      </c>
      <c r="D43" s="65">
        <f t="shared" si="8"/>
        <v>4319245.0207000002</v>
      </c>
      <c r="E43" s="90">
        <f>ROUND((0.00150034784128535),4)</f>
        <v>1.5E-3</v>
      </c>
      <c r="F43" s="79">
        <f t="shared" si="9"/>
        <v>6478.87</v>
      </c>
    </row>
    <row r="44" spans="1:8" x14ac:dyDescent="0.2">
      <c r="A44" s="91" t="str">
        <f t="shared" si="10"/>
        <v>Embedded Distributor</v>
      </c>
      <c r="B44" s="92"/>
      <c r="C44" s="93" t="s">
        <v>80</v>
      </c>
      <c r="D44" s="92">
        <f>D33</f>
        <v>43316.19</v>
      </c>
      <c r="E44" s="94">
        <f>ROUND((0.797184170658885),4)</f>
        <v>0.79720000000000002</v>
      </c>
      <c r="F44" s="95">
        <f t="shared" si="9"/>
        <v>34531.67</v>
      </c>
    </row>
    <row r="45" spans="1:8" x14ac:dyDescent="0.2">
      <c r="A45" s="71" t="s">
        <v>103</v>
      </c>
      <c r="B45" s="72"/>
      <c r="C45" s="77"/>
      <c r="D45" s="72"/>
      <c r="E45" s="80"/>
      <c r="F45" s="81">
        <f>ROUND((SUM(F38:F44)),2)</f>
        <v>3340977.54</v>
      </c>
    </row>
    <row r="47" spans="1:8" x14ac:dyDescent="0.2">
      <c r="A47" s="86" t="s">
        <v>115</v>
      </c>
      <c r="B47" s="87"/>
      <c r="C47" s="184" t="s">
        <v>110</v>
      </c>
      <c r="D47" s="88"/>
      <c r="E47" s="89"/>
      <c r="F47" s="87"/>
    </row>
    <row r="48" spans="1:8" x14ac:dyDescent="0.2">
      <c r="A48" s="77" t="s">
        <v>111</v>
      </c>
      <c r="B48" s="183"/>
      <c r="C48" s="182" t="s">
        <v>112</v>
      </c>
      <c r="D48" s="217">
        <f>$D$15</f>
        <v>2020</v>
      </c>
      <c r="E48" s="218"/>
      <c r="F48" s="219"/>
    </row>
    <row r="49" spans="1:12" x14ac:dyDescent="0.2">
      <c r="A49" s="64" t="str">
        <f>+A16</f>
        <v xml:space="preserve">Residential </v>
      </c>
      <c r="B49" s="65"/>
      <c r="C49" s="78" t="s">
        <v>81</v>
      </c>
      <c r="D49" s="65">
        <f>D16</f>
        <v>694041394.77180004</v>
      </c>
      <c r="E49" s="90">
        <v>3.0000000000000001E-3</v>
      </c>
      <c r="F49" s="79">
        <f t="shared" ref="F49:F55" si="11">ROUND((D49*E49),2)</f>
        <v>2082124.18</v>
      </c>
      <c r="L49" s="110">
        <f t="shared" ref="L49:L54" si="12">+F49+F71</f>
        <v>2429144.88</v>
      </c>
    </row>
    <row r="50" spans="1:12" x14ac:dyDescent="0.2">
      <c r="A50" s="64" t="str">
        <f t="shared" ref="A50:A55" si="13">+A17</f>
        <v>GS&lt;50 kW</v>
      </c>
      <c r="B50" s="65"/>
      <c r="C50" s="78" t="s">
        <v>81</v>
      </c>
      <c r="D50" s="65">
        <f>D17</f>
        <v>238389737.44170001</v>
      </c>
      <c r="E50" s="90">
        <f>+E49</f>
        <v>3.0000000000000001E-3</v>
      </c>
      <c r="F50" s="79">
        <f t="shared" si="11"/>
        <v>715169.21</v>
      </c>
      <c r="L50" s="110">
        <f t="shared" si="12"/>
        <v>834364.08</v>
      </c>
    </row>
    <row r="51" spans="1:12" x14ac:dyDescent="0.2">
      <c r="A51" s="64" t="str">
        <f t="shared" si="13"/>
        <v>GS&gt;50 kW</v>
      </c>
      <c r="B51" s="65"/>
      <c r="C51" s="78" t="s">
        <v>81</v>
      </c>
      <c r="D51" s="65">
        <f>+D18</f>
        <v>791417463.55569994</v>
      </c>
      <c r="E51" s="90">
        <f>+E49</f>
        <v>3.0000000000000001E-3</v>
      </c>
      <c r="F51" s="79">
        <f t="shared" si="11"/>
        <v>2374252.39</v>
      </c>
      <c r="H51" s="48" t="s">
        <v>108</v>
      </c>
      <c r="L51" s="110">
        <f t="shared" si="12"/>
        <v>2769961.12</v>
      </c>
    </row>
    <row r="52" spans="1:12" x14ac:dyDescent="0.2">
      <c r="A52" s="64" t="str">
        <f t="shared" si="13"/>
        <v>Large User</v>
      </c>
      <c r="B52" s="65"/>
      <c r="C52" s="78" t="s">
        <v>81</v>
      </c>
      <c r="D52" s="65">
        <f>D19</f>
        <v>35278537.473999999</v>
      </c>
      <c r="E52" s="90">
        <f>+E49</f>
        <v>3.0000000000000001E-3</v>
      </c>
      <c r="F52" s="79">
        <f t="shared" si="11"/>
        <v>105835.61</v>
      </c>
      <c r="L52" s="110">
        <f t="shared" si="12"/>
        <v>123474.88</v>
      </c>
    </row>
    <row r="53" spans="1:12" x14ac:dyDescent="0.2">
      <c r="A53" s="64" t="str">
        <f t="shared" si="13"/>
        <v xml:space="preserve">Streetlights </v>
      </c>
      <c r="B53" s="65"/>
      <c r="C53" s="78" t="s">
        <v>81</v>
      </c>
      <c r="D53" s="65">
        <f>D20</f>
        <v>7562512.7012</v>
      </c>
      <c r="E53" s="90">
        <f>+E49</f>
        <v>3.0000000000000001E-3</v>
      </c>
      <c r="F53" s="79">
        <f t="shared" si="11"/>
        <v>22687.54</v>
      </c>
      <c r="L53" s="110">
        <f t="shared" si="12"/>
        <v>26468.800000000003</v>
      </c>
    </row>
    <row r="54" spans="1:12" x14ac:dyDescent="0.2">
      <c r="A54" s="64" t="str">
        <f t="shared" si="13"/>
        <v>USL</v>
      </c>
      <c r="B54" s="65"/>
      <c r="C54" s="78" t="s">
        <v>81</v>
      </c>
      <c r="D54" s="65">
        <f>D21</f>
        <v>4319245.0207000002</v>
      </c>
      <c r="E54" s="90">
        <f>+E49</f>
        <v>3.0000000000000001E-3</v>
      </c>
      <c r="F54" s="79">
        <f t="shared" si="11"/>
        <v>12957.74</v>
      </c>
      <c r="L54" s="110">
        <f t="shared" si="12"/>
        <v>15117.36</v>
      </c>
    </row>
    <row r="55" spans="1:12" x14ac:dyDescent="0.2">
      <c r="A55" s="70" t="str">
        <f t="shared" si="13"/>
        <v>Embedded Distributor</v>
      </c>
      <c r="B55" s="65"/>
      <c r="C55" s="78" t="s">
        <v>81</v>
      </c>
      <c r="D55" s="65">
        <f>D22</f>
        <v>0</v>
      </c>
      <c r="E55" s="90">
        <f>+E49</f>
        <v>3.0000000000000001E-3</v>
      </c>
      <c r="F55" s="79">
        <f t="shared" si="11"/>
        <v>0</v>
      </c>
    </row>
    <row r="56" spans="1:12" x14ac:dyDescent="0.2">
      <c r="A56" s="71" t="s">
        <v>103</v>
      </c>
      <c r="B56" s="72"/>
      <c r="C56" s="77"/>
      <c r="D56" s="72">
        <f>SUM(D49:D55)</f>
        <v>1771008890.9650998</v>
      </c>
      <c r="E56" s="80"/>
      <c r="F56" s="81">
        <f>SUM(F49:F55)</f>
        <v>5313026.67</v>
      </c>
    </row>
    <row r="58" spans="1:12" x14ac:dyDescent="0.2">
      <c r="A58" s="86" t="s">
        <v>116</v>
      </c>
      <c r="B58" s="87"/>
      <c r="C58" s="184" t="s">
        <v>110</v>
      </c>
      <c r="D58" s="88"/>
      <c r="E58" s="89"/>
      <c r="F58" s="87"/>
    </row>
    <row r="59" spans="1:12" x14ac:dyDescent="0.2">
      <c r="A59" s="77" t="s">
        <v>111</v>
      </c>
      <c r="B59" s="183"/>
      <c r="C59" s="182" t="s">
        <v>112</v>
      </c>
      <c r="D59" s="217">
        <f>$D$15</f>
        <v>2020</v>
      </c>
      <c r="E59" s="218"/>
      <c r="F59" s="219"/>
    </row>
    <row r="60" spans="1:12" x14ac:dyDescent="0.2">
      <c r="A60" s="64" t="str">
        <f>+A16</f>
        <v xml:space="preserve">Residential </v>
      </c>
      <c r="B60" s="65"/>
      <c r="C60" s="78" t="s">
        <v>81</v>
      </c>
      <c r="D60" s="65">
        <f>+D49</f>
        <v>694041394.77180004</v>
      </c>
      <c r="E60" s="90">
        <v>4.0000000000000002E-4</v>
      </c>
      <c r="F60" s="79">
        <f t="shared" ref="F60:F66" si="14">ROUND((D60*E60),2)</f>
        <v>277616.56</v>
      </c>
    </row>
    <row r="61" spans="1:12" x14ac:dyDescent="0.2">
      <c r="A61" s="64" t="str">
        <f t="shared" ref="A61:A66" si="15">+A17</f>
        <v>GS&lt;50 kW</v>
      </c>
      <c r="B61" s="65"/>
      <c r="C61" s="78" t="s">
        <v>81</v>
      </c>
      <c r="D61" s="65">
        <f>+D50</f>
        <v>238389737.44170001</v>
      </c>
      <c r="E61" s="90">
        <f>+E60</f>
        <v>4.0000000000000002E-4</v>
      </c>
      <c r="F61" s="79">
        <f t="shared" si="14"/>
        <v>95355.89</v>
      </c>
    </row>
    <row r="62" spans="1:12" x14ac:dyDescent="0.2">
      <c r="A62" s="64" t="str">
        <f t="shared" si="15"/>
        <v>GS&gt;50 kW</v>
      </c>
      <c r="B62" s="65"/>
      <c r="C62" s="78" t="s">
        <v>81</v>
      </c>
      <c r="D62" s="65">
        <f>+D51-F6</f>
        <v>573368533.23659992</v>
      </c>
      <c r="E62" s="90">
        <f>+E60</f>
        <v>4.0000000000000002E-4</v>
      </c>
      <c r="F62" s="79">
        <f t="shared" si="14"/>
        <v>229347.41</v>
      </c>
      <c r="H62" s="48" t="s">
        <v>108</v>
      </c>
    </row>
    <row r="63" spans="1:12" x14ac:dyDescent="0.2">
      <c r="A63" s="64" t="str">
        <f t="shared" si="15"/>
        <v>Large User</v>
      </c>
      <c r="B63" s="65"/>
      <c r="C63" s="78" t="s">
        <v>81</v>
      </c>
      <c r="D63" s="65">
        <v>0</v>
      </c>
      <c r="E63" s="90">
        <f>+E60</f>
        <v>4.0000000000000002E-4</v>
      </c>
      <c r="F63" s="79">
        <f t="shared" si="14"/>
        <v>0</v>
      </c>
      <c r="H63" t="s">
        <v>117</v>
      </c>
    </row>
    <row r="64" spans="1:12" x14ac:dyDescent="0.2">
      <c r="A64" s="64" t="str">
        <f t="shared" si="15"/>
        <v xml:space="preserve">Streetlights </v>
      </c>
      <c r="B64" s="65"/>
      <c r="C64" s="78" t="s">
        <v>81</v>
      </c>
      <c r="D64" s="65">
        <f>+D53</f>
        <v>7562512.7012</v>
      </c>
      <c r="E64" s="90">
        <f>+E60</f>
        <v>4.0000000000000002E-4</v>
      </c>
      <c r="F64" s="79">
        <f t="shared" si="14"/>
        <v>3025.01</v>
      </c>
    </row>
    <row r="65" spans="1:8" x14ac:dyDescent="0.2">
      <c r="A65" s="64" t="str">
        <f t="shared" si="15"/>
        <v>USL</v>
      </c>
      <c r="B65" s="65"/>
      <c r="C65" s="78" t="s">
        <v>81</v>
      </c>
      <c r="D65" s="65">
        <f>+D54</f>
        <v>4319245.0207000002</v>
      </c>
      <c r="E65" s="90">
        <f>+E60</f>
        <v>4.0000000000000002E-4</v>
      </c>
      <c r="F65" s="79">
        <f t="shared" si="14"/>
        <v>1727.7</v>
      </c>
    </row>
    <row r="66" spans="1:8" x14ac:dyDescent="0.2">
      <c r="A66" s="70" t="str">
        <f t="shared" si="15"/>
        <v>Embedded Distributor</v>
      </c>
      <c r="B66" s="65"/>
      <c r="C66" s="78" t="s">
        <v>81</v>
      </c>
      <c r="D66" s="65">
        <f>+D55</f>
        <v>0</v>
      </c>
      <c r="E66" s="90">
        <f>+E60</f>
        <v>4.0000000000000002E-4</v>
      </c>
      <c r="F66" s="79">
        <f t="shared" si="14"/>
        <v>0</v>
      </c>
    </row>
    <row r="67" spans="1:8" x14ac:dyDescent="0.2">
      <c r="A67" s="71" t="s">
        <v>103</v>
      </c>
      <c r="B67" s="72"/>
      <c r="C67" s="77"/>
      <c r="D67" s="72">
        <f>SUM(D60:D66)</f>
        <v>1517681423.1719999</v>
      </c>
      <c r="E67" s="80"/>
      <c r="F67" s="81">
        <f>SUM(F60:F66)</f>
        <v>607072.56999999995</v>
      </c>
    </row>
    <row r="69" spans="1:8" x14ac:dyDescent="0.2">
      <c r="A69" s="86" t="s">
        <v>118</v>
      </c>
      <c r="B69" s="87"/>
      <c r="C69" s="184" t="s">
        <v>110</v>
      </c>
      <c r="D69" s="88"/>
      <c r="E69" s="89"/>
      <c r="F69" s="87"/>
    </row>
    <row r="70" spans="1:8" x14ac:dyDescent="0.2">
      <c r="A70" s="77" t="s">
        <v>111</v>
      </c>
      <c r="B70" s="183"/>
      <c r="C70" s="182" t="s">
        <v>112</v>
      </c>
      <c r="D70" s="220">
        <f>$D$15</f>
        <v>2020</v>
      </c>
      <c r="E70" s="218"/>
      <c r="F70" s="221"/>
    </row>
    <row r="71" spans="1:8" x14ac:dyDescent="0.2">
      <c r="A71" s="64" t="str">
        <f>+A16</f>
        <v xml:space="preserve">Residential </v>
      </c>
      <c r="B71" s="65"/>
      <c r="C71" s="78" t="s">
        <v>81</v>
      </c>
      <c r="D71" s="65">
        <f t="shared" ref="D71:D77" si="16">D49</f>
        <v>694041394.77180004</v>
      </c>
      <c r="E71" s="90">
        <v>5.0000000000000001E-4</v>
      </c>
      <c r="F71" s="79">
        <f t="shared" ref="F71:F77" si="17">ROUND((D71*E71),2)</f>
        <v>347020.7</v>
      </c>
    </row>
    <row r="72" spans="1:8" x14ac:dyDescent="0.2">
      <c r="A72" s="64" t="str">
        <f t="shared" ref="A72:A77" si="18">+A17</f>
        <v>GS&lt;50 kW</v>
      </c>
      <c r="B72" s="65"/>
      <c r="C72" s="78" t="s">
        <v>81</v>
      </c>
      <c r="D72" s="65">
        <f t="shared" si="16"/>
        <v>238389737.44170001</v>
      </c>
      <c r="E72" s="90">
        <f>+E71</f>
        <v>5.0000000000000001E-4</v>
      </c>
      <c r="F72" s="79">
        <f t="shared" si="17"/>
        <v>119194.87</v>
      </c>
      <c r="H72" s="48"/>
    </row>
    <row r="73" spans="1:8" x14ac:dyDescent="0.2">
      <c r="A73" s="64" t="str">
        <f t="shared" si="18"/>
        <v>GS&gt;50 kW</v>
      </c>
      <c r="B73" s="65"/>
      <c r="C73" s="78" t="s">
        <v>81</v>
      </c>
      <c r="D73" s="65">
        <f t="shared" si="16"/>
        <v>791417463.55569994</v>
      </c>
      <c r="E73" s="90">
        <f>+E71</f>
        <v>5.0000000000000001E-4</v>
      </c>
      <c r="F73" s="79">
        <f t="shared" si="17"/>
        <v>395708.73</v>
      </c>
      <c r="H73" s="48" t="s">
        <v>108</v>
      </c>
    </row>
    <row r="74" spans="1:8" x14ac:dyDescent="0.2">
      <c r="A74" s="64" t="str">
        <f t="shared" si="18"/>
        <v>Large User</v>
      </c>
      <c r="B74" s="65"/>
      <c r="C74" s="78" t="s">
        <v>81</v>
      </c>
      <c r="D74" s="65">
        <f t="shared" si="16"/>
        <v>35278537.473999999</v>
      </c>
      <c r="E74" s="90">
        <f>+E71</f>
        <v>5.0000000000000001E-4</v>
      </c>
      <c r="F74" s="79">
        <f t="shared" si="17"/>
        <v>17639.27</v>
      </c>
    </row>
    <row r="75" spans="1:8" x14ac:dyDescent="0.2">
      <c r="A75" s="64" t="str">
        <f t="shared" si="18"/>
        <v xml:space="preserve">Streetlights </v>
      </c>
      <c r="B75" s="65"/>
      <c r="C75" s="78" t="s">
        <v>81</v>
      </c>
      <c r="D75" s="65">
        <f t="shared" si="16"/>
        <v>7562512.7012</v>
      </c>
      <c r="E75" s="90">
        <f>+E71</f>
        <v>5.0000000000000001E-4</v>
      </c>
      <c r="F75" s="79">
        <f t="shared" si="17"/>
        <v>3781.26</v>
      </c>
    </row>
    <row r="76" spans="1:8" x14ac:dyDescent="0.2">
      <c r="A76" s="64" t="str">
        <f t="shared" si="18"/>
        <v>USL</v>
      </c>
      <c r="B76" s="65"/>
      <c r="C76" s="78" t="s">
        <v>81</v>
      </c>
      <c r="D76" s="65">
        <f t="shared" si="16"/>
        <v>4319245.0207000002</v>
      </c>
      <c r="E76" s="90">
        <f>+E71</f>
        <v>5.0000000000000001E-4</v>
      </c>
      <c r="F76" s="79">
        <f t="shared" si="17"/>
        <v>2159.62</v>
      </c>
    </row>
    <row r="77" spans="1:8" x14ac:dyDescent="0.2">
      <c r="A77" s="70" t="str">
        <f t="shared" si="18"/>
        <v>Embedded Distributor</v>
      </c>
      <c r="B77" s="65"/>
      <c r="C77" s="78" t="s">
        <v>81</v>
      </c>
      <c r="D77" s="65">
        <f t="shared" si="16"/>
        <v>0</v>
      </c>
      <c r="E77" s="90">
        <f>+E71</f>
        <v>5.0000000000000001E-4</v>
      </c>
      <c r="F77" s="79">
        <f t="shared" si="17"/>
        <v>0</v>
      </c>
    </row>
    <row r="78" spans="1:8" x14ac:dyDescent="0.2">
      <c r="A78" s="71" t="s">
        <v>103</v>
      </c>
      <c r="B78" s="72"/>
      <c r="C78" s="77"/>
      <c r="D78" s="72">
        <f>SUM(D71:D77)</f>
        <v>1771008890.9650998</v>
      </c>
      <c r="E78" s="80"/>
      <c r="F78" s="81">
        <f>SUM(F71:F77)</f>
        <v>885504.45000000007</v>
      </c>
    </row>
    <row r="80" spans="1:8" x14ac:dyDescent="0.2">
      <c r="A80" s="86" t="s">
        <v>119</v>
      </c>
      <c r="B80" s="87"/>
      <c r="C80" s="96"/>
      <c r="D80" s="88"/>
      <c r="E80" s="89"/>
      <c r="F80" s="87"/>
    </row>
    <row r="81" spans="1:6" x14ac:dyDescent="0.2">
      <c r="A81" s="77" t="s">
        <v>111</v>
      </c>
      <c r="B81" s="183"/>
      <c r="C81" s="97"/>
      <c r="D81" s="220">
        <f>$D$15</f>
        <v>2020</v>
      </c>
      <c r="E81" s="218"/>
      <c r="F81" s="221"/>
    </row>
    <row r="82" spans="1:6" x14ac:dyDescent="0.2">
      <c r="A82" s="64" t="str">
        <f>+A16</f>
        <v xml:space="preserve">Residential </v>
      </c>
      <c r="B82" s="65"/>
      <c r="C82" s="78"/>
      <c r="D82" s="65">
        <f>ROUND((Customer!B15*12),0)</f>
        <v>1078320</v>
      </c>
      <c r="E82" s="90">
        <v>0.56999999999999995</v>
      </c>
      <c r="F82" s="79">
        <f>ROUND((D82*E82),2)</f>
        <v>614642.4</v>
      </c>
    </row>
    <row r="83" spans="1:6" x14ac:dyDescent="0.2">
      <c r="A83" s="64" t="str">
        <f>+A17</f>
        <v>GS&lt;50 kW</v>
      </c>
      <c r="B83" s="65"/>
      <c r="C83" s="78"/>
      <c r="D83" s="65">
        <f>ROUND((Customer!C15*12),0)</f>
        <v>97632</v>
      </c>
      <c r="E83" s="90">
        <f>+E82</f>
        <v>0.56999999999999995</v>
      </c>
      <c r="F83" s="79">
        <f>ROUND((D83*E83),2)</f>
        <v>55650.239999999998</v>
      </c>
    </row>
    <row r="84" spans="1:6" x14ac:dyDescent="0.2">
      <c r="A84" s="71" t="s">
        <v>103</v>
      </c>
      <c r="B84" s="72"/>
      <c r="C84" s="77"/>
      <c r="D84" s="72">
        <f>SUM(D82:D83)</f>
        <v>1175952</v>
      </c>
      <c r="E84" s="80"/>
      <c r="F84" s="81">
        <f>SUM(F82:F83)</f>
        <v>670292.64</v>
      </c>
    </row>
    <row r="85" spans="1:6" x14ac:dyDescent="0.2">
      <c r="A85" s="98"/>
      <c r="B85" s="185">
        <f>$D$15</f>
        <v>2020</v>
      </c>
    </row>
    <row r="86" spans="1:6" x14ac:dyDescent="0.2">
      <c r="A86" s="99" t="s">
        <v>120</v>
      </c>
      <c r="B86" s="100">
        <f>F23</f>
        <v>162144611.66</v>
      </c>
      <c r="E86" s="110"/>
    </row>
    <row r="87" spans="1:6" x14ac:dyDescent="0.2">
      <c r="A87" s="99" t="s">
        <v>121</v>
      </c>
      <c r="B87" s="100">
        <f>F56+F67</f>
        <v>5920099.2400000002</v>
      </c>
      <c r="E87" s="174"/>
    </row>
    <row r="88" spans="1:6" x14ac:dyDescent="0.2">
      <c r="A88" s="99" t="s">
        <v>122</v>
      </c>
      <c r="B88" s="100">
        <f>F34</f>
        <v>11537223.42</v>
      </c>
    </row>
    <row r="89" spans="1:6" x14ac:dyDescent="0.2">
      <c r="A89" s="99" t="s">
        <v>123</v>
      </c>
      <c r="B89" s="100">
        <f>F45</f>
        <v>3340977.54</v>
      </c>
    </row>
    <row r="90" spans="1:6" x14ac:dyDescent="0.2">
      <c r="A90" s="99" t="s">
        <v>124</v>
      </c>
      <c r="B90" s="100">
        <f>F78</f>
        <v>885504.45000000007</v>
      </c>
      <c r="C90" s="110">
        <f>+B87+B90</f>
        <v>6805603.6900000004</v>
      </c>
    </row>
    <row r="91" spans="1:6" x14ac:dyDescent="0.2">
      <c r="A91" s="101" t="s">
        <v>125</v>
      </c>
      <c r="B91" s="100">
        <f>+F84</f>
        <v>670292.64</v>
      </c>
    </row>
    <row r="92" spans="1:6" x14ac:dyDescent="0.2">
      <c r="A92" s="74" t="s">
        <v>103</v>
      </c>
      <c r="B92" s="81">
        <f>SUM(B86:B91)</f>
        <v>184498708.94999996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abSelected="1" topLeftCell="A40" workbookViewId="0">
      <selection activeCell="P63" sqref="P63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8" t="s">
        <v>129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3" spans="1:16" ht="38.25" x14ac:dyDescent="0.2">
      <c r="B3" s="122" t="s">
        <v>130</v>
      </c>
      <c r="C3" s="122" t="s">
        <v>131</v>
      </c>
      <c r="D3" s="122" t="s">
        <v>132</v>
      </c>
      <c r="E3" s="122" t="s">
        <v>133</v>
      </c>
      <c r="F3" s="122" t="s">
        <v>134</v>
      </c>
      <c r="G3" s="122" t="s">
        <v>135</v>
      </c>
      <c r="H3" s="122" t="s">
        <v>136</v>
      </c>
      <c r="I3" s="122" t="s">
        <v>137</v>
      </c>
      <c r="J3" s="122" t="s">
        <v>138</v>
      </c>
      <c r="K3" s="122" t="s">
        <v>139</v>
      </c>
      <c r="L3" s="115" t="s">
        <v>140</v>
      </c>
      <c r="M3" s="115" t="s">
        <v>141</v>
      </c>
    </row>
    <row r="4" spans="1:16" x14ac:dyDescent="0.2">
      <c r="A4" s="41" t="s">
        <v>142</v>
      </c>
      <c r="B4" s="116">
        <f>+Power!F149</f>
        <v>1783525545.6735001</v>
      </c>
      <c r="C4" s="116">
        <f>+Power!F150</f>
        <v>1847282693.8638999</v>
      </c>
      <c r="D4" s="116">
        <f>+Power!F151</f>
        <v>1851601106.1615</v>
      </c>
      <c r="E4" s="116">
        <f>+Power!F152</f>
        <v>1841751486.6217</v>
      </c>
      <c r="F4" s="116">
        <f>+Power!F153</f>
        <v>1826077452.0487001</v>
      </c>
      <c r="G4" s="116">
        <f>+Power!F154</f>
        <v>1813646737.4347999</v>
      </c>
      <c r="H4" s="116">
        <f>+Power!F155</f>
        <v>1801989952.4038</v>
      </c>
      <c r="I4" s="116">
        <f>+Power!F156</f>
        <v>1811690675.5150001</v>
      </c>
      <c r="J4" s="116">
        <f>+Power!F157</f>
        <v>1757808741.7091</v>
      </c>
      <c r="K4" s="116">
        <f>+Power!F158</f>
        <v>1857049843.3989</v>
      </c>
      <c r="L4" s="190"/>
      <c r="M4" s="190"/>
    </row>
    <row r="5" spans="1:16" x14ac:dyDescent="0.2">
      <c r="A5" s="41" t="s">
        <v>143</v>
      </c>
      <c r="B5" s="116">
        <f>+Power!M149</f>
        <v>1800298295.8777001</v>
      </c>
      <c r="C5" s="116">
        <f>+Power!M150</f>
        <v>1839186495.2196</v>
      </c>
      <c r="D5" s="116">
        <f>+Power!M151</f>
        <v>1834946147.4099</v>
      </c>
      <c r="E5" s="116">
        <f>+Power!M152</f>
        <v>1831418063.1184001</v>
      </c>
      <c r="F5" s="116">
        <f>+Power!M153</f>
        <v>1828344525.2953</v>
      </c>
      <c r="G5" s="116">
        <f>+Power!M154</f>
        <v>1808788361.8722</v>
      </c>
      <c r="H5" s="116">
        <f>+Power!M155</f>
        <v>1811328722.3573</v>
      </c>
      <c r="I5" s="116">
        <f>+Power!M156</f>
        <v>1830405149.3097999</v>
      </c>
      <c r="J5" s="116">
        <f>+Power!M157</f>
        <v>1775599273.2484</v>
      </c>
      <c r="K5" s="116">
        <f>+Power!M158</f>
        <v>1832109201.1229999</v>
      </c>
      <c r="L5" s="116">
        <f>+Power!M159</f>
        <v>1798082410.0234001</v>
      </c>
      <c r="M5" s="116">
        <f>+Power!M160</f>
        <v>1804344033.2966001</v>
      </c>
    </row>
    <row r="6" spans="1:16" x14ac:dyDescent="0.2">
      <c r="A6" s="41" t="s">
        <v>144</v>
      </c>
      <c r="B6" s="123">
        <f>ROUND(((B5-B4)/B4),4)</f>
        <v>9.4000000000000004E-3</v>
      </c>
      <c r="C6" s="123">
        <f t="shared" ref="C6:K6" si="0">ROUND(((C5-C4)/C4),4)</f>
        <v>-4.4000000000000003E-3</v>
      </c>
      <c r="D6" s="123">
        <f t="shared" si="0"/>
        <v>-8.9999999999999993E-3</v>
      </c>
      <c r="E6" s="123">
        <f t="shared" si="0"/>
        <v>-5.5999999999999999E-3</v>
      </c>
      <c r="F6" s="123">
        <f t="shared" si="0"/>
        <v>1.1999999999999999E-3</v>
      </c>
      <c r="G6" s="123">
        <f t="shared" si="0"/>
        <v>-2.7000000000000001E-3</v>
      </c>
      <c r="H6" s="123">
        <f t="shared" si="0"/>
        <v>5.1999999999999998E-3</v>
      </c>
      <c r="I6" s="123">
        <f t="shared" si="0"/>
        <v>1.03E-2</v>
      </c>
      <c r="J6" s="123">
        <f t="shared" si="0"/>
        <v>1.01E-2</v>
      </c>
      <c r="K6" s="123">
        <f t="shared" si="0"/>
        <v>-1.34E-2</v>
      </c>
      <c r="L6" s="117"/>
      <c r="M6" s="117"/>
      <c r="N6" s="118"/>
    </row>
    <row r="7" spans="1:16" x14ac:dyDescent="0.2">
      <c r="B7"/>
      <c r="C7"/>
      <c r="D7"/>
      <c r="E7"/>
      <c r="F7"/>
      <c r="G7"/>
      <c r="H7"/>
      <c r="I7"/>
      <c r="J7"/>
      <c r="K7" s="190"/>
      <c r="L7"/>
      <c r="M7"/>
    </row>
    <row r="8" spans="1:16" x14ac:dyDescent="0.2">
      <c r="A8" s="41" t="s">
        <v>145</v>
      </c>
      <c r="B8" s="116">
        <f>+Energy!E6</f>
        <v>1777401233</v>
      </c>
      <c r="C8" s="116">
        <f>+Energy!E7</f>
        <v>1829500492</v>
      </c>
      <c r="D8" s="116">
        <f>+Energy!E8</f>
        <v>1833881352</v>
      </c>
      <c r="E8" s="116">
        <f>+Energy!E9</f>
        <v>1825234090</v>
      </c>
      <c r="F8" s="116">
        <f>+Energy!E10</f>
        <v>1813262316.5969999</v>
      </c>
      <c r="G8" s="116">
        <f>+Energy!E11</f>
        <v>1803531650.6849</v>
      </c>
      <c r="H8" s="116">
        <f>+Energy!E12</f>
        <v>1762488283.8699999</v>
      </c>
      <c r="I8" s="116">
        <f>+Energy!E13</f>
        <v>1765790195.1571</v>
      </c>
      <c r="J8" s="116">
        <f>+Energy!E14</f>
        <v>1709004939.8992</v>
      </c>
      <c r="K8" s="116">
        <f>+Energy!E15</f>
        <v>1805957382.2454</v>
      </c>
      <c r="L8" s="116">
        <f>+Energy!E16</f>
        <v>1741990321.6658001</v>
      </c>
      <c r="M8" s="116">
        <f>+Energy!E17</f>
        <v>1748056610.4403999</v>
      </c>
      <c r="N8" s="118"/>
      <c r="O8" s="73"/>
      <c r="P8" s="73"/>
    </row>
    <row r="9" spans="1:16" x14ac:dyDescent="0.2">
      <c r="A9" s="41"/>
      <c r="B9" s="190"/>
      <c r="C9" s="190"/>
      <c r="D9" s="190"/>
      <c r="E9" s="190"/>
      <c r="F9" s="119"/>
      <c r="G9" s="119"/>
      <c r="H9" s="119"/>
      <c r="I9" s="119"/>
      <c r="J9" s="190"/>
      <c r="K9" s="190"/>
      <c r="L9" s="190"/>
      <c r="M9" s="190"/>
    </row>
    <row r="10" spans="1:16" ht="15.75" x14ac:dyDescent="0.25">
      <c r="A10" s="120" t="s">
        <v>146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6" x14ac:dyDescent="0.2">
      <c r="A11" s="121" t="s">
        <v>44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6" x14ac:dyDescent="0.2">
      <c r="A12" t="s">
        <v>147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148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658984582.68439996</v>
      </c>
      <c r="M13" s="1">
        <f>+Energy!H84</f>
        <v>670636191.68210006</v>
      </c>
      <c r="O13" s="48"/>
    </row>
    <row r="14" spans="1:16" x14ac:dyDescent="0.2">
      <c r="B14" s="190"/>
      <c r="C14" s="190"/>
      <c r="D14" s="190"/>
      <c r="E14" s="190"/>
      <c r="F14" s="190"/>
      <c r="G14" s="190"/>
      <c r="H14" s="190"/>
      <c r="I14" s="190"/>
      <c r="J14" s="118"/>
      <c r="K14" s="190"/>
      <c r="L14" s="117"/>
      <c r="M14" s="117"/>
    </row>
    <row r="15" spans="1:16" x14ac:dyDescent="0.2">
      <c r="A15" s="121" t="s">
        <v>45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</row>
    <row r="16" spans="1:16" x14ac:dyDescent="0.2">
      <c r="A16" t="s">
        <v>147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148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229902295.5174</v>
      </c>
      <c r="M17" s="1">
        <f>+Energy!I84</f>
        <v>230350504.82339999</v>
      </c>
    </row>
    <row r="18" spans="1:13" x14ac:dyDescent="0.2">
      <c r="B18" s="190"/>
      <c r="C18" s="190"/>
      <c r="D18" s="190"/>
      <c r="E18" s="190"/>
      <c r="F18" s="190"/>
      <c r="G18" s="190"/>
      <c r="H18" s="190"/>
      <c r="I18" s="190"/>
      <c r="J18" s="118"/>
      <c r="K18" s="190"/>
      <c r="L18" s="117"/>
      <c r="M18" s="117"/>
    </row>
    <row r="19" spans="1:13" x14ac:dyDescent="0.2">
      <c r="A19" s="121" t="s">
        <v>46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"/>
      <c r="M19" s="1"/>
    </row>
    <row r="20" spans="1:13" x14ac:dyDescent="0.2">
      <c r="A20" t="s">
        <v>147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148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797127969.96700001</v>
      </c>
      <c r="M21" s="1">
        <f>+Energy!J84+Energy!K84+Energy!L84</f>
        <v>777005187.41179991</v>
      </c>
    </row>
    <row r="22" spans="1:13" x14ac:dyDescent="0.2">
      <c r="A22" t="s">
        <v>149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2058548.5606000002</v>
      </c>
      <c r="M22" s="1">
        <f>+Load!B14+Load!C14+Load!D14</f>
        <v>2007226.4777000002</v>
      </c>
    </row>
    <row r="23" spans="1:13" x14ac:dyDescent="0.2">
      <c r="B23" s="190"/>
      <c r="C23" s="190"/>
      <c r="D23" s="190"/>
      <c r="E23" s="190"/>
      <c r="F23" s="190"/>
      <c r="G23" s="190"/>
      <c r="H23" s="190"/>
      <c r="I23" s="190"/>
      <c r="J23" s="118"/>
      <c r="K23" s="190"/>
      <c r="L23" s="117"/>
      <c r="M23" s="117"/>
    </row>
    <row r="24" spans="1:13" x14ac:dyDescent="0.2">
      <c r="A24" s="121" t="s">
        <v>49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"/>
      <c r="M24" s="1"/>
    </row>
    <row r="25" spans="1:13" x14ac:dyDescent="0.2">
      <c r="A25" t="s">
        <v>147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148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7">
        <f>+Energy!M83</f>
        <v>34219938.542199999</v>
      </c>
      <c r="M26" s="37">
        <f>+Energy!M84</f>
        <v>35092546.975000001</v>
      </c>
    </row>
    <row r="27" spans="1:13" x14ac:dyDescent="0.2">
      <c r="A27" t="s">
        <v>149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B28" s="190"/>
      <c r="C28" s="190"/>
      <c r="D28" s="190"/>
      <c r="E28" s="190"/>
      <c r="F28" s="190"/>
      <c r="G28" s="190"/>
      <c r="H28" s="190"/>
      <c r="I28" s="190"/>
      <c r="J28" s="118"/>
      <c r="K28" s="190"/>
      <c r="L28" s="117"/>
      <c r="M28" s="117"/>
    </row>
    <row r="29" spans="1:13" x14ac:dyDescent="0.2">
      <c r="A29" s="121" t="s">
        <v>50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"/>
      <c r="M29" s="1"/>
    </row>
    <row r="30" spans="1:13" x14ac:dyDescent="0.2">
      <c r="A30" t="s">
        <v>150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148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35">
        <f>+Energy!N83</f>
        <v>7386896.2983999997</v>
      </c>
      <c r="M31" s="135">
        <f>+Energy!N84</f>
        <v>7307481.5936000003</v>
      </c>
    </row>
    <row r="32" spans="1:13" x14ac:dyDescent="0.2">
      <c r="A32" t="s">
        <v>149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1" t="s">
        <v>51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"/>
      <c r="M34" s="1"/>
    </row>
    <row r="35" spans="1:13" x14ac:dyDescent="0.2">
      <c r="A35" t="s">
        <v>150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148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"/>
      <c r="M37" s="1"/>
    </row>
    <row r="38" spans="1:13" x14ac:dyDescent="0.2">
      <c r="A38" s="121" t="s">
        <v>75</v>
      </c>
      <c r="B38" s="190"/>
      <c r="C38" s="190"/>
      <c r="D38" s="190"/>
      <c r="E38" s="190"/>
      <c r="F38" s="190"/>
      <c r="G38" s="190"/>
      <c r="H38" s="190"/>
      <c r="I38" s="190"/>
      <c r="J38" s="190"/>
      <c r="K38"/>
      <c r="L38" s="1"/>
      <c r="M38" s="1"/>
    </row>
    <row r="39" spans="1:13" x14ac:dyDescent="0.2">
      <c r="A39" t="s">
        <v>147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148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149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1" t="s">
        <v>151</v>
      </c>
      <c r="B43" s="1"/>
      <c r="C43" s="1"/>
      <c r="D43" s="1"/>
      <c r="E43" s="1"/>
      <c r="F43" s="1"/>
      <c r="G43" s="1"/>
      <c r="H43" s="1"/>
      <c r="I43" s="190"/>
      <c r="J43" s="1"/>
      <c r="K43" s="190"/>
      <c r="L43" s="190"/>
      <c r="M43" s="190"/>
    </row>
    <row r="44" spans="1:13" x14ac:dyDescent="0.2">
      <c r="A44" t="s">
        <v>152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148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1731712960.5546</v>
      </c>
      <c r="M45" s="1">
        <f t="shared" si="2"/>
        <v>1724565499.3259001</v>
      </c>
    </row>
    <row r="46" spans="1:13" x14ac:dyDescent="0.2">
      <c r="A46" t="s">
        <v>153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2147544.4300000002</v>
      </c>
      <c r="M46" s="1">
        <f t="shared" si="3"/>
        <v>2097744.5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1" t="s">
        <v>154</v>
      </c>
      <c r="B48" s="1"/>
      <c r="C48" s="1"/>
      <c r="D48" s="1"/>
      <c r="E48" s="1"/>
      <c r="F48" s="1"/>
      <c r="G48" s="1"/>
      <c r="H48" s="1"/>
      <c r="I48" s="190"/>
      <c r="J48" s="1"/>
      <c r="K48" s="190"/>
      <c r="L48" s="190"/>
      <c r="M48" s="190"/>
    </row>
    <row r="49" spans="1:13" x14ac:dyDescent="0.2">
      <c r="A49" t="s">
        <v>152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148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1750765989.5846</v>
      </c>
      <c r="M50" s="1">
        <f t="shared" si="5"/>
        <v>1743618528.3559</v>
      </c>
    </row>
    <row r="51" spans="1:13" x14ac:dyDescent="0.2">
      <c r="A51" t="s">
        <v>153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2190860.62</v>
      </c>
      <c r="M51" s="1">
        <f t="shared" si="6"/>
        <v>2141060.69</v>
      </c>
    </row>
    <row r="53" spans="1:13" x14ac:dyDescent="0.2">
      <c r="A53" s="121" t="s">
        <v>155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"/>
      <c r="M53" s="1"/>
    </row>
    <row r="54" spans="1:13" x14ac:dyDescent="0.2">
      <c r="A54" t="s">
        <v>152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148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1741990321.6658001</v>
      </c>
      <c r="M55" s="1">
        <f>ROUND((Energy!P64),0)</f>
        <v>1748056610</v>
      </c>
    </row>
    <row r="56" spans="1:13" x14ac:dyDescent="0.2">
      <c r="A56" t="s">
        <v>153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2147544.4300000002</v>
      </c>
      <c r="M56" s="1">
        <f>ROUND((Load!G14),2)</f>
        <v>2097744.5</v>
      </c>
    </row>
    <row r="58" spans="1:13" x14ac:dyDescent="0.2">
      <c r="A58" s="121" t="s">
        <v>156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"/>
      <c r="M58" s="1"/>
    </row>
    <row r="59" spans="1:13" x14ac:dyDescent="0.2">
      <c r="A59" t="s">
        <v>152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148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1750765989.5846</v>
      </c>
      <c r="M60" s="1">
        <f>ROUND((Energy!P84+ED!C13),4)</f>
        <v>1743618528.3559</v>
      </c>
    </row>
    <row r="61" spans="1:13" x14ac:dyDescent="0.2">
      <c r="A61" t="s">
        <v>153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2190860.62</v>
      </c>
      <c r="M61" s="1">
        <f>ROUND((Load!G14+ED!B14),2)</f>
        <v>2141060.69</v>
      </c>
    </row>
    <row r="63" spans="1:13" x14ac:dyDescent="0.2">
      <c r="A63" s="121" t="s">
        <v>157</v>
      </c>
      <c r="B63" s="1"/>
      <c r="C63" s="1"/>
      <c r="D63" s="1"/>
      <c r="E63" s="1"/>
      <c r="F63" s="1"/>
      <c r="G63" s="1"/>
      <c r="H63" s="1"/>
      <c r="I63" s="1"/>
      <c r="J63" s="1"/>
      <c r="K63" s="190"/>
      <c r="L63" s="1"/>
      <c r="M63" s="1"/>
    </row>
    <row r="64" spans="1:13" x14ac:dyDescent="0.2">
      <c r="A64" t="s">
        <v>152</v>
      </c>
      <c r="B64" s="29">
        <f>ROUND((B49-B59),0)</f>
        <v>0</v>
      </c>
      <c r="C64" s="29">
        <f t="shared" ref="C64:M64" si="7">ROUND((C49-C59),0)</f>
        <v>0</v>
      </c>
      <c r="D64" s="29">
        <f t="shared" si="7"/>
        <v>0</v>
      </c>
      <c r="E64" s="29">
        <f t="shared" si="7"/>
        <v>0</v>
      </c>
      <c r="F64" s="29">
        <f t="shared" si="7"/>
        <v>0</v>
      </c>
      <c r="G64" s="29">
        <f t="shared" si="7"/>
        <v>0</v>
      </c>
      <c r="H64" s="29">
        <f t="shared" si="7"/>
        <v>0</v>
      </c>
      <c r="I64" s="29">
        <f t="shared" si="7"/>
        <v>0</v>
      </c>
      <c r="J64" s="29">
        <f t="shared" si="7"/>
        <v>0</v>
      </c>
      <c r="K64" s="29">
        <f t="shared" si="7"/>
        <v>0</v>
      </c>
      <c r="L64" s="29">
        <f t="shared" si="7"/>
        <v>0</v>
      </c>
      <c r="M64" s="29">
        <f t="shared" si="7"/>
        <v>0</v>
      </c>
    </row>
    <row r="65" spans="1:16" x14ac:dyDescent="0.2">
      <c r="A65" t="s">
        <v>148</v>
      </c>
      <c r="B65" s="29">
        <f>ROUND((B50-B60),4)</f>
        <v>0</v>
      </c>
      <c r="C65" s="29">
        <f t="shared" ref="C65:M65" si="8">ROUND((C50-C60),4)</f>
        <v>0</v>
      </c>
      <c r="D65" s="29">
        <f t="shared" si="8"/>
        <v>0</v>
      </c>
      <c r="E65" s="29">
        <f t="shared" si="8"/>
        <v>0</v>
      </c>
      <c r="F65" s="29">
        <f t="shared" si="8"/>
        <v>0</v>
      </c>
      <c r="G65" s="29">
        <f t="shared" si="8"/>
        <v>0</v>
      </c>
      <c r="H65" s="29">
        <f t="shared" si="8"/>
        <v>0</v>
      </c>
      <c r="I65" s="29">
        <f t="shared" si="8"/>
        <v>0</v>
      </c>
      <c r="J65" s="29">
        <f t="shared" si="8"/>
        <v>0</v>
      </c>
      <c r="K65" s="29">
        <f t="shared" si="8"/>
        <v>0</v>
      </c>
      <c r="L65" s="29">
        <f t="shared" si="8"/>
        <v>0</v>
      </c>
      <c r="M65" s="29">
        <f t="shared" si="8"/>
        <v>0</v>
      </c>
    </row>
    <row r="66" spans="1:16" x14ac:dyDescent="0.2">
      <c r="A66" t="s">
        <v>153</v>
      </c>
      <c r="B66" s="29">
        <f>ROUND((B51-B61),2)</f>
        <v>0</v>
      </c>
      <c r="C66" s="29">
        <f t="shared" ref="C66:M66" si="9">ROUND((C51-C61),2)</f>
        <v>0</v>
      </c>
      <c r="D66" s="29">
        <f t="shared" si="9"/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</row>
    <row r="69" spans="1:16" x14ac:dyDescent="0.2">
      <c r="B69" s="115">
        <v>2009</v>
      </c>
      <c r="C69" s="115">
        <v>2010</v>
      </c>
      <c r="D69" s="115">
        <v>2011</v>
      </c>
      <c r="E69" s="63">
        <v>2012</v>
      </c>
      <c r="F69" s="115">
        <v>2013</v>
      </c>
      <c r="G69" s="115">
        <v>2014</v>
      </c>
      <c r="H69" s="115">
        <v>2015</v>
      </c>
      <c r="I69" s="63">
        <v>2016</v>
      </c>
      <c r="J69" s="115">
        <v>2017</v>
      </c>
      <c r="K69" s="115">
        <v>2018</v>
      </c>
      <c r="L69" s="115">
        <v>2019</v>
      </c>
      <c r="M69" s="63">
        <v>2020</v>
      </c>
      <c r="P69" s="190"/>
    </row>
    <row r="70" spans="1:16" x14ac:dyDescent="0.2">
      <c r="A70" t="s">
        <v>158</v>
      </c>
      <c r="B70" s="54">
        <f t="shared" ref="B70:E71" si="10">B4/1000000</f>
        <v>1783.5255456735001</v>
      </c>
      <c r="C70" s="54">
        <f t="shared" si="10"/>
        <v>1847.2826938639</v>
      </c>
      <c r="D70" s="54">
        <f t="shared" si="10"/>
        <v>1851.6011061615</v>
      </c>
      <c r="E70" s="54">
        <f t="shared" si="10"/>
        <v>1841.7514866217</v>
      </c>
      <c r="F70" s="54">
        <f t="shared" ref="F70:J71" si="11">F4/1000000</f>
        <v>1826.0774520487</v>
      </c>
      <c r="G70" s="54">
        <f t="shared" si="11"/>
        <v>1813.6467374347999</v>
      </c>
      <c r="H70" s="54">
        <f t="shared" si="11"/>
        <v>1801.9899524038001</v>
      </c>
      <c r="I70" s="54">
        <f t="shared" si="11"/>
        <v>1811.6906755150001</v>
      </c>
      <c r="J70" s="54">
        <f t="shared" si="11"/>
        <v>1757.8087417091001</v>
      </c>
      <c r="K70" s="54">
        <f>K4/1000000</f>
        <v>1857.0498433989001</v>
      </c>
      <c r="L70" s="54"/>
      <c r="M70" s="54"/>
      <c r="P70" s="190"/>
    </row>
    <row r="71" spans="1:16" x14ac:dyDescent="0.2">
      <c r="A71" t="s">
        <v>159</v>
      </c>
      <c r="B71" s="54">
        <f t="shared" si="10"/>
        <v>1800.2982958777002</v>
      </c>
      <c r="C71" s="54">
        <f t="shared" si="10"/>
        <v>1839.1864952195999</v>
      </c>
      <c r="D71" s="54">
        <f t="shared" si="10"/>
        <v>1834.9461474099</v>
      </c>
      <c r="E71" s="54">
        <f t="shared" si="10"/>
        <v>1831.4180631184001</v>
      </c>
      <c r="F71" s="54">
        <f t="shared" si="11"/>
        <v>1828.3445252952999</v>
      </c>
      <c r="G71" s="54">
        <f t="shared" si="11"/>
        <v>1808.7883618722001</v>
      </c>
      <c r="H71" s="54">
        <f t="shared" si="11"/>
        <v>1811.3287223573</v>
      </c>
      <c r="I71" s="54">
        <f t="shared" si="11"/>
        <v>1830.4051493098</v>
      </c>
      <c r="J71" s="54">
        <f t="shared" si="11"/>
        <v>1775.5992732483999</v>
      </c>
      <c r="K71" s="54">
        <f>K5/1000000</f>
        <v>1832.1092011229998</v>
      </c>
      <c r="L71" s="54">
        <f>L5/1000000</f>
        <v>1798.0824100234001</v>
      </c>
      <c r="M71" s="54">
        <f>M5/1000000</f>
        <v>1804.3440332966002</v>
      </c>
      <c r="P71" s="190"/>
    </row>
    <row r="75" spans="1:16" x14ac:dyDescent="0.2">
      <c r="B75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161</v>
      </c>
      <c r="C1" s="4" t="s">
        <v>162</v>
      </c>
      <c r="D1" s="4" t="s">
        <v>163</v>
      </c>
      <c r="E1" s="4" t="s">
        <v>164</v>
      </c>
      <c r="F1" s="4"/>
      <c r="J1" s="233" t="s">
        <v>55</v>
      </c>
      <c r="K1" s="233"/>
      <c r="P1" s="239" t="s">
        <v>165</v>
      </c>
      <c r="Q1" s="240"/>
      <c r="R1" s="240"/>
      <c r="S1" s="240"/>
      <c r="T1" s="240"/>
      <c r="U1" s="240"/>
      <c r="V1" s="240"/>
      <c r="W1" s="240"/>
      <c r="X1" s="241"/>
    </row>
    <row r="2" spans="1:24" ht="15" x14ac:dyDescent="0.2">
      <c r="A2">
        <v>2005</v>
      </c>
      <c r="B2" s="130">
        <v>292583</v>
      </c>
      <c r="C2" s="130">
        <v>292583</v>
      </c>
      <c r="D2" s="127">
        <f>C2</f>
        <v>292583</v>
      </c>
      <c r="E2" s="127">
        <f>D2/2</f>
        <v>146291.5</v>
      </c>
      <c r="F2" s="127">
        <f>E2</f>
        <v>146291.5</v>
      </c>
      <c r="G2" s="127">
        <f t="shared" ref="G2:G17" si="0">F2/$N$14</f>
        <v>1875.5320512820513</v>
      </c>
      <c r="J2" s="128">
        <f>+E37</f>
        <v>146291.5</v>
      </c>
      <c r="K2" s="128">
        <f>E2</f>
        <v>146291.5</v>
      </c>
      <c r="L2" s="128">
        <f>J2-K2</f>
        <v>0</v>
      </c>
      <c r="M2" s="188" t="s">
        <v>166</v>
      </c>
      <c r="N2" s="188">
        <v>1</v>
      </c>
      <c r="P2" s="177" t="s">
        <v>167</v>
      </c>
      <c r="Q2" s="178">
        <v>2013</v>
      </c>
      <c r="R2" s="177">
        <v>2014</v>
      </c>
      <c r="S2" s="178">
        <v>2015</v>
      </c>
      <c r="T2" s="177">
        <v>2016</v>
      </c>
      <c r="U2" s="178">
        <v>2017</v>
      </c>
      <c r="V2" s="177">
        <v>2018</v>
      </c>
      <c r="W2" s="178">
        <v>2019</v>
      </c>
      <c r="X2" s="186">
        <v>2020</v>
      </c>
    </row>
    <row r="3" spans="1:24" x14ac:dyDescent="0.2">
      <c r="A3">
        <v>2006</v>
      </c>
      <c r="B3" s="130">
        <v>11429858.135299999</v>
      </c>
      <c r="C3" s="130">
        <v>10724827.041200001</v>
      </c>
      <c r="D3" s="127">
        <f>C3-C2</f>
        <v>10432244.041200001</v>
      </c>
      <c r="E3" s="127">
        <f>C2+D3/2</f>
        <v>5508705.0206000004</v>
      </c>
      <c r="F3" s="127">
        <f>E3-F37</f>
        <v>5238628.4052153854</v>
      </c>
      <c r="G3" s="127">
        <f t="shared" si="0"/>
        <v>67161.902630966477</v>
      </c>
      <c r="J3" s="128">
        <f>+E49</f>
        <v>5508705.0206000023</v>
      </c>
      <c r="K3" s="128">
        <f t="shared" ref="K3:K17" si="1">E3</f>
        <v>5508705.0206000004</v>
      </c>
      <c r="L3" s="128">
        <f t="shared" ref="L3:L15" si="2">J3-K3</f>
        <v>0</v>
      </c>
      <c r="M3" s="188" t="s">
        <v>168</v>
      </c>
      <c r="N3" s="188">
        <v>2</v>
      </c>
      <c r="P3" s="131" t="s">
        <v>169</v>
      </c>
      <c r="Q3" s="132">
        <v>9108720.7277000006</v>
      </c>
      <c r="R3" s="132">
        <v>9108720.7277000006</v>
      </c>
      <c r="S3" s="132">
        <v>8889479.0610000007</v>
      </c>
      <c r="T3" s="132">
        <v>8889479.0610000007</v>
      </c>
      <c r="U3" s="132">
        <v>8433284.0085000005</v>
      </c>
      <c r="V3" s="132">
        <v>7106534.6752000004</v>
      </c>
      <c r="W3" s="132">
        <v>7106534.6752000004</v>
      </c>
      <c r="X3" s="132">
        <v>7106534.6752000004</v>
      </c>
    </row>
    <row r="4" spans="1:24" x14ac:dyDescent="0.2">
      <c r="A4">
        <v>2007</v>
      </c>
      <c r="B4" s="130">
        <v>30126928.111399997</v>
      </c>
      <c r="C4" s="130">
        <v>21463789.4815</v>
      </c>
      <c r="D4" s="127">
        <f t="shared" ref="D4:D17" si="3">C4-C3</f>
        <v>10738962.440299999</v>
      </c>
      <c r="E4" s="127">
        <f t="shared" ref="E4:E17" si="4">C3+D4/2</f>
        <v>16094308.26135</v>
      </c>
      <c r="F4" s="127">
        <f>E4-F49</f>
        <v>6152917.6671062093</v>
      </c>
      <c r="G4" s="127">
        <f t="shared" si="0"/>
        <v>78883.559834694985</v>
      </c>
      <c r="J4" s="128">
        <f>E61</f>
        <v>16094308.261349995</v>
      </c>
      <c r="K4" s="128">
        <f t="shared" si="1"/>
        <v>16094308.26135</v>
      </c>
      <c r="L4" s="128">
        <f t="shared" si="2"/>
        <v>0</v>
      </c>
      <c r="M4" s="188" t="s">
        <v>170</v>
      </c>
      <c r="N4" s="188">
        <v>3</v>
      </c>
      <c r="P4" s="131">
        <v>2006</v>
      </c>
      <c r="Q4" s="132">
        <v>958932.5307</v>
      </c>
      <c r="R4" s="132">
        <v>901064.85930000001</v>
      </c>
      <c r="S4" s="132">
        <v>901064.85930000001</v>
      </c>
      <c r="T4" s="132">
        <v>851307.5368</v>
      </c>
      <c r="U4" s="132">
        <v>851307.5368</v>
      </c>
      <c r="V4" s="132">
        <v>851307.5368</v>
      </c>
      <c r="W4" s="132">
        <v>851307.5368</v>
      </c>
      <c r="X4" s="132">
        <v>770593.15899999999</v>
      </c>
    </row>
    <row r="5" spans="1:24" x14ac:dyDescent="0.2">
      <c r="A5">
        <v>2008</v>
      </c>
      <c r="B5" s="130">
        <v>34400975.484799996</v>
      </c>
      <c r="C5" s="130">
        <v>27058909.221900001</v>
      </c>
      <c r="D5" s="127">
        <f t="shared" si="3"/>
        <v>5595119.7404000014</v>
      </c>
      <c r="E5" s="127">
        <f t="shared" si="4"/>
        <v>24261349.3517</v>
      </c>
      <c r="F5" s="127">
        <f>E5-F61</f>
        <v>2960726.1412601359</v>
      </c>
      <c r="G5" s="127">
        <f t="shared" si="0"/>
        <v>37958.027452053022</v>
      </c>
      <c r="J5" s="128">
        <f>+E73</f>
        <v>24261349.3517</v>
      </c>
      <c r="K5" s="128">
        <f t="shared" si="1"/>
        <v>24261349.3517</v>
      </c>
      <c r="L5" s="128">
        <f t="shared" si="2"/>
        <v>0</v>
      </c>
      <c r="M5" s="188" t="s">
        <v>171</v>
      </c>
      <c r="N5" s="188">
        <v>4</v>
      </c>
      <c r="P5" s="131">
        <v>2007</v>
      </c>
      <c r="Q5" s="132">
        <v>2920741.9328999999</v>
      </c>
      <c r="R5" s="132">
        <v>2920674.0214</v>
      </c>
      <c r="S5" s="132">
        <v>1036730.128</v>
      </c>
      <c r="T5" s="132">
        <v>900764.071</v>
      </c>
      <c r="U5" s="132">
        <v>577412.88769999996</v>
      </c>
      <c r="V5" s="132">
        <v>577412.88769999996</v>
      </c>
      <c r="W5" s="132">
        <v>577412.88769999996</v>
      </c>
      <c r="X5" s="132">
        <v>577412.88769999996</v>
      </c>
    </row>
    <row r="6" spans="1:24" x14ac:dyDescent="0.2">
      <c r="A6">
        <v>2009</v>
      </c>
      <c r="B6" s="130">
        <v>47381960.727704629</v>
      </c>
      <c r="C6" s="130">
        <v>36655515.3336</v>
      </c>
      <c r="D6" s="127">
        <f t="shared" si="3"/>
        <v>9596606.1116999984</v>
      </c>
      <c r="E6" s="127">
        <f t="shared" si="4"/>
        <v>31857212.27775</v>
      </c>
      <c r="F6" s="127">
        <f>E6-F73</f>
        <v>5090633.1142144985</v>
      </c>
      <c r="G6" s="127">
        <f t="shared" si="0"/>
        <v>65264.527105314082</v>
      </c>
      <c r="J6" s="128">
        <f>+E85</f>
        <v>31857212.277750008</v>
      </c>
      <c r="K6" s="128">
        <f t="shared" si="1"/>
        <v>31857212.27775</v>
      </c>
      <c r="L6" s="128">
        <f t="shared" si="2"/>
        <v>0</v>
      </c>
      <c r="M6" s="188" t="s">
        <v>160</v>
      </c>
      <c r="N6" s="188">
        <v>5</v>
      </c>
      <c r="P6" s="131">
        <v>2008</v>
      </c>
      <c r="Q6" s="132">
        <v>3372859.3509999998</v>
      </c>
      <c r="R6" s="132">
        <v>3070530.0879000002</v>
      </c>
      <c r="S6" s="132">
        <v>2844942.4230999998</v>
      </c>
      <c r="T6" s="132">
        <v>2206892.6046000002</v>
      </c>
      <c r="U6" s="132">
        <v>1920978.838</v>
      </c>
      <c r="V6" s="132">
        <v>1772268.6181999999</v>
      </c>
      <c r="W6" s="132">
        <v>1772268.6181999999</v>
      </c>
      <c r="X6" s="132">
        <v>1743360.1923</v>
      </c>
    </row>
    <row r="7" spans="1:24" x14ac:dyDescent="0.2">
      <c r="A7">
        <v>2010</v>
      </c>
      <c r="B7" s="130">
        <v>54664486.625004634</v>
      </c>
      <c r="C7" s="130">
        <v>39643598.0973</v>
      </c>
      <c r="D7" s="127">
        <f t="shared" si="3"/>
        <v>2988082.7637000009</v>
      </c>
      <c r="E7" s="127">
        <f t="shared" si="4"/>
        <v>38149556.715450004</v>
      </c>
      <c r="F7" s="127">
        <f>E7-F85</f>
        <v>1984885.6487492621</v>
      </c>
      <c r="G7" s="127">
        <f t="shared" si="0"/>
        <v>25447.25190704182</v>
      </c>
      <c r="J7" s="128">
        <f>+E97</f>
        <v>38149556.715450004</v>
      </c>
      <c r="K7" s="128">
        <f t="shared" si="1"/>
        <v>38149556.715450004</v>
      </c>
      <c r="L7" s="128">
        <f t="shared" si="2"/>
        <v>0</v>
      </c>
      <c r="M7" s="188" t="s">
        <v>172</v>
      </c>
      <c r="N7" s="188">
        <v>6</v>
      </c>
      <c r="P7" s="131">
        <v>2009</v>
      </c>
      <c r="Q7" s="132">
        <v>7796526.2141000004</v>
      </c>
      <c r="R7" s="132">
        <v>7491579.6662999997</v>
      </c>
      <c r="S7" s="132">
        <v>7041835.8415000001</v>
      </c>
      <c r="T7" s="132">
        <v>6832205.3581999997</v>
      </c>
      <c r="U7" s="132">
        <v>5280325.8485000003</v>
      </c>
      <c r="V7" s="132">
        <v>3555174.8073</v>
      </c>
      <c r="W7" s="132">
        <v>2950716.9471999998</v>
      </c>
      <c r="X7" s="132">
        <v>864116.98289326951</v>
      </c>
    </row>
    <row r="8" spans="1:24" x14ac:dyDescent="0.2">
      <c r="A8">
        <v>2011</v>
      </c>
      <c r="B8" s="130">
        <v>65677230.152747899</v>
      </c>
      <c r="C8" s="130">
        <v>50620379.920699999</v>
      </c>
      <c r="D8" s="127">
        <f t="shared" si="3"/>
        <v>10976781.823399998</v>
      </c>
      <c r="E8" s="127">
        <f t="shared" si="4"/>
        <v>45131989.009000003</v>
      </c>
      <c r="F8" s="127">
        <f>E8-F97</f>
        <v>5302913.6676852405</v>
      </c>
      <c r="G8" s="127">
        <f t="shared" si="0"/>
        <v>67986.072662631283</v>
      </c>
      <c r="J8" s="128">
        <f>+E109</f>
        <v>45131989.008999981</v>
      </c>
      <c r="K8" s="128">
        <f t="shared" si="1"/>
        <v>45131989.009000003</v>
      </c>
      <c r="L8" s="128">
        <f t="shared" si="2"/>
        <v>0</v>
      </c>
      <c r="M8" s="188" t="s">
        <v>173</v>
      </c>
      <c r="N8" s="188">
        <v>7</v>
      </c>
      <c r="P8" s="131">
        <v>2010</v>
      </c>
      <c r="Q8" s="132">
        <v>7117425.5054000001</v>
      </c>
      <c r="R8" s="132">
        <v>7023482.6486999998</v>
      </c>
      <c r="S8" s="132">
        <v>6565925.6502</v>
      </c>
      <c r="T8" s="132">
        <v>6533244.1749</v>
      </c>
      <c r="U8" s="132">
        <v>6022793.9061000003</v>
      </c>
      <c r="V8" s="132">
        <v>4928029.7174000004</v>
      </c>
      <c r="W8" s="132">
        <v>1963456.6318000001</v>
      </c>
      <c r="X8" s="132">
        <v>1202682.6788999999</v>
      </c>
    </row>
    <row r="9" spans="1:24" x14ac:dyDescent="0.2">
      <c r="A9">
        <v>2012</v>
      </c>
      <c r="B9" s="130">
        <v>71029722.032871455</v>
      </c>
      <c r="C9" s="130">
        <v>56622171.722000003</v>
      </c>
      <c r="D9" s="127">
        <f t="shared" si="3"/>
        <v>6001791.8013000041</v>
      </c>
      <c r="E9" s="127">
        <f t="shared" si="4"/>
        <v>53621275.821350001</v>
      </c>
      <c r="F9" s="127">
        <f>E9-F109</f>
        <v>4002206.0166163668</v>
      </c>
      <c r="G9" s="127">
        <f t="shared" si="0"/>
        <v>51310.333546363676</v>
      </c>
      <c r="J9" s="128">
        <f>+E121</f>
        <v>53621275.821350008</v>
      </c>
      <c r="K9" s="128">
        <f t="shared" si="1"/>
        <v>53621275.821350001</v>
      </c>
      <c r="L9" s="128">
        <f t="shared" si="2"/>
        <v>0</v>
      </c>
      <c r="M9" s="188" t="s">
        <v>174</v>
      </c>
      <c r="N9" s="188">
        <v>8</v>
      </c>
      <c r="P9" s="131">
        <v>2011</v>
      </c>
      <c r="Q9" s="132">
        <v>13123211.3106</v>
      </c>
      <c r="R9" s="132">
        <v>12936022.0944</v>
      </c>
      <c r="S9" s="132">
        <v>12318158.171800001</v>
      </c>
      <c r="T9" s="132">
        <v>11872233.1602</v>
      </c>
      <c r="U9" s="132">
        <v>11206433.6822</v>
      </c>
      <c r="V9" s="132">
        <v>11199432.9967</v>
      </c>
      <c r="W9" s="132">
        <v>10960077.782500001</v>
      </c>
      <c r="X9" s="132">
        <v>10531707.2552</v>
      </c>
    </row>
    <row r="10" spans="1:24" x14ac:dyDescent="0.2">
      <c r="A10">
        <v>2013</v>
      </c>
      <c r="B10" s="130">
        <v>75626820.638019115</v>
      </c>
      <c r="C10" s="130">
        <v>61309444.238899998</v>
      </c>
      <c r="D10" s="127">
        <f t="shared" si="3"/>
        <v>4687272.5168999955</v>
      </c>
      <c r="E10" s="127">
        <f t="shared" si="4"/>
        <v>58965807.980450004</v>
      </c>
      <c r="F10" s="127">
        <f>E10-F121</f>
        <v>1958050.1450399905</v>
      </c>
      <c r="G10" s="127">
        <f t="shared" si="0"/>
        <v>25103.206987692185</v>
      </c>
      <c r="J10" s="128">
        <f>+E133</f>
        <v>58965807.980449989</v>
      </c>
      <c r="K10" s="128">
        <f t="shared" si="1"/>
        <v>58965807.980450004</v>
      </c>
      <c r="L10" s="128">
        <f t="shared" si="2"/>
        <v>0</v>
      </c>
      <c r="M10" s="188" t="s">
        <v>175</v>
      </c>
      <c r="N10" s="188">
        <v>9</v>
      </c>
      <c r="P10" s="131">
        <v>2012</v>
      </c>
      <c r="Q10" s="132">
        <v>6754594.3976999996</v>
      </c>
      <c r="R10" s="132">
        <v>6679287.3123000003</v>
      </c>
      <c r="S10" s="132">
        <v>6359017.5565999998</v>
      </c>
      <c r="T10" s="132">
        <v>6093072.5433</v>
      </c>
      <c r="U10" s="132">
        <v>5398744.0356999999</v>
      </c>
      <c r="V10" s="132">
        <v>5172456.5310000004</v>
      </c>
      <c r="W10" s="132">
        <v>5168161.9002999999</v>
      </c>
      <c r="X10" s="132">
        <v>4975668.3777000001</v>
      </c>
    </row>
    <row r="11" spans="1:24" x14ac:dyDescent="0.2">
      <c r="A11">
        <v>2014</v>
      </c>
      <c r="B11" s="130">
        <v>83853805.558608472</v>
      </c>
      <c r="C11" s="130">
        <v>70275491.078600004</v>
      </c>
      <c r="D11" s="127">
        <f t="shared" si="3"/>
        <v>8966046.8397000059</v>
      </c>
      <c r="E11" s="127">
        <f t="shared" si="4"/>
        <v>65792467.658749998</v>
      </c>
      <c r="F11" s="127">
        <f>E11-F133</f>
        <v>5169848.0171123296</v>
      </c>
      <c r="G11" s="127">
        <f t="shared" si="0"/>
        <v>66280.102783491398</v>
      </c>
      <c r="J11" s="128">
        <f>+E145</f>
        <v>65792467.658750027</v>
      </c>
      <c r="K11" s="128">
        <f t="shared" si="1"/>
        <v>65792467.658749998</v>
      </c>
      <c r="L11" s="128">
        <f t="shared" si="2"/>
        <v>0</v>
      </c>
      <c r="M11" s="188" t="s">
        <v>176</v>
      </c>
      <c r="N11" s="188">
        <v>10</v>
      </c>
      <c r="P11" s="131">
        <v>2013</v>
      </c>
      <c r="Q11" s="134">
        <v>10156432.2688</v>
      </c>
      <c r="R11" s="134">
        <v>9881775.2895</v>
      </c>
      <c r="S11" s="134">
        <v>8950597.4055000003</v>
      </c>
      <c r="T11" s="134">
        <v>8751965.6677000001</v>
      </c>
      <c r="U11" s="134">
        <v>8052439.2747</v>
      </c>
      <c r="V11" s="134">
        <v>7902937.3174999999</v>
      </c>
      <c r="W11" s="134">
        <v>7889635.523</v>
      </c>
      <c r="X11" s="134">
        <v>7876805.2653999999</v>
      </c>
    </row>
    <row r="12" spans="1:24" x14ac:dyDescent="0.2">
      <c r="A12">
        <v>2015</v>
      </c>
      <c r="B12" s="130">
        <v>102523021.441873</v>
      </c>
      <c r="C12" s="130">
        <v>90753702.113999993</v>
      </c>
      <c r="D12" s="127">
        <f t="shared" si="3"/>
        <v>20478211.035399988</v>
      </c>
      <c r="E12" s="127">
        <f t="shared" si="4"/>
        <v>80514596.596300006</v>
      </c>
      <c r="F12" s="127">
        <f>E12-F145</f>
        <v>10347642.153839514</v>
      </c>
      <c r="G12" s="127">
        <f t="shared" si="0"/>
        <v>132662.07889537839</v>
      </c>
      <c r="J12" s="128">
        <f>+E157</f>
        <v>80514596.596300021</v>
      </c>
      <c r="K12" s="128">
        <f t="shared" si="1"/>
        <v>80514596.596300006</v>
      </c>
      <c r="L12" s="128">
        <f t="shared" si="2"/>
        <v>0</v>
      </c>
      <c r="M12" s="188" t="s">
        <v>177</v>
      </c>
      <c r="N12" s="188">
        <v>11</v>
      </c>
      <c r="P12" s="129">
        <v>2014</v>
      </c>
      <c r="Q12" s="134"/>
      <c r="R12" s="134">
        <v>10262354.370999999</v>
      </c>
      <c r="S12" s="134">
        <v>9722970.0168999992</v>
      </c>
      <c r="T12" s="134">
        <v>9493633.9157999996</v>
      </c>
      <c r="U12" s="134">
        <v>9308069.9998000003</v>
      </c>
      <c r="V12" s="134">
        <v>8464732.3550000004</v>
      </c>
      <c r="W12" s="134">
        <v>8417313.9642999992</v>
      </c>
      <c r="X12" s="134">
        <v>8197711.0080000004</v>
      </c>
    </row>
    <row r="13" spans="1:24" x14ac:dyDescent="0.2">
      <c r="A13">
        <v>2016</v>
      </c>
      <c r="B13" s="130">
        <v>121091398.36652932</v>
      </c>
      <c r="C13" s="130">
        <v>110125229.0936</v>
      </c>
      <c r="D13" s="127">
        <f t="shared" si="3"/>
        <v>19371526.979600012</v>
      </c>
      <c r="E13" s="127">
        <f t="shared" si="4"/>
        <v>100439465.6038</v>
      </c>
      <c r="F13" s="127">
        <f>E13-F157</f>
        <v>11169171.800404966</v>
      </c>
      <c r="G13" s="127">
        <f t="shared" si="0"/>
        <v>143194.51026160212</v>
      </c>
      <c r="J13" s="128">
        <f>+E169</f>
        <v>100439465.6038</v>
      </c>
      <c r="K13" s="128">
        <f t="shared" si="1"/>
        <v>100439465.6038</v>
      </c>
      <c r="L13" s="128">
        <f t="shared" si="2"/>
        <v>0</v>
      </c>
      <c r="M13" s="188" t="s">
        <v>178</v>
      </c>
      <c r="N13" s="188">
        <v>12</v>
      </c>
      <c r="P13" s="129">
        <v>2015</v>
      </c>
      <c r="Q13" s="134"/>
      <c r="R13" s="134"/>
      <c r="S13" s="134">
        <v>26122981</v>
      </c>
      <c r="T13" s="134">
        <v>26071643</v>
      </c>
      <c r="U13" s="134">
        <v>26001608</v>
      </c>
      <c r="V13" s="134">
        <v>26015673</v>
      </c>
      <c r="W13" s="134">
        <v>26003647</v>
      </c>
      <c r="X13" s="134">
        <v>25991840</v>
      </c>
    </row>
    <row r="14" spans="1:24" x14ac:dyDescent="0.2">
      <c r="A14">
        <v>2017</v>
      </c>
      <c r="B14" s="130">
        <v>157976515.12677801</v>
      </c>
      <c r="C14" s="130">
        <v>147697956.01800001</v>
      </c>
      <c r="D14" s="127">
        <f t="shared" si="3"/>
        <v>37572726.924400002</v>
      </c>
      <c r="E14" s="127">
        <f t="shared" si="4"/>
        <v>128911592.55580001</v>
      </c>
      <c r="F14" s="127">
        <f>E14-F169</f>
        <v>19021289.274734244</v>
      </c>
      <c r="G14" s="127">
        <f t="shared" si="0"/>
        <v>243862.68300941339</v>
      </c>
      <c r="J14" s="128">
        <f>+E181</f>
        <v>128911592.55580005</v>
      </c>
      <c r="K14" s="128">
        <f t="shared" si="1"/>
        <v>128911592.55580001</v>
      </c>
      <c r="L14" s="128">
        <f t="shared" si="2"/>
        <v>0</v>
      </c>
      <c r="M14" s="188" t="s">
        <v>28</v>
      </c>
      <c r="N14" s="188">
        <f>SUM(N2:N13)</f>
        <v>78</v>
      </c>
      <c r="P14" s="129">
        <v>2016</v>
      </c>
      <c r="Q14" s="134"/>
      <c r="R14" s="134"/>
      <c r="S14" s="134"/>
      <c r="T14" s="134">
        <v>21628788</v>
      </c>
      <c r="U14" s="134">
        <v>21628788</v>
      </c>
      <c r="V14" s="134">
        <v>22395334</v>
      </c>
      <c r="W14" s="134">
        <v>22395334</v>
      </c>
      <c r="X14" s="134">
        <v>22395334</v>
      </c>
    </row>
    <row r="15" spans="1:24" x14ac:dyDescent="0.2">
      <c r="A15">
        <v>2018</v>
      </c>
      <c r="B15" s="130">
        <v>149693567.55672708</v>
      </c>
      <c r="C15" s="130">
        <v>139710565.4429</v>
      </c>
      <c r="D15" s="127">
        <f t="shared" si="3"/>
        <v>-7987390.5751000047</v>
      </c>
      <c r="E15" s="127">
        <f t="shared" si="4"/>
        <v>143704260.73045</v>
      </c>
      <c r="F15" s="127">
        <f>E15-F181</f>
        <v>-1302268.903971374</v>
      </c>
      <c r="G15" s="127">
        <f t="shared" si="0"/>
        <v>-16695.75517912018</v>
      </c>
      <c r="J15" s="128">
        <f>+E193</f>
        <v>143704260.73044997</v>
      </c>
      <c r="K15" s="128">
        <f t="shared" si="1"/>
        <v>143704260.73045</v>
      </c>
      <c r="L15" s="128">
        <f t="shared" si="2"/>
        <v>0</v>
      </c>
      <c r="M15" s="190"/>
      <c r="N15" s="190"/>
      <c r="P15" s="129">
        <v>2017</v>
      </c>
      <c r="Q15" s="134"/>
      <c r="R15" s="134"/>
      <c r="S15" s="134"/>
      <c r="T15" s="134"/>
      <c r="U15" s="134">
        <v>43015770</v>
      </c>
      <c r="V15" s="134">
        <v>39769271</v>
      </c>
      <c r="W15" s="134">
        <v>39769271</v>
      </c>
      <c r="X15" s="134">
        <v>39768618</v>
      </c>
    </row>
    <row r="16" spans="1:24" x14ac:dyDescent="0.2">
      <c r="A16">
        <v>2019</v>
      </c>
      <c r="B16" s="130">
        <v>142835737.37036848</v>
      </c>
      <c r="C16" s="130">
        <v>135825138.46700001</v>
      </c>
      <c r="D16" s="127">
        <f t="shared" si="3"/>
        <v>-3885426.9758999944</v>
      </c>
      <c r="E16" s="127">
        <f t="shared" si="4"/>
        <v>137767851.95495</v>
      </c>
      <c r="F16" s="127">
        <f>E16-F193</f>
        <v>-4834488.9336780608</v>
      </c>
      <c r="G16" s="127">
        <f t="shared" si="0"/>
        <v>-61980.627354846933</v>
      </c>
      <c r="J16" s="128">
        <f>+E205</f>
        <v>137767851.95494998</v>
      </c>
      <c r="K16" s="128">
        <f t="shared" si="1"/>
        <v>137767851.95495</v>
      </c>
      <c r="L16" s="128"/>
      <c r="M16" s="190"/>
      <c r="N16" s="190"/>
      <c r="P16" s="129">
        <v>2018</v>
      </c>
      <c r="Q16" s="134"/>
      <c r="R16" s="134"/>
      <c r="S16" s="134"/>
      <c r="T16" s="134"/>
      <c r="U16" s="134"/>
      <c r="V16" s="134"/>
      <c r="W16" s="134"/>
      <c r="X16" s="134"/>
    </row>
    <row r="17" spans="1:24" x14ac:dyDescent="0.2">
      <c r="A17">
        <v>2020</v>
      </c>
      <c r="B17" s="130">
        <v>137021968.69829354</v>
      </c>
      <c r="C17" s="130">
        <v>132002384.4823</v>
      </c>
      <c r="D17" s="127">
        <f t="shared" si="3"/>
        <v>-3822753.9847000092</v>
      </c>
      <c r="E17" s="127">
        <f t="shared" si="4"/>
        <v>133913761.47465</v>
      </c>
      <c r="F17" s="127">
        <f>E17-F205</f>
        <v>236630.92511993647</v>
      </c>
      <c r="G17" s="127">
        <f t="shared" si="0"/>
        <v>3033.7298092299548</v>
      </c>
      <c r="J17" s="128">
        <f>+E217</f>
        <v>133913761.47465001</v>
      </c>
      <c r="K17" s="128">
        <f t="shared" si="1"/>
        <v>133913761.47465</v>
      </c>
      <c r="L17" s="128"/>
      <c r="M17" s="190"/>
      <c r="N17" s="190"/>
      <c r="P17" s="131">
        <v>2019</v>
      </c>
      <c r="Q17" s="134"/>
      <c r="R17" s="134"/>
      <c r="S17" s="134"/>
      <c r="T17" s="134"/>
      <c r="U17" s="134"/>
      <c r="V17" s="134"/>
      <c r="W17" s="134"/>
      <c r="X17" s="134"/>
    </row>
    <row r="18" spans="1:24" x14ac:dyDescent="0.2">
      <c r="C18" s="127"/>
      <c r="D18" s="127"/>
      <c r="E18" s="127"/>
      <c r="F18" s="127"/>
      <c r="G18" s="127"/>
      <c r="J18" s="128"/>
      <c r="K18" s="128"/>
      <c r="L18" s="128"/>
      <c r="M18" s="190"/>
      <c r="N18" s="190"/>
      <c r="P18" s="131">
        <v>2020</v>
      </c>
      <c r="Q18" s="134"/>
      <c r="R18" s="134"/>
      <c r="S18" s="134"/>
      <c r="T18" s="134"/>
      <c r="U18" s="134"/>
      <c r="V18" s="134"/>
      <c r="W18" s="134"/>
      <c r="X18" s="134"/>
    </row>
    <row r="19" spans="1:24" x14ac:dyDescent="0.2">
      <c r="A19" s="50" t="s">
        <v>28</v>
      </c>
      <c r="B19" s="50"/>
      <c r="C19" s="127">
        <f>SUM(C2:C17)</f>
        <v>1130781684.7535</v>
      </c>
      <c r="D19" s="127"/>
      <c r="E19" s="127">
        <f>SUM(E2:E17)</f>
        <v>1064780492.5123501</v>
      </c>
      <c r="F19" s="127"/>
      <c r="G19" s="127"/>
      <c r="J19" s="127">
        <f>SUM(J2:J17)</f>
        <v>1064780492.5123501</v>
      </c>
      <c r="K19" s="127">
        <f>SUM(K2:K17)</f>
        <v>1064780492.5123501</v>
      </c>
      <c r="P19" s="131"/>
      <c r="Q19" s="134"/>
      <c r="R19" s="134"/>
      <c r="S19" s="134"/>
      <c r="T19" s="134"/>
      <c r="U19" s="134"/>
      <c r="V19" s="134"/>
      <c r="W19" s="134"/>
      <c r="X19" s="134"/>
    </row>
    <row r="20" spans="1:24" x14ac:dyDescent="0.2">
      <c r="D20" s="127"/>
      <c r="E20" s="127"/>
      <c r="F20" s="127"/>
      <c r="G20" s="127"/>
      <c r="P20" s="129" t="s">
        <v>28</v>
      </c>
      <c r="Q20" s="133">
        <f>SUM(Q3:Q19)</f>
        <v>61309444.238899991</v>
      </c>
      <c r="R20" s="133">
        <f t="shared" ref="R20:X20" si="5">SUM(R3:R19)</f>
        <v>70275491.078500003</v>
      </c>
      <c r="S20" s="133">
        <f t="shared" si="5"/>
        <v>90753702.113900006</v>
      </c>
      <c r="T20" s="133">
        <f t="shared" si="5"/>
        <v>110125229.0935</v>
      </c>
      <c r="U20" s="133">
        <f t="shared" si="5"/>
        <v>147697956.01800001</v>
      </c>
      <c r="V20" s="133">
        <f t="shared" si="5"/>
        <v>139710565.44279999</v>
      </c>
      <c r="W20" s="133">
        <f t="shared" si="5"/>
        <v>135825138.46700001</v>
      </c>
      <c r="X20" s="133">
        <f t="shared" si="5"/>
        <v>132002384.48229328</v>
      </c>
    </row>
    <row r="21" spans="1:24" x14ac:dyDescent="0.2">
      <c r="C21" s="128"/>
      <c r="D21" s="127"/>
      <c r="E21" s="127"/>
      <c r="F21" s="127"/>
      <c r="G21" s="127"/>
      <c r="Q21" s="128">
        <f>ROUND((Q20-$C10),2)</f>
        <v>0</v>
      </c>
      <c r="R21" s="128">
        <f>ROUND((R20-$C11),2)</f>
        <v>0</v>
      </c>
      <c r="S21" s="128">
        <f>ROUND((S20-$C12),2)</f>
        <v>0</v>
      </c>
      <c r="T21" s="128">
        <f>ROUND((T20-$C13),2)</f>
        <v>0</v>
      </c>
      <c r="U21" s="128">
        <f>ROUND((U20-$C14),2)</f>
        <v>0</v>
      </c>
      <c r="V21" s="128">
        <f>ROUND((V20-$C15),2)</f>
        <v>0</v>
      </c>
      <c r="W21" s="128">
        <f>ROUND((W20-$C16),2)</f>
        <v>0</v>
      </c>
      <c r="X21" s="128">
        <f>ROUND((X20-$C17),2)</f>
        <v>0</v>
      </c>
    </row>
    <row r="22" spans="1:24" x14ac:dyDescent="0.2">
      <c r="C22" s="44"/>
      <c r="D22" s="127"/>
      <c r="E22" s="127"/>
      <c r="F22" s="127"/>
      <c r="G22" s="127"/>
      <c r="K22" s="126"/>
    </row>
    <row r="23" spans="1:24" x14ac:dyDescent="0.2">
      <c r="C23" s="44"/>
      <c r="D23" s="127"/>
      <c r="E23" s="127"/>
      <c r="F23" s="127"/>
      <c r="G23" s="127"/>
      <c r="K23" s="126"/>
    </row>
    <row r="24" spans="1:24" x14ac:dyDescent="0.2">
      <c r="C24" s="44"/>
      <c r="D24" s="127" t="s">
        <v>179</v>
      </c>
      <c r="G24" s="127"/>
      <c r="K24" s="126"/>
    </row>
    <row r="25" spans="1:24" x14ac:dyDescent="0.2">
      <c r="C25" s="44"/>
      <c r="D25" s="127"/>
      <c r="K25" s="126"/>
      <c r="P25" s="232" t="s">
        <v>180</v>
      </c>
      <c r="Q25" s="232"/>
      <c r="R25" s="232"/>
    </row>
    <row r="26" spans="1:24" x14ac:dyDescent="0.2">
      <c r="A26" s="44">
        <v>38353</v>
      </c>
      <c r="B26" s="44"/>
      <c r="C26" s="44"/>
      <c r="D26" s="127">
        <f>$G$2</f>
        <v>1875.5320512820513</v>
      </c>
      <c r="K26" s="126"/>
      <c r="P26" s="234">
        <v>105710000</v>
      </c>
      <c r="Q26" s="234"/>
      <c r="R26" s="234"/>
    </row>
    <row r="27" spans="1:24" ht="13.5" thickBot="1" x14ac:dyDescent="0.25">
      <c r="A27" s="44">
        <v>38384</v>
      </c>
      <c r="B27" s="44"/>
      <c r="C27" s="44"/>
      <c r="D27" s="127">
        <f>D26+$G$2</f>
        <v>3751.0641025641025</v>
      </c>
      <c r="K27" s="126"/>
    </row>
    <row r="28" spans="1:24" x14ac:dyDescent="0.2">
      <c r="A28" s="44">
        <v>38412</v>
      </c>
      <c r="B28" s="44"/>
      <c r="C28" s="44"/>
      <c r="D28" s="127">
        <f t="shared" ref="D28:D34" si="6">D27+$G$2</f>
        <v>5626.5961538461543</v>
      </c>
      <c r="K28" s="126"/>
      <c r="P28" s="229" t="s">
        <v>181</v>
      </c>
      <c r="Q28" s="230"/>
      <c r="R28" s="230"/>
      <c r="S28" s="230"/>
      <c r="T28" s="230"/>
      <c r="U28" s="230"/>
      <c r="V28" s="231"/>
    </row>
    <row r="29" spans="1:24" x14ac:dyDescent="0.2">
      <c r="A29" s="44">
        <v>38443</v>
      </c>
      <c r="B29" s="44"/>
      <c r="C29" s="44"/>
      <c r="D29" s="127">
        <f t="shared" si="6"/>
        <v>7502.1282051282051</v>
      </c>
      <c r="K29" s="126"/>
      <c r="P29" s="187">
        <v>2015</v>
      </c>
      <c r="Q29" s="188">
        <v>2016</v>
      </c>
      <c r="R29" s="188">
        <v>2017</v>
      </c>
      <c r="S29" s="188">
        <v>2018</v>
      </c>
      <c r="T29" s="188">
        <v>2019</v>
      </c>
      <c r="U29" s="188">
        <v>2020</v>
      </c>
      <c r="V29" s="150" t="s">
        <v>28</v>
      </c>
    </row>
    <row r="30" spans="1:24" x14ac:dyDescent="0.2">
      <c r="A30" s="44">
        <v>38473</v>
      </c>
      <c r="B30" s="44"/>
      <c r="C30" s="44"/>
      <c r="D30" s="127">
        <f t="shared" si="6"/>
        <v>9377.6602564102559</v>
      </c>
      <c r="K30" s="126"/>
      <c r="P30" s="151">
        <f>P37/$P$26</f>
        <v>2.777777777788289E-2</v>
      </c>
      <c r="Q30" s="152">
        <f t="shared" ref="Q30:U33" si="7">Q37/$P$26</f>
        <v>2.777777777788289E-2</v>
      </c>
      <c r="R30" s="152">
        <f t="shared" si="7"/>
        <v>2.777777777788289E-2</v>
      </c>
      <c r="S30" s="152">
        <f t="shared" si="7"/>
        <v>2.777777777788289E-2</v>
      </c>
      <c r="T30" s="152">
        <f t="shared" si="7"/>
        <v>2.777777777788289E-2</v>
      </c>
      <c r="U30" s="152">
        <f t="shared" si="7"/>
        <v>2.777777777788289E-2</v>
      </c>
      <c r="V30" s="153">
        <f>SUM(P30:U30)</f>
        <v>0.16666666666729735</v>
      </c>
    </row>
    <row r="31" spans="1:24" x14ac:dyDescent="0.2">
      <c r="A31" s="44">
        <v>38504</v>
      </c>
      <c r="B31" s="44"/>
      <c r="C31" s="44"/>
      <c r="D31" s="127">
        <f t="shared" si="6"/>
        <v>11253.192307692307</v>
      </c>
      <c r="K31" s="126"/>
      <c r="P31" s="151"/>
      <c r="Q31" s="152">
        <f t="shared" si="7"/>
        <v>3.3333333333648664E-2</v>
      </c>
      <c r="R31" s="152">
        <f t="shared" si="7"/>
        <v>3.3333333333648664E-2</v>
      </c>
      <c r="S31" s="152">
        <f t="shared" si="7"/>
        <v>3.3333333333648664E-2</v>
      </c>
      <c r="T31" s="152">
        <f t="shared" si="7"/>
        <v>3.3333333333648664E-2</v>
      </c>
      <c r="U31" s="152">
        <f t="shared" si="7"/>
        <v>3.3333333333648664E-2</v>
      </c>
      <c r="V31" s="153">
        <f t="shared" ref="V31:V35" si="8">SUM(P31:U31)</f>
        <v>0.16666666666824331</v>
      </c>
    </row>
    <row r="32" spans="1:24" x14ac:dyDescent="0.2">
      <c r="A32" s="44">
        <v>38534</v>
      </c>
      <c r="B32" s="44"/>
      <c r="C32" s="44"/>
      <c r="D32" s="127">
        <f t="shared" si="6"/>
        <v>13128.724358974358</v>
      </c>
      <c r="K32" s="126"/>
      <c r="P32" s="151"/>
      <c r="Q32" s="152"/>
      <c r="R32" s="152">
        <f t="shared" si="7"/>
        <v>4.166666666635134E-2</v>
      </c>
      <c r="S32" s="152">
        <f t="shared" si="7"/>
        <v>4.166666666635134E-2</v>
      </c>
      <c r="T32" s="152">
        <f t="shared" ref="T32:U35" si="9">T39/$P$26</f>
        <v>4.166666666635134E-2</v>
      </c>
      <c r="U32" s="152">
        <f t="shared" si="9"/>
        <v>4.166666666635134E-2</v>
      </c>
      <c r="V32" s="153">
        <f t="shared" si="8"/>
        <v>0.16666666666540536</v>
      </c>
      <c r="X32" s="165"/>
    </row>
    <row r="33" spans="1:24" x14ac:dyDescent="0.2">
      <c r="A33" s="44">
        <v>38565</v>
      </c>
      <c r="B33" s="44"/>
      <c r="C33" s="44"/>
      <c r="D33" s="127">
        <f t="shared" si="6"/>
        <v>15004.256410256408</v>
      </c>
      <c r="K33" s="126"/>
      <c r="P33" s="151"/>
      <c r="Q33" s="152"/>
      <c r="R33" s="152"/>
      <c r="S33" s="152">
        <f t="shared" si="7"/>
        <v>5.555555555576578E-2</v>
      </c>
      <c r="T33" s="152">
        <f t="shared" si="9"/>
        <v>5.555555555576578E-2</v>
      </c>
      <c r="U33" s="152">
        <f t="shared" si="9"/>
        <v>5.555555555576578E-2</v>
      </c>
      <c r="V33" s="153">
        <f t="shared" si="8"/>
        <v>0.16666666666729735</v>
      </c>
      <c r="X33" s="166"/>
    </row>
    <row r="34" spans="1:24" x14ac:dyDescent="0.2">
      <c r="A34" s="44">
        <v>38596</v>
      </c>
      <c r="B34" s="44"/>
      <c r="C34" s="44"/>
      <c r="D34" s="127">
        <f t="shared" si="6"/>
        <v>16879.788461538461</v>
      </c>
      <c r="K34" s="126"/>
      <c r="P34" s="151"/>
      <c r="Q34" s="152"/>
      <c r="R34" s="152"/>
      <c r="S34" s="152"/>
      <c r="T34" s="152">
        <f t="shared" si="9"/>
        <v>8.333333333364866E-2</v>
      </c>
      <c r="U34" s="152">
        <f t="shared" si="9"/>
        <v>8.333333333364866E-2</v>
      </c>
      <c r="V34" s="153">
        <f t="shared" si="8"/>
        <v>0.16666666666729732</v>
      </c>
      <c r="X34" s="166"/>
    </row>
    <row r="35" spans="1:24" x14ac:dyDescent="0.2">
      <c r="A35" s="44">
        <v>38626</v>
      </c>
      <c r="B35" s="44"/>
      <c r="C35" s="44"/>
      <c r="D35" s="127">
        <f>D34+$G$2</f>
        <v>18755.320512820512</v>
      </c>
      <c r="K35" s="126"/>
      <c r="P35" s="151"/>
      <c r="Q35" s="152"/>
      <c r="R35" s="152"/>
      <c r="S35" s="152"/>
      <c r="T35" s="152"/>
      <c r="U35" s="152">
        <f t="shared" si="9"/>
        <v>0.16666666666635133</v>
      </c>
      <c r="V35" s="153">
        <f t="shared" si="8"/>
        <v>0.16666666666635133</v>
      </c>
      <c r="X35" s="140"/>
    </row>
    <row r="36" spans="1:24" x14ac:dyDescent="0.2">
      <c r="A36" s="44">
        <v>38657</v>
      </c>
      <c r="B36" s="44"/>
      <c r="C36" s="44"/>
      <c r="D36" s="127">
        <f>D35+$G$2</f>
        <v>20630.852564102563</v>
      </c>
      <c r="E36" s="50" t="s">
        <v>55</v>
      </c>
      <c r="F36" s="50"/>
      <c r="K36" s="126"/>
      <c r="P36" s="236" t="s">
        <v>81</v>
      </c>
      <c r="Q36" s="237"/>
      <c r="R36" s="237"/>
      <c r="S36" s="237"/>
      <c r="T36" s="237"/>
      <c r="U36" s="237"/>
      <c r="V36" s="238"/>
    </row>
    <row r="37" spans="1:24" x14ac:dyDescent="0.2">
      <c r="A37" s="44">
        <v>38687</v>
      </c>
      <c r="B37" s="44"/>
      <c r="C37" s="44"/>
      <c r="D37" s="127">
        <f>D36+$G$2</f>
        <v>22506.384615384613</v>
      </c>
      <c r="E37" s="127">
        <f>SUM(D26:D37)</f>
        <v>146291.5</v>
      </c>
      <c r="F37" s="127">
        <f>D37*12</f>
        <v>270076.61538461538</v>
      </c>
      <c r="K37" s="126"/>
      <c r="O37">
        <v>2015</v>
      </c>
      <c r="P37" s="154">
        <f>ROUND((V37/6),4)</f>
        <v>2936388.8889000001</v>
      </c>
      <c r="Q37" s="155">
        <f>ROUND((V37/6),4)</f>
        <v>2936388.8889000001</v>
      </c>
      <c r="R37" s="155">
        <f>ROUND((V37/6),4)</f>
        <v>2936388.8889000001</v>
      </c>
      <c r="S37" s="155">
        <f>ROUND((V37/6),4)</f>
        <v>2936388.8889000001</v>
      </c>
      <c r="T37" s="155">
        <f>ROUND((V37/6),4)</f>
        <v>2936388.8889000001</v>
      </c>
      <c r="U37" s="155">
        <f>ROUND((V37/6),4)</f>
        <v>2936388.8889000001</v>
      </c>
      <c r="V37" s="156">
        <f>ROUND((P26/6),4)</f>
        <v>17618333.333299998</v>
      </c>
    </row>
    <row r="38" spans="1:24" x14ac:dyDescent="0.2">
      <c r="A38" s="44">
        <v>38718</v>
      </c>
      <c r="B38" s="44"/>
      <c r="C38" s="44"/>
      <c r="D38" s="127">
        <f>+D37+$G$3</f>
        <v>89668.287246351087</v>
      </c>
      <c r="K38" s="126"/>
      <c r="O38">
        <v>2016</v>
      </c>
      <c r="P38" s="157"/>
      <c r="Q38" s="155">
        <f>ROUND((V38/5),4)</f>
        <v>3523666.6666999999</v>
      </c>
      <c r="R38" s="155">
        <f>ROUND((V38/5),4)</f>
        <v>3523666.6666999999</v>
      </c>
      <c r="S38" s="155">
        <f>ROUND((V38/5),4)</f>
        <v>3523666.6666999999</v>
      </c>
      <c r="T38" s="155">
        <f>ROUND((V38/5),4)</f>
        <v>3523666.6666999999</v>
      </c>
      <c r="U38" s="155">
        <f>ROUND((V38/5),4)</f>
        <v>3523666.6666999999</v>
      </c>
      <c r="V38" s="156">
        <f>ROUND((P26/6),4)</f>
        <v>17618333.333299998</v>
      </c>
    </row>
    <row r="39" spans="1:24" x14ac:dyDescent="0.2">
      <c r="A39" s="44">
        <v>38749</v>
      </c>
      <c r="B39" s="44"/>
      <c r="C39" s="44"/>
      <c r="D39" s="127">
        <f>+D38+$G$3</f>
        <v>156830.18987731758</v>
      </c>
      <c r="K39" s="126"/>
      <c r="O39">
        <v>2017</v>
      </c>
      <c r="P39" s="157"/>
      <c r="Q39" s="158"/>
      <c r="R39" s="155">
        <f>ROUND((V39/4),4)</f>
        <v>4404583.3333000001</v>
      </c>
      <c r="S39" s="155">
        <f>ROUND((V39/4),4)</f>
        <v>4404583.3333000001</v>
      </c>
      <c r="T39" s="155">
        <f>ROUND((V39/4),4)</f>
        <v>4404583.3333000001</v>
      </c>
      <c r="U39" s="155">
        <f>ROUND((V39/4),4)</f>
        <v>4404583.3333000001</v>
      </c>
      <c r="V39" s="156">
        <f>ROUND((P26/6),4)</f>
        <v>17618333.333299998</v>
      </c>
      <c r="W39" s="48"/>
    </row>
    <row r="40" spans="1:24" x14ac:dyDescent="0.2">
      <c r="A40" s="44">
        <v>38777</v>
      </c>
      <c r="B40" s="44"/>
      <c r="C40" s="44"/>
      <c r="D40" s="127">
        <f>+D39+$G$3</f>
        <v>223992.09250828405</v>
      </c>
      <c r="K40" s="126"/>
      <c r="O40">
        <v>2018</v>
      </c>
      <c r="P40" s="157"/>
      <c r="Q40" s="158"/>
      <c r="R40" s="158"/>
      <c r="S40" s="158">
        <f>ROUND((V40/3),4)</f>
        <v>5872777.7778000003</v>
      </c>
      <c r="T40" s="158">
        <f>ROUND((V40/3),4)</f>
        <v>5872777.7778000003</v>
      </c>
      <c r="U40" s="158">
        <f>ROUND((V40/3),4)</f>
        <v>5872777.7778000003</v>
      </c>
      <c r="V40" s="156">
        <f>ROUND((P26/6),4)</f>
        <v>17618333.333299998</v>
      </c>
      <c r="W40" s="48"/>
    </row>
    <row r="41" spans="1:24" x14ac:dyDescent="0.2">
      <c r="A41" s="44">
        <v>38808</v>
      </c>
      <c r="B41" s="44"/>
      <c r="C41" s="44"/>
      <c r="D41" s="127">
        <f t="shared" ref="D41:D49" si="10">+D40+$G$3</f>
        <v>291153.99513925053</v>
      </c>
      <c r="K41" s="126"/>
      <c r="O41">
        <v>2019</v>
      </c>
      <c r="P41" s="162"/>
      <c r="Q41" s="163"/>
      <c r="R41" s="163"/>
      <c r="S41" s="163"/>
      <c r="T41" s="158">
        <f>ROUND((V41/2),4)</f>
        <v>8809166.6666999999</v>
      </c>
      <c r="U41" s="158">
        <f>ROUND((V41/2),4)</f>
        <v>8809166.6666999999</v>
      </c>
      <c r="V41" s="164">
        <f>ROUND((P26/6),4)</f>
        <v>17618333.333299998</v>
      </c>
      <c r="W41" s="48"/>
    </row>
    <row r="42" spans="1:24" ht="13.5" thickBot="1" x14ac:dyDescent="0.25">
      <c r="A42" s="44">
        <v>38838</v>
      </c>
      <c r="B42" s="44"/>
      <c r="C42" s="44"/>
      <c r="D42" s="127">
        <f t="shared" si="10"/>
        <v>358315.89777021704</v>
      </c>
      <c r="K42" s="126"/>
      <c r="O42">
        <v>2020</v>
      </c>
      <c r="P42" s="159"/>
      <c r="Q42" s="160"/>
      <c r="R42" s="160"/>
      <c r="S42" s="160"/>
      <c r="T42" s="160"/>
      <c r="U42" s="160">
        <f>ROUND((V42),4)</f>
        <v>17618333.333299998</v>
      </c>
      <c r="V42" s="161">
        <f>ROUND((P26/6),4)</f>
        <v>17618333.333299998</v>
      </c>
      <c r="W42" s="48"/>
    </row>
    <row r="43" spans="1:24" x14ac:dyDescent="0.2">
      <c r="A43" s="44">
        <v>38869</v>
      </c>
      <c r="B43" s="44"/>
      <c r="C43" s="44"/>
      <c r="D43" s="127">
        <f t="shared" si="10"/>
        <v>425477.80040118354</v>
      </c>
      <c r="K43" s="126"/>
      <c r="Q43" s="44"/>
      <c r="R43" s="44"/>
      <c r="S43" s="73"/>
      <c r="T43" s="73"/>
    </row>
    <row r="44" spans="1:24" x14ac:dyDescent="0.2">
      <c r="A44" s="44">
        <v>38899</v>
      </c>
      <c r="B44" s="44"/>
      <c r="C44" s="44"/>
      <c r="D44" s="127">
        <f t="shared" si="10"/>
        <v>492639.70303215005</v>
      </c>
      <c r="K44" s="126"/>
      <c r="Q44" s="44"/>
      <c r="T44" s="235" t="s">
        <v>182</v>
      </c>
      <c r="U44" s="235"/>
    </row>
    <row r="45" spans="1:24" x14ac:dyDescent="0.2">
      <c r="A45" s="44">
        <v>38930</v>
      </c>
      <c r="B45" s="44"/>
      <c r="C45" s="44"/>
      <c r="D45" s="127">
        <f t="shared" si="10"/>
        <v>559801.60566311656</v>
      </c>
      <c r="K45" s="126"/>
      <c r="Q45" s="44"/>
      <c r="T45" s="29">
        <f>ROUND((T40),4)</f>
        <v>5872777.7778000003</v>
      </c>
      <c r="U45" s="29">
        <f>ROUND((U40),4)</f>
        <v>5872777.7778000003</v>
      </c>
    </row>
    <row r="46" spans="1:24" x14ac:dyDescent="0.2">
      <c r="A46" s="44">
        <v>38961</v>
      </c>
      <c r="B46" s="44"/>
      <c r="C46" s="44"/>
      <c r="D46" s="127">
        <f t="shared" si="10"/>
        <v>626963.50829408306</v>
      </c>
      <c r="Q46" s="44"/>
      <c r="T46" s="29">
        <f>ROUND((T41/2),4)</f>
        <v>4404583.3333999999</v>
      </c>
      <c r="U46" s="29">
        <f>ROUND((U41),4)</f>
        <v>8809166.6666999999</v>
      </c>
      <c r="V46" s="14"/>
    </row>
    <row r="47" spans="1:24" x14ac:dyDescent="0.2">
      <c r="A47" s="44">
        <v>38991</v>
      </c>
      <c r="B47" s="44"/>
      <c r="C47" s="44"/>
      <c r="D47" s="127">
        <f t="shared" si="10"/>
        <v>694125.41092504957</v>
      </c>
      <c r="Q47" s="44"/>
      <c r="T47" s="44"/>
      <c r="U47" s="29">
        <f>ROUND((U42/2),2)</f>
        <v>8809166.6699999999</v>
      </c>
    </row>
    <row r="48" spans="1:24" ht="13.5" thickBot="1" x14ac:dyDescent="0.25">
      <c r="A48" s="44">
        <v>39022</v>
      </c>
      <c r="B48" s="44"/>
      <c r="C48" s="44"/>
      <c r="D48" s="127">
        <f t="shared" si="10"/>
        <v>761287.31355601607</v>
      </c>
      <c r="T48" s="167">
        <f>ROUND((SUM(T45:T47)),4)</f>
        <v>10277361.111199999</v>
      </c>
      <c r="U48" s="167">
        <f>ROUND((SUM(U45:U47)),4)</f>
        <v>23491111.114500001</v>
      </c>
    </row>
    <row r="49" spans="1:6" ht="13.5" thickTop="1" x14ac:dyDescent="0.2">
      <c r="A49" s="44">
        <v>39052</v>
      </c>
      <c r="B49" s="44"/>
      <c r="C49" s="44"/>
      <c r="D49" s="127">
        <f t="shared" si="10"/>
        <v>828449.21618698258</v>
      </c>
      <c r="E49" s="127">
        <f>SUM(D38:D49)</f>
        <v>5508705.0206000023</v>
      </c>
      <c r="F49" s="127">
        <f>D49*12</f>
        <v>9941390.594243791</v>
      </c>
    </row>
    <row r="50" spans="1:6" x14ac:dyDescent="0.2">
      <c r="A50" s="44">
        <v>39083</v>
      </c>
      <c r="B50" s="44"/>
      <c r="C50" s="44"/>
      <c r="D50" s="127">
        <f>+D49+$G$4</f>
        <v>907332.77602167754</v>
      </c>
    </row>
    <row r="51" spans="1:6" x14ac:dyDescent="0.2">
      <c r="A51" s="44">
        <v>39114</v>
      </c>
      <c r="B51" s="44"/>
      <c r="C51" s="44"/>
      <c r="D51" s="127">
        <f t="shared" ref="D51:D61" si="11">+D50+$G$4</f>
        <v>986216.33585637249</v>
      </c>
    </row>
    <row r="52" spans="1:6" ht="12.75" customHeight="1" x14ac:dyDescent="0.2">
      <c r="A52" s="44">
        <v>39142</v>
      </c>
      <c r="B52" s="44"/>
      <c r="C52" s="44"/>
      <c r="D52" s="127">
        <f t="shared" si="11"/>
        <v>1065099.8956910674</v>
      </c>
    </row>
    <row r="53" spans="1:6" ht="12.75" customHeight="1" x14ac:dyDescent="0.2">
      <c r="A53" s="44">
        <v>39173</v>
      </c>
      <c r="B53" s="44"/>
      <c r="C53" s="44"/>
      <c r="D53" s="127">
        <f t="shared" si="11"/>
        <v>1143983.4555257624</v>
      </c>
    </row>
    <row r="54" spans="1:6" ht="12.75" customHeight="1" x14ac:dyDescent="0.2">
      <c r="A54" s="44">
        <v>39203</v>
      </c>
      <c r="B54" s="44"/>
      <c r="C54" s="44"/>
      <c r="D54" s="127">
        <f t="shared" si="11"/>
        <v>1222867.0153604574</v>
      </c>
    </row>
    <row r="55" spans="1:6" ht="12.75" customHeight="1" x14ac:dyDescent="0.2">
      <c r="A55" s="44">
        <v>39234</v>
      </c>
      <c r="B55" s="44"/>
      <c r="C55" s="44"/>
      <c r="D55" s="127">
        <f t="shared" si="11"/>
        <v>1301750.5751951523</v>
      </c>
    </row>
    <row r="56" spans="1:6" ht="12.75" customHeight="1" x14ac:dyDescent="0.2">
      <c r="A56" s="44">
        <v>39264</v>
      </c>
      <c r="B56" s="44"/>
      <c r="C56" s="44"/>
      <c r="D56" s="127">
        <f t="shared" si="11"/>
        <v>1380634.1350298473</v>
      </c>
    </row>
    <row r="57" spans="1:6" ht="12.75" customHeight="1" x14ac:dyDescent="0.2">
      <c r="A57" s="44">
        <v>39295</v>
      </c>
      <c r="B57" s="44"/>
      <c r="C57" s="44"/>
      <c r="D57" s="127">
        <f t="shared" si="11"/>
        <v>1459517.6948645422</v>
      </c>
    </row>
    <row r="58" spans="1:6" ht="12.75" customHeight="1" x14ac:dyDescent="0.2">
      <c r="A58" s="44">
        <v>39326</v>
      </c>
      <c r="B58" s="44"/>
      <c r="C58" s="44"/>
      <c r="D58" s="127">
        <f t="shared" si="11"/>
        <v>1538401.2546992372</v>
      </c>
    </row>
    <row r="59" spans="1:6" ht="12.75" customHeight="1" x14ac:dyDescent="0.2">
      <c r="A59" s="44">
        <v>39356</v>
      </c>
      <c r="B59" s="44"/>
      <c r="C59" s="44"/>
      <c r="D59" s="127">
        <f t="shared" si="11"/>
        <v>1617284.8145339321</v>
      </c>
    </row>
    <row r="60" spans="1:6" ht="12.75" customHeight="1" x14ac:dyDescent="0.2">
      <c r="A60" s="44">
        <v>39387</v>
      </c>
      <c r="B60" s="44"/>
      <c r="C60" s="44"/>
      <c r="D60" s="127">
        <f t="shared" si="11"/>
        <v>1696168.3743686271</v>
      </c>
    </row>
    <row r="61" spans="1:6" ht="12.75" customHeight="1" x14ac:dyDescent="0.2">
      <c r="A61" s="44">
        <v>39417</v>
      </c>
      <c r="B61" s="44"/>
      <c r="C61" s="44"/>
      <c r="D61" s="127">
        <f t="shared" si="11"/>
        <v>1775051.934203322</v>
      </c>
      <c r="E61" s="127">
        <f>SUM(D50:D61)</f>
        <v>16094308.261349995</v>
      </c>
      <c r="F61" s="127">
        <f>D61*12</f>
        <v>21300623.210439865</v>
      </c>
    </row>
    <row r="62" spans="1:6" ht="12.75" customHeight="1" x14ac:dyDescent="0.2">
      <c r="A62" s="44">
        <v>39448</v>
      </c>
      <c r="B62" s="44"/>
      <c r="C62" s="44"/>
      <c r="D62" s="127">
        <f>D61+$G$5</f>
        <v>1813009.9616553751</v>
      </c>
    </row>
    <row r="63" spans="1:6" x14ac:dyDescent="0.2">
      <c r="A63" s="44">
        <v>39479</v>
      </c>
      <c r="B63" s="44"/>
      <c r="C63" s="44"/>
      <c r="D63" s="127">
        <f t="shared" ref="D63:D73" si="12">D62+$G$5</f>
        <v>1850967.9891074281</v>
      </c>
    </row>
    <row r="64" spans="1:6" ht="12.75" customHeight="1" x14ac:dyDescent="0.2">
      <c r="A64" s="44">
        <v>39508</v>
      </c>
      <c r="B64" s="44"/>
      <c r="C64" s="44"/>
      <c r="D64" s="127">
        <f t="shared" si="12"/>
        <v>1888926.0165594812</v>
      </c>
    </row>
    <row r="65" spans="1:6" ht="12.75" customHeight="1" x14ac:dyDescent="0.2">
      <c r="A65" s="44">
        <v>39539</v>
      </c>
      <c r="B65" s="44"/>
      <c r="C65" s="44"/>
      <c r="D65" s="127">
        <f t="shared" si="12"/>
        <v>1926884.0440115342</v>
      </c>
    </row>
    <row r="66" spans="1:6" ht="13.5" customHeight="1" x14ac:dyDescent="0.2">
      <c r="A66" s="44">
        <v>39569</v>
      </c>
      <c r="B66" s="44"/>
      <c r="C66" s="44"/>
      <c r="D66" s="127">
        <f t="shared" si="12"/>
        <v>1964842.0714635872</v>
      </c>
    </row>
    <row r="67" spans="1:6" ht="12.75" customHeight="1" x14ac:dyDescent="0.2">
      <c r="A67" s="44">
        <v>39600</v>
      </c>
      <c r="B67" s="44"/>
      <c r="C67" s="44"/>
      <c r="D67" s="127">
        <f t="shared" si="12"/>
        <v>2002800.0989156403</v>
      </c>
    </row>
    <row r="68" spans="1:6" ht="12.75" customHeight="1" x14ac:dyDescent="0.2">
      <c r="A68" s="44">
        <v>39630</v>
      </c>
      <c r="B68" s="44"/>
      <c r="C68" s="44"/>
      <c r="D68" s="127">
        <f t="shared" si="12"/>
        <v>2040758.1263676933</v>
      </c>
    </row>
    <row r="69" spans="1:6" ht="12.75" customHeight="1" x14ac:dyDescent="0.2">
      <c r="A69" s="44">
        <v>39661</v>
      </c>
      <c r="B69" s="44"/>
      <c r="C69" s="44"/>
      <c r="D69" s="127">
        <f t="shared" si="12"/>
        <v>2078716.1538197463</v>
      </c>
    </row>
    <row r="70" spans="1:6" ht="12.75" customHeight="1" x14ac:dyDescent="0.2">
      <c r="A70" s="44">
        <v>39692</v>
      </c>
      <c r="B70" s="44"/>
      <c r="C70" s="44"/>
      <c r="D70" s="127">
        <f t="shared" si="12"/>
        <v>2116674.1812717994</v>
      </c>
    </row>
    <row r="71" spans="1:6" ht="12.75" customHeight="1" x14ac:dyDescent="0.2">
      <c r="A71" s="44">
        <v>39722</v>
      </c>
      <c r="B71" s="44"/>
      <c r="C71" s="44"/>
      <c r="D71" s="127">
        <f t="shared" si="12"/>
        <v>2154632.2087238524</v>
      </c>
    </row>
    <row r="72" spans="1:6" x14ac:dyDescent="0.2">
      <c r="A72" s="44">
        <v>39753</v>
      </c>
      <c r="B72" s="44"/>
      <c r="C72" s="44"/>
      <c r="D72" s="127">
        <f t="shared" si="12"/>
        <v>2192590.2361759054</v>
      </c>
    </row>
    <row r="73" spans="1:6" x14ac:dyDescent="0.2">
      <c r="A73" s="44">
        <v>39783</v>
      </c>
      <c r="B73" s="44"/>
      <c r="C73" s="44"/>
      <c r="D73" s="127">
        <f t="shared" si="12"/>
        <v>2230548.2636279585</v>
      </c>
      <c r="E73" s="127">
        <f>SUM(D62:D73)</f>
        <v>24261349.3517</v>
      </c>
      <c r="F73" s="127">
        <f>D73*12</f>
        <v>26766579.163535502</v>
      </c>
    </row>
    <row r="74" spans="1:6" x14ac:dyDescent="0.2">
      <c r="A74" s="44">
        <v>39814</v>
      </c>
      <c r="B74" s="44"/>
      <c r="C74" s="44"/>
      <c r="D74" s="127">
        <f>D73+$G$6</f>
        <v>2295812.7907332727</v>
      </c>
    </row>
    <row r="75" spans="1:6" x14ac:dyDescent="0.2">
      <c r="A75" s="44">
        <v>39845</v>
      </c>
      <c r="B75" s="44"/>
      <c r="C75" s="44"/>
      <c r="D75" s="127">
        <f t="shared" ref="D75:D85" si="13">D74+$G$6</f>
        <v>2361077.3178385869</v>
      </c>
    </row>
    <row r="76" spans="1:6" x14ac:dyDescent="0.2">
      <c r="A76" s="44">
        <v>39873</v>
      </c>
      <c r="B76" s="44"/>
      <c r="C76" s="44"/>
      <c r="D76" s="127">
        <f t="shared" si="13"/>
        <v>2426341.8449439011</v>
      </c>
    </row>
    <row r="77" spans="1:6" x14ac:dyDescent="0.2">
      <c r="A77" s="44">
        <v>39904</v>
      </c>
      <c r="B77" s="44"/>
      <c r="C77" s="44"/>
      <c r="D77" s="127">
        <f t="shared" si="13"/>
        <v>2491606.3720492152</v>
      </c>
    </row>
    <row r="78" spans="1:6" x14ac:dyDescent="0.2">
      <c r="A78" s="44">
        <v>39934</v>
      </c>
      <c r="B78" s="44"/>
      <c r="C78" s="44"/>
      <c r="D78" s="127">
        <f t="shared" si="13"/>
        <v>2556870.8991545294</v>
      </c>
    </row>
    <row r="79" spans="1:6" x14ac:dyDescent="0.2">
      <c r="A79" s="44">
        <v>39965</v>
      </c>
      <c r="B79" s="44"/>
      <c r="C79" s="44"/>
      <c r="D79" s="127">
        <f t="shared" si="13"/>
        <v>2622135.4262598436</v>
      </c>
    </row>
    <row r="80" spans="1:6" x14ac:dyDescent="0.2">
      <c r="A80" s="44">
        <v>39995</v>
      </c>
      <c r="B80" s="44"/>
      <c r="C80" s="44"/>
      <c r="D80" s="127">
        <f t="shared" si="13"/>
        <v>2687399.9533651578</v>
      </c>
    </row>
    <row r="81" spans="1:6" x14ac:dyDescent="0.2">
      <c r="A81" s="44">
        <v>40026</v>
      </c>
      <c r="B81" s="44"/>
      <c r="C81" s="44"/>
      <c r="D81" s="127">
        <f t="shared" si="13"/>
        <v>2752664.480470472</v>
      </c>
    </row>
    <row r="82" spans="1:6" x14ac:dyDescent="0.2">
      <c r="A82" s="44">
        <v>40057</v>
      </c>
      <c r="B82" s="44"/>
      <c r="C82" s="44"/>
      <c r="D82" s="127">
        <f t="shared" si="13"/>
        <v>2817929.0075757862</v>
      </c>
    </row>
    <row r="83" spans="1:6" x14ac:dyDescent="0.2">
      <c r="A83" s="44">
        <v>40087</v>
      </c>
      <c r="B83" s="44"/>
      <c r="C83" s="44"/>
      <c r="D83" s="127">
        <f t="shared" si="13"/>
        <v>2883193.5346811004</v>
      </c>
    </row>
    <row r="84" spans="1:6" x14ac:dyDescent="0.2">
      <c r="A84" s="44">
        <v>40118</v>
      </c>
      <c r="B84" s="44"/>
      <c r="C84" s="44"/>
      <c r="D84" s="127">
        <f t="shared" si="13"/>
        <v>2948458.0617864146</v>
      </c>
    </row>
    <row r="85" spans="1:6" x14ac:dyDescent="0.2">
      <c r="A85" s="44">
        <v>40148</v>
      </c>
      <c r="B85" s="44"/>
      <c r="C85" s="44"/>
      <c r="D85" s="127">
        <f t="shared" si="13"/>
        <v>3013722.5888917288</v>
      </c>
      <c r="E85" s="127">
        <f>SUM(D74:D85)</f>
        <v>31857212.277750008</v>
      </c>
      <c r="F85" s="127">
        <f>D85*12</f>
        <v>36164671.066700742</v>
      </c>
    </row>
    <row r="86" spans="1:6" x14ac:dyDescent="0.2">
      <c r="A86" s="44">
        <v>40179</v>
      </c>
      <c r="B86" s="44"/>
      <c r="C86" s="44"/>
      <c r="D86" s="127">
        <f>D85+$G$7</f>
        <v>3039169.8407987705</v>
      </c>
    </row>
    <row r="87" spans="1:6" x14ac:dyDescent="0.2">
      <c r="A87" s="44">
        <v>40210</v>
      </c>
      <c r="B87" s="44"/>
      <c r="C87" s="44"/>
      <c r="D87" s="127">
        <f t="shared" ref="D87:D97" si="14">D86+$G$7</f>
        <v>3064617.0927058123</v>
      </c>
    </row>
    <row r="88" spans="1:6" x14ac:dyDescent="0.2">
      <c r="A88" s="44">
        <v>40238</v>
      </c>
      <c r="B88" s="44"/>
      <c r="C88" s="44"/>
      <c r="D88" s="127">
        <f t="shared" si="14"/>
        <v>3090064.3446128541</v>
      </c>
    </row>
    <row r="89" spans="1:6" x14ac:dyDescent="0.2">
      <c r="A89" s="44">
        <v>40269</v>
      </c>
      <c r="B89" s="44"/>
      <c r="C89" s="44"/>
      <c r="D89" s="127">
        <f t="shared" si="14"/>
        <v>3115511.5965198958</v>
      </c>
    </row>
    <row r="90" spans="1:6" x14ac:dyDescent="0.2">
      <c r="A90" s="44">
        <v>40299</v>
      </c>
      <c r="B90" s="44"/>
      <c r="C90" s="44"/>
      <c r="D90" s="127">
        <f t="shared" si="14"/>
        <v>3140958.8484269376</v>
      </c>
    </row>
    <row r="91" spans="1:6" x14ac:dyDescent="0.2">
      <c r="A91" s="44">
        <v>40330</v>
      </c>
      <c r="B91" s="44"/>
      <c r="C91" s="44"/>
      <c r="D91" s="127">
        <f t="shared" si="14"/>
        <v>3166406.1003339794</v>
      </c>
    </row>
    <row r="92" spans="1:6" x14ac:dyDescent="0.2">
      <c r="A92" s="44">
        <v>40360</v>
      </c>
      <c r="B92" s="44"/>
      <c r="C92" s="44"/>
      <c r="D92" s="127">
        <f t="shared" si="14"/>
        <v>3191853.3522410211</v>
      </c>
    </row>
    <row r="93" spans="1:6" x14ac:dyDescent="0.2">
      <c r="A93" s="44">
        <v>40391</v>
      </c>
      <c r="B93" s="44"/>
      <c r="C93" s="44"/>
      <c r="D93" s="127">
        <f t="shared" si="14"/>
        <v>3217300.6041480629</v>
      </c>
    </row>
    <row r="94" spans="1:6" x14ac:dyDescent="0.2">
      <c r="A94" s="44">
        <v>40422</v>
      </c>
      <c r="B94" s="44"/>
      <c r="C94" s="44"/>
      <c r="D94" s="127">
        <f t="shared" si="14"/>
        <v>3242747.8560551046</v>
      </c>
    </row>
    <row r="95" spans="1:6" x14ac:dyDescent="0.2">
      <c r="A95" s="44">
        <v>40452</v>
      </c>
      <c r="B95" s="44"/>
      <c r="C95" s="44"/>
      <c r="D95" s="127">
        <f t="shared" si="14"/>
        <v>3268195.1079621464</v>
      </c>
    </row>
    <row r="96" spans="1:6" x14ac:dyDescent="0.2">
      <c r="A96" s="44">
        <v>40483</v>
      </c>
      <c r="B96" s="44"/>
      <c r="C96" s="44"/>
      <c r="D96" s="127">
        <f t="shared" si="14"/>
        <v>3293642.3598691882</v>
      </c>
    </row>
    <row r="97" spans="1:6" x14ac:dyDescent="0.2">
      <c r="A97" s="44">
        <v>40513</v>
      </c>
      <c r="B97" s="44"/>
      <c r="C97" s="44"/>
      <c r="D97" s="127">
        <f t="shared" si="14"/>
        <v>3319089.6117762299</v>
      </c>
      <c r="E97" s="127">
        <f>SUM(D86:D97)</f>
        <v>38149556.715450004</v>
      </c>
      <c r="F97" s="127">
        <f>D97*12</f>
        <v>39829075.341314763</v>
      </c>
    </row>
    <row r="98" spans="1:6" x14ac:dyDescent="0.2">
      <c r="A98" s="44">
        <v>40544</v>
      </c>
      <c r="B98" s="44"/>
      <c r="C98" s="44"/>
      <c r="D98" s="127">
        <f>D97+$G$8</f>
        <v>3387075.684438861</v>
      </c>
    </row>
    <row r="99" spans="1:6" x14ac:dyDescent="0.2">
      <c r="A99" s="44">
        <v>40575</v>
      </c>
      <c r="B99" s="44"/>
      <c r="C99" s="44"/>
      <c r="D99" s="127">
        <f t="shared" ref="D99:D109" si="15">D98+$G$8</f>
        <v>3455061.757101492</v>
      </c>
    </row>
    <row r="100" spans="1:6" x14ac:dyDescent="0.2">
      <c r="A100" s="44">
        <v>40603</v>
      </c>
      <c r="B100" s="44"/>
      <c r="C100" s="44"/>
      <c r="D100" s="127">
        <f t="shared" si="15"/>
        <v>3523047.8297641231</v>
      </c>
    </row>
    <row r="101" spans="1:6" x14ac:dyDescent="0.2">
      <c r="A101" s="44">
        <v>40634</v>
      </c>
      <c r="B101" s="44"/>
      <c r="D101" s="127">
        <f t="shared" si="15"/>
        <v>3591033.9024267541</v>
      </c>
    </row>
    <row r="102" spans="1:6" x14ac:dyDescent="0.2">
      <c r="A102" s="44">
        <v>40664</v>
      </c>
      <c r="B102" s="44"/>
      <c r="D102" s="127">
        <f t="shared" si="15"/>
        <v>3659019.9750893852</v>
      </c>
    </row>
    <row r="103" spans="1:6" x14ac:dyDescent="0.2">
      <c r="A103" s="44">
        <v>40695</v>
      </c>
      <c r="B103" s="44"/>
      <c r="D103" s="127">
        <f t="shared" si="15"/>
        <v>3727006.0477520162</v>
      </c>
    </row>
    <row r="104" spans="1:6" x14ac:dyDescent="0.2">
      <c r="A104" s="44">
        <v>40725</v>
      </c>
      <c r="B104" s="44"/>
      <c r="D104" s="127">
        <f t="shared" si="15"/>
        <v>3794992.1204146473</v>
      </c>
    </row>
    <row r="105" spans="1:6" x14ac:dyDescent="0.2">
      <c r="A105" s="44">
        <v>40756</v>
      </c>
      <c r="B105" s="44"/>
      <c r="D105" s="127">
        <f t="shared" si="15"/>
        <v>3862978.1930772783</v>
      </c>
    </row>
    <row r="106" spans="1:6" x14ac:dyDescent="0.2">
      <c r="A106" s="44">
        <v>40787</v>
      </c>
      <c r="B106" s="44"/>
      <c r="D106" s="127">
        <f t="shared" si="15"/>
        <v>3930964.2657399094</v>
      </c>
    </row>
    <row r="107" spans="1:6" x14ac:dyDescent="0.2">
      <c r="A107" s="44">
        <v>40817</v>
      </c>
      <c r="B107" s="44"/>
      <c r="D107" s="127">
        <f t="shared" si="15"/>
        <v>3998950.3384025404</v>
      </c>
    </row>
    <row r="108" spans="1:6" x14ac:dyDescent="0.2">
      <c r="A108" s="44">
        <v>40848</v>
      </c>
      <c r="B108" s="44"/>
      <c r="D108" s="127">
        <f t="shared" si="15"/>
        <v>4066936.4110651715</v>
      </c>
    </row>
    <row r="109" spans="1:6" x14ac:dyDescent="0.2">
      <c r="A109" s="44">
        <v>40878</v>
      </c>
      <c r="B109" s="44"/>
      <c r="D109" s="127">
        <f t="shared" si="15"/>
        <v>4134922.4837278025</v>
      </c>
      <c r="E109" s="127">
        <f>SUM(D98:D109)</f>
        <v>45131989.008999981</v>
      </c>
      <c r="F109" s="127">
        <f>D109*12</f>
        <v>49619069.804733634</v>
      </c>
    </row>
    <row r="110" spans="1:6" x14ac:dyDescent="0.2">
      <c r="A110" s="44">
        <v>40909</v>
      </c>
      <c r="B110" s="44"/>
      <c r="D110" s="127">
        <f>D109+$G$9</f>
        <v>4186232.8172741663</v>
      </c>
    </row>
    <row r="111" spans="1:6" x14ac:dyDescent="0.2">
      <c r="A111" s="44">
        <v>40940</v>
      </c>
      <c r="B111" s="44"/>
      <c r="D111" s="127">
        <f t="shared" ref="D111:D121" si="16">D110+$G$9</f>
        <v>4237543.15082053</v>
      </c>
    </row>
    <row r="112" spans="1:6" x14ac:dyDescent="0.2">
      <c r="A112" s="44">
        <v>40969</v>
      </c>
      <c r="B112" s="44"/>
      <c r="D112" s="127">
        <f t="shared" si="16"/>
        <v>4288853.4843668938</v>
      </c>
    </row>
    <row r="113" spans="1:6" x14ac:dyDescent="0.2">
      <c r="A113" s="44">
        <v>41000</v>
      </c>
      <c r="B113" s="44"/>
      <c r="D113" s="127">
        <f t="shared" si="16"/>
        <v>4340163.8179132575</v>
      </c>
    </row>
    <row r="114" spans="1:6" x14ac:dyDescent="0.2">
      <c r="A114" s="44">
        <v>41030</v>
      </c>
      <c r="B114" s="44"/>
      <c r="D114" s="127">
        <f t="shared" si="16"/>
        <v>4391474.1514596213</v>
      </c>
    </row>
    <row r="115" spans="1:6" x14ac:dyDescent="0.2">
      <c r="A115" s="44">
        <v>41061</v>
      </c>
      <c r="B115" s="44"/>
      <c r="D115" s="127">
        <f t="shared" si="16"/>
        <v>4442784.485005985</v>
      </c>
    </row>
    <row r="116" spans="1:6" x14ac:dyDescent="0.2">
      <c r="A116" s="44">
        <v>41091</v>
      </c>
      <c r="B116" s="44"/>
      <c r="D116" s="127">
        <f t="shared" si="16"/>
        <v>4494094.8185523488</v>
      </c>
    </row>
    <row r="117" spans="1:6" x14ac:dyDescent="0.2">
      <c r="A117" s="44">
        <v>41122</v>
      </c>
      <c r="B117" s="44"/>
      <c r="D117" s="127">
        <f t="shared" si="16"/>
        <v>4545405.1520987125</v>
      </c>
    </row>
    <row r="118" spans="1:6" x14ac:dyDescent="0.2">
      <c r="A118" s="44">
        <v>41153</v>
      </c>
      <c r="B118" s="44"/>
      <c r="D118" s="127">
        <f t="shared" si="16"/>
        <v>4596715.4856450763</v>
      </c>
    </row>
    <row r="119" spans="1:6" x14ac:dyDescent="0.2">
      <c r="A119" s="44">
        <v>41183</v>
      </c>
      <c r="B119" s="44"/>
      <c r="D119" s="127">
        <f t="shared" si="16"/>
        <v>4648025.81919144</v>
      </c>
    </row>
    <row r="120" spans="1:6" x14ac:dyDescent="0.2">
      <c r="A120" s="44">
        <v>41214</v>
      </c>
      <c r="B120" s="44"/>
      <c r="D120" s="127">
        <f t="shared" si="16"/>
        <v>4699336.1527378038</v>
      </c>
    </row>
    <row r="121" spans="1:6" x14ac:dyDescent="0.2">
      <c r="A121" s="44">
        <v>41244</v>
      </c>
      <c r="B121" s="44"/>
      <c r="D121" s="127">
        <f t="shared" si="16"/>
        <v>4750646.4862841675</v>
      </c>
      <c r="E121" s="127">
        <f>SUM(D110:D121)</f>
        <v>53621275.821350008</v>
      </c>
      <c r="F121" s="127">
        <f>D121*12</f>
        <v>57007757.835410014</v>
      </c>
    </row>
    <row r="122" spans="1:6" x14ac:dyDescent="0.2">
      <c r="A122" s="44">
        <v>41275</v>
      </c>
      <c r="B122" s="44"/>
      <c r="D122" s="128">
        <f>D121+$G$10</f>
        <v>4775749.6932718595</v>
      </c>
    </row>
    <row r="123" spans="1:6" x14ac:dyDescent="0.2">
      <c r="A123" s="44">
        <v>41306</v>
      </c>
      <c r="B123" s="44"/>
      <c r="D123" s="128">
        <f t="shared" ref="D123:D133" si="17">D122+$G$10</f>
        <v>4800852.9002595516</v>
      </c>
    </row>
    <row r="124" spans="1:6" x14ac:dyDescent="0.2">
      <c r="A124" s="44">
        <v>41334</v>
      </c>
      <c r="B124" s="44"/>
      <c r="D124" s="128">
        <f t="shared" si="17"/>
        <v>4825956.1072472436</v>
      </c>
    </row>
    <row r="125" spans="1:6" x14ac:dyDescent="0.2">
      <c r="A125" s="44">
        <v>41365</v>
      </c>
      <c r="B125" s="44"/>
      <c r="D125" s="128">
        <f t="shared" si="17"/>
        <v>4851059.3142349357</v>
      </c>
    </row>
    <row r="126" spans="1:6" x14ac:dyDescent="0.2">
      <c r="A126" s="44">
        <v>41395</v>
      </c>
      <c r="B126" s="44"/>
      <c r="D126" s="128">
        <f t="shared" si="17"/>
        <v>4876162.5212226277</v>
      </c>
    </row>
    <row r="127" spans="1:6" x14ac:dyDescent="0.2">
      <c r="A127" s="44">
        <v>41426</v>
      </c>
      <c r="B127" s="44"/>
      <c r="D127" s="128">
        <f t="shared" si="17"/>
        <v>4901265.7282103198</v>
      </c>
    </row>
    <row r="128" spans="1:6" x14ac:dyDescent="0.2">
      <c r="A128" s="44">
        <v>41456</v>
      </c>
      <c r="B128" s="44"/>
      <c r="D128" s="128">
        <f t="shared" si="17"/>
        <v>4926368.9351980118</v>
      </c>
    </row>
    <row r="129" spans="1:6" x14ac:dyDescent="0.2">
      <c r="A129" s="44">
        <v>41487</v>
      </c>
      <c r="B129" s="44"/>
      <c r="D129" s="128">
        <f t="shared" si="17"/>
        <v>4951472.1421857039</v>
      </c>
    </row>
    <row r="130" spans="1:6" x14ac:dyDescent="0.2">
      <c r="A130" s="44">
        <v>41518</v>
      </c>
      <c r="B130" s="44"/>
      <c r="D130" s="128">
        <f t="shared" si="17"/>
        <v>4976575.3491733959</v>
      </c>
    </row>
    <row r="131" spans="1:6" x14ac:dyDescent="0.2">
      <c r="A131" s="44">
        <v>41548</v>
      </c>
      <c r="B131" s="44"/>
      <c r="D131" s="128">
        <f t="shared" si="17"/>
        <v>5001678.5561610879</v>
      </c>
    </row>
    <row r="132" spans="1:6" x14ac:dyDescent="0.2">
      <c r="A132" s="44">
        <v>41579</v>
      </c>
      <c r="B132" s="44"/>
      <c r="D132" s="128">
        <f t="shared" si="17"/>
        <v>5026781.76314878</v>
      </c>
    </row>
    <row r="133" spans="1:6" x14ac:dyDescent="0.2">
      <c r="A133" s="44">
        <v>41609</v>
      </c>
      <c r="B133" s="44"/>
      <c r="D133" s="128">
        <f t="shared" si="17"/>
        <v>5051884.970136472</v>
      </c>
      <c r="E133" s="127">
        <f>SUM(D122:D133)</f>
        <v>58965807.980449989</v>
      </c>
      <c r="F133" s="127">
        <f>D133*12</f>
        <v>60622619.641637668</v>
      </c>
    </row>
    <row r="134" spans="1:6" x14ac:dyDescent="0.2">
      <c r="A134" s="44">
        <v>41640</v>
      </c>
      <c r="B134" s="44"/>
      <c r="D134" s="128">
        <f>D133+$G$11</f>
        <v>5118165.0729199639</v>
      </c>
    </row>
    <row r="135" spans="1:6" x14ac:dyDescent="0.2">
      <c r="A135" s="44">
        <v>41671</v>
      </c>
      <c r="B135" s="44"/>
      <c r="D135" s="128">
        <f t="shared" ref="D135:D145" si="18">D134+$G$11</f>
        <v>5184445.1757034557</v>
      </c>
    </row>
    <row r="136" spans="1:6" x14ac:dyDescent="0.2">
      <c r="A136" s="44">
        <v>41699</v>
      </c>
      <c r="B136" s="44"/>
      <c r="D136" s="128">
        <f t="shared" si="18"/>
        <v>5250725.2784869475</v>
      </c>
    </row>
    <row r="137" spans="1:6" x14ac:dyDescent="0.2">
      <c r="A137" s="44">
        <v>41730</v>
      </c>
      <c r="B137" s="44"/>
      <c r="D137" s="128">
        <f t="shared" si="18"/>
        <v>5317005.3812704394</v>
      </c>
    </row>
    <row r="138" spans="1:6" x14ac:dyDescent="0.2">
      <c r="A138" s="44">
        <v>41760</v>
      </c>
      <c r="B138" s="44"/>
      <c r="D138" s="128">
        <f t="shared" si="18"/>
        <v>5383285.4840539312</v>
      </c>
    </row>
    <row r="139" spans="1:6" x14ac:dyDescent="0.2">
      <c r="A139" s="44">
        <v>41791</v>
      </c>
      <c r="B139" s="44"/>
      <c r="D139" s="128">
        <f t="shared" si="18"/>
        <v>5449565.586837423</v>
      </c>
    </row>
    <row r="140" spans="1:6" x14ac:dyDescent="0.2">
      <c r="A140" s="44">
        <v>41821</v>
      </c>
      <c r="B140" s="44"/>
      <c r="D140" s="128">
        <f t="shared" si="18"/>
        <v>5515845.6896209149</v>
      </c>
    </row>
    <row r="141" spans="1:6" x14ac:dyDescent="0.2">
      <c r="A141" s="44">
        <v>41852</v>
      </c>
      <c r="B141" s="44"/>
      <c r="D141" s="128">
        <f t="shared" si="18"/>
        <v>5582125.7924044067</v>
      </c>
    </row>
    <row r="142" spans="1:6" x14ac:dyDescent="0.2">
      <c r="A142" s="44">
        <v>41883</v>
      </c>
      <c r="B142" s="44"/>
      <c r="D142" s="128">
        <f t="shared" si="18"/>
        <v>5648405.8951878985</v>
      </c>
    </row>
    <row r="143" spans="1:6" x14ac:dyDescent="0.2">
      <c r="A143" s="44">
        <v>41913</v>
      </c>
      <c r="B143" s="44"/>
      <c r="D143" s="128">
        <f t="shared" si="18"/>
        <v>5714685.9979713904</v>
      </c>
    </row>
    <row r="144" spans="1:6" x14ac:dyDescent="0.2">
      <c r="A144" s="44">
        <v>41944</v>
      </c>
      <c r="B144" s="44"/>
      <c r="D144" s="128">
        <f t="shared" si="18"/>
        <v>5780966.1007548822</v>
      </c>
    </row>
    <row r="145" spans="1:6" x14ac:dyDescent="0.2">
      <c r="A145" s="44">
        <v>41974</v>
      </c>
      <c r="B145" s="44"/>
      <c r="D145" s="128">
        <f t="shared" si="18"/>
        <v>5847246.203538374</v>
      </c>
      <c r="E145" s="128">
        <f>SUM(D134:D145)</f>
        <v>65792467.658750027</v>
      </c>
      <c r="F145" s="127">
        <f>+D145*12</f>
        <v>70166954.442460492</v>
      </c>
    </row>
    <row r="146" spans="1:6" x14ac:dyDescent="0.2">
      <c r="A146" s="44">
        <v>42005</v>
      </c>
      <c r="B146" s="44"/>
      <c r="D146" s="128">
        <f>+D145+$G$12</f>
        <v>5979908.282433752</v>
      </c>
      <c r="E146" s="128"/>
      <c r="F146" s="127"/>
    </row>
    <row r="147" spans="1:6" x14ac:dyDescent="0.2">
      <c r="A147" s="44">
        <v>42036</v>
      </c>
      <c r="B147" s="44"/>
      <c r="D147" s="128">
        <f t="shared" ref="D147:D157" si="19">+D146+$G$12</f>
        <v>6112570.3613291308</v>
      </c>
      <c r="E147" s="128"/>
      <c r="F147" s="127"/>
    </row>
    <row r="148" spans="1:6" x14ac:dyDescent="0.2">
      <c r="A148" s="44">
        <v>42064</v>
      </c>
      <c r="B148" s="44"/>
      <c r="D148" s="128">
        <f t="shared" si="19"/>
        <v>6245232.4402245097</v>
      </c>
      <c r="E148" s="128"/>
      <c r="F148" s="127"/>
    </row>
    <row r="149" spans="1:6" x14ac:dyDescent="0.2">
      <c r="A149" s="44">
        <v>42095</v>
      </c>
      <c r="B149" s="44"/>
      <c r="D149" s="128">
        <f t="shared" si="19"/>
        <v>6377894.5191198885</v>
      </c>
      <c r="E149" s="128"/>
      <c r="F149" s="127"/>
    </row>
    <row r="150" spans="1:6" x14ac:dyDescent="0.2">
      <c r="A150" s="44">
        <v>42125</v>
      </c>
      <c r="B150" s="44"/>
      <c r="D150" s="128">
        <f t="shared" si="19"/>
        <v>6510556.5980152674</v>
      </c>
      <c r="E150" s="128"/>
      <c r="F150" s="127"/>
    </row>
    <row r="151" spans="1:6" x14ac:dyDescent="0.2">
      <c r="A151" s="44">
        <v>42156</v>
      </c>
      <c r="B151" s="44"/>
      <c r="D151" s="128">
        <f t="shared" si="19"/>
        <v>6643218.6769106463</v>
      </c>
      <c r="E151" s="128"/>
      <c r="F151" s="127"/>
    </row>
    <row r="152" spans="1:6" x14ac:dyDescent="0.2">
      <c r="A152" s="44">
        <v>42186</v>
      </c>
      <c r="B152" s="44"/>
      <c r="D152" s="128">
        <f t="shared" si="19"/>
        <v>6775880.7558060251</v>
      </c>
      <c r="E152" s="128"/>
      <c r="F152" s="127"/>
    </row>
    <row r="153" spans="1:6" x14ac:dyDescent="0.2">
      <c r="A153" s="44">
        <v>42217</v>
      </c>
      <c r="B153" s="44"/>
      <c r="D153" s="128">
        <f t="shared" si="19"/>
        <v>6908542.834701404</v>
      </c>
      <c r="E153" s="128"/>
      <c r="F153" s="127"/>
    </row>
    <row r="154" spans="1:6" x14ac:dyDescent="0.2">
      <c r="A154" s="44">
        <v>42248</v>
      </c>
      <c r="B154" s="44"/>
      <c r="D154" s="128">
        <f t="shared" si="19"/>
        <v>7041204.9135967828</v>
      </c>
      <c r="E154" s="128"/>
      <c r="F154" s="127"/>
    </row>
    <row r="155" spans="1:6" x14ac:dyDescent="0.2">
      <c r="A155" s="44">
        <v>42278</v>
      </c>
      <c r="B155" s="44"/>
      <c r="D155" s="128">
        <f t="shared" si="19"/>
        <v>7173866.9924921617</v>
      </c>
      <c r="E155" s="128"/>
      <c r="F155" s="127"/>
    </row>
    <row r="156" spans="1:6" x14ac:dyDescent="0.2">
      <c r="A156" s="44">
        <v>42309</v>
      </c>
      <c r="B156" s="44"/>
      <c r="D156" s="128">
        <f t="shared" si="19"/>
        <v>7306529.0713875405</v>
      </c>
      <c r="E156" s="128"/>
      <c r="F156" s="127"/>
    </row>
    <row r="157" spans="1:6" x14ac:dyDescent="0.2">
      <c r="A157" s="44">
        <v>42339</v>
      </c>
      <c r="B157" s="44"/>
      <c r="D157" s="128">
        <f t="shared" si="19"/>
        <v>7439191.1502829194</v>
      </c>
      <c r="E157" s="128">
        <f>SUM(D146:D157)</f>
        <v>80514596.596300021</v>
      </c>
      <c r="F157" s="127">
        <f>+D157*12</f>
        <v>89270293.803395033</v>
      </c>
    </row>
    <row r="158" spans="1:6" x14ac:dyDescent="0.2">
      <c r="A158" s="44">
        <v>42370</v>
      </c>
      <c r="B158" s="44"/>
      <c r="D158" s="128">
        <f>+D157+$G$13</f>
        <v>7582385.6605445212</v>
      </c>
      <c r="E158" s="128"/>
      <c r="F158" s="127"/>
    </row>
    <row r="159" spans="1:6" x14ac:dyDescent="0.2">
      <c r="A159" s="44">
        <v>42401</v>
      </c>
      <c r="B159" s="44"/>
      <c r="D159" s="128">
        <f t="shared" ref="D159:D169" si="20">+D158+$G$13</f>
        <v>7725580.1708061229</v>
      </c>
      <c r="E159" s="128"/>
      <c r="F159" s="127"/>
    </row>
    <row r="160" spans="1:6" x14ac:dyDescent="0.2">
      <c r="A160" s="44">
        <v>42430</v>
      </c>
      <c r="B160" s="44"/>
      <c r="D160" s="128">
        <f t="shared" si="20"/>
        <v>7868774.6810677247</v>
      </c>
      <c r="E160" s="128"/>
      <c r="F160" s="127"/>
    </row>
    <row r="161" spans="1:6" x14ac:dyDescent="0.2">
      <c r="A161" s="44">
        <v>42461</v>
      </c>
      <c r="B161" s="44"/>
      <c r="D161" s="128">
        <f t="shared" si="20"/>
        <v>8011969.1913293265</v>
      </c>
      <c r="E161" s="128"/>
      <c r="F161" s="127"/>
    </row>
    <row r="162" spans="1:6" x14ac:dyDescent="0.2">
      <c r="A162" s="44">
        <v>42491</v>
      </c>
      <c r="B162" s="44"/>
      <c r="D162" s="128">
        <f t="shared" si="20"/>
        <v>8155163.7015909282</v>
      </c>
      <c r="E162" s="128"/>
      <c r="F162" s="127"/>
    </row>
    <row r="163" spans="1:6" x14ac:dyDescent="0.2">
      <c r="A163" s="44">
        <v>42522</v>
      </c>
      <c r="B163" s="44"/>
      <c r="D163" s="128">
        <f t="shared" si="20"/>
        <v>8298358.21185253</v>
      </c>
      <c r="E163" s="128"/>
      <c r="F163" s="127"/>
    </row>
    <row r="164" spans="1:6" x14ac:dyDescent="0.2">
      <c r="A164" s="44">
        <v>42552</v>
      </c>
      <c r="B164" s="44"/>
      <c r="D164" s="128">
        <f t="shared" si="20"/>
        <v>8441552.7221141327</v>
      </c>
      <c r="E164" s="128"/>
      <c r="F164" s="127"/>
    </row>
    <row r="165" spans="1:6" x14ac:dyDescent="0.2">
      <c r="A165" s="44">
        <v>42583</v>
      </c>
      <c r="B165" s="44"/>
      <c r="D165" s="128">
        <f t="shared" si="20"/>
        <v>8584747.2323757354</v>
      </c>
      <c r="E165" s="128"/>
      <c r="F165" s="127"/>
    </row>
    <row r="166" spans="1:6" x14ac:dyDescent="0.2">
      <c r="A166" s="44">
        <v>42614</v>
      </c>
      <c r="B166" s="44"/>
      <c r="D166" s="128">
        <f t="shared" si="20"/>
        <v>8727941.7426373381</v>
      </c>
      <c r="E166" s="128"/>
      <c r="F166" s="127"/>
    </row>
    <row r="167" spans="1:6" x14ac:dyDescent="0.2">
      <c r="A167" s="44">
        <v>42644</v>
      </c>
      <c r="B167" s="44"/>
      <c r="D167" s="128">
        <f t="shared" si="20"/>
        <v>8871136.2528989408</v>
      </c>
      <c r="E167" s="128"/>
      <c r="F167" s="127"/>
    </row>
    <row r="168" spans="1:6" x14ac:dyDescent="0.2">
      <c r="A168" s="44">
        <v>42675</v>
      </c>
      <c r="B168" s="44"/>
      <c r="D168" s="128">
        <f t="shared" si="20"/>
        <v>9014330.7631605435</v>
      </c>
      <c r="E168" s="128"/>
      <c r="F168" s="127"/>
    </row>
    <row r="169" spans="1:6" x14ac:dyDescent="0.2">
      <c r="A169" s="44">
        <v>42705</v>
      </c>
      <c r="B169" s="44"/>
      <c r="D169" s="128">
        <f t="shared" si="20"/>
        <v>9157525.2734221462</v>
      </c>
      <c r="E169" s="128">
        <f>SUM(D158:D169)</f>
        <v>100439465.6038</v>
      </c>
      <c r="F169" s="127">
        <f>+D169*12</f>
        <v>109890303.28106576</v>
      </c>
    </row>
    <row r="170" spans="1:6" x14ac:dyDescent="0.2">
      <c r="A170" s="44">
        <v>42736</v>
      </c>
      <c r="B170" s="44"/>
      <c r="D170" s="128">
        <f>+D169+$G$14</f>
        <v>9401387.9564315602</v>
      </c>
      <c r="E170" s="128"/>
      <c r="F170" s="127"/>
    </row>
    <row r="171" spans="1:6" x14ac:dyDescent="0.2">
      <c r="A171" s="44">
        <v>42767</v>
      </c>
      <c r="B171" s="44"/>
      <c r="D171" s="128">
        <f t="shared" ref="D171:D181" si="21">+D170+$G$14</f>
        <v>9645250.6394409742</v>
      </c>
      <c r="E171" s="128"/>
      <c r="F171" s="127"/>
    </row>
    <row r="172" spans="1:6" x14ac:dyDescent="0.2">
      <c r="A172" s="44">
        <v>42795</v>
      </c>
      <c r="B172" s="44"/>
      <c r="D172" s="128">
        <f t="shared" si="21"/>
        <v>9889113.3224503882</v>
      </c>
      <c r="E172" s="128"/>
      <c r="F172" s="127"/>
    </row>
    <row r="173" spans="1:6" x14ac:dyDescent="0.2">
      <c r="A173" s="44">
        <v>42826</v>
      </c>
      <c r="B173" s="44"/>
      <c r="D173" s="128">
        <f t="shared" si="21"/>
        <v>10132976.005459802</v>
      </c>
      <c r="E173" s="128"/>
      <c r="F173" s="127"/>
    </row>
    <row r="174" spans="1:6" x14ac:dyDescent="0.2">
      <c r="A174" s="44">
        <v>42856</v>
      </c>
      <c r="B174" s="44"/>
      <c r="D174" s="128">
        <f t="shared" si="21"/>
        <v>10376838.688469216</v>
      </c>
      <c r="E174" s="128"/>
      <c r="F174" s="127"/>
    </row>
    <row r="175" spans="1:6" x14ac:dyDescent="0.2">
      <c r="A175" s="44">
        <v>42887</v>
      </c>
      <c r="B175" s="44"/>
      <c r="D175" s="128">
        <f t="shared" si="21"/>
        <v>10620701.37147863</v>
      </c>
      <c r="E175" s="128"/>
      <c r="F175" s="127"/>
    </row>
    <row r="176" spans="1:6" x14ac:dyDescent="0.2">
      <c r="A176" s="44">
        <v>42917</v>
      </c>
      <c r="B176" s="44"/>
      <c r="D176" s="128">
        <f t="shared" si="21"/>
        <v>10864564.054488044</v>
      </c>
      <c r="E176" s="128"/>
      <c r="F176" s="127"/>
    </row>
    <row r="177" spans="1:6" x14ac:dyDescent="0.2">
      <c r="A177" s="44">
        <v>42948</v>
      </c>
      <c r="B177" s="44"/>
      <c r="D177" s="128">
        <f t="shared" si="21"/>
        <v>11108426.737497458</v>
      </c>
      <c r="E177" s="128"/>
      <c r="F177" s="127"/>
    </row>
    <row r="178" spans="1:6" x14ac:dyDescent="0.2">
      <c r="A178" s="44">
        <v>42979</v>
      </c>
      <c r="B178" s="44"/>
      <c r="D178" s="128">
        <f t="shared" si="21"/>
        <v>11352289.420506872</v>
      </c>
      <c r="E178" s="128"/>
      <c r="F178" s="127"/>
    </row>
    <row r="179" spans="1:6" x14ac:dyDescent="0.2">
      <c r="A179" s="44">
        <v>43009</v>
      </c>
      <c r="B179" s="44"/>
      <c r="D179" s="128">
        <f t="shared" si="21"/>
        <v>11596152.103516286</v>
      </c>
      <c r="E179" s="128"/>
      <c r="F179" s="127"/>
    </row>
    <row r="180" spans="1:6" x14ac:dyDescent="0.2">
      <c r="A180" s="44">
        <v>43040</v>
      </c>
      <c r="B180" s="44"/>
      <c r="D180" s="128">
        <f t="shared" si="21"/>
        <v>11840014.7865257</v>
      </c>
      <c r="E180" s="128"/>
      <c r="F180" s="127"/>
    </row>
    <row r="181" spans="1:6" x14ac:dyDescent="0.2">
      <c r="A181" s="44">
        <v>43070</v>
      </c>
      <c r="B181" s="44"/>
      <c r="D181" s="128">
        <f t="shared" si="21"/>
        <v>12083877.469535114</v>
      </c>
      <c r="E181" s="128">
        <f>SUM(D170:D181)</f>
        <v>128911592.55580005</v>
      </c>
      <c r="F181" s="127">
        <f>+D181*12</f>
        <v>145006529.63442138</v>
      </c>
    </row>
    <row r="182" spans="1:6" x14ac:dyDescent="0.2">
      <c r="A182" s="44">
        <v>43101</v>
      </c>
      <c r="B182" s="44"/>
      <c r="D182" s="128">
        <f>+D181+$G$15</f>
        <v>12067181.714355994</v>
      </c>
      <c r="E182" s="128"/>
      <c r="F182" s="127"/>
    </row>
    <row r="183" spans="1:6" x14ac:dyDescent="0.2">
      <c r="A183" s="44">
        <v>43132</v>
      </c>
      <c r="B183" s="44"/>
      <c r="D183" s="128">
        <f t="shared" ref="D183:D193" si="22">+D182+$G$15</f>
        <v>12050485.959176874</v>
      </c>
      <c r="E183" s="128"/>
      <c r="F183" s="127"/>
    </row>
    <row r="184" spans="1:6" x14ac:dyDescent="0.2">
      <c r="A184" s="44">
        <v>43160</v>
      </c>
      <c r="B184" s="44"/>
      <c r="D184" s="128">
        <f t="shared" si="22"/>
        <v>12033790.203997754</v>
      </c>
      <c r="E184" s="128"/>
      <c r="F184" s="127"/>
    </row>
    <row r="185" spans="1:6" x14ac:dyDescent="0.2">
      <c r="A185" s="44">
        <v>43191</v>
      </c>
      <c r="B185" s="44"/>
      <c r="D185" s="128">
        <f t="shared" si="22"/>
        <v>12017094.448818633</v>
      </c>
      <c r="E185" s="128"/>
      <c r="F185" s="127"/>
    </row>
    <row r="186" spans="1:6" x14ac:dyDescent="0.2">
      <c r="A186" s="44">
        <v>43221</v>
      </c>
      <c r="B186" s="44"/>
      <c r="D186" s="128">
        <f t="shared" si="22"/>
        <v>12000398.693639513</v>
      </c>
      <c r="E186" s="128"/>
      <c r="F186" s="127"/>
    </row>
    <row r="187" spans="1:6" x14ac:dyDescent="0.2">
      <c r="A187" s="44">
        <v>43252</v>
      </c>
      <c r="B187" s="44"/>
      <c r="D187" s="128">
        <f t="shared" si="22"/>
        <v>11983702.938460393</v>
      </c>
      <c r="E187" s="128"/>
      <c r="F187" s="127"/>
    </row>
    <row r="188" spans="1:6" x14ac:dyDescent="0.2">
      <c r="A188" s="44">
        <v>43282</v>
      </c>
      <c r="B188" s="44"/>
      <c r="D188" s="128">
        <f t="shared" si="22"/>
        <v>11967007.183281273</v>
      </c>
      <c r="E188" s="128"/>
      <c r="F188" s="127"/>
    </row>
    <row r="189" spans="1:6" x14ac:dyDescent="0.2">
      <c r="A189" s="44">
        <v>43313</v>
      </c>
      <c r="B189" s="44"/>
      <c r="D189" s="128">
        <f t="shared" si="22"/>
        <v>11950311.428102152</v>
      </c>
      <c r="E189" s="128"/>
      <c r="F189" s="127"/>
    </row>
    <row r="190" spans="1:6" x14ac:dyDescent="0.2">
      <c r="A190" s="44">
        <v>43344</v>
      </c>
      <c r="B190" s="44"/>
      <c r="D190" s="128">
        <f t="shared" si="22"/>
        <v>11933615.672923032</v>
      </c>
      <c r="E190" s="128"/>
      <c r="F190" s="127"/>
    </row>
    <row r="191" spans="1:6" x14ac:dyDescent="0.2">
      <c r="A191" s="44">
        <v>43374</v>
      </c>
      <c r="B191" s="44"/>
      <c r="D191" s="128">
        <f t="shared" si="22"/>
        <v>11916919.917743912</v>
      </c>
      <c r="E191" s="128"/>
      <c r="F191" s="127"/>
    </row>
    <row r="192" spans="1:6" x14ac:dyDescent="0.2">
      <c r="A192" s="44">
        <v>43405</v>
      </c>
      <c r="B192" s="44"/>
      <c r="D192" s="128">
        <f t="shared" si="22"/>
        <v>11900224.162564792</v>
      </c>
      <c r="E192" s="128"/>
      <c r="F192" s="127"/>
    </row>
    <row r="193" spans="1:6" x14ac:dyDescent="0.2">
      <c r="A193" s="44">
        <v>43435</v>
      </c>
      <c r="B193" s="44"/>
      <c r="D193" s="128">
        <f t="shared" si="22"/>
        <v>11883528.407385672</v>
      </c>
      <c r="E193" s="128">
        <f>SUM(D182:D193)</f>
        <v>143704260.73044997</v>
      </c>
      <c r="F193" s="127">
        <f>+D193*12</f>
        <v>142602340.88862807</v>
      </c>
    </row>
    <row r="194" spans="1:6" x14ac:dyDescent="0.2">
      <c r="A194" s="44">
        <v>43466</v>
      </c>
      <c r="B194" s="44"/>
      <c r="D194" s="128">
        <f>+D193+$G$16</f>
        <v>11821547.780030824</v>
      </c>
    </row>
    <row r="195" spans="1:6" x14ac:dyDescent="0.2">
      <c r="A195" s="44">
        <v>43497</v>
      </c>
      <c r="B195" s="44"/>
      <c r="D195" s="128">
        <f t="shared" ref="D195:D205" si="23">+D194+$G$16</f>
        <v>11759567.152675977</v>
      </c>
    </row>
    <row r="196" spans="1:6" x14ac:dyDescent="0.2">
      <c r="A196" s="44">
        <v>43525</v>
      </c>
      <c r="B196" s="44"/>
      <c r="D196" s="128">
        <f t="shared" si="23"/>
        <v>11697586.52532113</v>
      </c>
    </row>
    <row r="197" spans="1:6" x14ac:dyDescent="0.2">
      <c r="A197" s="44">
        <v>43556</v>
      </c>
      <c r="B197" s="44"/>
      <c r="D197" s="128">
        <f t="shared" si="23"/>
        <v>11635605.897966282</v>
      </c>
    </row>
    <row r="198" spans="1:6" x14ac:dyDescent="0.2">
      <c r="A198" s="44">
        <v>43586</v>
      </c>
      <c r="B198" s="44"/>
      <c r="D198" s="128">
        <f t="shared" si="23"/>
        <v>11573625.270611435</v>
      </c>
    </row>
    <row r="199" spans="1:6" x14ac:dyDescent="0.2">
      <c r="A199" s="44">
        <v>43617</v>
      </c>
      <c r="B199" s="44"/>
      <c r="D199" s="128">
        <f t="shared" si="23"/>
        <v>11511644.643256588</v>
      </c>
    </row>
    <row r="200" spans="1:6" x14ac:dyDescent="0.2">
      <c r="A200" s="44">
        <v>43647</v>
      </c>
      <c r="B200" s="44"/>
      <c r="D200" s="128">
        <f t="shared" si="23"/>
        <v>11449664.015901741</v>
      </c>
    </row>
    <row r="201" spans="1:6" x14ac:dyDescent="0.2">
      <c r="A201" s="44">
        <v>43678</v>
      </c>
      <c r="B201" s="44"/>
      <c r="D201" s="128">
        <f t="shared" si="23"/>
        <v>11387683.388546893</v>
      </c>
    </row>
    <row r="202" spans="1:6" x14ac:dyDescent="0.2">
      <c r="A202" s="44">
        <v>43709</v>
      </c>
      <c r="B202" s="44"/>
      <c r="D202" s="128">
        <f t="shared" si="23"/>
        <v>11325702.761192046</v>
      </c>
    </row>
    <row r="203" spans="1:6" x14ac:dyDescent="0.2">
      <c r="A203" s="44">
        <v>43739</v>
      </c>
      <c r="B203" s="44"/>
      <c r="D203" s="128">
        <f t="shared" si="23"/>
        <v>11263722.133837199</v>
      </c>
    </row>
    <row r="204" spans="1:6" x14ac:dyDescent="0.2">
      <c r="A204" s="44">
        <v>43770</v>
      </c>
      <c r="B204" s="44"/>
      <c r="D204" s="128">
        <f t="shared" si="23"/>
        <v>11201741.506482352</v>
      </c>
    </row>
    <row r="205" spans="1:6" x14ac:dyDescent="0.2">
      <c r="A205" s="44">
        <v>43800</v>
      </c>
      <c r="B205" s="44"/>
      <c r="D205" s="128">
        <f t="shared" si="23"/>
        <v>11139760.879127504</v>
      </c>
      <c r="E205" s="128">
        <f>SUM(D194:D205)</f>
        <v>137767851.95494998</v>
      </c>
      <c r="F205" s="127">
        <f>+D205*12</f>
        <v>133677130.54953006</v>
      </c>
    </row>
    <row r="206" spans="1:6" x14ac:dyDescent="0.2">
      <c r="A206" s="44">
        <v>43831</v>
      </c>
      <c r="B206" s="44"/>
      <c r="D206" s="128">
        <f>+D205+$G$17</f>
        <v>11142794.608936734</v>
      </c>
    </row>
    <row r="207" spans="1:6" x14ac:dyDescent="0.2">
      <c r="A207" s="44">
        <v>43862</v>
      </c>
      <c r="B207" s="44"/>
      <c r="D207" s="128">
        <f t="shared" ref="D207:D217" si="24">+D206+$G$17</f>
        <v>11145828.338745965</v>
      </c>
    </row>
    <row r="208" spans="1:6" x14ac:dyDescent="0.2">
      <c r="A208" s="44">
        <v>43891</v>
      </c>
      <c r="B208" s="44"/>
      <c r="D208" s="128">
        <f t="shared" si="24"/>
        <v>11148862.068555195</v>
      </c>
    </row>
    <row r="209" spans="1:6" x14ac:dyDescent="0.2">
      <c r="A209" s="44">
        <v>43922</v>
      </c>
      <c r="B209" s="44"/>
      <c r="D209" s="128">
        <f t="shared" si="24"/>
        <v>11151895.798364425</v>
      </c>
    </row>
    <row r="210" spans="1:6" x14ac:dyDescent="0.2">
      <c r="A210" s="44">
        <v>43952</v>
      </c>
      <c r="B210" s="44"/>
      <c r="D210" s="128">
        <f t="shared" si="24"/>
        <v>11154929.528173655</v>
      </c>
    </row>
    <row r="211" spans="1:6" x14ac:dyDescent="0.2">
      <c r="A211" s="44">
        <v>43983</v>
      </c>
      <c r="B211" s="44"/>
      <c r="D211" s="128">
        <f t="shared" si="24"/>
        <v>11157963.257982885</v>
      </c>
    </row>
    <row r="212" spans="1:6" x14ac:dyDescent="0.2">
      <c r="A212" s="44">
        <v>44013</v>
      </c>
      <c r="B212" s="44"/>
      <c r="D212" s="128">
        <f t="shared" si="24"/>
        <v>11160996.987792116</v>
      </c>
    </row>
    <row r="213" spans="1:6" x14ac:dyDescent="0.2">
      <c r="A213" s="44">
        <v>44044</v>
      </c>
      <c r="B213" s="44"/>
      <c r="D213" s="128">
        <f t="shared" si="24"/>
        <v>11164030.717601346</v>
      </c>
    </row>
    <row r="214" spans="1:6" x14ac:dyDescent="0.2">
      <c r="A214" s="44">
        <v>44075</v>
      </c>
      <c r="B214" s="44"/>
      <c r="D214" s="128">
        <f t="shared" si="24"/>
        <v>11167064.447410576</v>
      </c>
    </row>
    <row r="215" spans="1:6" x14ac:dyDescent="0.2">
      <c r="A215" s="44">
        <v>44105</v>
      </c>
      <c r="B215" s="44"/>
      <c r="D215" s="128">
        <f t="shared" si="24"/>
        <v>11170098.177219806</v>
      </c>
    </row>
    <row r="216" spans="1:6" x14ac:dyDescent="0.2">
      <c r="A216" s="44">
        <v>44136</v>
      </c>
      <c r="B216" s="44"/>
      <c r="D216" s="128">
        <f t="shared" si="24"/>
        <v>11173131.907029036</v>
      </c>
    </row>
    <row r="217" spans="1:6" x14ac:dyDescent="0.2">
      <c r="A217" s="44">
        <v>44166</v>
      </c>
      <c r="B217" s="44"/>
      <c r="D217" s="128">
        <f t="shared" si="24"/>
        <v>11176165.636838267</v>
      </c>
      <c r="E217" s="128">
        <f>SUM(D206:D217)</f>
        <v>133913761.47465001</v>
      </c>
      <c r="F217" s="127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3e53012c2918ee3f24a92148f8a4e75a">
  <xsd:schema xmlns:xsd="http://www.w3.org/2001/XMLSchema" xmlns:xs="http://www.w3.org/2001/XMLSchema" xmlns:p="http://schemas.microsoft.com/office/2006/metadata/properties" xmlns:ns2="705ca1c8-b85c-491c-99b0-d42ff1d8922b" xmlns:ns3="538ad379-f5f7-4c0f-a5b8-a41dd4d24453" targetNamespace="http://schemas.microsoft.com/office/2006/metadata/properties" ma:root="true" ma:fieldsID="dbc0cd74bea4a0074cbe3c2ac463fce0" ns2:_="" ns3:_="">
    <xsd:import namespace="705ca1c8-b85c-491c-99b0-d42ff1d8922b"/>
    <xsd:import namespace="538ad379-f5f7-4c0f-a5b8-a41dd4d24453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3 Load Forecast (Other Revenue)</Value>
    </Exhibit>
    <TaxCatchAll xmlns="538ad379-f5f7-4c0f-a5b8-a41dd4d24453">
      <Value>1</Value>
    </TaxCatchAll>
    <Topic xmlns="705ca1c8-b85c-491c-99b0-d42ff1d8922b">Load Forecast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Props1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55ABAF-DA4E-4ADD-8671-6039585D4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56D24-7DF5-48D2-AA8B-45999B69241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538ad379-f5f7-4c0f-a5b8-a41dd4d24453"/>
    <ds:schemaRef ds:uri="705ca1c8-b85c-491c-99b0-d42ff1d892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subject/>
  <dc:creator>Bruce Bacon</dc:creator>
  <cp:keywords/>
  <dc:description/>
  <cp:lastModifiedBy>Blakeman, Kelly</cp:lastModifiedBy>
  <cp:revision/>
  <cp:lastPrinted>2019-07-09T18:24:45Z</cp:lastPrinted>
  <dcterms:created xsi:type="dcterms:W3CDTF">2008-02-06T18:24:44Z</dcterms:created>
  <dcterms:modified xsi:type="dcterms:W3CDTF">2019-07-19T19:18:23Z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</Properties>
</file>