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fileSharing readOnlyRecommended="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18\Interrogatories\"/>
    </mc:Choice>
  </mc:AlternateContent>
  <xr:revisionPtr revIDLastSave="0" documentId="13_ncr:1_{A63D035F-0442-4086-B9E8-BB82B221FFC7}" xr6:coauthVersionLast="43" xr6:coauthVersionMax="43" xr10:uidLastSave="{00000000-0000-0000-0000-000000000000}"/>
  <bookViews>
    <workbookView xWindow="-120" yWindow="-120" windowWidth="24240" windowHeight="13290" tabRatio="936" activeTab="2" xr2:uid="{00000000-000D-0000-FFFF-FFFF00000000}"/>
  </bookViews>
  <sheets>
    <sheet name="Power" sheetId="59" r:id="rId1"/>
    <sheet name="Energy" sheetId="62" r:id="rId2"/>
    <sheet name="Sheet1" sheetId="80" r:id="rId3"/>
    <sheet name="Customer" sheetId="63" r:id="rId4"/>
    <sheet name="ED" sheetId="71" r:id="rId5"/>
    <sheet name="Load" sheetId="64" r:id="rId6"/>
    <sheet name="19COP-Z" sheetId="78" r:id="rId7"/>
    <sheet name="20COP-Z" sheetId="79" r:id="rId8"/>
    <sheet name="Summary" sheetId="70" r:id="rId9"/>
    <sheet name="CDM" sheetId="72" r:id="rId10"/>
  </sheets>
  <externalReferences>
    <externalReference r:id="rId11"/>
    <externalReference r:id="rId12"/>
  </externalReferences>
  <definedNames>
    <definedName name="_xlnm._FilterDatabase" localSheetId="0" hidden="1">Power!$A$1:$V$145</definedName>
    <definedName name="_Order1" hidden="1">255</definedName>
    <definedName name="_Sort" hidden="1">[1]Sheet1!$G$40:$K$40</definedName>
    <definedName name="EBNUMBER">'[2]LDC Info'!$E$16</definedName>
    <definedName name="_xlnm.Print_Area" localSheetId="7">'20COP-Z'!$A$1:$F$92</definedName>
    <definedName name="_xlnm.Print_Titles" localSheetId="0">Power!$1:$1</definedName>
    <definedName name="RebaseYear">'[2]LDC Info'!$E$28</definedName>
    <definedName name="TestYear">'[2]LDC Info'!$E$24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1" i="72" l="1"/>
  <c r="T21" i="72"/>
  <c r="S21" i="72"/>
  <c r="R21" i="72"/>
  <c r="U20" i="72"/>
  <c r="T20" i="72"/>
  <c r="S20" i="72"/>
  <c r="R20" i="72"/>
  <c r="Q20" i="72"/>
  <c r="Q21" i="72" s="1"/>
  <c r="G5" i="80" l="1"/>
  <c r="G4" i="80"/>
  <c r="F5" i="80"/>
  <c r="F4" i="80"/>
  <c r="E5" i="80"/>
  <c r="E4" i="80"/>
  <c r="E9" i="62" l="1"/>
  <c r="E10" i="62"/>
  <c r="E11" i="62"/>
  <c r="E12" i="62"/>
  <c r="E13" i="62"/>
  <c r="E14" i="62"/>
  <c r="E15" i="62"/>
  <c r="O9" i="62"/>
  <c r="O10" i="62"/>
  <c r="L145" i="59"/>
  <c r="L144" i="59"/>
  <c r="L143" i="59"/>
  <c r="L142" i="59"/>
  <c r="L141" i="59"/>
  <c r="L140" i="59"/>
  <c r="L139" i="59"/>
  <c r="L138" i="59"/>
  <c r="L137" i="59"/>
  <c r="L136" i="59"/>
  <c r="L135" i="59"/>
  <c r="L134" i="59"/>
  <c r="L133" i="59"/>
  <c r="L132" i="59"/>
  <c r="L131" i="59"/>
  <c r="L130" i="59"/>
  <c r="L129" i="59"/>
  <c r="L128" i="59"/>
  <c r="L127" i="59"/>
  <c r="L126" i="59"/>
  <c r="L125" i="59"/>
  <c r="L124" i="59"/>
  <c r="L123" i="59"/>
  <c r="L122" i="59"/>
  <c r="L121" i="59"/>
  <c r="L120" i="59"/>
  <c r="L119" i="59"/>
  <c r="L118" i="59"/>
  <c r="L117" i="59"/>
  <c r="L116" i="59"/>
  <c r="L115" i="59"/>
  <c r="L114" i="59"/>
  <c r="L113" i="59"/>
  <c r="L112" i="59"/>
  <c r="L111" i="59"/>
  <c r="L110" i="59"/>
  <c r="L109" i="59"/>
  <c r="L108" i="59"/>
  <c r="L107" i="59"/>
  <c r="L106" i="59"/>
  <c r="L105" i="59"/>
  <c r="L104" i="59"/>
  <c r="L103" i="59"/>
  <c r="L102" i="59"/>
  <c r="L101" i="59"/>
  <c r="L100" i="59"/>
  <c r="L99" i="59"/>
  <c r="L98" i="59"/>
  <c r="L97" i="59"/>
  <c r="L96" i="59"/>
  <c r="L95" i="59"/>
  <c r="L94" i="59"/>
  <c r="L93" i="59"/>
  <c r="L92" i="59"/>
  <c r="L91" i="59"/>
  <c r="L90" i="59"/>
  <c r="L89" i="59"/>
  <c r="L88" i="59"/>
  <c r="L87" i="59"/>
  <c r="L86" i="59"/>
  <c r="L85" i="59"/>
  <c r="L84" i="59"/>
  <c r="L83" i="59"/>
  <c r="L82" i="59"/>
  <c r="L81" i="59"/>
  <c r="L80" i="59"/>
  <c r="L79" i="59"/>
  <c r="L78" i="59"/>
  <c r="L77" i="59"/>
  <c r="L76" i="59"/>
  <c r="L75" i="59"/>
  <c r="L74" i="59"/>
  <c r="L73" i="59"/>
  <c r="L72" i="59"/>
  <c r="L71" i="59"/>
  <c r="L70" i="59"/>
  <c r="L69" i="59"/>
  <c r="L68" i="59"/>
  <c r="L67" i="59"/>
  <c r="L66" i="59"/>
  <c r="L65" i="59"/>
  <c r="L64" i="59"/>
  <c r="L63" i="59"/>
  <c r="L62" i="59"/>
  <c r="L61" i="59"/>
  <c r="L60" i="59"/>
  <c r="L59" i="59"/>
  <c r="L58" i="59"/>
  <c r="L57" i="59"/>
  <c r="L56" i="59"/>
  <c r="L55" i="59"/>
  <c r="L54" i="59"/>
  <c r="L53" i="59"/>
  <c r="L52" i="59"/>
  <c r="L51" i="59"/>
  <c r="L50" i="59"/>
  <c r="L49" i="59"/>
  <c r="L48" i="59"/>
  <c r="L47" i="59"/>
  <c r="L46" i="59"/>
  <c r="L45" i="59"/>
  <c r="L44" i="59"/>
  <c r="L43" i="59"/>
  <c r="L42" i="59"/>
  <c r="L41" i="59"/>
  <c r="L40" i="59"/>
  <c r="L39" i="59"/>
  <c r="L38" i="59"/>
  <c r="L37" i="59"/>
  <c r="L36" i="59"/>
  <c r="L35" i="59"/>
  <c r="L34" i="59"/>
  <c r="L33" i="59"/>
  <c r="L32" i="59"/>
  <c r="L31" i="59"/>
  <c r="L30" i="59"/>
  <c r="L29" i="59"/>
  <c r="L28" i="59"/>
  <c r="L27" i="59"/>
  <c r="L26" i="59"/>
  <c r="L25" i="59"/>
  <c r="L24" i="59"/>
  <c r="L23" i="59"/>
  <c r="L22" i="59"/>
  <c r="L21" i="59"/>
  <c r="L20" i="59"/>
  <c r="L19" i="59"/>
  <c r="L18" i="59"/>
  <c r="L17" i="59"/>
  <c r="L16" i="59"/>
  <c r="L15" i="59"/>
  <c r="L14" i="59"/>
  <c r="L13" i="59"/>
  <c r="L12" i="59"/>
  <c r="L11" i="59"/>
  <c r="L10" i="59"/>
  <c r="L9" i="59"/>
  <c r="L8" i="59"/>
  <c r="L7" i="59"/>
  <c r="L6" i="59"/>
  <c r="L5" i="59"/>
  <c r="L4" i="59"/>
  <c r="L3" i="59"/>
  <c r="L2" i="59" l="1"/>
  <c r="M33" i="62" l="1"/>
  <c r="M50" i="62"/>
  <c r="D14" i="71" l="1"/>
  <c r="D13" i="71"/>
  <c r="K33" i="63"/>
  <c r="K27" i="63"/>
  <c r="B15" i="62" l="1"/>
  <c r="B14" i="62"/>
  <c r="B13" i="62"/>
  <c r="B12" i="62"/>
  <c r="B11" i="62"/>
  <c r="B10" i="62"/>
  <c r="B9" i="62"/>
  <c r="B8" i="62"/>
  <c r="B7" i="62"/>
  <c r="B6" i="62"/>
  <c r="E6" i="62" l="1"/>
  <c r="E7" i="62"/>
  <c r="E8" i="62"/>
  <c r="D83" i="78" l="1"/>
  <c r="D82" i="78"/>
  <c r="D83" i="79"/>
  <c r="D82" i="79"/>
  <c r="E44" i="79"/>
  <c r="E43" i="79"/>
  <c r="E42" i="79"/>
  <c r="E41" i="79"/>
  <c r="E40" i="79"/>
  <c r="E39" i="79"/>
  <c r="E38" i="79"/>
  <c r="E33" i="79"/>
  <c r="E32" i="79"/>
  <c r="E31" i="79"/>
  <c r="E30" i="79"/>
  <c r="E29" i="79"/>
  <c r="E28" i="79"/>
  <c r="E27" i="79"/>
  <c r="C10" i="79"/>
  <c r="B10" i="79"/>
  <c r="B6" i="79"/>
  <c r="F6" i="79" s="1"/>
  <c r="C10" i="78"/>
  <c r="B10" i="78"/>
  <c r="B6" i="78"/>
  <c r="F6" i="78" s="1"/>
  <c r="L19" i="64" l="1"/>
  <c r="L18" i="64"/>
  <c r="L17" i="64"/>
  <c r="B158" i="59" l="1"/>
  <c r="B157" i="59"/>
  <c r="B156" i="59"/>
  <c r="B155" i="59"/>
  <c r="B154" i="59"/>
  <c r="C158" i="59"/>
  <c r="C157" i="59"/>
  <c r="C156" i="59"/>
  <c r="C155" i="59"/>
  <c r="C154" i="59"/>
  <c r="T39" i="72"/>
  <c r="T38" i="72"/>
  <c r="U37" i="72"/>
  <c r="Q37" i="72"/>
  <c r="V42" i="72"/>
  <c r="U42" i="72" s="1"/>
  <c r="U47" i="72" s="1"/>
  <c r="V41" i="72"/>
  <c r="U41" i="72" s="1"/>
  <c r="U46" i="72" s="1"/>
  <c r="V40" i="72"/>
  <c r="U40" i="72" s="1"/>
  <c r="U45" i="72" s="1"/>
  <c r="U48" i="72" s="1"/>
  <c r="V39" i="72"/>
  <c r="S39" i="72" s="1"/>
  <c r="V38" i="72"/>
  <c r="U38" i="72" s="1"/>
  <c r="V37" i="72"/>
  <c r="T37" i="72" s="1"/>
  <c r="Q38" i="72" l="1"/>
  <c r="U39" i="72"/>
  <c r="R38" i="72"/>
  <c r="S40" i="72"/>
  <c r="P37" i="72"/>
  <c r="S38" i="72"/>
  <c r="T40" i="72"/>
  <c r="T45" i="72" s="1"/>
  <c r="R37" i="72"/>
  <c r="T41" i="72"/>
  <c r="T46" i="72" s="1"/>
  <c r="S37" i="72"/>
  <c r="R39" i="72"/>
  <c r="G15" i="64"/>
  <c r="C13" i="64"/>
  <c r="P86" i="62"/>
  <c r="L84" i="62"/>
  <c r="L83" i="62"/>
  <c r="T48" i="72" l="1"/>
  <c r="C14" i="64"/>
  <c r="C5" i="79" s="1"/>
  <c r="C5" i="78"/>
  <c r="E22" i="79" l="1"/>
  <c r="E21" i="79"/>
  <c r="E22" i="78"/>
  <c r="E21" i="78"/>
  <c r="E20" i="78"/>
  <c r="E20" i="79"/>
  <c r="B85" i="79"/>
  <c r="E83" i="79"/>
  <c r="D81" i="79"/>
  <c r="E77" i="79"/>
  <c r="E76" i="79"/>
  <c r="E75" i="79"/>
  <c r="E74" i="79"/>
  <c r="E73" i="79"/>
  <c r="E72" i="79"/>
  <c r="D70" i="79"/>
  <c r="E66" i="79"/>
  <c r="E65" i="79"/>
  <c r="E64" i="79"/>
  <c r="E63" i="79"/>
  <c r="F63" i="79" s="1"/>
  <c r="E62" i="79"/>
  <c r="E61" i="79"/>
  <c r="D59" i="79"/>
  <c r="E55" i="79"/>
  <c r="E54" i="79"/>
  <c r="E53" i="79"/>
  <c r="E52" i="79"/>
  <c r="E51" i="79"/>
  <c r="E50" i="79"/>
  <c r="D48" i="79"/>
  <c r="C43" i="79"/>
  <c r="C42" i="79"/>
  <c r="C41" i="79"/>
  <c r="C40" i="79"/>
  <c r="C39" i="79"/>
  <c r="C38" i="79"/>
  <c r="D37" i="79"/>
  <c r="D33" i="79"/>
  <c r="F33" i="79" s="1"/>
  <c r="D26" i="79"/>
  <c r="A22" i="79"/>
  <c r="A21" i="79"/>
  <c r="A20" i="79"/>
  <c r="A19" i="79"/>
  <c r="A18" i="79"/>
  <c r="E17" i="79"/>
  <c r="A17" i="79"/>
  <c r="A16" i="79"/>
  <c r="B22" i="79"/>
  <c r="B85" i="78"/>
  <c r="E83" i="78"/>
  <c r="D81" i="78"/>
  <c r="E77" i="78"/>
  <c r="E76" i="78"/>
  <c r="E75" i="78"/>
  <c r="E74" i="78"/>
  <c r="E73" i="78"/>
  <c r="E72" i="78"/>
  <c r="D70" i="78"/>
  <c r="E66" i="78"/>
  <c r="E65" i="78"/>
  <c r="E64" i="78"/>
  <c r="E63" i="78"/>
  <c r="F63" i="78" s="1"/>
  <c r="E62" i="78"/>
  <c r="E61" i="78"/>
  <c r="D59" i="78"/>
  <c r="E55" i="78"/>
  <c r="E54" i="78"/>
  <c r="E53" i="78"/>
  <c r="E52" i="78"/>
  <c r="E51" i="78"/>
  <c r="E50" i="78"/>
  <c r="D48" i="78"/>
  <c r="C43" i="78"/>
  <c r="C42" i="78"/>
  <c r="C41" i="78"/>
  <c r="C40" i="78"/>
  <c r="C39" i="78"/>
  <c r="C38" i="78"/>
  <c r="D37" i="78"/>
  <c r="D26" i="78"/>
  <c r="C22" i="78"/>
  <c r="A22" i="78"/>
  <c r="C21" i="78"/>
  <c r="A21" i="78"/>
  <c r="C20" i="78"/>
  <c r="A20" i="78"/>
  <c r="A19" i="78"/>
  <c r="C18" i="78"/>
  <c r="A18" i="78"/>
  <c r="E17" i="78"/>
  <c r="C17" i="78"/>
  <c r="A17" i="78"/>
  <c r="A16" i="78"/>
  <c r="B22" i="78"/>
  <c r="A73" i="79" l="1"/>
  <c r="A29" i="79"/>
  <c r="A40" i="79"/>
  <c r="A62" i="79"/>
  <c r="A51" i="79"/>
  <c r="A33" i="79"/>
  <c r="A44" i="79"/>
  <c r="A55" i="79"/>
  <c r="A66" i="79"/>
  <c r="A77" i="79"/>
  <c r="A60" i="79"/>
  <c r="A82" i="79"/>
  <c r="A27" i="79"/>
  <c r="A38" i="79"/>
  <c r="A49" i="79"/>
  <c r="A71" i="79"/>
  <c r="A61" i="79"/>
  <c r="A39" i="79"/>
  <c r="A72" i="79"/>
  <c r="A83" i="79"/>
  <c r="A50" i="79"/>
  <c r="A28" i="79"/>
  <c r="A30" i="79"/>
  <c r="A41" i="79"/>
  <c r="A74" i="79"/>
  <c r="A52" i="79"/>
  <c r="A63" i="79"/>
  <c r="A64" i="79"/>
  <c r="A31" i="79"/>
  <c r="A42" i="79"/>
  <c r="A53" i="79"/>
  <c r="A75" i="79"/>
  <c r="A54" i="79"/>
  <c r="A65" i="79"/>
  <c r="A32" i="79"/>
  <c r="A43" i="79"/>
  <c r="A76" i="79"/>
  <c r="F83" i="79"/>
  <c r="F83" i="78"/>
  <c r="A51" i="78"/>
  <c r="A62" i="78"/>
  <c r="A29" i="78"/>
  <c r="A40" i="78"/>
  <c r="A73" i="78"/>
  <c r="A30" i="78"/>
  <c r="A41" i="78"/>
  <c r="A52" i="78"/>
  <c r="A63" i="78"/>
  <c r="A74" i="78"/>
  <c r="D22" i="78"/>
  <c r="D55" i="78" s="1"/>
  <c r="A83" i="78"/>
  <c r="A61" i="78"/>
  <c r="A28" i="78"/>
  <c r="A39" i="78"/>
  <c r="A50" i="78"/>
  <c r="A72" i="78"/>
  <c r="A31" i="78"/>
  <c r="A42" i="78"/>
  <c r="A53" i="78"/>
  <c r="A64" i="78"/>
  <c r="A75" i="78"/>
  <c r="A71" i="78"/>
  <c r="A38" i="78"/>
  <c r="A60" i="78"/>
  <c r="A82" i="78"/>
  <c r="A27" i="78"/>
  <c r="A49" i="78"/>
  <c r="A43" i="78"/>
  <c r="A54" i="78"/>
  <c r="A65" i="78"/>
  <c r="A76" i="78"/>
  <c r="A32" i="78"/>
  <c r="A55" i="78"/>
  <c r="A77" i="78"/>
  <c r="A44" i="78"/>
  <c r="A66" i="78"/>
  <c r="A33" i="78"/>
  <c r="D44" i="79"/>
  <c r="F44" i="79" s="1"/>
  <c r="D33" i="78"/>
  <c r="F22" i="78" l="1"/>
  <c r="D66" i="78"/>
  <c r="F66" i="78" s="1"/>
  <c r="F55" i="78"/>
  <c r="D77" i="78"/>
  <c r="F77" i="78" s="1"/>
  <c r="F33" i="78"/>
  <c r="D44" i="78"/>
  <c r="F44" i="78" s="1"/>
  <c r="D22" i="70" l="1"/>
  <c r="C22" i="70"/>
  <c r="B22" i="70"/>
  <c r="D21" i="70"/>
  <c r="C21" i="70"/>
  <c r="B21" i="70"/>
  <c r="D20" i="70"/>
  <c r="C20" i="70"/>
  <c r="B20" i="70"/>
  <c r="D13" i="63" l="1"/>
  <c r="K20" i="70" s="1"/>
  <c r="U35" i="72" l="1"/>
  <c r="S33" i="72" l="1"/>
  <c r="T33" i="72"/>
  <c r="U34" i="72"/>
  <c r="U33" i="72"/>
  <c r="T34" i="72"/>
  <c r="V35" i="72"/>
  <c r="V34" i="72" l="1"/>
  <c r="V33" i="72"/>
  <c r="G79" i="62"/>
  <c r="U32" i="72"/>
  <c r="U31" i="72"/>
  <c r="T32" i="72"/>
  <c r="S32" i="72"/>
  <c r="R32" i="72"/>
  <c r="T31" i="72"/>
  <c r="S31" i="72"/>
  <c r="R31" i="72"/>
  <c r="Q31" i="72"/>
  <c r="U30" i="72"/>
  <c r="T30" i="72"/>
  <c r="S30" i="72"/>
  <c r="R30" i="72"/>
  <c r="Q30" i="72"/>
  <c r="P30" i="72"/>
  <c r="J79" i="62" l="1"/>
  <c r="H79" i="62"/>
  <c r="I79" i="62"/>
  <c r="G80" i="62"/>
  <c r="V32" i="72"/>
  <c r="V31" i="72"/>
  <c r="V30" i="72"/>
  <c r="P79" i="62" l="1"/>
  <c r="J80" i="62"/>
  <c r="I80" i="62"/>
  <c r="H80" i="62"/>
  <c r="P80" i="62" l="1"/>
  <c r="I10" i="62" l="1"/>
  <c r="I11" i="62"/>
  <c r="I12" i="62"/>
  <c r="I13" i="62"/>
  <c r="I14" i="62"/>
  <c r="I15" i="62"/>
  <c r="L26" i="64" l="1"/>
  <c r="L25" i="64"/>
  <c r="L24" i="64"/>
  <c r="L23" i="64"/>
  <c r="L22" i="64"/>
  <c r="L21" i="64"/>
  <c r="I21" i="70"/>
  <c r="H21" i="70"/>
  <c r="G21" i="70"/>
  <c r="K21" i="70"/>
  <c r="J21" i="70"/>
  <c r="F21" i="70"/>
  <c r="K31" i="62"/>
  <c r="K30" i="62"/>
  <c r="K29" i="62"/>
  <c r="K28" i="62"/>
  <c r="K27" i="62"/>
  <c r="K26" i="62"/>
  <c r="K25" i="62"/>
  <c r="D26" i="64"/>
  <c r="D25" i="64"/>
  <c r="D24" i="64"/>
  <c r="D23" i="64"/>
  <c r="D22" i="64"/>
  <c r="D21" i="64"/>
  <c r="D20" i="64"/>
  <c r="B12" i="64"/>
  <c r="B11" i="64"/>
  <c r="B10" i="64"/>
  <c r="B9" i="64"/>
  <c r="B8" i="64"/>
  <c r="B7" i="64"/>
  <c r="B6" i="64"/>
  <c r="E14" i="63"/>
  <c r="E15" i="63" s="1"/>
  <c r="D12" i="63"/>
  <c r="D11" i="63"/>
  <c r="D10" i="63"/>
  <c r="D9" i="63"/>
  <c r="D8" i="63"/>
  <c r="D7" i="63"/>
  <c r="F14" i="63"/>
  <c r="F15" i="63" s="1"/>
  <c r="F27" i="63"/>
  <c r="F26" i="63"/>
  <c r="F25" i="63"/>
  <c r="F24" i="63"/>
  <c r="F23" i="63"/>
  <c r="F22" i="63"/>
  <c r="I9" i="62"/>
  <c r="L31" i="64" l="1"/>
  <c r="L20" i="64"/>
  <c r="F20" i="70"/>
  <c r="G22" i="70"/>
  <c r="G20" i="70"/>
  <c r="K22" i="70"/>
  <c r="H20" i="70"/>
  <c r="E22" i="70"/>
  <c r="I22" i="70"/>
  <c r="J20" i="70"/>
  <c r="H22" i="70"/>
  <c r="E21" i="70"/>
  <c r="E20" i="70"/>
  <c r="I20" i="70"/>
  <c r="F22" i="70"/>
  <c r="J22" i="70"/>
  <c r="F33" i="63"/>
  <c r="K44" i="62"/>
  <c r="K43" i="62"/>
  <c r="K42" i="62"/>
  <c r="K40" i="62"/>
  <c r="D31" i="64"/>
  <c r="K41" i="62"/>
  <c r="D14" i="64" l="1"/>
  <c r="C6" i="79" s="1"/>
  <c r="D13" i="64"/>
  <c r="C6" i="78" s="1"/>
  <c r="K50" i="62"/>
  <c r="K48" i="62" l="1"/>
  <c r="K32" i="62" s="1"/>
  <c r="L59" i="62" s="1"/>
  <c r="L63" i="62" s="1"/>
  <c r="K33" i="62" l="1"/>
  <c r="L60" i="62" s="1"/>
  <c r="L64" i="62" s="1"/>
  <c r="C26" i="64" l="1"/>
  <c r="C25" i="64"/>
  <c r="C24" i="64"/>
  <c r="C23" i="64"/>
  <c r="C22" i="64"/>
  <c r="C21" i="64"/>
  <c r="C20" i="64"/>
  <c r="O11" i="62" l="1"/>
  <c r="O12" i="62"/>
  <c r="O13" i="62"/>
  <c r="O14" i="62"/>
  <c r="O15" i="62"/>
  <c r="G31" i="62" l="1"/>
  <c r="J12" i="64" l="1"/>
  <c r="J5" i="64"/>
  <c r="J4" i="64"/>
  <c r="J3" i="64"/>
  <c r="E26" i="64" l="1"/>
  <c r="B26" i="64"/>
  <c r="H67" i="62" l="1"/>
  <c r="J7" i="64"/>
  <c r="J6" i="64"/>
  <c r="J8" i="64" l="1"/>
  <c r="J11" i="64"/>
  <c r="J9" i="64"/>
  <c r="J10" i="64"/>
  <c r="I67" i="62"/>
  <c r="J31" i="62"/>
  <c r="J30" i="62"/>
  <c r="J29" i="62"/>
  <c r="J28" i="62"/>
  <c r="J27" i="62"/>
  <c r="J26" i="62"/>
  <c r="J25" i="62"/>
  <c r="J13" i="64" l="1"/>
  <c r="J14" i="64" s="1"/>
  <c r="J43" i="62"/>
  <c r="J40" i="62"/>
  <c r="J41" i="62"/>
  <c r="J42" i="62"/>
  <c r="J44" i="62"/>
  <c r="E27" i="63"/>
  <c r="E26" i="63"/>
  <c r="E25" i="63"/>
  <c r="E24" i="63"/>
  <c r="E23" i="63"/>
  <c r="E22" i="63"/>
  <c r="E33" i="63" l="1"/>
  <c r="J50" i="62"/>
  <c r="J48" i="62" s="1"/>
  <c r="AC20" i="72"/>
  <c r="AB20" i="72"/>
  <c r="AA20" i="72"/>
  <c r="Z20" i="72"/>
  <c r="Y20" i="72"/>
  <c r="X20" i="72"/>
  <c r="W20" i="72"/>
  <c r="V20" i="72"/>
  <c r="J32" i="62" l="1"/>
  <c r="K59" i="62" s="1"/>
  <c r="K68" i="62" s="1"/>
  <c r="C31" i="64"/>
  <c r="J33" i="62" l="1"/>
  <c r="K60" i="62" s="1"/>
  <c r="K69" i="62" s="1"/>
  <c r="I27" i="63"/>
  <c r="D27" i="63"/>
  <c r="C27" i="63"/>
  <c r="B27" i="63"/>
  <c r="I26" i="63"/>
  <c r="H26" i="63"/>
  <c r="G26" i="63"/>
  <c r="D26" i="63"/>
  <c r="C26" i="63"/>
  <c r="B26" i="63"/>
  <c r="I25" i="63"/>
  <c r="H25" i="63"/>
  <c r="G25" i="63"/>
  <c r="D25" i="63"/>
  <c r="C25" i="63"/>
  <c r="B25" i="63"/>
  <c r="I24" i="63"/>
  <c r="H24" i="63"/>
  <c r="G24" i="63"/>
  <c r="D24" i="63"/>
  <c r="C24" i="63"/>
  <c r="B24" i="63"/>
  <c r="I23" i="63"/>
  <c r="H23" i="63"/>
  <c r="G23" i="63"/>
  <c r="D23" i="63"/>
  <c r="C23" i="63"/>
  <c r="B23" i="63"/>
  <c r="H22" i="63"/>
  <c r="G22" i="63"/>
  <c r="D22" i="63"/>
  <c r="C22" i="63"/>
  <c r="B22" i="63"/>
  <c r="H21" i="63"/>
  <c r="G21" i="63"/>
  <c r="D21" i="63"/>
  <c r="C21" i="63"/>
  <c r="B21" i="63"/>
  <c r="H20" i="63"/>
  <c r="G20" i="63"/>
  <c r="D20" i="63"/>
  <c r="C20" i="63"/>
  <c r="B20" i="63"/>
  <c r="I19" i="63"/>
  <c r="H19" i="63"/>
  <c r="G19" i="63"/>
  <c r="D19" i="63"/>
  <c r="C19" i="63"/>
  <c r="B19" i="63"/>
  <c r="I18" i="63"/>
  <c r="H18" i="63"/>
  <c r="G18" i="63"/>
  <c r="D18" i="63"/>
  <c r="C18" i="63"/>
  <c r="B18" i="63"/>
  <c r="N31" i="62"/>
  <c r="N30" i="62"/>
  <c r="N29" i="62"/>
  <c r="N28" i="62"/>
  <c r="N27" i="62"/>
  <c r="N26" i="62"/>
  <c r="N23" i="62"/>
  <c r="N22" i="62"/>
  <c r="M30" i="62"/>
  <c r="M29" i="62"/>
  <c r="M28" i="62"/>
  <c r="M27" i="62"/>
  <c r="M26" i="62"/>
  <c r="M25" i="62"/>
  <c r="M24" i="62"/>
  <c r="M23" i="62"/>
  <c r="M22" i="62"/>
  <c r="L30" i="62"/>
  <c r="L29" i="62"/>
  <c r="L28" i="62"/>
  <c r="L27" i="62"/>
  <c r="L26" i="62"/>
  <c r="L25" i="62"/>
  <c r="L24" i="62"/>
  <c r="L23" i="62"/>
  <c r="L22" i="62"/>
  <c r="I31" i="62"/>
  <c r="I30" i="62"/>
  <c r="I29" i="62"/>
  <c r="I28" i="62"/>
  <c r="I27" i="62"/>
  <c r="I26" i="62"/>
  <c r="I25" i="62"/>
  <c r="I24" i="62"/>
  <c r="I23" i="62"/>
  <c r="I22" i="62"/>
  <c r="H31" i="62"/>
  <c r="H30" i="62"/>
  <c r="H29" i="62"/>
  <c r="H28" i="62"/>
  <c r="H27" i="62"/>
  <c r="H26" i="62"/>
  <c r="H25" i="62"/>
  <c r="H24" i="62"/>
  <c r="H23" i="62"/>
  <c r="H22" i="62"/>
  <c r="G23" i="62"/>
  <c r="G30" i="62"/>
  <c r="G29" i="62"/>
  <c r="G28" i="62"/>
  <c r="G27" i="62"/>
  <c r="G26" i="62"/>
  <c r="G25" i="62"/>
  <c r="G24" i="62"/>
  <c r="G22" i="62"/>
  <c r="O8" i="62"/>
  <c r="O7" i="62"/>
  <c r="O6" i="62"/>
  <c r="C14" i="71"/>
  <c r="C13" i="71"/>
  <c r="B14" i="71"/>
  <c r="B13" i="71"/>
  <c r="D12" i="71"/>
  <c r="D11" i="71"/>
  <c r="D10" i="71"/>
  <c r="D9" i="71"/>
  <c r="D8" i="71"/>
  <c r="D7" i="71"/>
  <c r="D6" i="71"/>
  <c r="D5" i="71"/>
  <c r="D4" i="71"/>
  <c r="D3" i="71"/>
  <c r="D33" i="63" l="1"/>
  <c r="B33" i="63"/>
  <c r="C33" i="63"/>
  <c r="G37" i="62"/>
  <c r="I36" i="62"/>
  <c r="G38" i="62"/>
  <c r="H43" i="62"/>
  <c r="L39" i="62"/>
  <c r="H37" i="62"/>
  <c r="N40" i="62"/>
  <c r="N36" i="62"/>
  <c r="G40" i="62"/>
  <c r="I42" i="62"/>
  <c r="I41" i="62"/>
  <c r="G41" i="62"/>
  <c r="L42" i="62"/>
  <c r="G42" i="62"/>
  <c r="H39" i="62"/>
  <c r="I37" i="62"/>
  <c r="L43" i="62"/>
  <c r="M42" i="62"/>
  <c r="N41" i="62"/>
  <c r="H42" i="62"/>
  <c r="H38" i="62"/>
  <c r="M38" i="62"/>
  <c r="M39" i="62"/>
  <c r="I38" i="62"/>
  <c r="N42" i="62"/>
  <c r="H41" i="62"/>
  <c r="I39" i="62"/>
  <c r="L37" i="62"/>
  <c r="M36" i="62"/>
  <c r="N43" i="62"/>
  <c r="G36" i="62"/>
  <c r="I40" i="62"/>
  <c r="L38" i="62"/>
  <c r="M37" i="62"/>
  <c r="N44" i="62"/>
  <c r="G43" i="62"/>
  <c r="L36" i="62"/>
  <c r="G39" i="62"/>
  <c r="L40" i="62"/>
  <c r="I43" i="62"/>
  <c r="M40" i="62"/>
  <c r="H40" i="62"/>
  <c r="M43" i="62"/>
  <c r="H36" i="62"/>
  <c r="L41" i="62"/>
  <c r="I44" i="62"/>
  <c r="G44" i="62"/>
  <c r="H44" i="62"/>
  <c r="M41" i="62"/>
  <c r="I50" i="62" l="1"/>
  <c r="I48" i="62" s="1"/>
  <c r="H50" i="62"/>
  <c r="H48" i="62" s="1"/>
  <c r="G50" i="62"/>
  <c r="G48" i="62" s="1"/>
  <c r="V21" i="72" l="1"/>
  <c r="W21" i="72"/>
  <c r="X21" i="72"/>
  <c r="Y21" i="72"/>
  <c r="Z21" i="72"/>
  <c r="AA21" i="72"/>
  <c r="AB21" i="72"/>
  <c r="AC21" i="72"/>
  <c r="N14" i="72" l="1"/>
  <c r="D6" i="72" l="1"/>
  <c r="E6" i="72" s="1"/>
  <c r="K6" i="72" s="1"/>
  <c r="D14" i="72"/>
  <c r="E14" i="72" s="1"/>
  <c r="K14" i="72" s="1"/>
  <c r="D7" i="72"/>
  <c r="E7" i="72" s="1"/>
  <c r="K7" i="72" s="1"/>
  <c r="D9" i="72"/>
  <c r="E9" i="72" s="1"/>
  <c r="K9" i="72" s="1"/>
  <c r="D16" i="72"/>
  <c r="E16" i="72" s="1"/>
  <c r="K16" i="72" s="1"/>
  <c r="C19" i="72"/>
  <c r="D2" i="72"/>
  <c r="E2" i="72" s="1"/>
  <c r="K2" i="72" s="1"/>
  <c r="D10" i="72"/>
  <c r="E10" i="72" s="1"/>
  <c r="K10" i="72" s="1"/>
  <c r="D17" i="72"/>
  <c r="E17" i="72" s="1"/>
  <c r="K17" i="72" s="1"/>
  <c r="D8" i="72"/>
  <c r="E8" i="72" s="1"/>
  <c r="K8" i="72" s="1"/>
  <c r="D15" i="72"/>
  <c r="E15" i="72" s="1"/>
  <c r="K15" i="72" s="1"/>
  <c r="D3" i="72"/>
  <c r="E3" i="72" s="1"/>
  <c r="K3" i="72" s="1"/>
  <c r="D11" i="72"/>
  <c r="E11" i="72" s="1"/>
  <c r="K11" i="72" s="1"/>
  <c r="D4" i="72"/>
  <c r="E4" i="72" s="1"/>
  <c r="K4" i="72" s="1"/>
  <c r="D12" i="72"/>
  <c r="E12" i="72" s="1"/>
  <c r="K12" i="72" s="1"/>
  <c r="D5" i="72"/>
  <c r="E5" i="72" s="1"/>
  <c r="K5" i="72" s="1"/>
  <c r="D13" i="72"/>
  <c r="E13" i="72" s="1"/>
  <c r="K13" i="72" s="1"/>
  <c r="K19" i="72" l="1"/>
  <c r="F2" i="72"/>
  <c r="G2" i="72" s="1"/>
  <c r="D26" i="72" s="1"/>
  <c r="D27" i="72" s="1"/>
  <c r="D28" i="72" s="1"/>
  <c r="D29" i="72" s="1"/>
  <c r="D30" i="72" s="1"/>
  <c r="D31" i="72" s="1"/>
  <c r="D32" i="72" s="1"/>
  <c r="D33" i="72" s="1"/>
  <c r="D34" i="72" s="1"/>
  <c r="D35" i="72" s="1"/>
  <c r="D36" i="72" s="1"/>
  <c r="D37" i="72" s="1"/>
  <c r="E19" i="72"/>
  <c r="F37" i="72" l="1"/>
  <c r="E37" i="72"/>
  <c r="J2" i="72" s="1"/>
  <c r="F3" i="72" l="1"/>
  <c r="G3" i="72" s="1"/>
  <c r="D38" i="72" s="1"/>
  <c r="D39" i="72" s="1"/>
  <c r="D40" i="72" s="1"/>
  <c r="D41" i="72" s="1"/>
  <c r="D42" i="72" s="1"/>
  <c r="D43" i="72" s="1"/>
  <c r="D44" i="72" s="1"/>
  <c r="D45" i="72" s="1"/>
  <c r="D46" i="72" s="1"/>
  <c r="D47" i="72" s="1"/>
  <c r="D48" i="72" s="1"/>
  <c r="D49" i="72" s="1"/>
  <c r="L2" i="72"/>
  <c r="F49" i="72" l="1"/>
  <c r="E49" i="72"/>
  <c r="J3" i="72" s="1"/>
  <c r="F4" i="72" l="1"/>
  <c r="G4" i="72" s="1"/>
  <c r="D50" i="72" s="1"/>
  <c r="D51" i="72" s="1"/>
  <c r="D52" i="72" s="1"/>
  <c r="D53" i="72" s="1"/>
  <c r="D54" i="72" s="1"/>
  <c r="D55" i="72" s="1"/>
  <c r="D56" i="72" s="1"/>
  <c r="D57" i="72" s="1"/>
  <c r="D58" i="72" s="1"/>
  <c r="D59" i="72" s="1"/>
  <c r="D60" i="72" s="1"/>
  <c r="D61" i="72" s="1"/>
  <c r="L3" i="72"/>
  <c r="E61" i="72" l="1"/>
  <c r="J4" i="72" s="1"/>
  <c r="F61" i="72"/>
  <c r="L4" i="72" l="1"/>
  <c r="F5" i="72"/>
  <c r="G5" i="72" s="1"/>
  <c r="D62" i="72" s="1"/>
  <c r="D63" i="72" s="1"/>
  <c r="D64" i="72" s="1"/>
  <c r="D65" i="72" s="1"/>
  <c r="D66" i="72" s="1"/>
  <c r="D67" i="72" s="1"/>
  <c r="D68" i="72" s="1"/>
  <c r="D69" i="72" s="1"/>
  <c r="D70" i="72" s="1"/>
  <c r="D71" i="72" s="1"/>
  <c r="D72" i="72" s="1"/>
  <c r="D73" i="72" s="1"/>
  <c r="F73" i="72" l="1"/>
  <c r="E73" i="72"/>
  <c r="J5" i="72" s="1"/>
  <c r="F6" i="72" l="1"/>
  <c r="G6" i="72" s="1"/>
  <c r="D74" i="72" s="1"/>
  <c r="D75" i="72" s="1"/>
  <c r="D76" i="72" s="1"/>
  <c r="D77" i="72" s="1"/>
  <c r="D78" i="72" s="1"/>
  <c r="D79" i="72" s="1"/>
  <c r="D80" i="72" s="1"/>
  <c r="D81" i="72" s="1"/>
  <c r="D82" i="72" s="1"/>
  <c r="D83" i="72" s="1"/>
  <c r="D84" i="72" s="1"/>
  <c r="D85" i="72" s="1"/>
  <c r="L5" i="72"/>
  <c r="F85" i="72" l="1"/>
  <c r="E85" i="72"/>
  <c r="J6" i="72" s="1"/>
  <c r="F7" i="72" l="1"/>
  <c r="G7" i="72" s="1"/>
  <c r="D86" i="72" s="1"/>
  <c r="D87" i="72" s="1"/>
  <c r="D88" i="72" s="1"/>
  <c r="D89" i="72" s="1"/>
  <c r="D90" i="72" s="1"/>
  <c r="D91" i="72" s="1"/>
  <c r="D92" i="72" s="1"/>
  <c r="D93" i="72" s="1"/>
  <c r="D94" i="72" s="1"/>
  <c r="D95" i="72" s="1"/>
  <c r="D96" i="72" s="1"/>
  <c r="D97" i="72" s="1"/>
  <c r="L6" i="72"/>
  <c r="F97" i="72" l="1"/>
  <c r="E97" i="72"/>
  <c r="J7" i="72" s="1"/>
  <c r="F8" i="72" l="1"/>
  <c r="G8" i="72" s="1"/>
  <c r="D98" i="72" s="1"/>
  <c r="D99" i="72" s="1"/>
  <c r="D100" i="72" s="1"/>
  <c r="D101" i="72" s="1"/>
  <c r="D102" i="72" s="1"/>
  <c r="D103" i="72" s="1"/>
  <c r="D104" i="72" s="1"/>
  <c r="D105" i="72" s="1"/>
  <c r="D106" i="72" s="1"/>
  <c r="D107" i="72" s="1"/>
  <c r="D108" i="72" s="1"/>
  <c r="D109" i="72" s="1"/>
  <c r="L7" i="72"/>
  <c r="F109" i="72" l="1"/>
  <c r="E109" i="72"/>
  <c r="J8" i="72" s="1"/>
  <c r="L8" i="72" s="1"/>
  <c r="F9" i="72" l="1"/>
  <c r="G9" i="72" s="1"/>
  <c r="D110" i="72" s="1"/>
  <c r="D111" i="72" s="1"/>
  <c r="D112" i="72" s="1"/>
  <c r="D113" i="72" s="1"/>
  <c r="D114" i="72" s="1"/>
  <c r="D115" i="72" s="1"/>
  <c r="D116" i="72" s="1"/>
  <c r="D117" i="72" s="1"/>
  <c r="D118" i="72" s="1"/>
  <c r="D119" i="72" s="1"/>
  <c r="D120" i="72" s="1"/>
  <c r="D121" i="72" s="1"/>
  <c r="E121" i="72" l="1"/>
  <c r="J9" i="72" s="1"/>
  <c r="L9" i="72" s="1"/>
  <c r="F121" i="72"/>
  <c r="F10" i="72" l="1"/>
  <c r="G10" i="72" s="1"/>
  <c r="D122" i="72" s="1"/>
  <c r="D123" i="72" s="1"/>
  <c r="D124" i="72" s="1"/>
  <c r="D125" i="72" s="1"/>
  <c r="D126" i="72" s="1"/>
  <c r="D127" i="72" s="1"/>
  <c r="D128" i="72" s="1"/>
  <c r="D129" i="72" s="1"/>
  <c r="D130" i="72" s="1"/>
  <c r="D131" i="72" s="1"/>
  <c r="D132" i="72" s="1"/>
  <c r="D133" i="72" s="1"/>
  <c r="F133" i="72" l="1"/>
  <c r="E133" i="72"/>
  <c r="J10" i="72" s="1"/>
  <c r="L10" i="72" s="1"/>
  <c r="F11" i="72" l="1"/>
  <c r="G11" i="72" s="1"/>
  <c r="D134" i="72" s="1"/>
  <c r="D135" i="72" s="1"/>
  <c r="D136" i="72" s="1"/>
  <c r="D137" i="72" s="1"/>
  <c r="D138" i="72" s="1"/>
  <c r="D139" i="72" s="1"/>
  <c r="D140" i="72" s="1"/>
  <c r="D141" i="72" s="1"/>
  <c r="D142" i="72" s="1"/>
  <c r="D143" i="72" s="1"/>
  <c r="D144" i="72" s="1"/>
  <c r="D145" i="72" s="1"/>
  <c r="F145" i="72" l="1"/>
  <c r="E145" i="72"/>
  <c r="J11" i="72" s="1"/>
  <c r="L11" i="72" s="1"/>
  <c r="F12" i="72" l="1"/>
  <c r="G12" i="72" s="1"/>
  <c r="D146" i="72" s="1"/>
  <c r="D147" i="72" s="1"/>
  <c r="D148" i="72" s="1"/>
  <c r="D149" i="72" s="1"/>
  <c r="D150" i="72" s="1"/>
  <c r="D151" i="72" s="1"/>
  <c r="D152" i="72" s="1"/>
  <c r="D153" i="72" s="1"/>
  <c r="D154" i="72" s="1"/>
  <c r="D155" i="72" s="1"/>
  <c r="D156" i="72" s="1"/>
  <c r="D157" i="72" s="1"/>
  <c r="F157" i="72" l="1"/>
  <c r="E157" i="72"/>
  <c r="J12" i="72" s="1"/>
  <c r="L12" i="72" s="1"/>
  <c r="F13" i="72" l="1"/>
  <c r="G13" i="72" s="1"/>
  <c r="D158" i="72" s="1"/>
  <c r="D159" i="72" s="1"/>
  <c r="D160" i="72" s="1"/>
  <c r="D161" i="72" s="1"/>
  <c r="D162" i="72" s="1"/>
  <c r="D163" i="72" s="1"/>
  <c r="D164" i="72" s="1"/>
  <c r="D165" i="72" s="1"/>
  <c r="D166" i="72" s="1"/>
  <c r="D167" i="72" s="1"/>
  <c r="D168" i="72" s="1"/>
  <c r="D169" i="72" s="1"/>
  <c r="E169" i="72" l="1"/>
  <c r="J13" i="72" s="1"/>
  <c r="L13" i="72" s="1"/>
  <c r="F169" i="72"/>
  <c r="F14" i="72" l="1"/>
  <c r="G14" i="72" s="1"/>
  <c r="D170" i="72" s="1"/>
  <c r="D171" i="72" s="1"/>
  <c r="D172" i="72" s="1"/>
  <c r="D173" i="72" s="1"/>
  <c r="D174" i="72" s="1"/>
  <c r="D175" i="72" s="1"/>
  <c r="D176" i="72" s="1"/>
  <c r="D177" i="72" s="1"/>
  <c r="D178" i="72" s="1"/>
  <c r="D179" i="72" s="1"/>
  <c r="D180" i="72" s="1"/>
  <c r="D181" i="72" s="1"/>
  <c r="F181" i="72" l="1"/>
  <c r="E181" i="72"/>
  <c r="J14" i="72" s="1"/>
  <c r="L14" i="72" s="1"/>
  <c r="F15" i="72" l="1"/>
  <c r="G15" i="72" s="1"/>
  <c r="D182" i="72" s="1"/>
  <c r="D183" i="72" s="1"/>
  <c r="D184" i="72" s="1"/>
  <c r="D185" i="72" s="1"/>
  <c r="D186" i="72" s="1"/>
  <c r="D187" i="72" s="1"/>
  <c r="D188" i="72" s="1"/>
  <c r="D189" i="72" s="1"/>
  <c r="D190" i="72" s="1"/>
  <c r="D191" i="72" s="1"/>
  <c r="D192" i="72" s="1"/>
  <c r="D193" i="72" s="1"/>
  <c r="F193" i="72" l="1"/>
  <c r="F16" i="72" s="1"/>
  <c r="G16" i="72" s="1"/>
  <c r="D194" i="72" s="1"/>
  <c r="E193" i="72"/>
  <c r="J15" i="72" s="1"/>
  <c r="D195" i="72" l="1"/>
  <c r="D196" i="72" s="1"/>
  <c r="D197" i="72" s="1"/>
  <c r="D198" i="72" s="1"/>
  <c r="D199" i="72" s="1"/>
  <c r="D200" i="72" s="1"/>
  <c r="D201" i="72" s="1"/>
  <c r="D202" i="72" s="1"/>
  <c r="D203" i="72" s="1"/>
  <c r="D204" i="72" s="1"/>
  <c r="D205" i="72" s="1"/>
  <c r="L15" i="72"/>
  <c r="E205" i="72" l="1"/>
  <c r="J16" i="72" s="1"/>
  <c r="F205" i="72"/>
  <c r="F17" i="72" s="1"/>
  <c r="G17" i="72" s="1"/>
  <c r="D206" i="72" s="1"/>
  <c r="D207" i="72" l="1"/>
  <c r="D208" i="72" s="1"/>
  <c r="D209" i="72" s="1"/>
  <c r="D210" i="72" s="1"/>
  <c r="D211" i="72" s="1"/>
  <c r="D212" i="72" s="1"/>
  <c r="D213" i="72" s="1"/>
  <c r="D214" i="72" s="1"/>
  <c r="D215" i="72" s="1"/>
  <c r="D216" i="72" s="1"/>
  <c r="D217" i="72" s="1"/>
  <c r="F217" i="72" s="1"/>
  <c r="E217" i="72" l="1"/>
  <c r="J17" i="72" s="1"/>
  <c r="J19" i="72" s="1"/>
  <c r="M41" i="70" l="1"/>
  <c r="L41" i="70"/>
  <c r="M40" i="70"/>
  <c r="L40" i="70"/>
  <c r="K40" i="70"/>
  <c r="K41" i="70"/>
  <c r="H41" i="70"/>
  <c r="E41" i="70"/>
  <c r="D41" i="70"/>
  <c r="C41" i="70"/>
  <c r="B41" i="70"/>
  <c r="J40" i="70"/>
  <c r="F40" i="70"/>
  <c r="E40" i="70"/>
  <c r="D40" i="70"/>
  <c r="C40" i="70"/>
  <c r="B40" i="70"/>
  <c r="J41" i="70"/>
  <c r="I41" i="70"/>
  <c r="G41" i="70"/>
  <c r="F41" i="70"/>
  <c r="G40" i="70" l="1"/>
  <c r="H40" i="70"/>
  <c r="I40" i="70"/>
  <c r="J36" i="70"/>
  <c r="I36" i="70"/>
  <c r="H36" i="70"/>
  <c r="G36" i="70"/>
  <c r="F36" i="70"/>
  <c r="E36" i="70"/>
  <c r="D36" i="70"/>
  <c r="C36" i="70"/>
  <c r="B36" i="70"/>
  <c r="K35" i="70"/>
  <c r="J35" i="70"/>
  <c r="I35" i="70"/>
  <c r="H35" i="70"/>
  <c r="G35" i="70"/>
  <c r="F35" i="70"/>
  <c r="C35" i="70"/>
  <c r="B35" i="70"/>
  <c r="K32" i="70"/>
  <c r="J32" i="70"/>
  <c r="I32" i="70"/>
  <c r="H32" i="70"/>
  <c r="G32" i="70"/>
  <c r="F32" i="70"/>
  <c r="E32" i="70"/>
  <c r="D32" i="70"/>
  <c r="C32" i="70"/>
  <c r="B32" i="70"/>
  <c r="K31" i="70"/>
  <c r="J31" i="70"/>
  <c r="I31" i="70"/>
  <c r="H31" i="70"/>
  <c r="G31" i="70"/>
  <c r="F31" i="70"/>
  <c r="E31" i="70"/>
  <c r="D31" i="70"/>
  <c r="C31" i="70"/>
  <c r="B31" i="70"/>
  <c r="J30" i="70"/>
  <c r="I30" i="70"/>
  <c r="H30" i="70"/>
  <c r="G30" i="70"/>
  <c r="F30" i="70"/>
  <c r="E30" i="70"/>
  <c r="D30" i="70"/>
  <c r="C30" i="70"/>
  <c r="B30" i="70"/>
  <c r="K27" i="70"/>
  <c r="J27" i="70"/>
  <c r="I27" i="70"/>
  <c r="H27" i="70"/>
  <c r="G27" i="70"/>
  <c r="F27" i="70"/>
  <c r="E27" i="70"/>
  <c r="D27" i="70"/>
  <c r="C27" i="70"/>
  <c r="B27" i="70"/>
  <c r="J26" i="70"/>
  <c r="I26" i="70"/>
  <c r="H26" i="70"/>
  <c r="G26" i="70"/>
  <c r="F26" i="70"/>
  <c r="E26" i="70"/>
  <c r="D26" i="70"/>
  <c r="C26" i="70"/>
  <c r="B26" i="70"/>
  <c r="J25" i="70"/>
  <c r="I25" i="70"/>
  <c r="H25" i="70"/>
  <c r="G25" i="70"/>
  <c r="F25" i="70"/>
  <c r="E25" i="70"/>
  <c r="D25" i="70"/>
  <c r="C25" i="70"/>
  <c r="B25" i="70"/>
  <c r="J17" i="70"/>
  <c r="I17" i="70"/>
  <c r="H17" i="70"/>
  <c r="G17" i="70"/>
  <c r="F17" i="70"/>
  <c r="E17" i="70"/>
  <c r="D17" i="70"/>
  <c r="C17" i="70"/>
  <c r="B17" i="70"/>
  <c r="K16" i="70"/>
  <c r="J16" i="70"/>
  <c r="I16" i="70"/>
  <c r="H16" i="70"/>
  <c r="G16" i="70"/>
  <c r="F16" i="70"/>
  <c r="E16" i="70"/>
  <c r="D16" i="70"/>
  <c r="C16" i="70"/>
  <c r="B16" i="70"/>
  <c r="B46" i="70" l="1"/>
  <c r="B51" i="70"/>
  <c r="J46" i="70"/>
  <c r="J51" i="70"/>
  <c r="C46" i="70"/>
  <c r="C51" i="70"/>
  <c r="K46" i="70"/>
  <c r="K51" i="70"/>
  <c r="D51" i="70"/>
  <c r="D46" i="70"/>
  <c r="E51" i="70"/>
  <c r="E46" i="70"/>
  <c r="F51" i="70"/>
  <c r="F46" i="70"/>
  <c r="G51" i="70"/>
  <c r="G46" i="70"/>
  <c r="H46" i="70"/>
  <c r="H51" i="70"/>
  <c r="I51" i="70"/>
  <c r="I46" i="70"/>
  <c r="J13" i="70"/>
  <c r="I13" i="70"/>
  <c r="H13" i="70"/>
  <c r="G13" i="70"/>
  <c r="F13" i="70"/>
  <c r="E13" i="70"/>
  <c r="D13" i="70"/>
  <c r="C13" i="70"/>
  <c r="B13" i="70"/>
  <c r="K12" i="70"/>
  <c r="J12" i="70"/>
  <c r="I12" i="70"/>
  <c r="H12" i="70"/>
  <c r="G12" i="70"/>
  <c r="F12" i="70"/>
  <c r="E12" i="70"/>
  <c r="D12" i="70"/>
  <c r="C12" i="70"/>
  <c r="B12" i="70"/>
  <c r="G44" i="70" l="1"/>
  <c r="G49" i="70"/>
  <c r="H44" i="70"/>
  <c r="H49" i="70"/>
  <c r="I49" i="70"/>
  <c r="I44" i="70"/>
  <c r="B49" i="70"/>
  <c r="B44" i="70"/>
  <c r="J49" i="70"/>
  <c r="J44" i="70"/>
  <c r="C44" i="70"/>
  <c r="C49" i="70"/>
  <c r="F49" i="70"/>
  <c r="F44" i="70"/>
  <c r="F45" i="70"/>
  <c r="F50" i="70"/>
  <c r="G50" i="70"/>
  <c r="G45" i="70"/>
  <c r="H45" i="70"/>
  <c r="H50" i="70"/>
  <c r="I45" i="70"/>
  <c r="I50" i="70"/>
  <c r="B45" i="70"/>
  <c r="B50" i="70"/>
  <c r="J50" i="70"/>
  <c r="J45" i="70"/>
  <c r="C50" i="70"/>
  <c r="C45" i="70"/>
  <c r="D45" i="70"/>
  <c r="D50" i="70"/>
  <c r="E50" i="70"/>
  <c r="E45" i="70"/>
  <c r="J12" i="63" l="1"/>
  <c r="J11" i="63"/>
  <c r="L11" i="63" s="1"/>
  <c r="I59" i="70" s="1"/>
  <c r="I64" i="70" s="1"/>
  <c r="J10" i="63"/>
  <c r="L10" i="63" s="1"/>
  <c r="H59" i="70" s="1"/>
  <c r="H64" i="70" s="1"/>
  <c r="J9" i="63"/>
  <c r="J8" i="63"/>
  <c r="J5" i="63"/>
  <c r="J4" i="63"/>
  <c r="L4" i="63" s="1"/>
  <c r="B59" i="70" s="1"/>
  <c r="B64" i="70" s="1"/>
  <c r="J3" i="63"/>
  <c r="L3" i="63" l="1"/>
  <c r="C54" i="70"/>
  <c r="L5" i="63"/>
  <c r="C59" i="70" s="1"/>
  <c r="C64" i="70" s="1"/>
  <c r="B54" i="70"/>
  <c r="J54" i="70"/>
  <c r="L12" i="63"/>
  <c r="J59" i="70" s="1"/>
  <c r="J64" i="70" s="1"/>
  <c r="I54" i="70"/>
  <c r="H54" i="70"/>
  <c r="G54" i="70"/>
  <c r="L9" i="63"/>
  <c r="G59" i="70" s="1"/>
  <c r="G64" i="70" s="1"/>
  <c r="L8" i="63"/>
  <c r="F59" i="70" s="1"/>
  <c r="F64" i="70" s="1"/>
  <c r="F54" i="70"/>
  <c r="C150" i="59" l="1"/>
  <c r="C151" i="59"/>
  <c r="C152" i="59"/>
  <c r="C153" i="59"/>
  <c r="D7" i="62"/>
  <c r="D8" i="62"/>
  <c r="D9" i="62"/>
  <c r="D10" i="62"/>
  <c r="D13" i="62"/>
  <c r="D14" i="62"/>
  <c r="D15" i="62"/>
  <c r="D12" i="62"/>
  <c r="D6" i="62"/>
  <c r="D11" i="62"/>
  <c r="D18" i="62" l="1"/>
  <c r="C149" i="59"/>
  <c r="B149" i="59"/>
  <c r="B150" i="59"/>
  <c r="B151" i="59"/>
  <c r="B152" i="59"/>
  <c r="B153" i="59"/>
  <c r="F5" i="59"/>
  <c r="F9" i="59"/>
  <c r="F13" i="59"/>
  <c r="F17" i="59"/>
  <c r="F21" i="59"/>
  <c r="F25" i="59"/>
  <c r="F29" i="59"/>
  <c r="F33" i="59"/>
  <c r="F37" i="59"/>
  <c r="F41" i="59"/>
  <c r="F45" i="59"/>
  <c r="F49" i="59"/>
  <c r="F53" i="59"/>
  <c r="F57" i="59"/>
  <c r="F61" i="59"/>
  <c r="F65" i="59"/>
  <c r="F69" i="59"/>
  <c r="F73" i="59"/>
  <c r="F77" i="59"/>
  <c r="F81" i="59"/>
  <c r="F85" i="59"/>
  <c r="F89" i="59"/>
  <c r="F93" i="59"/>
  <c r="F97" i="59"/>
  <c r="F101" i="59"/>
  <c r="F105" i="59"/>
  <c r="F109" i="59"/>
  <c r="F113" i="59"/>
  <c r="F117" i="59"/>
  <c r="F121" i="59"/>
  <c r="F125" i="59"/>
  <c r="F129" i="59"/>
  <c r="F133" i="59"/>
  <c r="F137" i="59"/>
  <c r="F141" i="59"/>
  <c r="F145" i="59"/>
  <c r="F19" i="59"/>
  <c r="F31" i="59"/>
  <c r="F43" i="59"/>
  <c r="F47" i="59"/>
  <c r="F59" i="59"/>
  <c r="F63" i="59"/>
  <c r="F71" i="59"/>
  <c r="F75" i="59"/>
  <c r="F79" i="59"/>
  <c r="F83" i="59"/>
  <c r="F87" i="59"/>
  <c r="F91" i="59"/>
  <c r="F95" i="59"/>
  <c r="F99" i="59"/>
  <c r="F103" i="59"/>
  <c r="F107" i="59"/>
  <c r="F111" i="59"/>
  <c r="F115" i="59"/>
  <c r="F119" i="59"/>
  <c r="F123" i="59"/>
  <c r="F127" i="59"/>
  <c r="F131" i="59"/>
  <c r="F135" i="59"/>
  <c r="F139" i="59"/>
  <c r="F143" i="59"/>
  <c r="F7" i="59"/>
  <c r="F11" i="59"/>
  <c r="F23" i="59"/>
  <c r="F67" i="59"/>
  <c r="F3" i="59"/>
  <c r="F15" i="59"/>
  <c r="F27" i="59"/>
  <c r="F35" i="59"/>
  <c r="F39" i="59"/>
  <c r="F51" i="59"/>
  <c r="F55" i="59"/>
  <c r="F4" i="59"/>
  <c r="F8" i="59"/>
  <c r="F12" i="59"/>
  <c r="F16" i="59"/>
  <c r="F20" i="59"/>
  <c r="F24" i="59"/>
  <c r="F28" i="59"/>
  <c r="F32" i="59"/>
  <c r="F36" i="59"/>
  <c r="F40" i="59"/>
  <c r="F44" i="59"/>
  <c r="F48" i="59"/>
  <c r="F52" i="59"/>
  <c r="F56" i="59"/>
  <c r="F60" i="59"/>
  <c r="F64" i="59"/>
  <c r="F68" i="59"/>
  <c r="F72" i="59"/>
  <c r="F76" i="59"/>
  <c r="F80" i="59"/>
  <c r="F84" i="59"/>
  <c r="F88" i="59"/>
  <c r="F92" i="59"/>
  <c r="F96" i="59"/>
  <c r="F100" i="59"/>
  <c r="F104" i="59"/>
  <c r="F108" i="59"/>
  <c r="F112" i="59"/>
  <c r="F116" i="59"/>
  <c r="F120" i="59"/>
  <c r="F124" i="59"/>
  <c r="F128" i="59"/>
  <c r="F132" i="59"/>
  <c r="F136" i="59"/>
  <c r="F140" i="59"/>
  <c r="F144" i="59"/>
  <c r="F10" i="59"/>
  <c r="F18" i="59"/>
  <c r="F22" i="59"/>
  <c r="F26" i="59"/>
  <c r="F30" i="59"/>
  <c r="F34" i="59"/>
  <c r="F38" i="59"/>
  <c r="F42" i="59"/>
  <c r="F46" i="59"/>
  <c r="F50" i="59"/>
  <c r="F54" i="59"/>
  <c r="F58" i="59"/>
  <c r="F62" i="59"/>
  <c r="F66" i="59"/>
  <c r="F70" i="59"/>
  <c r="F74" i="59"/>
  <c r="F78" i="59"/>
  <c r="F82" i="59"/>
  <c r="F86" i="59"/>
  <c r="F90" i="59"/>
  <c r="F94" i="59"/>
  <c r="F98" i="59"/>
  <c r="F102" i="59"/>
  <c r="F106" i="59"/>
  <c r="F110" i="59"/>
  <c r="F114" i="59"/>
  <c r="F118" i="59"/>
  <c r="F122" i="59"/>
  <c r="F126" i="59"/>
  <c r="F130" i="59"/>
  <c r="F134" i="59"/>
  <c r="F138" i="59"/>
  <c r="F142" i="59"/>
  <c r="F2" i="59"/>
  <c r="F6" i="59"/>
  <c r="F14" i="59"/>
  <c r="C18" i="79" l="1"/>
  <c r="C20" i="79"/>
  <c r="C22" i="79"/>
  <c r="D22" i="79" s="1"/>
  <c r="D55" i="79" s="1"/>
  <c r="C21" i="79"/>
  <c r="C17" i="79"/>
  <c r="F154" i="59"/>
  <c r="F159" i="59"/>
  <c r="F156" i="59"/>
  <c r="F155" i="59"/>
  <c r="F151" i="59"/>
  <c r="L158" i="59"/>
  <c r="L154" i="59"/>
  <c r="L150" i="59"/>
  <c r="C7" i="62" s="1"/>
  <c r="F160" i="59"/>
  <c r="L147" i="59"/>
  <c r="L160" i="59"/>
  <c r="L156" i="59"/>
  <c r="L152" i="59"/>
  <c r="C9" i="62" s="1"/>
  <c r="L159" i="59"/>
  <c r="L155" i="59"/>
  <c r="L151" i="59"/>
  <c r="C8" i="62" s="1"/>
  <c r="F149" i="59"/>
  <c r="F158" i="59"/>
  <c r="F157" i="59"/>
  <c r="F153" i="59"/>
  <c r="F150" i="59"/>
  <c r="F152" i="59"/>
  <c r="L157" i="59"/>
  <c r="L153" i="59"/>
  <c r="C10" i="62" s="1"/>
  <c r="L149" i="59"/>
  <c r="C14" i="62" l="1"/>
  <c r="C12" i="62"/>
  <c r="C11" i="62"/>
  <c r="C16" i="62"/>
  <c r="C15" i="62"/>
  <c r="C13" i="62"/>
  <c r="C17" i="62"/>
  <c r="F22" i="79"/>
  <c r="F162" i="59"/>
  <c r="L164" i="59"/>
  <c r="C6" i="62"/>
  <c r="L162" i="59"/>
  <c r="B17" i="64"/>
  <c r="B18" i="64"/>
  <c r="B19" i="64"/>
  <c r="B20" i="64"/>
  <c r="B21" i="64"/>
  <c r="B22" i="64"/>
  <c r="B23" i="64"/>
  <c r="B24" i="64"/>
  <c r="B25" i="64"/>
  <c r="R13" i="62" l="1"/>
  <c r="U13" i="62"/>
  <c r="X13" i="62"/>
  <c r="S13" i="62"/>
  <c r="T13" i="62"/>
  <c r="V13" i="62"/>
  <c r="Q13" i="62"/>
  <c r="W13" i="62"/>
  <c r="X15" i="62"/>
  <c r="S15" i="62"/>
  <c r="V15" i="62"/>
  <c r="Q15" i="62"/>
  <c r="U15" i="62"/>
  <c r="T15" i="62"/>
  <c r="W15" i="62"/>
  <c r="R15" i="62"/>
  <c r="T11" i="62"/>
  <c r="W11" i="62"/>
  <c r="R11" i="62"/>
  <c r="V11" i="62"/>
  <c r="U11" i="62"/>
  <c r="X11" i="62"/>
  <c r="S11" i="62"/>
  <c r="Q11" i="62"/>
  <c r="W12" i="62"/>
  <c r="R12" i="62"/>
  <c r="U12" i="62"/>
  <c r="Q12" i="62"/>
  <c r="X12" i="62"/>
  <c r="S12" i="62"/>
  <c r="V12" i="62"/>
  <c r="T12" i="62"/>
  <c r="U14" i="62"/>
  <c r="X14" i="62"/>
  <c r="S14" i="62"/>
  <c r="V14" i="62"/>
  <c r="W14" i="62"/>
  <c r="R14" i="62"/>
  <c r="Q14" i="62"/>
  <c r="T14" i="62"/>
  <c r="E17" i="62"/>
  <c r="G64" i="62" s="1"/>
  <c r="G84" i="62" s="1"/>
  <c r="E16" i="62"/>
  <c r="G63" i="62" s="1"/>
  <c r="G83" i="62" s="1"/>
  <c r="D66" i="79"/>
  <c r="F66" i="79" s="1"/>
  <c r="D77" i="79"/>
  <c r="F77" i="79" s="1"/>
  <c r="F55" i="79"/>
  <c r="B31" i="64"/>
  <c r="F26" i="64"/>
  <c r="Y13" i="62" l="1"/>
  <c r="Z13" i="62" s="1"/>
  <c r="Y14" i="62"/>
  <c r="Z14" i="62" s="1"/>
  <c r="Y11" i="62"/>
  <c r="Z11" i="62" s="1"/>
  <c r="Y15" i="62"/>
  <c r="Z15" i="62" s="1"/>
  <c r="Y12" i="62"/>
  <c r="Z12" i="62" s="1"/>
  <c r="M143" i="59"/>
  <c r="M133" i="59"/>
  <c r="M95" i="59"/>
  <c r="M93" i="59" l="1"/>
  <c r="M127" i="59"/>
  <c r="M79" i="59"/>
  <c r="M31" i="59"/>
  <c r="M111" i="59"/>
  <c r="M131" i="59"/>
  <c r="M15" i="59"/>
  <c r="M115" i="59"/>
  <c r="M145" i="59"/>
  <c r="M65" i="59"/>
  <c r="M29" i="59"/>
  <c r="M141" i="59"/>
  <c r="M117" i="59"/>
  <c r="M109" i="59"/>
  <c r="M113" i="59"/>
  <c r="M47" i="59"/>
  <c r="M110" i="59"/>
  <c r="M38" i="59"/>
  <c r="M138" i="59"/>
  <c r="M69" i="59"/>
  <c r="M37" i="59"/>
  <c r="M53" i="59"/>
  <c r="M61" i="59"/>
  <c r="M68" i="59"/>
  <c r="M124" i="59"/>
  <c r="M60" i="59"/>
  <c r="M22" i="59"/>
  <c r="M122" i="59"/>
  <c r="M62" i="59"/>
  <c r="M86" i="59"/>
  <c r="M114" i="59"/>
  <c r="M46" i="59"/>
  <c r="M132" i="59"/>
  <c r="M83" i="59"/>
  <c r="M90" i="59"/>
  <c r="M6" i="59"/>
  <c r="M3" i="59"/>
  <c r="M35" i="59"/>
  <c r="M11" i="59"/>
  <c r="M18" i="59"/>
  <c r="M54" i="59"/>
  <c r="M130" i="59"/>
  <c r="M12" i="59"/>
  <c r="M34" i="59"/>
  <c r="M98" i="59"/>
  <c r="M106" i="59"/>
  <c r="M82" i="59"/>
  <c r="M50" i="59"/>
  <c r="M116" i="59"/>
  <c r="M100" i="59"/>
  <c r="M58" i="59"/>
  <c r="M42" i="59"/>
  <c r="M70" i="59"/>
  <c r="M52" i="59"/>
  <c r="M94" i="59"/>
  <c r="M134" i="59"/>
  <c r="M118" i="59"/>
  <c r="M78" i="59"/>
  <c r="M30" i="59"/>
  <c r="M102" i="59"/>
  <c r="M92" i="59"/>
  <c r="M84" i="59"/>
  <c r="M74" i="59"/>
  <c r="M66" i="59"/>
  <c r="M10" i="59"/>
  <c r="M2" i="59"/>
  <c r="M142" i="59"/>
  <c r="M126" i="59"/>
  <c r="M77" i="59"/>
  <c r="M67" i="59"/>
  <c r="M13" i="59"/>
  <c r="F4" i="70"/>
  <c r="F70" i="70" s="1"/>
  <c r="M63" i="59"/>
  <c r="M140" i="59"/>
  <c r="M108" i="59"/>
  <c r="M76" i="59"/>
  <c r="M43" i="59"/>
  <c r="M9" i="59"/>
  <c r="M23" i="59"/>
  <c r="M40" i="59"/>
  <c r="G4" i="70"/>
  <c r="G70" i="70" s="1"/>
  <c r="M120" i="59"/>
  <c r="M88" i="59"/>
  <c r="M129" i="59"/>
  <c r="K4" i="70"/>
  <c r="K70" i="70" s="1"/>
  <c r="M139" i="59"/>
  <c r="I4" i="70"/>
  <c r="I70" i="70" s="1"/>
  <c r="E4" i="70"/>
  <c r="E70" i="70" s="1"/>
  <c r="H4" i="70"/>
  <c r="H70" i="70" s="1"/>
  <c r="M59" i="59"/>
  <c r="M27" i="59"/>
  <c r="J4" i="70"/>
  <c r="J70" i="70" s="1"/>
  <c r="M107" i="59"/>
  <c r="M51" i="59"/>
  <c r="M56" i="59"/>
  <c r="M71" i="59"/>
  <c r="B4" i="70"/>
  <c r="B70" i="70" s="1"/>
  <c r="M123" i="59"/>
  <c r="M73" i="59"/>
  <c r="M20" i="59"/>
  <c r="M136" i="59"/>
  <c r="M104" i="59"/>
  <c r="M72" i="59"/>
  <c r="M55" i="59"/>
  <c r="M16" i="59"/>
  <c r="M103" i="59"/>
  <c r="M57" i="59"/>
  <c r="M36" i="59"/>
  <c r="M14" i="59"/>
  <c r="M121" i="59"/>
  <c r="M45" i="59"/>
  <c r="M99" i="59"/>
  <c r="M49" i="59"/>
  <c r="M137" i="59"/>
  <c r="C4" i="70"/>
  <c r="C70" i="70" s="1"/>
  <c r="M105" i="59"/>
  <c r="M87" i="59"/>
  <c r="M32" i="59"/>
  <c r="M41" i="59"/>
  <c r="M48" i="59"/>
  <c r="M8" i="59"/>
  <c r="M101" i="59"/>
  <c r="M33" i="59"/>
  <c r="M135" i="59"/>
  <c r="M91" i="59"/>
  <c r="M19" i="59"/>
  <c r="M7" i="59"/>
  <c r="D4" i="70"/>
  <c r="D70" i="70" s="1"/>
  <c r="M85" i="59"/>
  <c r="M144" i="59"/>
  <c r="M128" i="59"/>
  <c r="M112" i="59"/>
  <c r="M96" i="59"/>
  <c r="M80" i="59"/>
  <c r="M64" i="59"/>
  <c r="M28" i="59"/>
  <c r="M4" i="59"/>
  <c r="M97" i="59"/>
  <c r="M25" i="59"/>
  <c r="M125" i="59"/>
  <c r="M81" i="59"/>
  <c r="M5" i="59"/>
  <c r="M39" i="59"/>
  <c r="M17" i="59"/>
  <c r="M26" i="59"/>
  <c r="M44" i="59"/>
  <c r="M24" i="59"/>
  <c r="M89" i="59"/>
  <c r="M21" i="59"/>
  <c r="M119" i="59"/>
  <c r="M75" i="59"/>
  <c r="J5" i="70" l="1"/>
  <c r="J6" i="70" s="1"/>
  <c r="H5" i="70"/>
  <c r="H71" i="70" s="1"/>
  <c r="M5" i="70"/>
  <c r="M71" i="70" s="1"/>
  <c r="D5" i="70"/>
  <c r="D71" i="70" s="1"/>
  <c r="L5" i="70"/>
  <c r="L71" i="70" s="1"/>
  <c r="I5" i="70"/>
  <c r="I71" i="70" s="1"/>
  <c r="F5" i="70"/>
  <c r="F71" i="70" s="1"/>
  <c r="E5" i="70"/>
  <c r="E6" i="70" s="1"/>
  <c r="B5" i="70"/>
  <c r="B6" i="70" s="1"/>
  <c r="K5" i="70"/>
  <c r="K6" i="70" s="1"/>
  <c r="G5" i="70"/>
  <c r="G6" i="70" s="1"/>
  <c r="C5" i="70"/>
  <c r="C71" i="70" s="1"/>
  <c r="N158" i="59"/>
  <c r="M158" i="59"/>
  <c r="D6" i="70" l="1"/>
  <c r="F6" i="70"/>
  <c r="J71" i="70"/>
  <c r="K71" i="70"/>
  <c r="H6" i="70"/>
  <c r="G71" i="70"/>
  <c r="I6" i="70"/>
  <c r="C6" i="70"/>
  <c r="E71" i="70"/>
  <c r="B71" i="70"/>
  <c r="M147" i="59"/>
  <c r="N154" i="59"/>
  <c r="M150" i="59"/>
  <c r="M152" i="59"/>
  <c r="N156" i="59"/>
  <c r="M154" i="59" l="1"/>
  <c r="N152" i="59"/>
  <c r="M156" i="59"/>
  <c r="N150" i="59"/>
  <c r="N151" i="59" l="1"/>
  <c r="M151" i="59"/>
  <c r="M155" i="59"/>
  <c r="N155" i="59"/>
  <c r="N149" i="59"/>
  <c r="M149" i="59"/>
  <c r="M153" i="59"/>
  <c r="N153" i="59"/>
  <c r="M157" i="59"/>
  <c r="N157" i="59"/>
  <c r="N162" i="59" l="1"/>
  <c r="N164" i="59"/>
  <c r="G11" i="64" l="1"/>
  <c r="G10" i="64"/>
  <c r="G9" i="64"/>
  <c r="F25" i="64"/>
  <c r="E25" i="64"/>
  <c r="F24" i="64"/>
  <c r="E24" i="64"/>
  <c r="F23" i="64"/>
  <c r="E23" i="64"/>
  <c r="F22" i="64"/>
  <c r="E22" i="64"/>
  <c r="F21" i="64"/>
  <c r="E21" i="64"/>
  <c r="F20" i="64"/>
  <c r="E20" i="64"/>
  <c r="F19" i="64"/>
  <c r="E19" i="64"/>
  <c r="F18" i="64"/>
  <c r="E18" i="64"/>
  <c r="F17" i="64"/>
  <c r="E17" i="64"/>
  <c r="E31" i="64" l="1"/>
  <c r="H61" i="70"/>
  <c r="H66" i="70" s="1"/>
  <c r="H56" i="70"/>
  <c r="I61" i="70"/>
  <c r="I66" i="70" s="1"/>
  <c r="I56" i="70"/>
  <c r="J61" i="70"/>
  <c r="J66" i="70" s="1"/>
  <c r="J56" i="70"/>
  <c r="F31" i="64"/>
  <c r="J8" i="70"/>
  <c r="F8" i="70" l="1"/>
  <c r="H8" i="70"/>
  <c r="E8" i="70"/>
  <c r="G8" i="70"/>
  <c r="I8" i="70"/>
  <c r="J55" i="70" l="1"/>
  <c r="J60" i="70"/>
  <c r="J65" i="70" s="1"/>
  <c r="D55" i="70"/>
  <c r="D60" i="70"/>
  <c r="D65" i="70" s="1"/>
  <c r="B55" i="70"/>
  <c r="B60" i="70"/>
  <c r="B65" i="70" s="1"/>
  <c r="C55" i="70"/>
  <c r="C60" i="70"/>
  <c r="C65" i="70" s="1"/>
  <c r="E55" i="70"/>
  <c r="E60" i="70"/>
  <c r="E65" i="70" s="1"/>
  <c r="F60" i="70"/>
  <c r="F65" i="70" s="1"/>
  <c r="F55" i="70"/>
  <c r="G55" i="70"/>
  <c r="G60" i="70"/>
  <c r="G65" i="70" s="1"/>
  <c r="H55" i="70"/>
  <c r="H60" i="70"/>
  <c r="H65" i="70" s="1"/>
  <c r="I55" i="70"/>
  <c r="I60" i="70"/>
  <c r="I65" i="70" s="1"/>
  <c r="K26" i="63"/>
  <c r="K25" i="63"/>
  <c r="K24" i="63"/>
  <c r="K23" i="63"/>
  <c r="K22" i="63"/>
  <c r="G6" i="64" l="1"/>
  <c r="G5" i="64"/>
  <c r="G4" i="64"/>
  <c r="G3" i="64"/>
  <c r="K21" i="63"/>
  <c r="K20" i="63"/>
  <c r="K19" i="63"/>
  <c r="K18" i="63"/>
  <c r="I7" i="63"/>
  <c r="I6" i="63"/>
  <c r="I20" i="63" l="1"/>
  <c r="N24" i="62"/>
  <c r="N37" i="62" s="1"/>
  <c r="D35" i="70"/>
  <c r="J6" i="63"/>
  <c r="N25" i="62"/>
  <c r="I21" i="63"/>
  <c r="I22" i="63"/>
  <c r="E35" i="70"/>
  <c r="J7" i="63"/>
  <c r="C61" i="70"/>
  <c r="C66" i="70" s="1"/>
  <c r="C56" i="70"/>
  <c r="B61" i="70"/>
  <c r="B66" i="70" s="1"/>
  <c r="B56" i="70"/>
  <c r="D56" i="70"/>
  <c r="D61" i="70"/>
  <c r="D66" i="70" s="1"/>
  <c r="E56" i="70"/>
  <c r="E61" i="70"/>
  <c r="E66" i="70" s="1"/>
  <c r="K31" i="63"/>
  <c r="D31" i="63"/>
  <c r="D14" i="63" s="1"/>
  <c r="G8" i="64"/>
  <c r="G7" i="64"/>
  <c r="L20" i="70" l="1"/>
  <c r="D15" i="63"/>
  <c r="D49" i="70"/>
  <c r="D44" i="70"/>
  <c r="E49" i="70"/>
  <c r="E44" i="70"/>
  <c r="N38" i="62"/>
  <c r="N39" i="62"/>
  <c r="E54" i="70"/>
  <c r="L7" i="63"/>
  <c r="E59" i="70" s="1"/>
  <c r="L6" i="63"/>
  <c r="D59" i="70" s="1"/>
  <c r="D54" i="70"/>
  <c r="I33" i="63"/>
  <c r="F56" i="70"/>
  <c r="F61" i="70"/>
  <c r="F66" i="70" s="1"/>
  <c r="G56" i="70"/>
  <c r="G61" i="70"/>
  <c r="G66" i="70" s="1"/>
  <c r="C31" i="63"/>
  <c r="C14" i="63" s="1"/>
  <c r="F28" i="62"/>
  <c r="F29" i="62"/>
  <c r="F30" i="62"/>
  <c r="F31" i="62"/>
  <c r="F32" i="62"/>
  <c r="F33" i="62"/>
  <c r="F27" i="62"/>
  <c r="F26" i="62"/>
  <c r="F25" i="62"/>
  <c r="D8" i="70"/>
  <c r="F24" i="62"/>
  <c r="C8" i="70"/>
  <c r="F23" i="62"/>
  <c r="B8" i="70"/>
  <c r="F22" i="62"/>
  <c r="M20" i="70" l="1"/>
  <c r="B14" i="63"/>
  <c r="E64" i="70"/>
  <c r="N50" i="62"/>
  <c r="N48" i="62" s="1"/>
  <c r="I31" i="63"/>
  <c r="I14" i="63" s="1"/>
  <c r="D64" i="70"/>
  <c r="L16" i="70"/>
  <c r="C15" i="63"/>
  <c r="L12" i="70" l="1"/>
  <c r="B15" i="63"/>
  <c r="M12" i="70" s="1"/>
  <c r="I15" i="63"/>
  <c r="L35" i="70"/>
  <c r="M16" i="70"/>
  <c r="D84" i="78" l="1"/>
  <c r="F82" i="78"/>
  <c r="F84" i="78" s="1"/>
  <c r="B91" i="78" s="1"/>
  <c r="M35" i="70"/>
  <c r="H32" i="62"/>
  <c r="H33" i="62" s="1"/>
  <c r="D84" i="79" l="1"/>
  <c r="F82" i="79"/>
  <c r="F84" i="79" s="1"/>
  <c r="B91" i="79" s="1"/>
  <c r="N32" i="62"/>
  <c r="N33" i="62" s="1"/>
  <c r="O60" i="62" s="1"/>
  <c r="O69" i="62" s="1"/>
  <c r="I32" i="62"/>
  <c r="I33" i="62" s="1"/>
  <c r="J60" i="62" s="1"/>
  <c r="J69" i="62" l="1"/>
  <c r="J59" i="62"/>
  <c r="J68" i="62" s="1"/>
  <c r="O59" i="62"/>
  <c r="I59" i="62"/>
  <c r="O68" i="62" l="1"/>
  <c r="I68" i="62"/>
  <c r="I60" i="62"/>
  <c r="I69" i="62" s="1"/>
  <c r="G32" i="62" l="1"/>
  <c r="G33" i="62" l="1"/>
  <c r="H59" i="62"/>
  <c r="H68" i="62" l="1"/>
  <c r="H60" i="62"/>
  <c r="H69" i="62" l="1"/>
  <c r="G12" i="64" l="1"/>
  <c r="K61" i="70" l="1"/>
  <c r="K66" i="70" s="1"/>
  <c r="K56" i="70"/>
  <c r="K55" i="70"/>
  <c r="K60" i="70"/>
  <c r="K13" i="70"/>
  <c r="K36" i="70"/>
  <c r="K17" i="70"/>
  <c r="K26" i="70"/>
  <c r="K45" i="70" l="1"/>
  <c r="K8" i="70"/>
  <c r="K50" i="70"/>
  <c r="K65" i="70" s="1"/>
  <c r="L8" i="70" l="1"/>
  <c r="M8" i="70"/>
  <c r="L31" i="62" l="1"/>
  <c r="K25" i="70"/>
  <c r="L44" i="62" l="1"/>
  <c r="L50" i="62" s="1"/>
  <c r="L48" i="62" s="1"/>
  <c r="L32" i="62" l="1"/>
  <c r="L33" i="62" l="1"/>
  <c r="J13" i="63" l="1"/>
  <c r="K30" i="70"/>
  <c r="K44" i="70" s="1"/>
  <c r="H27" i="63"/>
  <c r="H33" i="63" s="1"/>
  <c r="M31" i="62"/>
  <c r="M44" i="62" s="1"/>
  <c r="K49" i="70" l="1"/>
  <c r="K54" i="70"/>
  <c r="M32" i="62"/>
  <c r="H31" i="63"/>
  <c r="H14" i="63" s="1"/>
  <c r="L13" i="63"/>
  <c r="K59" i="70" s="1"/>
  <c r="N59" i="62" l="1"/>
  <c r="K64" i="70"/>
  <c r="L30" i="70"/>
  <c r="H15" i="63"/>
  <c r="N68" i="62" l="1"/>
  <c r="N60" i="62"/>
  <c r="M30" i="70"/>
  <c r="N69" i="62" l="1"/>
  <c r="G27" i="63" l="1"/>
  <c r="G33" i="63"/>
  <c r="G31" i="63" s="1"/>
  <c r="G14" i="63" s="1"/>
  <c r="M59" i="62" l="1"/>
  <c r="G15" i="63"/>
  <c r="L25" i="70"/>
  <c r="J14" i="63"/>
  <c r="L54" i="70" s="1"/>
  <c r="L49" i="70" l="1"/>
  <c r="L44" i="70"/>
  <c r="L14" i="63"/>
  <c r="L59" i="70" s="1"/>
  <c r="M25" i="70"/>
  <c r="M60" i="62"/>
  <c r="J15" i="63"/>
  <c r="P59" i="62"/>
  <c r="M68" i="62"/>
  <c r="G59" i="62"/>
  <c r="G68" i="62" s="1"/>
  <c r="L64" i="70" l="1"/>
  <c r="P68" i="62"/>
  <c r="G60" i="62"/>
  <c r="G69" i="62" s="1"/>
  <c r="P60" i="62"/>
  <c r="M69" i="62"/>
  <c r="L15" i="63"/>
  <c r="M59" i="70" s="1"/>
  <c r="M54" i="70"/>
  <c r="M49" i="70"/>
  <c r="M44" i="70"/>
  <c r="M64" i="70" l="1"/>
  <c r="H72" i="62"/>
  <c r="J72" i="62"/>
  <c r="N72" i="62"/>
  <c r="N63" i="62" s="1"/>
  <c r="I72" i="62"/>
  <c r="K72" i="62"/>
  <c r="K63" i="62" s="1"/>
  <c r="O72" i="62"/>
  <c r="O63" i="62" s="1"/>
  <c r="O83" i="62" s="1"/>
  <c r="B9" i="78" s="1"/>
  <c r="P69" i="62"/>
  <c r="M73" i="62" s="1"/>
  <c r="M64" i="62" s="1"/>
  <c r="M72" i="62"/>
  <c r="M63" i="62" s="1"/>
  <c r="N83" i="62" l="1"/>
  <c r="B8" i="78" s="1"/>
  <c r="F13" i="64"/>
  <c r="C8" i="78" s="1"/>
  <c r="D31" i="78" s="1"/>
  <c r="M84" i="62"/>
  <c r="B7" i="79" s="1"/>
  <c r="B19" i="79" s="1"/>
  <c r="E14" i="64"/>
  <c r="M83" i="62"/>
  <c r="B7" i="78" s="1"/>
  <c r="B19" i="78" s="1"/>
  <c r="E13" i="64"/>
  <c r="K83" i="62"/>
  <c r="B5" i="78" s="1"/>
  <c r="L36" i="70"/>
  <c r="J63" i="62"/>
  <c r="I63" i="62"/>
  <c r="N73" i="62"/>
  <c r="N64" i="62" s="1"/>
  <c r="O73" i="62"/>
  <c r="O64" i="62" s="1"/>
  <c r="O84" i="62" s="1"/>
  <c r="B9" i="79" s="1"/>
  <c r="J73" i="62"/>
  <c r="H73" i="62"/>
  <c r="K73" i="62"/>
  <c r="K64" i="62" s="1"/>
  <c r="I73" i="62"/>
  <c r="P72" i="62"/>
  <c r="H63" i="62"/>
  <c r="M26" i="70" l="1"/>
  <c r="L31" i="70"/>
  <c r="C7" i="78"/>
  <c r="D30" i="78" s="1"/>
  <c r="I13" i="64"/>
  <c r="C7" i="79"/>
  <c r="I14" i="64"/>
  <c r="L26" i="70"/>
  <c r="N84" i="62"/>
  <c r="B8" i="79" s="1"/>
  <c r="B20" i="79" s="1"/>
  <c r="F14" i="64"/>
  <c r="C8" i="79" s="1"/>
  <c r="J83" i="62"/>
  <c r="D4" i="80" s="1"/>
  <c r="D19" i="79"/>
  <c r="D19" i="78"/>
  <c r="H83" i="62"/>
  <c r="K84" i="62"/>
  <c r="B5" i="79" s="1"/>
  <c r="I83" i="62"/>
  <c r="C4" i="80" s="1"/>
  <c r="B20" i="78"/>
  <c r="B21" i="78"/>
  <c r="M36" i="70"/>
  <c r="I64" i="62"/>
  <c r="J64" i="62"/>
  <c r="P63" i="62"/>
  <c r="L27" i="70"/>
  <c r="M27" i="70"/>
  <c r="L32" i="70"/>
  <c r="P73" i="62"/>
  <c r="H64" i="62"/>
  <c r="B2" i="78" l="1"/>
  <c r="B4" i="80"/>
  <c r="H4" i="80" s="1"/>
  <c r="M31" i="70"/>
  <c r="D52" i="79"/>
  <c r="D74" i="79" s="1"/>
  <c r="F74" i="79" s="1"/>
  <c r="B4" i="78"/>
  <c r="B18" i="78" s="1"/>
  <c r="D18" i="78" s="1"/>
  <c r="B13" i="64"/>
  <c r="C4" i="78" s="1"/>
  <c r="C11" i="78" s="1"/>
  <c r="L21" i="70"/>
  <c r="L13" i="70"/>
  <c r="B3" i="78"/>
  <c r="D20" i="79"/>
  <c r="D52" i="78"/>
  <c r="D74" i="78" s="1"/>
  <c r="F74" i="78" s="1"/>
  <c r="D21" i="78"/>
  <c r="D20" i="78"/>
  <c r="L17" i="70"/>
  <c r="I84" i="62"/>
  <c r="H84" i="62"/>
  <c r="B5" i="80" s="1"/>
  <c r="P83" i="62"/>
  <c r="Q83" i="62" s="1"/>
  <c r="J75" i="62"/>
  <c r="J84" i="62"/>
  <c r="F31" i="78"/>
  <c r="D42" i="78"/>
  <c r="F42" i="78" s="1"/>
  <c r="D31" i="79"/>
  <c r="B16" i="78"/>
  <c r="D16" i="78" s="1"/>
  <c r="B21" i="79"/>
  <c r="D30" i="79"/>
  <c r="P64" i="62"/>
  <c r="M32" i="70"/>
  <c r="L55" i="70"/>
  <c r="M17" i="70" l="1"/>
  <c r="C5" i="80"/>
  <c r="B4" i="79"/>
  <c r="B18" i="79" s="1"/>
  <c r="D18" i="79" s="1"/>
  <c r="D5" i="80"/>
  <c r="H5" i="80" s="1"/>
  <c r="F52" i="79"/>
  <c r="G13" i="64"/>
  <c r="L56" i="70" s="1"/>
  <c r="L22" i="70"/>
  <c r="L51" i="70" s="1"/>
  <c r="F52" i="78"/>
  <c r="D29" i="78"/>
  <c r="F29" i="78" s="1"/>
  <c r="H13" i="64"/>
  <c r="B11" i="78"/>
  <c r="L45" i="70"/>
  <c r="L50" i="70"/>
  <c r="M21" i="70"/>
  <c r="D53" i="79"/>
  <c r="D64" i="79" s="1"/>
  <c r="F64" i="79" s="1"/>
  <c r="P84" i="62"/>
  <c r="P87" i="62" s="1"/>
  <c r="B2" i="79"/>
  <c r="F20" i="79"/>
  <c r="B3" i="79"/>
  <c r="D21" i="79"/>
  <c r="F21" i="79" s="1"/>
  <c r="D51" i="78"/>
  <c r="D62" i="78" s="1"/>
  <c r="F62" i="78" s="1"/>
  <c r="D53" i="78"/>
  <c r="F53" i="78" s="1"/>
  <c r="D54" i="78"/>
  <c r="D76" i="78" s="1"/>
  <c r="F76" i="78" s="1"/>
  <c r="D32" i="78"/>
  <c r="D49" i="78"/>
  <c r="D27" i="78"/>
  <c r="F21" i="78"/>
  <c r="F20" i="78"/>
  <c r="L60" i="70"/>
  <c r="B17" i="78"/>
  <c r="M13" i="70"/>
  <c r="J87" i="62"/>
  <c r="J86" i="62"/>
  <c r="J88" i="62"/>
  <c r="B14" i="64"/>
  <c r="D41" i="79"/>
  <c r="F41" i="79" s="1"/>
  <c r="F30" i="79"/>
  <c r="D41" i="78"/>
  <c r="F41" i="78" s="1"/>
  <c r="F30" i="78"/>
  <c r="F54" i="78"/>
  <c r="F31" i="79"/>
  <c r="D42" i="79"/>
  <c r="F42" i="79" s="1"/>
  <c r="M55" i="70"/>
  <c r="D40" i="78" l="1"/>
  <c r="F40" i="78" s="1"/>
  <c r="L61" i="70"/>
  <c r="L66" i="70" s="1"/>
  <c r="L46" i="70"/>
  <c r="D51" i="79"/>
  <c r="D62" i="79" s="1"/>
  <c r="F62" i="79" s="1"/>
  <c r="F18" i="79"/>
  <c r="B16" i="79"/>
  <c r="D16" i="79" s="1"/>
  <c r="D27" i="79" s="1"/>
  <c r="D75" i="78"/>
  <c r="F75" i="78" s="1"/>
  <c r="D64" i="78"/>
  <c r="F64" i="78" s="1"/>
  <c r="D65" i="78"/>
  <c r="F65" i="78" s="1"/>
  <c r="B17" i="79"/>
  <c r="D17" i="79" s="1"/>
  <c r="F17" i="79" s="1"/>
  <c r="M50" i="70"/>
  <c r="D73" i="78"/>
  <c r="F73" i="78" s="1"/>
  <c r="L65" i="70"/>
  <c r="M45" i="70"/>
  <c r="F51" i="78"/>
  <c r="F53" i="79"/>
  <c r="D75" i="79"/>
  <c r="F75" i="79" s="1"/>
  <c r="M22" i="70"/>
  <c r="M51" i="70" s="1"/>
  <c r="C4" i="79"/>
  <c r="C11" i="79" s="1"/>
  <c r="Q84" i="62"/>
  <c r="M60" i="70"/>
  <c r="D54" i="79"/>
  <c r="D32" i="79"/>
  <c r="B11" i="79"/>
  <c r="D17" i="78"/>
  <c r="B23" i="78"/>
  <c r="L14" i="64"/>
  <c r="L13" i="64"/>
  <c r="H14" i="64"/>
  <c r="G14" i="64"/>
  <c r="G16" i="64" s="1"/>
  <c r="F32" i="78"/>
  <c r="D43" i="78"/>
  <c r="F43" i="78" s="1"/>
  <c r="F16" i="78"/>
  <c r="D49" i="79" l="1"/>
  <c r="B23" i="79"/>
  <c r="D73" i="79"/>
  <c r="F73" i="79" s="1"/>
  <c r="F51" i="79"/>
  <c r="M65" i="70"/>
  <c r="M46" i="70"/>
  <c r="D23" i="79"/>
  <c r="D23" i="78"/>
  <c r="F17" i="78"/>
  <c r="D50" i="79"/>
  <c r="D28" i="79"/>
  <c r="D50" i="78"/>
  <c r="F50" i="78" s="1"/>
  <c r="D28" i="78"/>
  <c r="D39" i="78" s="1"/>
  <c r="F39" i="78" s="1"/>
  <c r="D29" i="79"/>
  <c r="D40" i="79" s="1"/>
  <c r="F40" i="79" s="1"/>
  <c r="M61" i="70"/>
  <c r="M66" i="70" s="1"/>
  <c r="M56" i="70"/>
  <c r="F32" i="79"/>
  <c r="D43" i="79"/>
  <c r="F43" i="79" s="1"/>
  <c r="D38" i="78"/>
  <c r="F38" i="78" s="1"/>
  <c r="F27" i="78"/>
  <c r="D71" i="78"/>
  <c r="F49" i="78"/>
  <c r="D60" i="78"/>
  <c r="F16" i="79"/>
  <c r="D65" i="79"/>
  <c r="F65" i="79" s="1"/>
  <c r="F54" i="79"/>
  <c r="D76" i="79"/>
  <c r="F76" i="79" s="1"/>
  <c r="D61" i="78" l="1"/>
  <c r="F61" i="78" s="1"/>
  <c r="F28" i="78"/>
  <c r="F34" i="78" s="1"/>
  <c r="B88" i="78" s="1"/>
  <c r="D56" i="78"/>
  <c r="D72" i="78"/>
  <c r="F72" i="78" s="1"/>
  <c r="F19" i="79"/>
  <c r="F29" i="79"/>
  <c r="D38" i="79"/>
  <c r="F38" i="79" s="1"/>
  <c r="F56" i="78"/>
  <c r="F45" i="78"/>
  <c r="B89" i="78" s="1"/>
  <c r="D56" i="79"/>
  <c r="D60" i="79"/>
  <c r="F49" i="79"/>
  <c r="D71" i="79"/>
  <c r="F71" i="78"/>
  <c r="F60" i="78"/>
  <c r="F67" i="78" l="1"/>
  <c r="B87" i="78" s="1"/>
  <c r="D67" i="78"/>
  <c r="D78" i="78"/>
  <c r="F23" i="79"/>
  <c r="B86" i="79" s="1"/>
  <c r="F27" i="79"/>
  <c r="F60" i="79"/>
  <c r="F28" i="79"/>
  <c r="D39" i="79"/>
  <c r="F39" i="79" s="1"/>
  <c r="F78" i="78"/>
  <c r="B90" i="78" s="1"/>
  <c r="F50" i="79"/>
  <c r="D72" i="79"/>
  <c r="F72" i="79" s="1"/>
  <c r="D61" i="79"/>
  <c r="F61" i="79" s="1"/>
  <c r="F71" i="79"/>
  <c r="F34" i="79" l="1"/>
  <c r="B88" i="79" s="1"/>
  <c r="F45" i="79"/>
  <c r="B89" i="79" s="1"/>
  <c r="F23" i="78"/>
  <c r="B86" i="78" s="1"/>
  <c r="D78" i="79"/>
  <c r="F78" i="79"/>
  <c r="B90" i="79" s="1"/>
  <c r="F67" i="79"/>
  <c r="D67" i="79"/>
  <c r="F56" i="79"/>
  <c r="B92" i="78" l="1"/>
  <c r="B87" i="79"/>
  <c r="C90" i="79" l="1"/>
  <c r="B92" i="7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G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Annual Stats file - Not Including Losses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57740338-E90D-45EA-955A-7BBA08CD7ABA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7B45F931-47A4-4EEC-877F-F3606F893CF3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K3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LRT added several USL</t>
        </r>
      </text>
    </comment>
  </commentList>
</comments>
</file>

<file path=xl/sharedStrings.xml><?xml version="1.0" encoding="utf-8"?>
<sst xmlns="http://schemas.openxmlformats.org/spreadsheetml/2006/main" count="426" uniqueCount="189">
  <si>
    <t>Heating Degree Days</t>
  </si>
  <si>
    <t>Cooling Degree Days</t>
  </si>
  <si>
    <t>Number of Days in Month</t>
  </si>
  <si>
    <t>Total</t>
  </si>
  <si>
    <t>Spring Fall Flag</t>
  </si>
  <si>
    <t>Number of Peak Hours</t>
  </si>
  <si>
    <t>Generation</t>
  </si>
  <si>
    <t>IESO</t>
  </si>
  <si>
    <t>Large Use Losses</t>
  </si>
  <si>
    <t>Purchased</t>
  </si>
  <si>
    <t xml:space="preserve">Predicted Purchases </t>
  </si>
  <si>
    <t>MAPE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</si>
  <si>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</si>
  <si>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</si>
  <si>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</si>
  <si>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</si>
  <si>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</si>
  <si>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</si>
  <si>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</si>
  <si>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</si>
  <si>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</si>
  <si>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</si>
  <si>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</si>
  <si>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</si>
  <si>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</si>
  <si>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</si>
  <si>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</si>
  <si>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</si>
  <si>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</si>
  <si>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</si>
  <si>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</si>
  <si>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</si>
  <si>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</si>
  <si>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</si>
  <si>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</si>
  <si>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Weather Normal</t>
  </si>
  <si>
    <t>Check totals above should be zero</t>
  </si>
  <si>
    <t>Street Lighting</t>
  </si>
  <si>
    <t>Modeled Purchases</t>
  </si>
  <si>
    <t>Loss Factor</t>
  </si>
  <si>
    <t>Total Billed</t>
  </si>
  <si>
    <t xml:space="preserve">Residential </t>
  </si>
  <si>
    <t>GS&lt;50 kW</t>
  </si>
  <si>
    <t>GS&gt;50 kW</t>
  </si>
  <si>
    <t>Large User</t>
  </si>
  <si>
    <t xml:space="preserve">Streetlights </t>
  </si>
  <si>
    <t>USL</t>
  </si>
  <si>
    <t>Weather Normal Projection</t>
  </si>
  <si>
    <t>Annual kWh at the Meter</t>
  </si>
  <si>
    <t>Average</t>
  </si>
  <si>
    <t xml:space="preserve">Used </t>
  </si>
  <si>
    <t xml:space="preserve">Geomean </t>
  </si>
  <si>
    <t>Non Weather Corrected Forecast</t>
  </si>
  <si>
    <t>Weather Normalization Percentage from 2006 Hydro One Study</t>
  </si>
  <si>
    <t>% Weather Sensitive</t>
  </si>
  <si>
    <t xml:space="preserve">Total </t>
  </si>
  <si>
    <t>Allocation of Weather Sensitive Amount</t>
  </si>
  <si>
    <t>Actual Purchases</t>
  </si>
  <si>
    <t>Average Number of Customers or Connections</t>
  </si>
  <si>
    <t>Subtotal</t>
  </si>
  <si>
    <t>Embedded Distributor</t>
  </si>
  <si>
    <t xml:space="preserve">Growth Rate in Customer Numbers </t>
  </si>
  <si>
    <t>Used</t>
  </si>
  <si>
    <t>Annual kW for those classes that charge distribution volumetric charges on a kW basis</t>
  </si>
  <si>
    <t>kWh</t>
  </si>
  <si>
    <t>kW</t>
  </si>
  <si>
    <t>kW/kWh</t>
  </si>
  <si>
    <t>TOTAL</t>
  </si>
  <si>
    <t>Class per Load Forecast 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</si>
  <si>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</si>
  <si>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</si>
  <si>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</si>
  <si>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</si>
  <si>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</si>
  <si>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</si>
  <si>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</si>
  <si>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Smart Meter Entity Charge</t>
  </si>
  <si>
    <t>4705-Power Purchased</t>
  </si>
  <si>
    <t>4708-Charges-WMS</t>
  </si>
  <si>
    <t>4714-Charges-NW</t>
  </si>
  <si>
    <t>4716-Charges-CN</t>
  </si>
  <si>
    <t xml:space="preserve">4751-Smart Meter Entity </t>
  </si>
  <si>
    <t>Weather Corrected Forecast</t>
  </si>
  <si>
    <t>WMP</t>
  </si>
  <si>
    <t>Capacity Based Recovery</t>
  </si>
  <si>
    <t>Class A</t>
  </si>
  <si>
    <t>2019 Load Forecast</t>
  </si>
  <si>
    <t>2019 Forecasted Metered kWhs</t>
  </si>
  <si>
    <t>2020 Load Forecast</t>
  </si>
  <si>
    <t>2020 Forecasted Metered kWhs</t>
  </si>
  <si>
    <t>CDM</t>
  </si>
  <si>
    <t>Total to 2018</t>
  </si>
  <si>
    <t>Include Wholesale Market Participants</t>
  </si>
  <si>
    <t>Exclude Wholesale Market Participants</t>
  </si>
  <si>
    <t>COP</t>
  </si>
  <si>
    <t>Distribution</t>
  </si>
  <si>
    <t>% Difference</t>
  </si>
  <si>
    <t>Actual kWh Purchases</t>
  </si>
  <si>
    <t>Predicted kWh Purchases</t>
  </si>
  <si>
    <t xml:space="preserve">  Customers</t>
  </si>
  <si>
    <t xml:space="preserve">  kWh</t>
  </si>
  <si>
    <t xml:space="preserve">  kW</t>
  </si>
  <si>
    <t xml:space="preserve">  Customer/Connections</t>
  </si>
  <si>
    <t xml:space="preserve">  kW from applicable classes</t>
  </si>
  <si>
    <t>2019 Weather Normal</t>
  </si>
  <si>
    <t>2020 Weather Normal</t>
  </si>
  <si>
    <t>Billed kWh (excl Embedded)</t>
  </si>
  <si>
    <t>By Class</t>
  </si>
  <si>
    <t xml:space="preserve">  Connections</t>
  </si>
  <si>
    <t>Total of Above (excl. Embedded)</t>
  </si>
  <si>
    <t>Total of Above (incl. Embedded)</t>
  </si>
  <si>
    <t>Total from Model (excl. Embedded)</t>
  </si>
  <si>
    <t>Total from Model (incl. Embedded)</t>
  </si>
  <si>
    <t>Check should all be zero</t>
  </si>
  <si>
    <t>Actual</t>
  </si>
  <si>
    <t>Predicted</t>
  </si>
  <si>
    <t xml:space="preserve"> Weather Normal Load Forecast for 2020 Rate Application</t>
  </si>
  <si>
    <t xml:space="preserve">2009
Actual </t>
  </si>
  <si>
    <t xml:space="preserve">2010
Actual </t>
  </si>
  <si>
    <t xml:space="preserve">2011
Actual </t>
  </si>
  <si>
    <t xml:space="preserve">2012
Actual </t>
  </si>
  <si>
    <t xml:space="preserve">2013
Actual </t>
  </si>
  <si>
    <t xml:space="preserve">2014
Actual </t>
  </si>
  <si>
    <t xml:space="preserve">2015
Actual </t>
  </si>
  <si>
    <t xml:space="preserve">2016
Actual </t>
  </si>
  <si>
    <t xml:space="preserve">2017
Actual </t>
  </si>
  <si>
    <t xml:space="preserve">2018
Actual </t>
  </si>
  <si>
    <t>WNHI - Embedded Distributor</t>
  </si>
  <si>
    <t>Wellesley</t>
  </si>
  <si>
    <t>Avg/month</t>
  </si>
  <si>
    <t>Meter History</t>
  </si>
  <si>
    <t>Start</t>
  </si>
  <si>
    <t>End</t>
  </si>
  <si>
    <t>Bridge</t>
  </si>
  <si>
    <t>Test</t>
  </si>
  <si>
    <t>Full year Increase over previous year</t>
  </si>
  <si>
    <t>Half year pattern</t>
  </si>
  <si>
    <t>Check</t>
  </si>
  <si>
    <t>Jan</t>
  </si>
  <si>
    <t>Feb</t>
  </si>
  <si>
    <t>Third Tranche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</si>
  <si>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</si>
  <si>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</si>
  <si>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</si>
  <si>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</si>
  <si>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</si>
  <si>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</si>
  <si>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</si>
  <si>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</si>
  <si>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</si>
  <si>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</si>
  <si>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</si>
  <si>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r>
      <t xml:space="preserve">Total Annual CDM Results </t>
    </r>
    <r>
      <rPr>
        <sz val="10"/>
        <color rgb="FFFF0000"/>
        <rFont val="Arial"/>
        <family val="2"/>
      </rPr>
      <t>(Net)</t>
    </r>
  </si>
  <si>
    <t>Program Year</t>
  </si>
  <si>
    <t>TX
Allowance
GS&gt;50kW</t>
  </si>
  <si>
    <t>TX
Allowance
Large User</t>
  </si>
  <si>
    <t>GS&gt;50 kW
WMP</t>
  </si>
  <si>
    <t>GS&gt;50 kW WMP</t>
  </si>
  <si>
    <t>GS&gt;50 kW Cl A</t>
  </si>
  <si>
    <t>GS&gt;50 kW
Class A</t>
  </si>
  <si>
    <t>Usage/
Customer</t>
  </si>
  <si>
    <t>GS&gt;50 kW, WMP</t>
  </si>
  <si>
    <t>GS&gt;50 kW, Class A</t>
  </si>
  <si>
    <t>2018  %RPP</t>
  </si>
  <si>
    <t>Commodity RPP</t>
  </si>
  <si>
    <t>2019
Loss Factor</t>
  </si>
  <si>
    <t>2020
Loss Factor</t>
  </si>
  <si>
    <t xml:space="preserve">4708-Rural Rate Assistance </t>
  </si>
  <si>
    <t xml:space="preserve"> Proposed Cost of Service Method</t>
  </si>
  <si>
    <t>5 Year 2015 to 2020 target</t>
  </si>
  <si>
    <t>Apply 1/2 year rule</t>
  </si>
  <si>
    <t>Manual Adjustment to the Load Forecast from 2019 and 2020 Programs on a Net Level</t>
  </si>
  <si>
    <t>GS&gt; Cl B</t>
  </si>
  <si>
    <t xml:space="preserve">Weather Corrected Forecast after 2019 and 2020 CDM Adjustments        </t>
  </si>
  <si>
    <r>
      <t xml:space="preserve">Total Annual CDM Results </t>
    </r>
    <r>
      <rPr>
        <sz val="10"/>
        <color rgb="FFFF0000"/>
        <rFont val="Arial"/>
        <family val="2"/>
      </rPr>
      <t>(Gross)</t>
    </r>
  </si>
  <si>
    <t>Exclude Class A Customers</t>
  </si>
  <si>
    <t>Weather Normalized</t>
  </si>
  <si>
    <t>Cl B</t>
  </si>
  <si>
    <t>Total GS&gt;</t>
  </si>
  <si>
    <t>exl WMP</t>
  </si>
  <si>
    <t>Class A w/Loss</t>
  </si>
  <si>
    <t>GS&gt;50 kW
Cl A</t>
  </si>
  <si>
    <t>Year</t>
  </si>
  <si>
    <t>Normalized Weather Billed Energy Forecast (GWh)</t>
  </si>
  <si>
    <t>2019 (Normalized)</t>
  </si>
  <si>
    <t>2020 (Normalized)</t>
  </si>
  <si>
    <t>Large
User</t>
  </si>
  <si>
    <t>Interrogatory 3-VECC-15 d CDM Adjusted Normalized Weather Billed Forecast (GWh)</t>
  </si>
  <si>
    <t>CDM Activity Variable Supporting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</si>
</sst>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.0_);_(* \(#,##0.0\);_(* &quot;-&quot;_);_(@_)"/>
    <numFmt numFmtId="166" formatCode="_(* #,##0.0_);_(* \(#,##0.0\);_(* &quot;-&quot;?_);_(@_)"/>
    <numFmt numFmtId="167" formatCode="0.0%"/>
    <numFmt numFmtId="168" formatCode="#,##0;\(#,##0\)"/>
    <numFmt numFmtId="169" formatCode="0.0000"/>
    <numFmt numFmtId="170" formatCode="#,##0.0000"/>
    <numFmt numFmtId="171" formatCode="#,##0.000"/>
    <numFmt numFmtId="172" formatCode="#,##0.00000"/>
    <numFmt numFmtId="173" formatCode="0.0000%"/>
    <numFmt numFmtId="174" formatCode="#,##0.0000_);\(#,##0.0000\)"/>
    <numFmt numFmtId="175" formatCode="_(* #,##0_);_(* \(#,##0\);_(* &quot;-&quot;??_);_(@_)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#,##0.0;\(#,##0.0\)"/>
    <numFmt numFmtId="180" formatCode="000000000#"/>
    <numFmt numFmtId="181" formatCode="yyyy/mm/dd"/>
    <numFmt numFmtId="182" formatCode="0.00000"/>
    <numFmt numFmtId="183" formatCode="_-* #,##0.00_-;\-* #,##0.00_-;_-* &quot;-&quot;??_-;_-@_-"/>
    <numFmt numFmtId="184" formatCode="_-* #,##0_-;\-* #,##0_-;_-* &quot;-&quot;??_-;_-@_-"/>
    <numFmt numFmtId="185" formatCode="_-* #,##0.00_-;\-* #,##0.00_-;_-* \-??_-;_-@_-"/>
    <numFmt numFmtId="186" formatCode="0.000"/>
    <numFmt numFmtId="187" formatCode="0.00000%"/>
    <numFmt numFmtId="188" formatCode="0.0000000%"/>
    <numFmt numFmtId="189" formatCode="_(* #,##0.0_);_(* \(#,##0.0\);_(* &quot;-&quot;??_);_(@_)"/>
    <numFmt numFmtId="190" formatCode="mm/dd/yyyy"/>
    <numFmt numFmtId="191" formatCode="0\-0"/>
    <numFmt numFmtId="192" formatCode="##\-#"/>
    <numFmt numFmtId="193" formatCode="&quot;£ &quot;#,##0.00;[Red]\-&quot;£ &quot;#,##0.00"/>
    <numFmt numFmtId="194" formatCode="#,##0.00000000;\(#,##0.00000000\)"/>
  </numFmts>
  <fonts count="46" x14ac:knownFonts="1">
    <font>
      <sz val="10"/>
      <name val="Arial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0"/>
      <name val="Mang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rgb="FF002060"/>
      <name val="Arial"/>
      <family val="2"/>
    </font>
    <font>
      <i/>
      <sz val="10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5" fillId="0" borderId="0"/>
    <xf numFmtId="0" fontId="2" fillId="2" borderId="1" applyNumberFormat="0" applyFont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" fillId="0" borderId="0"/>
    <xf numFmtId="183" fontId="3" fillId="0" borderId="0" applyFont="0" applyFill="0" applyBorder="0" applyAlignment="0" applyProtection="0"/>
    <xf numFmtId="185" fontId="21" fillId="0" borderId="0" applyFill="0" applyBorder="0" applyAlignment="0" applyProtection="0"/>
    <xf numFmtId="9" fontId="21" fillId="0" borderId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39" borderId="8" applyNumberFormat="0" applyProtection="0">
      <alignment horizontal="left" vertical="center"/>
    </xf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9" fontId="3" fillId="0" borderId="0"/>
    <xf numFmtId="164" fontId="3" fillId="0" borderId="0"/>
    <xf numFmtId="189" fontId="3" fillId="0" borderId="0"/>
    <xf numFmtId="189" fontId="3" fillId="0" borderId="0"/>
    <xf numFmtId="189" fontId="3" fillId="0" borderId="0"/>
    <xf numFmtId="189" fontId="3" fillId="0" borderId="0"/>
    <xf numFmtId="190" fontId="3" fillId="0" borderId="0"/>
    <xf numFmtId="191" fontId="3" fillId="0" borderId="0"/>
    <xf numFmtId="190" fontId="3" fillId="0" borderId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34" borderId="0" applyNumberFormat="0" applyBorder="0" applyAlignment="0" applyProtection="0"/>
    <xf numFmtId="0" fontId="38" fillId="38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38" fillId="35" borderId="0" applyNumberFormat="0" applyBorder="0" applyAlignment="0" applyProtection="0"/>
    <xf numFmtId="0" fontId="29" fillId="10" borderId="0" applyNumberFormat="0" applyBorder="0" applyAlignment="0" applyProtection="0"/>
    <xf numFmtId="0" fontId="33" fillId="13" borderId="36" applyNumberFormat="0" applyAlignment="0" applyProtection="0"/>
    <xf numFmtId="0" fontId="35" fillId="14" borderId="39" applyNumberFormat="0" applyAlignment="0" applyProtection="0"/>
    <xf numFmtId="43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8" fillId="9" borderId="0" applyNumberFormat="0" applyBorder="0" applyAlignment="0" applyProtection="0"/>
    <xf numFmtId="38" fontId="18" fillId="8" borderId="0" applyNumberFormat="0" applyBorder="0" applyAlignment="0" applyProtection="0"/>
    <xf numFmtId="38" fontId="18" fillId="8" borderId="0" applyNumberFormat="0" applyBorder="0" applyAlignment="0" applyProtection="0"/>
    <xf numFmtId="0" fontId="25" fillId="0" borderId="33" applyNumberFormat="0" applyFill="0" applyAlignment="0" applyProtection="0"/>
    <xf numFmtId="0" fontId="26" fillId="0" borderId="34" applyNumberFormat="0" applyFill="0" applyAlignment="0" applyProtection="0"/>
    <xf numFmtId="0" fontId="27" fillId="0" borderId="35" applyNumberFormat="0" applyFill="0" applyAlignment="0" applyProtection="0"/>
    <xf numFmtId="0" fontId="27" fillId="0" borderId="0" applyNumberFormat="0" applyFill="0" applyBorder="0" applyAlignment="0" applyProtection="0"/>
    <xf numFmtId="10" fontId="18" fillId="40" borderId="8" applyNumberFormat="0" applyBorder="0" applyAlignment="0" applyProtection="0"/>
    <xf numFmtId="10" fontId="18" fillId="40" borderId="8" applyNumberFormat="0" applyBorder="0" applyAlignment="0" applyProtection="0"/>
    <xf numFmtId="0" fontId="31" fillId="12" borderId="36" applyNumberFormat="0" applyAlignment="0" applyProtection="0"/>
    <xf numFmtId="0" fontId="34" fillId="0" borderId="38" applyNumberFormat="0" applyFill="0" applyAlignment="0" applyProtection="0"/>
    <xf numFmtId="192" fontId="3" fillId="0" borderId="0"/>
    <xf numFmtId="175" fontId="3" fillId="0" borderId="0"/>
    <xf numFmtId="192" fontId="3" fillId="0" borderId="0"/>
    <xf numFmtId="192" fontId="3" fillId="0" borderId="0"/>
    <xf numFmtId="192" fontId="3" fillId="0" borderId="0"/>
    <xf numFmtId="192" fontId="3" fillId="0" borderId="0"/>
    <xf numFmtId="0" fontId="30" fillId="11" borderId="0" applyNumberFormat="0" applyBorder="0" applyAlignment="0" applyProtection="0"/>
    <xf numFmtId="193" fontId="3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22" fillId="2" borderId="1" applyNumberFormat="0" applyFont="0" applyAlignment="0" applyProtection="0"/>
    <xf numFmtId="0" fontId="32" fillId="13" borderId="37" applyNumberFormat="0" applyAlignment="0" applyProtection="0"/>
    <xf numFmtId="10" fontId="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9" fillId="0" borderId="0" applyNumberFormat="0" applyBorder="0" applyAlignment="0"/>
    <xf numFmtId="0" fontId="40" fillId="0" borderId="0" applyNumberFormat="0" applyBorder="0" applyAlignment="0"/>
    <xf numFmtId="0" fontId="41" fillId="0" borderId="0" applyNumberFormat="0" applyBorder="0" applyAlignment="0"/>
    <xf numFmtId="0" fontId="19" fillId="0" borderId="25">
      <alignment horizontal="center" vertical="center"/>
    </xf>
    <xf numFmtId="0" fontId="24" fillId="0" borderId="0" applyNumberFormat="0" applyFill="0" applyBorder="0" applyAlignment="0" applyProtection="0"/>
    <xf numFmtId="0" fontId="23" fillId="0" borderId="40" applyNumberFormat="0" applyFill="0" applyAlignment="0" applyProtection="0"/>
    <xf numFmtId="0" fontId="36" fillId="0" borderId="0" applyNumberForma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4" fontId="3" fillId="0" borderId="0" applyFont="0" applyFill="0" applyBorder="0" applyAlignment="0" applyProtection="0"/>
    <xf numFmtId="0" fontId="22" fillId="0" borderId="0"/>
    <xf numFmtId="183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242">
    <xf numFmtId="0" fontId="0" fillId="0" borderId="0" xfId="0"/>
    <xf numFmtId="3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3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37" fontId="3" fillId="0" borderId="2" xfId="0" applyNumberFormat="1" applyFont="1" applyBorder="1" applyAlignment="1">
      <alignment horizontal="center"/>
    </xf>
    <xf numFmtId="37" fontId="0" fillId="0" borderId="2" xfId="0" applyNumberFormat="1" applyBorder="1" applyAlignment="1">
      <alignment horizontal="center"/>
    </xf>
    <xf numFmtId="0" fontId="0" fillId="0" borderId="0" xfId="0" applyAlignment="1">
      <alignment horizontal="right" indent="1"/>
    </xf>
    <xf numFmtId="17" fontId="0" fillId="0" borderId="0" xfId="0" applyNumberFormat="1" applyAlignment="1">
      <alignment horizontal="right" indent="1"/>
    </xf>
    <xf numFmtId="17" fontId="0" fillId="0" borderId="2" xfId="0" applyNumberFormat="1" applyBorder="1" applyAlignment="1">
      <alignment horizontal="right" indent="1"/>
    </xf>
    <xf numFmtId="0" fontId="0" fillId="0" borderId="0" xfId="0" applyAlignment="1">
      <alignment horizontal="center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 wrapText="1"/>
    </xf>
    <xf numFmtId="41" fontId="0" fillId="0" borderId="0" xfId="0" applyNumberFormat="1"/>
    <xf numFmtId="41" fontId="0" fillId="0" borderId="2" xfId="0" applyNumberFormat="1" applyBorder="1"/>
    <xf numFmtId="165" fontId="3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3" fontId="0" fillId="3" borderId="0" xfId="0" applyNumberFormat="1" applyFill="1" applyAlignment="1">
      <alignment horizontal="center"/>
    </xf>
    <xf numFmtId="0" fontId="3" fillId="0" borderId="0" xfId="0" applyFont="1" applyAlignment="1">
      <alignment horizontal="center" vertical="center"/>
    </xf>
    <xf numFmtId="41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 indent="1"/>
    </xf>
    <xf numFmtId="167" fontId="0" fillId="0" borderId="0" xfId="9" applyNumberFormat="1" applyFont="1" applyAlignment="1">
      <alignment horizontal="right" indent="1"/>
    </xf>
    <xf numFmtId="41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right" indent="1"/>
    </xf>
    <xf numFmtId="167" fontId="0" fillId="0" borderId="2" xfId="9" applyNumberFormat="1" applyFont="1" applyBorder="1" applyAlignment="1">
      <alignment horizontal="right" indent="1"/>
    </xf>
    <xf numFmtId="167" fontId="0" fillId="0" borderId="0" xfId="0" applyNumberFormat="1" applyAlignment="1">
      <alignment horizontal="right" indent="1"/>
    </xf>
    <xf numFmtId="0" fontId="3" fillId="0" borderId="0" xfId="0" applyFont="1" applyAlignment="1">
      <alignment horizontal="left"/>
    </xf>
    <xf numFmtId="168" fontId="0" fillId="0" borderId="0" xfId="0" applyNumberFormat="1" applyAlignment="1">
      <alignment horizontal="right" indent="4"/>
    </xf>
    <xf numFmtId="0" fontId="3" fillId="0" borderId="0" xfId="0" applyFont="1" applyAlignment="1">
      <alignment horizontal="left" indent="1"/>
    </xf>
    <xf numFmtId="41" fontId="0" fillId="0" borderId="0" xfId="0" applyNumberFormat="1" applyAlignment="1">
      <alignment horizontal="center"/>
    </xf>
    <xf numFmtId="0" fontId="3" fillId="4" borderId="0" xfId="0" applyFont="1" applyFill="1" applyAlignment="1">
      <alignment horizontal="left" indent="1"/>
    </xf>
    <xf numFmtId="0" fontId="0" fillId="4" borderId="0" xfId="0" applyFill="1" applyAlignment="1">
      <alignment horizontal="center"/>
    </xf>
    <xf numFmtId="41" fontId="0" fillId="3" borderId="0" xfId="0" applyNumberFormat="1" applyFill="1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0" fillId="0" borderId="0" xfId="0" applyFont="1"/>
    <xf numFmtId="3" fontId="9" fillId="0" borderId="0" xfId="10" applyNumberFormat="1" applyAlignment="1">
      <alignment horizontal="center"/>
    </xf>
    <xf numFmtId="10" fontId="0" fillId="0" borderId="0" xfId="9" applyNumberFormat="1" applyFont="1" applyAlignment="1">
      <alignment horizontal="center"/>
    </xf>
    <xf numFmtId="17" fontId="0" fillId="0" borderId="0" xfId="0" applyNumberFormat="1"/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right" indent="1"/>
    </xf>
    <xf numFmtId="0" fontId="3" fillId="0" borderId="0" xfId="0" applyFont="1"/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right"/>
    </xf>
    <xf numFmtId="17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wrapText="1"/>
    </xf>
    <xf numFmtId="0" fontId="0" fillId="0" borderId="8" xfId="0" applyBorder="1" applyAlignment="1">
      <alignment horizontal="center"/>
    </xf>
    <xf numFmtId="17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5" borderId="0" xfId="0" applyFill="1"/>
    <xf numFmtId="3" fontId="0" fillId="5" borderId="0" xfId="0" applyNumberFormat="1" applyFill="1" applyAlignment="1">
      <alignment horizontal="center"/>
    </xf>
    <xf numFmtId="0" fontId="0" fillId="5" borderId="0" xfId="0" applyFill="1" applyAlignment="1">
      <alignment horizontal="right"/>
    </xf>
    <xf numFmtId="170" fontId="0" fillId="3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11" fillId="0" borderId="8" xfId="0" applyFont="1" applyBorder="1"/>
    <xf numFmtId="0" fontId="10" fillId="0" borderId="0" xfId="0" applyFont="1" applyAlignment="1">
      <alignment horizontal="center"/>
    </xf>
    <xf numFmtId="3" fontId="0" fillId="0" borderId="8" xfId="0" applyNumberFormat="1" applyBorder="1" applyAlignment="1">
      <alignment horizontal="left" indent="1"/>
    </xf>
    <xf numFmtId="37" fontId="0" fillId="0" borderId="8" xfId="0" applyNumberFormat="1" applyBorder="1"/>
    <xf numFmtId="174" fontId="0" fillId="0" borderId="8" xfId="0" applyNumberFormat="1" applyBorder="1"/>
    <xf numFmtId="9" fontId="8" fillId="0" borderId="8" xfId="9" applyBorder="1"/>
    <xf numFmtId="175" fontId="9" fillId="0" borderId="8" xfId="10" applyNumberFormat="1" applyBorder="1"/>
    <xf numFmtId="37" fontId="0" fillId="0" borderId="0" xfId="0" applyNumberFormat="1"/>
    <xf numFmtId="3" fontId="3" fillId="0" borderId="8" xfId="0" applyNumberFormat="1" applyFont="1" applyBorder="1" applyAlignment="1">
      <alignment horizontal="left" indent="1"/>
    </xf>
    <xf numFmtId="0" fontId="10" fillId="0" borderId="8" xfId="0" applyFont="1" applyBorder="1" applyAlignment="1">
      <alignment horizontal="left"/>
    </xf>
    <xf numFmtId="37" fontId="10" fillId="0" borderId="8" xfId="0" applyNumberFormat="1" applyFont="1" applyBorder="1"/>
    <xf numFmtId="3" fontId="0" fillId="0" borderId="0" xfId="0" applyNumberFormat="1"/>
    <xf numFmtId="0" fontId="10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0" fontId="10" fillId="0" borderId="8" xfId="0" applyFont="1" applyBorder="1"/>
    <xf numFmtId="174" fontId="0" fillId="0" borderId="8" xfId="0" applyNumberFormat="1" applyBorder="1" applyAlignment="1">
      <alignment horizontal="center"/>
    </xf>
    <xf numFmtId="5" fontId="0" fillId="0" borderId="8" xfId="0" applyNumberFormat="1" applyBorder="1"/>
    <xf numFmtId="177" fontId="0" fillId="0" borderId="8" xfId="0" applyNumberFormat="1" applyBorder="1"/>
    <xf numFmtId="5" fontId="10" fillId="0" borderId="8" xfId="0" applyNumberFormat="1" applyFont="1" applyBorder="1"/>
    <xf numFmtId="0" fontId="10" fillId="0" borderId="0" xfId="0" applyFont="1" applyAlignment="1">
      <alignment horizontal="left" indent="1"/>
    </xf>
    <xf numFmtId="37" fontId="10" fillId="0" borderId="0" xfId="0" applyNumberFormat="1" applyFont="1"/>
    <xf numFmtId="177" fontId="0" fillId="0" borderId="0" xfId="0" applyNumberFormat="1"/>
    <xf numFmtId="5" fontId="10" fillId="0" borderId="0" xfId="0" applyNumberFormat="1" applyFont="1"/>
    <xf numFmtId="0" fontId="11" fillId="0" borderId="9" xfId="0" applyFont="1" applyBorder="1"/>
    <xf numFmtId="0" fontId="10" fillId="0" borderId="17" xfId="0" applyFont="1" applyBorder="1"/>
    <xf numFmtId="0" fontId="10" fillId="0" borderId="15" xfId="0" applyFont="1" applyBorder="1" applyAlignment="1">
      <alignment horizontal="center"/>
    </xf>
    <xf numFmtId="0" fontId="10" fillId="0" borderId="15" xfId="0" applyFont="1" applyBorder="1"/>
    <xf numFmtId="0" fontId="10" fillId="0" borderId="16" xfId="0" applyFont="1" applyBorder="1"/>
    <xf numFmtId="0" fontId="10" fillId="0" borderId="19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78" fontId="0" fillId="0" borderId="8" xfId="0" applyNumberFormat="1" applyBorder="1"/>
    <xf numFmtId="3" fontId="3" fillId="3" borderId="8" xfId="0" applyNumberFormat="1" applyFont="1" applyFill="1" applyBorder="1" applyAlignment="1">
      <alignment horizontal="left" indent="1"/>
    </xf>
    <xf numFmtId="37" fontId="0" fillId="3" borderId="8" xfId="0" applyNumberFormat="1" applyFill="1" applyBorder="1"/>
    <xf numFmtId="174" fontId="0" fillId="3" borderId="8" xfId="0" applyNumberFormat="1" applyFill="1" applyBorder="1" applyAlignment="1">
      <alignment horizontal="center"/>
    </xf>
    <xf numFmtId="178" fontId="0" fillId="3" borderId="8" xfId="0" applyNumberFormat="1" applyFill="1" applyBorder="1"/>
    <xf numFmtId="5" fontId="0" fillId="3" borderId="8" xfId="0" applyNumberFormat="1" applyFill="1" applyBorder="1"/>
    <xf numFmtId="0" fontId="10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0" fillId="0" borderId="10" xfId="0" applyBorder="1"/>
    <xf numFmtId="0" fontId="10" fillId="0" borderId="12" xfId="0" applyFont="1" applyBorder="1" applyAlignment="1">
      <alignment horizontal="center"/>
    </xf>
    <xf numFmtId="0" fontId="0" fillId="0" borderId="21" xfId="0" applyBorder="1"/>
    <xf numFmtId="5" fontId="0" fillId="0" borderId="13" xfId="0" applyNumberFormat="1" applyBorder="1"/>
    <xf numFmtId="0" fontId="3" fillId="0" borderId="21" xfId="0" applyFont="1" applyBorder="1"/>
    <xf numFmtId="10" fontId="8" fillId="0" borderId="8" xfId="9" applyNumberFormat="1" applyBorder="1"/>
    <xf numFmtId="3" fontId="3" fillId="0" borderId="8" xfId="0" applyNumberFormat="1" applyFont="1" applyBorder="1" applyAlignment="1">
      <alignment horizontal="right" indent="1"/>
    </xf>
    <xf numFmtId="3" fontId="3" fillId="3" borderId="8" xfId="0" applyNumberFormat="1" applyFont="1" applyFill="1" applyBorder="1" applyAlignment="1">
      <alignment horizontal="right" indent="1"/>
    </xf>
    <xf numFmtId="169" fontId="0" fillId="0" borderId="0" xfId="0" applyNumberFormat="1"/>
    <xf numFmtId="2" fontId="0" fillId="0" borderId="0" xfId="0" applyNumberFormat="1"/>
    <xf numFmtId="178" fontId="3" fillId="0" borderId="8" xfId="0" applyNumberFormat="1" applyFont="1" applyBorder="1"/>
    <xf numFmtId="14" fontId="0" fillId="0" borderId="0" xfId="0" applyNumberFormat="1"/>
    <xf numFmtId="176" fontId="0" fillId="0" borderId="0" xfId="0" applyNumberFormat="1"/>
    <xf numFmtId="5" fontId="0" fillId="0" borderId="0" xfId="0" applyNumberFormat="1"/>
    <xf numFmtId="10" fontId="0" fillId="0" borderId="0" xfId="0" applyNumberFormat="1"/>
    <xf numFmtId="10" fontId="0" fillId="3" borderId="0" xfId="0" applyNumberFormat="1" applyFill="1" applyAlignment="1">
      <alignment horizontal="right" indent="1"/>
    </xf>
    <xf numFmtId="3" fontId="3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17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6" fillId="0" borderId="0" xfId="0" applyFont="1"/>
    <xf numFmtId="3" fontId="10" fillId="0" borderId="0" xfId="0" applyNumberFormat="1" applyFont="1"/>
    <xf numFmtId="0" fontId="10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center" wrapText="1"/>
    </xf>
    <xf numFmtId="0" fontId="14" fillId="0" borderId="2" xfId="0" applyFont="1" applyBorder="1" applyAlignment="1">
      <alignment horizontal="center"/>
    </xf>
    <xf numFmtId="4" fontId="14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180" fontId="1" fillId="0" borderId="0" xfId="0" applyNumberFormat="1" applyFont="1" applyAlignment="1">
      <alignment horizontal="center"/>
    </xf>
    <xf numFmtId="181" fontId="1" fillId="0" borderId="0" xfId="0" applyNumberFormat="1" applyFont="1" applyAlignment="1">
      <alignment horizontal="center"/>
    </xf>
    <xf numFmtId="175" fontId="0" fillId="0" borderId="0" xfId="0" applyNumberFormat="1"/>
    <xf numFmtId="184" fontId="3" fillId="0" borderId="0" xfId="12" applyNumberFormat="1"/>
    <xf numFmtId="184" fontId="0" fillId="0" borderId="0" xfId="0" applyNumberFormat="1"/>
    <xf numFmtId="184" fontId="3" fillId="3" borderId="0" xfId="12" applyNumberFormat="1" applyFill="1"/>
    <xf numFmtId="3" fontId="0" fillId="0" borderId="0" xfId="10" applyNumberFormat="1" applyFont="1" applyAlignment="1">
      <alignment horizontal="center"/>
    </xf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center"/>
    </xf>
    <xf numFmtId="168" fontId="0" fillId="3" borderId="0" xfId="0" applyNumberFormat="1" applyFill="1" applyAlignment="1">
      <alignment horizontal="center"/>
    </xf>
    <xf numFmtId="0" fontId="20" fillId="0" borderId="0" xfId="0" applyFont="1"/>
    <xf numFmtId="167" fontId="0" fillId="0" borderId="0" xfId="9" applyNumberFormat="1" applyFont="1"/>
    <xf numFmtId="3" fontId="3" fillId="0" borderId="0" xfId="0" applyNumberFormat="1" applyFont="1" applyAlignment="1">
      <alignment horizontal="left"/>
    </xf>
    <xf numFmtId="182" fontId="0" fillId="0" borderId="0" xfId="0" applyNumberFormat="1"/>
    <xf numFmtId="186" fontId="0" fillId="0" borderId="0" xfId="0" applyNumberFormat="1" applyAlignment="1">
      <alignment horizontal="center"/>
    </xf>
    <xf numFmtId="17" fontId="10" fillId="0" borderId="0" xfId="0" applyNumberFormat="1" applyFont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167" fontId="0" fillId="0" borderId="26" xfId="0" applyNumberFormat="1" applyBorder="1" applyAlignment="1">
      <alignment horizontal="right" indent="1"/>
    </xf>
    <xf numFmtId="167" fontId="0" fillId="0" borderId="8" xfId="0" applyNumberFormat="1" applyBorder="1" applyAlignment="1">
      <alignment horizontal="right" indent="1"/>
    </xf>
    <xf numFmtId="167" fontId="0" fillId="0" borderId="28" xfId="0" applyNumberFormat="1" applyBorder="1" applyAlignment="1">
      <alignment horizontal="right" indent="1"/>
    </xf>
    <xf numFmtId="41" fontId="0" fillId="5" borderId="26" xfId="0" applyNumberFormat="1" applyFill="1" applyBorder="1" applyAlignment="1">
      <alignment horizontal="center"/>
    </xf>
    <xf numFmtId="41" fontId="0" fillId="5" borderId="8" xfId="0" applyNumberFormat="1" applyFill="1" applyBorder="1" applyAlignment="1">
      <alignment horizontal="center"/>
    </xf>
    <xf numFmtId="41" fontId="0" fillId="0" borderId="28" xfId="0" applyNumberFormat="1" applyBorder="1"/>
    <xf numFmtId="41" fontId="0" fillId="0" borderId="26" xfId="0" applyNumberFormat="1" applyBorder="1" applyAlignment="1">
      <alignment horizontal="center"/>
    </xf>
    <xf numFmtId="41" fontId="0" fillId="0" borderId="8" xfId="0" applyNumberFormat="1" applyBorder="1" applyAlignment="1">
      <alignment horizontal="center"/>
    </xf>
    <xf numFmtId="41" fontId="0" fillId="0" borderId="24" xfId="0" applyNumberFormat="1" applyBorder="1" applyAlignment="1">
      <alignment horizontal="center"/>
    </xf>
    <xf numFmtId="41" fontId="0" fillId="0" borderId="29" xfId="0" applyNumberFormat="1" applyBorder="1" applyAlignment="1">
      <alignment horizontal="center"/>
    </xf>
    <xf numFmtId="41" fontId="0" fillId="0" borderId="30" xfId="0" applyNumberFormat="1" applyBorder="1" applyAlignment="1">
      <alignment horizontal="center"/>
    </xf>
    <xf numFmtId="41" fontId="0" fillId="0" borderId="31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32" xfId="0" applyNumberFormat="1" applyBorder="1"/>
    <xf numFmtId="187" fontId="0" fillId="0" borderId="0" xfId="0" applyNumberFormat="1"/>
    <xf numFmtId="188" fontId="0" fillId="0" borderId="0" xfId="0" applyNumberFormat="1"/>
    <xf numFmtId="0" fontId="13" fillId="6" borderId="10" xfId="11" applyFont="1" applyFill="1" applyBorder="1" applyAlignment="1">
      <alignment horizontal="center" vertical="center"/>
    </xf>
    <xf numFmtId="41" fontId="0" fillId="0" borderId="41" xfId="0" applyNumberFormat="1" applyBorder="1" applyAlignment="1">
      <alignment horizontal="center"/>
    </xf>
    <xf numFmtId="10" fontId="3" fillId="0" borderId="0" xfId="9" applyNumberFormat="1" applyFont="1" applyAlignment="1">
      <alignment horizontal="left"/>
    </xf>
    <xf numFmtId="10" fontId="3" fillId="0" borderId="0" xfId="9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179" fontId="0" fillId="0" borderId="0" xfId="0" applyNumberFormat="1" applyAlignment="1">
      <alignment horizontal="right" indent="1"/>
    </xf>
    <xf numFmtId="194" fontId="0" fillId="0" borderId="0" xfId="0" applyNumberFormat="1" applyAlignment="1">
      <alignment horizontal="right" indent="1"/>
    </xf>
    <xf numFmtId="10" fontId="0" fillId="0" borderId="0" xfId="9" applyNumberFormat="1" applyFont="1"/>
    <xf numFmtId="10" fontId="3" fillId="0" borderId="0" xfId="9" applyNumberFormat="1" applyFont="1" applyAlignment="1">
      <alignment horizontal="right"/>
    </xf>
    <xf numFmtId="173" fontId="0" fillId="0" borderId="0" xfId="0" applyNumberFormat="1"/>
    <xf numFmtId="0" fontId="13" fillId="6" borderId="10" xfId="11" applyFont="1" applyFill="1" applyBorder="1" applyAlignment="1">
      <alignment vertical="center"/>
    </xf>
    <xf numFmtId="3" fontId="0" fillId="0" borderId="0" xfId="0" applyNumberFormat="1" applyAlignment="1">
      <alignment horizontal="right"/>
    </xf>
    <xf numFmtId="3" fontId="20" fillId="0" borderId="0" xfId="0" applyNumberFormat="1" applyFont="1"/>
    <xf numFmtId="5" fontId="3" fillId="0" borderId="0" xfId="0" applyNumberFormat="1" applyFont="1"/>
    <xf numFmtId="0" fontId="42" fillId="0" borderId="0" xfId="0" applyFont="1"/>
    <xf numFmtId="0" fontId="43" fillId="0" borderId="4" xfId="0" applyFont="1" applyFill="1" applyBorder="1" applyAlignment="1">
      <alignment horizontal="centerContinuous"/>
    </xf>
    <xf numFmtId="0" fontId="42" fillId="0" borderId="0" xfId="0" applyFont="1" applyFill="1" applyBorder="1" applyAlignment="1"/>
    <xf numFmtId="0" fontId="42" fillId="0" borderId="3" xfId="0" applyFont="1" applyFill="1" applyBorder="1" applyAlignment="1"/>
    <xf numFmtId="0" fontId="43" fillId="0" borderId="4" xfId="0" applyFont="1" applyFill="1" applyBorder="1" applyAlignment="1">
      <alignment horizontal="center"/>
    </xf>
    <xf numFmtId="3" fontId="13" fillId="6" borderId="14" xfId="11" applyNumberFormat="1" applyFont="1" applyFill="1" applyBorder="1" applyAlignment="1">
      <alignment horizontal="center" vertical="center" wrapText="1"/>
    </xf>
    <xf numFmtId="0" fontId="13" fillId="6" borderId="14" xfId="11" applyFont="1" applyFill="1" applyBorder="1" applyAlignment="1">
      <alignment horizontal="center" vertical="center" wrapText="1"/>
    </xf>
    <xf numFmtId="0" fontId="44" fillId="0" borderId="8" xfId="0" applyFont="1" applyBorder="1" applyAlignment="1">
      <alignment vertical="center"/>
    </xf>
    <xf numFmtId="0" fontId="45" fillId="0" borderId="8" xfId="0" applyFont="1" applyBorder="1" applyAlignment="1">
      <alignment horizontal="left" vertical="center" indent="1"/>
    </xf>
    <xf numFmtId="164" fontId="45" fillId="0" borderId="8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6" xfId="0" applyNumberFormat="1" applyFont="1" applyBorder="1" applyAlignment="1">
      <alignment horizontal="center"/>
    </xf>
    <xf numFmtId="168" fontId="3" fillId="0" borderId="7" xfId="0" applyNumberFormat="1" applyFont="1" applyBorder="1" applyAlignment="1">
      <alignment horizontal="center"/>
    </xf>
    <xf numFmtId="10" fontId="3" fillId="0" borderId="5" xfId="9" applyNumberFormat="1" applyFont="1" applyBorder="1" applyAlignment="1">
      <alignment horizontal="center"/>
    </xf>
    <xf numFmtId="10" fontId="3" fillId="0" borderId="6" xfId="9" applyNumberFormat="1" applyFont="1" applyBorder="1" applyAlignment="1">
      <alignment horizontal="center"/>
    </xf>
    <xf numFmtId="10" fontId="3" fillId="0" borderId="7" xfId="9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44" fillId="0" borderId="10" xfId="0" applyFont="1" applyBorder="1" applyAlignment="1">
      <alignment horizontal="left" vertical="center"/>
    </xf>
    <xf numFmtId="0" fontId="44" fillId="0" borderId="11" xfId="0" applyFont="1" applyBorder="1" applyAlignment="1">
      <alignment horizontal="left" vertical="center"/>
    </xf>
    <xf numFmtId="0" fontId="44" fillId="0" borderId="12" xfId="0" applyFont="1" applyBorder="1" applyAlignment="1">
      <alignment horizontal="left" vertical="center"/>
    </xf>
    <xf numFmtId="3" fontId="10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13" fillId="6" borderId="12" xfId="11" applyFont="1" applyFill="1" applyBorder="1" applyAlignment="1">
      <alignment horizontal="center" vertical="center"/>
    </xf>
    <xf numFmtId="0" fontId="42" fillId="7" borderId="8" xfId="0" applyFont="1" applyFill="1" applyBorder="1" applyAlignment="1">
      <alignment horizontal="right" indent="1"/>
    </xf>
    <xf numFmtId="41" fontId="42" fillId="7" borderId="8" xfId="20" applyNumberFormat="1" applyFont="1" applyFill="1" applyBorder="1" applyAlignment="1">
      <alignment horizontal="right" indent="1"/>
    </xf>
    <xf numFmtId="41" fontId="42" fillId="7" borderId="8" xfId="10" applyNumberFormat="1" applyFont="1" applyFill="1" applyBorder="1" applyAlignment="1">
      <alignment horizontal="right" indent="1"/>
    </xf>
    <xf numFmtId="41" fontId="42" fillId="7" borderId="8" xfId="0" applyNumberFormat="1" applyFont="1" applyFill="1" applyBorder="1" applyAlignment="1">
      <alignment horizontal="right" indent="1"/>
    </xf>
    <xf numFmtId="41" fontId="42" fillId="0" borderId="8" xfId="0" applyNumberFormat="1" applyFont="1" applyBorder="1"/>
    <xf numFmtId="184" fontId="42" fillId="0" borderId="0" xfId="0" applyNumberFormat="1" applyFont="1"/>
    <xf numFmtId="0" fontId="44" fillId="0" borderId="19" xfId="0" applyFont="1" applyBorder="1" applyAlignment="1">
      <alignment horizontal="left"/>
    </xf>
    <xf numFmtId="0" fontId="44" fillId="0" borderId="2" xfId="0" applyFont="1" applyBorder="1" applyAlignment="1">
      <alignment horizontal="left"/>
    </xf>
  </cellXfs>
  <cellStyles count="116">
    <cellStyle name="$" xfId="25" xr:uid="{446987F4-A11F-4A6C-8D60-442807762A76}"/>
    <cellStyle name="$.00" xfId="26" xr:uid="{9F7C54D8-8D1D-4AE8-AE4F-3FEC47FB0BAB}"/>
    <cellStyle name="$_9. Rev2Cost_GDPIPI" xfId="27" xr:uid="{D9A4A4E4-A757-4C61-9110-F1E344B8D7E8}"/>
    <cellStyle name="$_lists" xfId="28" xr:uid="{A8EC6527-2EB9-4097-B8FB-4F4116ACA8A7}"/>
    <cellStyle name="$_lists_4. Current Monthly Fixed Charge" xfId="29" xr:uid="{D029562B-7408-4D90-BE56-16755B8DFABD}"/>
    <cellStyle name="$_Sheet4" xfId="30" xr:uid="{2681E598-F991-43F5-8D07-42A1D5B6EC85}"/>
    <cellStyle name="$M" xfId="31" xr:uid="{D2D11BD7-F55A-4C90-8966-B1714D32D82E}"/>
    <cellStyle name="$M.00" xfId="32" xr:uid="{1FECFA13-9425-459C-83CD-C1C0F8CB2DE6}"/>
    <cellStyle name="$M_9. Rev2Cost_GDPIPI" xfId="33" xr:uid="{CBF87BE4-8367-4DEF-905E-B0616180340D}"/>
    <cellStyle name="20% - Accent1 2" xfId="34" xr:uid="{3A626D29-F1D7-4DAD-9645-979B10599276}"/>
    <cellStyle name="20% - Accent2 2" xfId="35" xr:uid="{6C39D6AB-3E5A-4D5A-850C-DED6B1705D32}"/>
    <cellStyle name="20% - Accent3 2" xfId="36" xr:uid="{483CC02A-D41D-46AD-939A-30C1C610B503}"/>
    <cellStyle name="20% - Accent4 2" xfId="37" xr:uid="{A9495C13-D609-4BC4-9B63-2D51B321B390}"/>
    <cellStyle name="20% - Accent5 2" xfId="38" xr:uid="{CBAD4EF4-C955-4968-9EBA-AA66C8FA2468}"/>
    <cellStyle name="20% - Accent6 2" xfId="39" xr:uid="{55635335-D4CA-4765-A9A2-46443643948C}"/>
    <cellStyle name="40% - Accent1 2" xfId="40" xr:uid="{42AFAA41-E592-4F94-AA95-14D1B70190CE}"/>
    <cellStyle name="40% - Accent2 2" xfId="41" xr:uid="{E5DB354E-9FED-48C6-AC52-A1A7A56F894C}"/>
    <cellStyle name="40% - Accent3 2" xfId="42" xr:uid="{2CB46E68-87D4-4163-86CF-91B310571CD8}"/>
    <cellStyle name="40% - Accent4 2" xfId="43" xr:uid="{BE20F2D6-DF71-40E6-B3A5-5CCE1D3D5223}"/>
    <cellStyle name="40% - Accent5 2" xfId="44" xr:uid="{24E91532-C17D-4964-AE57-98872937A5F2}"/>
    <cellStyle name="40% - Accent6 2" xfId="45" xr:uid="{572252B6-FF2B-4EEC-8033-B45405AA173D}"/>
    <cellStyle name="60% - Accent1 2" xfId="46" xr:uid="{D7A0711E-5BAA-41FF-9EAF-A5FCADFAB68D}"/>
    <cellStyle name="60% - Accent2 2" xfId="47" xr:uid="{F5F4DC44-2AFB-46EE-9310-2D58B9443EEC}"/>
    <cellStyle name="60% - Accent3 2" xfId="48" xr:uid="{038DD03D-F505-429A-ADA7-448FC55B4717}"/>
    <cellStyle name="60% - Accent4 2" xfId="49" xr:uid="{3FF93680-92C9-4706-BD5D-661FBAB7DC5E}"/>
    <cellStyle name="60% - Accent5 2" xfId="50" xr:uid="{9C6C554C-2609-400A-A5CE-DD3B86073897}"/>
    <cellStyle name="60% - Accent6 2" xfId="51" xr:uid="{FF1260B2-7463-4F31-A4C0-2B11068BA022}"/>
    <cellStyle name="Accent1 2" xfId="52" xr:uid="{6C57B626-FBDB-4A37-9A3A-812C3E43DF07}"/>
    <cellStyle name="Accent2 2" xfId="53" xr:uid="{F1CFC127-44FF-4E9D-99ED-98F5F5215E8E}"/>
    <cellStyle name="Accent3 2" xfId="54" xr:uid="{88B05347-43B4-4AA1-B68A-589DC96816D0}"/>
    <cellStyle name="Accent4 2" xfId="55" xr:uid="{E552FE1F-CC2F-4A0C-AFA3-D8999C3AED43}"/>
    <cellStyle name="Accent5 2" xfId="56" xr:uid="{E952DF63-FF27-4D56-8BB9-D56B3E1EE3D9}"/>
    <cellStyle name="Accent6 2" xfId="57" xr:uid="{62DD8D1C-4C37-4A73-9B45-C9C76D95CEC8}"/>
    <cellStyle name="Bad 2" xfId="58" xr:uid="{9E5B8681-9176-402C-AC88-67B492ED718A}"/>
    <cellStyle name="Calculation 2" xfId="59" xr:uid="{3829AFFB-1B4F-4780-84D9-639222237039}"/>
    <cellStyle name="Check Cell 2" xfId="60" xr:uid="{9F154578-97C3-4A2C-BD40-D4FEE515EB9C}"/>
    <cellStyle name="Comma" xfId="10" builtinId="3"/>
    <cellStyle name="Comma 2" xfId="1" xr:uid="{00000000-0005-0000-0000-000001000000}"/>
    <cellStyle name="Comma 2 2" xfId="20" xr:uid="{A849A3F1-8C2D-494E-B2B9-A70D97231744}"/>
    <cellStyle name="Comma 3" xfId="2" xr:uid="{00000000-0005-0000-0000-000002000000}"/>
    <cellStyle name="Comma 3 2" xfId="61" xr:uid="{F8CAEF36-8563-4D06-8AD4-C3BB2ABEDDD5}"/>
    <cellStyle name="Comma 3 2 2" xfId="114" xr:uid="{C3340CDC-C8EF-4F5B-9C60-C616837D90B2}"/>
    <cellStyle name="Comma 3 2 5" xfId="109" xr:uid="{03228175-76C9-482A-8C0D-1277DB8FCCD2}"/>
    <cellStyle name="Comma 3 3" xfId="21" xr:uid="{A8DD721F-9075-4050-BB9A-27F0B2D5BC83}"/>
    <cellStyle name="Comma 4" xfId="24" xr:uid="{07F3B22F-39BF-439C-A235-0B8D06126A7A}"/>
    <cellStyle name="Comma 5" xfId="62" xr:uid="{F5AB1101-D0F8-47B7-A146-DA6AAC6ECC65}"/>
    <cellStyle name="Comma 6" xfId="13" xr:uid="{00000000-0005-0000-0000-000003000000}"/>
    <cellStyle name="Comma 6 2" xfId="63" xr:uid="{2EB08C4F-9F3B-4DED-A79D-0963242F5062}"/>
    <cellStyle name="Comma 7" xfId="16" xr:uid="{EE29C832-2AB6-4035-AC72-CCB1068B3862}"/>
    <cellStyle name="Comma_CDM monthly amounts" xfId="12" xr:uid="{00000000-0005-0000-0000-000004000000}"/>
    <cellStyle name="Comma0" xfId="3" xr:uid="{00000000-0005-0000-0000-000005000000}"/>
    <cellStyle name="Currency 2" xfId="23" xr:uid="{D21619E8-B346-47D9-A5DC-21266D035F43}"/>
    <cellStyle name="Currency 3" xfId="64" xr:uid="{9469A011-5A94-4258-B863-046F90291467}"/>
    <cellStyle name="Currency 4" xfId="65" xr:uid="{48D11FE9-07CF-403A-A494-2D32AFFBEDAA}"/>
    <cellStyle name="Currency 5" xfId="112" xr:uid="{29FAE641-5BC4-4720-AC29-73DCD3187F08}"/>
    <cellStyle name="Currency0" xfId="4" xr:uid="{00000000-0005-0000-0000-000007000000}"/>
    <cellStyle name="Date" xfId="5" xr:uid="{00000000-0005-0000-0000-000008000000}"/>
    <cellStyle name="Explanatory Text 2" xfId="66" xr:uid="{14CCACF1-274F-402E-B920-C2CCD770E345}"/>
    <cellStyle name="Fixed" xfId="6" xr:uid="{00000000-0005-0000-0000-000009000000}"/>
    <cellStyle name="Good 2" xfId="67" xr:uid="{BBC5032E-A8BE-4142-A369-B1C060E165BA}"/>
    <cellStyle name="Grey" xfId="68" xr:uid="{970AC3F1-E075-4AD4-AA24-F3FB54BD403C}"/>
    <cellStyle name="Grey 2" xfId="69" xr:uid="{D5873E41-6D6A-4003-A600-C3E524217883}"/>
    <cellStyle name="Heading 1 2" xfId="70" xr:uid="{BBFE454F-F9A0-4DB7-BBD0-9BE97FF78391}"/>
    <cellStyle name="Heading 2 2" xfId="71" xr:uid="{EE154765-7C3E-4168-BA0C-906DF8E955A4}"/>
    <cellStyle name="Heading 3 2" xfId="72" xr:uid="{65C32629-FAC0-4C2C-832F-22AC80C07745}"/>
    <cellStyle name="Heading 4 2" xfId="73" xr:uid="{EAA62223-4172-431B-BB87-D92B03CDB1B2}"/>
    <cellStyle name="Input [yellow]" xfId="74" xr:uid="{EE2AB439-5227-4776-AE8C-149B9329CF9A}"/>
    <cellStyle name="Input [yellow] 2" xfId="75" xr:uid="{EF69BBCF-26EE-4BBE-BD79-D67B67EFBEE2}"/>
    <cellStyle name="Input 2" xfId="76" xr:uid="{6349541F-5A20-4211-B3ED-579B32967357}"/>
    <cellStyle name="Linked Cell 2" xfId="77" xr:uid="{D3B6AC40-C331-448E-AAF2-03E7CA27295B}"/>
    <cellStyle name="M" xfId="78" xr:uid="{330FB1E5-81E0-4653-8627-8A4CDB424A01}"/>
    <cellStyle name="M.00" xfId="79" xr:uid="{21AB8F3D-3CC8-4704-A8DA-8A033D73BCF3}"/>
    <cellStyle name="M_9. Rev2Cost_GDPIPI" xfId="80" xr:uid="{5D3B21C8-758B-41B6-9669-D729F1CB7BED}"/>
    <cellStyle name="M_lists" xfId="81" xr:uid="{97DF3B53-2512-4C03-BB14-6ADA114BE28D}"/>
    <cellStyle name="M_lists_4. Current Monthly Fixed Charge" xfId="82" xr:uid="{155C8051-CA29-4C66-9928-167EC642895D}"/>
    <cellStyle name="M_Sheet4" xfId="83" xr:uid="{F92E66A6-5552-4C96-83A2-8F7698BA13FE}"/>
    <cellStyle name="Neutral 2" xfId="84" xr:uid="{59D85F8A-39FD-4AD5-80DE-906D24B6241A}"/>
    <cellStyle name="Normal" xfId="0" builtinId="0"/>
    <cellStyle name="Normal - Style1" xfId="85" xr:uid="{E7B87FC3-D786-49EE-966E-03080198D2A9}"/>
    <cellStyle name="Normal 2" xfId="7" xr:uid="{00000000-0005-0000-0000-00000B000000}"/>
    <cellStyle name="Normal 2 2" xfId="86" xr:uid="{9291AE3C-1637-434D-BFD1-BF610731F84D}"/>
    <cellStyle name="Normal 2 3" xfId="19" xr:uid="{AA16B11D-64F6-4FC6-897C-BDE0E014274E}"/>
    <cellStyle name="Normal 3" xfId="22" xr:uid="{3E31600D-6415-46A8-ABF0-135B96641B6E}"/>
    <cellStyle name="Normal 4" xfId="87" xr:uid="{538C7211-0225-44C3-AE0D-8E9F42076F9A}"/>
    <cellStyle name="Normal 5" xfId="88" xr:uid="{2A123B35-2E69-4981-940A-A08117F1AE85}"/>
    <cellStyle name="Normal 5 2" xfId="89" xr:uid="{557B9EB7-C9BE-4E20-BA33-6C8B5C9F29AD}"/>
    <cellStyle name="Normal 5 2 2" xfId="113" xr:uid="{4123E496-DB91-49B4-B1BC-0FEF8C7ACD30}"/>
    <cellStyle name="Normal 5 2 3" xfId="90" xr:uid="{410B496A-0B6A-4882-831F-8FDABB893AD6}"/>
    <cellStyle name="Normal 5 2 3 2" xfId="108" xr:uid="{3BD9B5BE-5BD4-4B8E-824C-8E6D429B301C}"/>
    <cellStyle name="Normal 5 2 3 3" xfId="111" xr:uid="{B1C7A737-9492-4EA4-93AD-C2488561131A}"/>
    <cellStyle name="Normal 6" xfId="91" xr:uid="{18ECF43C-0FE5-4D7C-94B2-70841DCD8CB6}"/>
    <cellStyle name="Normal 7" xfId="92" xr:uid="{69F91230-2268-4C17-A7C2-93A7BE9BD7B6}"/>
    <cellStyle name="Normal 8" xfId="15" xr:uid="{C131ACE3-2F2E-4A98-8288-06EABD4362AA}"/>
    <cellStyle name="Normal_Sheet2" xfId="11" xr:uid="{00000000-0005-0000-0000-00000D000000}"/>
    <cellStyle name="Note 2" xfId="8" xr:uid="{00000000-0005-0000-0000-00000E000000}"/>
    <cellStyle name="Note 2 2" xfId="93" xr:uid="{85A14EC0-3AEF-4EFA-9C8D-3C1913654E26}"/>
    <cellStyle name="Output 2" xfId="94" xr:uid="{6289FA21-9E23-424A-B4C0-13808E6811DF}"/>
    <cellStyle name="Percent" xfId="9" builtinId="5"/>
    <cellStyle name="Percent [2]" xfId="95" xr:uid="{8C186E86-5D85-4691-AA23-1BC4C02D464D}"/>
    <cellStyle name="Percent 2" xfId="96" xr:uid="{E5194065-E08D-4D84-9C4A-5114E243236F}"/>
    <cellStyle name="Percent 3" xfId="97" xr:uid="{DCAFC23F-3A9F-44BF-99FD-EC466BA6D0AC}"/>
    <cellStyle name="Percent 3 2" xfId="98" xr:uid="{18AA5E7C-EA3D-400C-89D5-B339E459DB65}"/>
    <cellStyle name="Percent 3 2 2" xfId="115" xr:uid="{8F998E5C-5390-464B-9CFA-57C968726D70}"/>
    <cellStyle name="Percent 3 2 3" xfId="110" xr:uid="{D4F20E62-66CD-4968-9A08-6109FBA4D6EF}"/>
    <cellStyle name="Percent 4" xfId="99" xr:uid="{450AFE5A-05D4-4804-A9CB-5B0FF6591548}"/>
    <cellStyle name="Percent 5" xfId="100" xr:uid="{A893C077-8FDA-4E7D-8FF5-5C7A49CEDABB}"/>
    <cellStyle name="Percent 6" xfId="14" xr:uid="{00000000-0005-0000-0000-000010000000}"/>
    <cellStyle name="Percent 7" xfId="17" xr:uid="{8851C5E9-A5C7-4731-80A2-C7B33E10651C}"/>
    <cellStyle name="Style 23" xfId="18" xr:uid="{DA393694-3E83-4687-BF76-088D970BD293}"/>
    <cellStyle name="STYLE1" xfId="101" xr:uid="{0321D48A-397D-47A0-8B64-1AD14E6599B2}"/>
    <cellStyle name="STYLE2" xfId="102" xr:uid="{7C928576-2B7F-496D-BB11-B72F59115B8B}"/>
    <cellStyle name="STYLE4" xfId="103" xr:uid="{F0A7E9B0-C7DE-4C4D-B7E6-F31202241769}"/>
    <cellStyle name="Subtotal" xfId="104" xr:uid="{CBAD3F09-7D6B-46B3-84F3-7C1ED6980FA9}"/>
    <cellStyle name="Title 2" xfId="105" xr:uid="{071A9792-DC9C-4381-A242-C5C1DFDBDE12}"/>
    <cellStyle name="Total 2" xfId="106" xr:uid="{050DE5B3-6540-4236-8200-2630E583D8C9}"/>
    <cellStyle name="Warning Text 2" xfId="107" xr:uid="{8625ED20-BD58-473A-AA5B-0FE3761EAE35}"/>
  </cellStyles>
  <dxfs count="0"/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hevault.kwhydro.ca/cos/Shared%20Documents/2019-Filing-Requirements-Chapter2-Appendices-201904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_Requested_Approval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16">
          <cell r="E16" t="str">
            <v>EB-2019-0049</v>
          </cell>
        </row>
        <row r="24">
          <cell r="E24">
            <v>2020</v>
          </cell>
        </row>
        <row r="28">
          <cell r="E28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H1" t="str">
            <v>EB-2019-0049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03"/>
  <sheetViews>
    <sheetView topLeftCell="G1" workbookViewId="0">
      <selection activeCell="N1" sqref="N1:V22"/>
    </sheetView>
  </sheetViews>
  <sheetFormatPr defaultRowHeight="12.75" x14ac:dyDescent="0.2"/>
  <cols>
    <col min="1" max="1" width="9.7109375" style="7" customWidth="1"/>
    <col min="2" max="2" width="14" style="13" bestFit="1" customWidth="1"/>
    <col min="3" max="3" width="11.140625" style="13" bestFit="1" customWidth="1"/>
    <col min="4" max="5" width="11.140625" style="13" customWidth="1"/>
    <col min="6" max="6" width="15" style="13" bestFit="1" customWidth="1"/>
    <col min="7" max="7" width="10.5703125" style="13" customWidth="1"/>
    <col min="8" max="8" width="10.5703125" style="16" customWidth="1"/>
    <col min="9" max="9" width="11.7109375" customWidth="1"/>
    <col min="10" max="10" width="12.5703125" style="10" bestFit="1" customWidth="1"/>
    <col min="11" max="11" width="9.140625" style="10" customWidth="1"/>
    <col min="12" max="12" width="15" style="10" bestFit="1" customWidth="1"/>
    <col min="13" max="13" width="10.7109375" style="7" customWidth="1"/>
    <col min="14" max="14" width="25.7109375" style="10" customWidth="1"/>
    <col min="15" max="15" width="13.140625" bestFit="1" customWidth="1"/>
    <col min="16" max="16" width="13.7109375" customWidth="1"/>
    <col min="17" max="17" width="12.5703125" bestFit="1" customWidth="1"/>
    <col min="18" max="18" width="12.42578125" customWidth="1"/>
    <col min="19" max="19" width="13.5703125" customWidth="1"/>
    <col min="20" max="22" width="12.5703125" customWidth="1"/>
  </cols>
  <sheetData>
    <row r="1" spans="1:22" ht="38.25" x14ac:dyDescent="0.2">
      <c r="B1" s="11" t="s">
        <v>7</v>
      </c>
      <c r="C1" s="11" t="s">
        <v>6</v>
      </c>
      <c r="D1" s="12" t="s">
        <v>8</v>
      </c>
      <c r="E1" s="12" t="s">
        <v>37</v>
      </c>
      <c r="F1" s="11" t="s">
        <v>9</v>
      </c>
      <c r="G1" s="15" t="s">
        <v>0</v>
      </c>
      <c r="H1" s="4" t="s">
        <v>1</v>
      </c>
      <c r="I1" s="4" t="s">
        <v>2</v>
      </c>
      <c r="J1" s="4" t="s">
        <v>4</v>
      </c>
      <c r="K1" s="4" t="s">
        <v>5</v>
      </c>
      <c r="L1" s="4" t="s">
        <v>10</v>
      </c>
      <c r="M1" s="18" t="s">
        <v>11</v>
      </c>
      <c r="N1" s="184" t="s">
        <v>12</v>
      </c>
      <c r="O1" s="184"/>
      <c r="P1" s="184"/>
      <c r="Q1" s="184"/>
      <c r="R1" s="184"/>
      <c r="S1" s="184"/>
      <c r="T1" s="184"/>
      <c r="U1" s="184"/>
      <c r="V1" s="184"/>
    </row>
    <row r="2" spans="1:22" ht="13.5" thickBot="1" x14ac:dyDescent="0.25">
      <c r="A2" s="8">
        <v>39814</v>
      </c>
      <c r="B2" s="19">
        <v>176131307</v>
      </c>
      <c r="C2" s="19">
        <v>2752418.6880000005</v>
      </c>
      <c r="D2" s="19">
        <v>-4618860.0957923001</v>
      </c>
      <c r="E2" s="19">
        <v>-785405.01340000005</v>
      </c>
      <c r="F2" s="19">
        <f>ROUND((SUM(B2:E2)),4)</f>
        <v>173479460.57879999</v>
      </c>
      <c r="G2" s="20">
        <v>891.19999999999993</v>
      </c>
      <c r="H2" s="20">
        <v>0</v>
      </c>
      <c r="I2" s="3">
        <v>31</v>
      </c>
      <c r="J2" s="3">
        <v>0</v>
      </c>
      <c r="K2" s="3">
        <v>336</v>
      </c>
      <c r="L2" s="3">
        <f>ROUND(($O$17+G2*$O$18+H2*$O$19+I2*$O$20+J2*$O$21+K2*$O$22),4)</f>
        <v>171641130.2999</v>
      </c>
      <c r="M2" s="21">
        <f t="shared" ref="M2:M33" si="0">IFERROR((ABS(L2/F2-1)),0)</f>
        <v>1.0596818048468459E-2</v>
      </c>
      <c r="N2" s="184"/>
      <c r="O2" s="184"/>
      <c r="P2" s="184"/>
      <c r="Q2" s="184"/>
      <c r="R2" s="184"/>
      <c r="S2" s="184"/>
      <c r="T2" s="184"/>
      <c r="U2" s="184"/>
      <c r="V2" s="184"/>
    </row>
    <row r="3" spans="1:22" x14ac:dyDescent="0.2">
      <c r="A3" s="8">
        <v>39845</v>
      </c>
      <c r="B3" s="19">
        <v>151717789</v>
      </c>
      <c r="C3" s="19">
        <v>2657941.1345000002</v>
      </c>
      <c r="D3" s="19">
        <v>-4605189.704167909</v>
      </c>
      <c r="E3" s="19">
        <v>-693134.23435000004</v>
      </c>
      <c r="F3" s="19">
        <f t="shared" ref="F3:F66" si="1">ROUND((SUM(B3:E3)),4)</f>
        <v>149077406.19600001</v>
      </c>
      <c r="G3" s="20">
        <v>649.19999999999982</v>
      </c>
      <c r="H3" s="20">
        <v>0</v>
      </c>
      <c r="I3" s="3">
        <v>29</v>
      </c>
      <c r="J3" s="3">
        <v>0</v>
      </c>
      <c r="K3" s="3">
        <v>304</v>
      </c>
      <c r="L3" s="3">
        <f t="shared" ref="L3:L66" si="2">ROUND(($O$17+G3*$O$18+H3*$O$19+I3*$O$20+J3*$O$21+K3*$O$22),4)</f>
        <v>152411742.5614</v>
      </c>
      <c r="M3" s="21">
        <f t="shared" si="0"/>
        <v>2.2366476922841994E-2</v>
      </c>
      <c r="N3" s="185" t="s">
        <v>13</v>
      </c>
      <c r="O3" s="185"/>
      <c r="P3" s="184"/>
      <c r="Q3" s="184"/>
      <c r="R3" s="184"/>
      <c r="S3" s="184"/>
      <c r="T3" s="184"/>
      <c r="U3" s="184"/>
      <c r="V3" s="184"/>
    </row>
    <row r="4" spans="1:22" x14ac:dyDescent="0.2">
      <c r="A4" s="8">
        <v>39873</v>
      </c>
      <c r="B4" s="19">
        <v>156553861</v>
      </c>
      <c r="C4" s="19">
        <v>3106254.229499998</v>
      </c>
      <c r="D4" s="19">
        <v>-4587064.9101760667</v>
      </c>
      <c r="E4" s="19">
        <v>-723686.31819999998</v>
      </c>
      <c r="F4" s="19">
        <f t="shared" si="1"/>
        <v>154349364.0011</v>
      </c>
      <c r="G4" s="20">
        <v>562.49999999999989</v>
      </c>
      <c r="H4" s="20">
        <v>0</v>
      </c>
      <c r="I4" s="3">
        <v>31</v>
      </c>
      <c r="J4" s="3">
        <v>1</v>
      </c>
      <c r="K4" s="3">
        <v>352</v>
      </c>
      <c r="L4" s="3">
        <f t="shared" si="2"/>
        <v>154018439.78510001</v>
      </c>
      <c r="M4" s="21">
        <f t="shared" si="0"/>
        <v>2.143994684666306E-3</v>
      </c>
      <c r="N4" s="186" t="s">
        <v>14</v>
      </c>
      <c r="O4" s="186">
        <v>0.95750923560950185</v>
      </c>
      <c r="P4" s="184"/>
      <c r="Q4" s="184"/>
      <c r="R4" s="184"/>
      <c r="S4" s="184"/>
      <c r="T4" s="184"/>
      <c r="U4" s="184"/>
      <c r="V4" s="184"/>
    </row>
    <row r="5" spans="1:22" x14ac:dyDescent="0.2">
      <c r="A5" s="8">
        <v>39904</v>
      </c>
      <c r="B5" s="19">
        <v>138889187</v>
      </c>
      <c r="C5" s="19">
        <v>3087874.5715000001</v>
      </c>
      <c r="D5" s="19">
        <v>-4230042.9078881927</v>
      </c>
      <c r="E5" s="19">
        <v>-556702.9828</v>
      </c>
      <c r="F5" s="19">
        <f t="shared" si="1"/>
        <v>137190315.68079999</v>
      </c>
      <c r="G5" s="20">
        <v>342.5</v>
      </c>
      <c r="H5" s="20">
        <v>3.2</v>
      </c>
      <c r="I5" s="3">
        <v>30</v>
      </c>
      <c r="J5" s="3">
        <v>1</v>
      </c>
      <c r="K5" s="3">
        <v>336</v>
      </c>
      <c r="L5" s="3">
        <f t="shared" si="2"/>
        <v>141665813.3628</v>
      </c>
      <c r="M5" s="21">
        <f t="shared" si="0"/>
        <v>3.2622548171790333E-2</v>
      </c>
      <c r="N5" s="186" t="s">
        <v>15</v>
      </c>
      <c r="O5" s="186">
        <v>0.91682393627749248</v>
      </c>
      <c r="P5" s="184"/>
      <c r="Q5" s="184"/>
      <c r="R5" s="184"/>
      <c r="S5" s="184"/>
      <c r="T5" s="184"/>
      <c r="U5" s="184"/>
      <c r="V5" s="184"/>
    </row>
    <row r="6" spans="1:22" x14ac:dyDescent="0.2">
      <c r="A6" s="8">
        <v>39934</v>
      </c>
      <c r="B6" s="19">
        <v>134434411</v>
      </c>
      <c r="C6" s="19">
        <v>3609398.8567999974</v>
      </c>
      <c r="D6" s="19">
        <v>-4064522.5252163527</v>
      </c>
      <c r="E6" s="19">
        <v>-516499.41210000002</v>
      </c>
      <c r="F6" s="19">
        <f t="shared" si="1"/>
        <v>133462787.91949999</v>
      </c>
      <c r="G6" s="20">
        <v>193.1</v>
      </c>
      <c r="H6" s="20">
        <v>2.2999999999999998</v>
      </c>
      <c r="I6" s="3">
        <v>31</v>
      </c>
      <c r="J6" s="3">
        <v>1</v>
      </c>
      <c r="K6" s="3">
        <v>320</v>
      </c>
      <c r="L6" s="3">
        <f t="shared" si="2"/>
        <v>137779727.27720001</v>
      </c>
      <c r="M6" s="21">
        <f t="shared" si="0"/>
        <v>3.2345640496464378E-2</v>
      </c>
      <c r="N6" s="186" t="s">
        <v>16</v>
      </c>
      <c r="O6" s="186">
        <v>0.91317586330720713</v>
      </c>
      <c r="P6" s="184"/>
      <c r="Q6" s="184"/>
      <c r="R6" s="184"/>
      <c r="S6" s="184"/>
      <c r="T6" s="184"/>
      <c r="U6" s="184"/>
      <c r="V6" s="184"/>
    </row>
    <row r="7" spans="1:22" x14ac:dyDescent="0.2">
      <c r="A7" s="8">
        <v>39965</v>
      </c>
      <c r="B7" s="19">
        <v>142548339</v>
      </c>
      <c r="C7" s="19">
        <v>3450522.0456000012</v>
      </c>
      <c r="D7" s="19">
        <v>-4201125.7302297819</v>
      </c>
      <c r="E7" s="19">
        <v>-532049.93720000004</v>
      </c>
      <c r="F7" s="19">
        <f t="shared" si="1"/>
        <v>141265685.37819999</v>
      </c>
      <c r="G7" s="20">
        <v>76.400000000000006</v>
      </c>
      <c r="H7" s="20">
        <v>26.100000000000005</v>
      </c>
      <c r="I7" s="3">
        <v>30</v>
      </c>
      <c r="J7" s="3">
        <v>0</v>
      </c>
      <c r="K7" s="3">
        <v>352</v>
      </c>
      <c r="L7" s="3">
        <f t="shared" si="2"/>
        <v>146639979.30090001</v>
      </c>
      <c r="M7" s="21">
        <f t="shared" si="0"/>
        <v>3.8043873912562809E-2</v>
      </c>
      <c r="N7" s="186" t="s">
        <v>17</v>
      </c>
      <c r="O7" s="186">
        <v>3387100.3695155997</v>
      </c>
      <c r="P7" s="184"/>
      <c r="Q7" s="184"/>
      <c r="R7" s="184"/>
      <c r="S7" s="184"/>
      <c r="T7" s="184"/>
      <c r="U7" s="184"/>
      <c r="V7" s="184"/>
    </row>
    <row r="8" spans="1:22" ht="13.5" thickBot="1" x14ac:dyDescent="0.25">
      <c r="A8" s="8">
        <v>39995</v>
      </c>
      <c r="B8" s="19">
        <v>143270941</v>
      </c>
      <c r="C8" s="19">
        <v>3581700.7952999985</v>
      </c>
      <c r="D8" s="19">
        <v>-4185228.1150900223</v>
      </c>
      <c r="E8" s="19">
        <v>-555944.3726</v>
      </c>
      <c r="F8" s="19">
        <f t="shared" si="1"/>
        <v>142111469.30759999</v>
      </c>
      <c r="G8" s="20">
        <v>38.4</v>
      </c>
      <c r="H8" s="20">
        <v>14.2</v>
      </c>
      <c r="I8" s="3">
        <v>31</v>
      </c>
      <c r="J8" s="3">
        <v>0</v>
      </c>
      <c r="K8" s="3">
        <v>352</v>
      </c>
      <c r="L8" s="3">
        <f t="shared" si="2"/>
        <v>144296279.42340001</v>
      </c>
      <c r="M8" s="21">
        <f t="shared" si="0"/>
        <v>1.5373918280100263E-2</v>
      </c>
      <c r="N8" s="187" t="s">
        <v>18</v>
      </c>
      <c r="O8" s="187">
        <v>120</v>
      </c>
      <c r="P8" s="184"/>
      <c r="Q8" s="184"/>
      <c r="R8" s="184"/>
      <c r="S8" s="184"/>
      <c r="T8" s="184"/>
      <c r="U8" s="184"/>
      <c r="V8" s="184"/>
    </row>
    <row r="9" spans="1:22" x14ac:dyDescent="0.2">
      <c r="A9" s="8">
        <v>40026</v>
      </c>
      <c r="B9" s="19">
        <v>157674451</v>
      </c>
      <c r="C9" s="19">
        <v>3670762.8702999996</v>
      </c>
      <c r="D9" s="19">
        <v>-4413158.5285984278</v>
      </c>
      <c r="E9" s="19">
        <v>-588278.02560000005</v>
      </c>
      <c r="F9" s="19">
        <f t="shared" si="1"/>
        <v>156343777.3161</v>
      </c>
      <c r="G9" s="20">
        <v>35.1</v>
      </c>
      <c r="H9" s="20">
        <v>56.9</v>
      </c>
      <c r="I9" s="3">
        <v>31</v>
      </c>
      <c r="J9" s="3">
        <v>0</v>
      </c>
      <c r="K9" s="3">
        <v>320</v>
      </c>
      <c r="L9" s="3">
        <f t="shared" si="2"/>
        <v>157631286.5891</v>
      </c>
      <c r="M9" s="21">
        <f t="shared" si="0"/>
        <v>8.2351168374092953E-3</v>
      </c>
      <c r="N9" s="184"/>
      <c r="O9" s="184"/>
      <c r="P9" s="184"/>
      <c r="Q9" s="184"/>
      <c r="R9" s="184"/>
      <c r="S9" s="184"/>
      <c r="T9" s="184"/>
      <c r="U9" s="184"/>
      <c r="V9" s="184"/>
    </row>
    <row r="10" spans="1:22" ht="13.5" thickBot="1" x14ac:dyDescent="0.25">
      <c r="A10" s="8">
        <v>40057</v>
      </c>
      <c r="B10" s="19">
        <v>140458615</v>
      </c>
      <c r="C10" s="19">
        <v>3470622.5299999984</v>
      </c>
      <c r="D10" s="19">
        <v>-3392971.3306475678</v>
      </c>
      <c r="E10" s="19">
        <v>-738936.8493</v>
      </c>
      <c r="F10" s="19">
        <f t="shared" si="1"/>
        <v>139797329.35010001</v>
      </c>
      <c r="G10" s="20">
        <v>99.5</v>
      </c>
      <c r="H10" s="20">
        <v>5.4</v>
      </c>
      <c r="I10" s="3">
        <v>30</v>
      </c>
      <c r="J10" s="3">
        <v>1</v>
      </c>
      <c r="K10" s="3">
        <v>336</v>
      </c>
      <c r="L10" s="3">
        <f t="shared" si="2"/>
        <v>132839991.22570001</v>
      </c>
      <c r="M10" s="21">
        <f t="shared" si="0"/>
        <v>4.9767317850375137E-2</v>
      </c>
      <c r="N10" s="184" t="s">
        <v>19</v>
      </c>
      <c r="O10" s="184"/>
      <c r="P10" s="184"/>
      <c r="Q10" s="184"/>
      <c r="R10" s="184"/>
      <c r="S10" s="184"/>
      <c r="T10" s="184"/>
      <c r="U10" s="184"/>
      <c r="V10" s="184"/>
    </row>
    <row r="11" spans="1:22" x14ac:dyDescent="0.2">
      <c r="A11" s="8">
        <v>40087</v>
      </c>
      <c r="B11" s="19">
        <v>145285176</v>
      </c>
      <c r="C11" s="19">
        <v>3644924.338</v>
      </c>
      <c r="D11" s="19">
        <v>-3132638.5106933252</v>
      </c>
      <c r="E11" s="19">
        <v>-750309.89509999997</v>
      </c>
      <c r="F11" s="19">
        <f t="shared" si="1"/>
        <v>145047151.93220001</v>
      </c>
      <c r="G11" s="20">
        <v>329.6</v>
      </c>
      <c r="H11" s="20">
        <v>0</v>
      </c>
      <c r="I11" s="3">
        <v>31</v>
      </c>
      <c r="J11" s="3">
        <v>1</v>
      </c>
      <c r="K11" s="3">
        <v>336</v>
      </c>
      <c r="L11" s="3">
        <f t="shared" si="2"/>
        <v>143557766.9237</v>
      </c>
      <c r="M11" s="21">
        <f t="shared" si="0"/>
        <v>1.026828164951632E-2</v>
      </c>
      <c r="N11" s="188"/>
      <c r="O11" s="188" t="s">
        <v>23</v>
      </c>
      <c r="P11" s="188" t="s">
        <v>24</v>
      </c>
      <c r="Q11" s="188" t="s">
        <v>25</v>
      </c>
      <c r="R11" s="188" t="s">
        <v>26</v>
      </c>
      <c r="S11" s="188" t="s">
        <v>27</v>
      </c>
      <c r="T11" s="184"/>
      <c r="U11" s="184"/>
      <c r="V11" s="184"/>
    </row>
    <row r="12" spans="1:22" x14ac:dyDescent="0.2">
      <c r="A12" s="8">
        <v>40118</v>
      </c>
      <c r="B12" s="19">
        <v>145607812</v>
      </c>
      <c r="C12" s="19">
        <v>3580102.0979999984</v>
      </c>
      <c r="D12" s="19">
        <v>-3160286.5095991245</v>
      </c>
      <c r="E12" s="19">
        <v>-839354.22715000005</v>
      </c>
      <c r="F12" s="19">
        <f t="shared" si="1"/>
        <v>145188273.36129999</v>
      </c>
      <c r="G12" s="20">
        <v>397.2</v>
      </c>
      <c r="H12" s="20">
        <v>0</v>
      </c>
      <c r="I12" s="3">
        <v>30</v>
      </c>
      <c r="J12" s="3">
        <v>1</v>
      </c>
      <c r="K12" s="3">
        <v>336</v>
      </c>
      <c r="L12" s="3">
        <f t="shared" si="2"/>
        <v>142645422.1582</v>
      </c>
      <c r="M12" s="21">
        <f t="shared" si="0"/>
        <v>1.7514163811096051E-2</v>
      </c>
      <c r="N12" s="186" t="s">
        <v>20</v>
      </c>
      <c r="O12" s="186">
        <v>5</v>
      </c>
      <c r="P12" s="186">
        <v>1.441612579708694E+16</v>
      </c>
      <c r="Q12" s="186">
        <v>2883225159417388</v>
      </c>
      <c r="R12" s="186">
        <v>251.31732389820081</v>
      </c>
      <c r="S12" s="186">
        <v>8.1031129812631191E-60</v>
      </c>
      <c r="T12" s="184"/>
      <c r="U12" s="184"/>
      <c r="V12" s="184"/>
    </row>
    <row r="13" spans="1:22" x14ac:dyDescent="0.2">
      <c r="A13" s="9">
        <v>40148</v>
      </c>
      <c r="B13" s="22">
        <v>166545329</v>
      </c>
      <c r="C13" s="22">
        <v>3573132.4719999991</v>
      </c>
      <c r="D13" s="22">
        <v>-2961657.6968069235</v>
      </c>
      <c r="E13" s="22">
        <v>-944279.12340000004</v>
      </c>
      <c r="F13" s="22">
        <f t="shared" si="1"/>
        <v>166212524.65180001</v>
      </c>
      <c r="G13" s="23">
        <v>669.0999999999998</v>
      </c>
      <c r="H13" s="23">
        <v>0</v>
      </c>
      <c r="I13" s="5">
        <v>31</v>
      </c>
      <c r="J13" s="5">
        <v>0</v>
      </c>
      <c r="K13" s="5">
        <v>352</v>
      </c>
      <c r="L13" s="5">
        <f t="shared" si="2"/>
        <v>164042270.21020001</v>
      </c>
      <c r="M13" s="24">
        <f t="shared" si="0"/>
        <v>1.3057105330338215E-2</v>
      </c>
      <c r="N13" s="186" t="s">
        <v>21</v>
      </c>
      <c r="O13" s="186">
        <v>114</v>
      </c>
      <c r="P13" s="186">
        <v>1307859176101689</v>
      </c>
      <c r="Q13" s="186">
        <v>11472448913172.711</v>
      </c>
      <c r="R13" s="186"/>
      <c r="S13" s="186"/>
      <c r="T13" s="184"/>
      <c r="U13" s="184"/>
      <c r="V13" s="184"/>
    </row>
    <row r="14" spans="1:22" ht="13.5" thickBot="1" x14ac:dyDescent="0.25">
      <c r="A14" s="8">
        <v>40179</v>
      </c>
      <c r="B14" s="19">
        <v>171587069</v>
      </c>
      <c r="C14" s="19">
        <v>3440713.6663000002</v>
      </c>
      <c r="D14" s="19">
        <v>-3178161.703173182</v>
      </c>
      <c r="E14" s="19">
        <v>-764788.05149999994</v>
      </c>
      <c r="F14" s="19">
        <f t="shared" si="1"/>
        <v>171084832.91159999</v>
      </c>
      <c r="G14" s="20">
        <v>752.49999999999989</v>
      </c>
      <c r="H14" s="20">
        <v>0</v>
      </c>
      <c r="I14" s="3">
        <v>31</v>
      </c>
      <c r="J14" s="3">
        <v>0</v>
      </c>
      <c r="K14" s="3">
        <v>320</v>
      </c>
      <c r="L14" s="3">
        <f t="shared" si="2"/>
        <v>164919376.1286</v>
      </c>
      <c r="M14" s="21">
        <f t="shared" si="0"/>
        <v>3.6037424697873188E-2</v>
      </c>
      <c r="N14" s="187" t="s">
        <v>3</v>
      </c>
      <c r="O14" s="187">
        <v>119</v>
      </c>
      <c r="P14" s="187">
        <v>1.5723984973188628E+16</v>
      </c>
      <c r="Q14" s="187"/>
      <c r="R14" s="187"/>
      <c r="S14" s="187"/>
      <c r="T14" s="184"/>
      <c r="U14" s="184"/>
      <c r="V14" s="184"/>
    </row>
    <row r="15" spans="1:22" ht="13.5" thickBot="1" x14ac:dyDescent="0.25">
      <c r="A15" s="8">
        <v>40210</v>
      </c>
      <c r="B15" s="19">
        <v>152386226</v>
      </c>
      <c r="C15" s="19">
        <v>3088616.9045000002</v>
      </c>
      <c r="D15" s="19">
        <v>-2750443.2864816473</v>
      </c>
      <c r="E15" s="19">
        <v>-749367.53610000003</v>
      </c>
      <c r="F15" s="19">
        <f t="shared" si="1"/>
        <v>151975032.0819</v>
      </c>
      <c r="G15" s="20">
        <v>643.60000000000014</v>
      </c>
      <c r="H15" s="20">
        <v>0</v>
      </c>
      <c r="I15" s="3">
        <v>28</v>
      </c>
      <c r="J15" s="3">
        <v>0</v>
      </c>
      <c r="K15" s="3">
        <v>304</v>
      </c>
      <c r="L15" s="3">
        <f t="shared" si="2"/>
        <v>148593996.01120001</v>
      </c>
      <c r="M15" s="21">
        <f t="shared" si="0"/>
        <v>2.2247312761730087E-2</v>
      </c>
      <c r="N15" s="184"/>
      <c r="O15" s="184"/>
      <c r="P15" s="184"/>
      <c r="Q15" s="184"/>
      <c r="R15" s="184"/>
      <c r="S15" s="184"/>
      <c r="T15" s="184"/>
      <c r="U15" s="184"/>
      <c r="V15" s="184"/>
    </row>
    <row r="16" spans="1:22" x14ac:dyDescent="0.2">
      <c r="A16" s="8">
        <v>40238</v>
      </c>
      <c r="B16" s="19">
        <v>152881624</v>
      </c>
      <c r="C16" s="19">
        <v>3388526.2657999997</v>
      </c>
      <c r="D16" s="19">
        <v>-3251380.9041082263</v>
      </c>
      <c r="E16" s="19">
        <v>-686220.38714999997</v>
      </c>
      <c r="F16" s="19">
        <f t="shared" si="1"/>
        <v>152332548.9745</v>
      </c>
      <c r="G16" s="20">
        <v>471.20000000000005</v>
      </c>
      <c r="H16" s="20">
        <v>0</v>
      </c>
      <c r="I16" s="3">
        <v>31</v>
      </c>
      <c r="J16" s="3">
        <v>1</v>
      </c>
      <c r="K16" s="3">
        <v>368</v>
      </c>
      <c r="L16" s="3">
        <f t="shared" si="2"/>
        <v>151611199.27779999</v>
      </c>
      <c r="M16" s="21">
        <f t="shared" si="0"/>
        <v>4.7353615596674725E-3</v>
      </c>
      <c r="N16" s="188"/>
      <c r="O16" s="188" t="s">
        <v>28</v>
      </c>
      <c r="P16" s="188" t="s">
        <v>17</v>
      </c>
      <c r="Q16" s="188" t="s">
        <v>29</v>
      </c>
      <c r="R16" s="188" t="s">
        <v>30</v>
      </c>
      <c r="S16" s="188" t="s">
        <v>31</v>
      </c>
      <c r="T16" s="188" t="s">
        <v>32</v>
      </c>
      <c r="U16" s="188" t="s">
        <v>33</v>
      </c>
      <c r="V16" s="188" t="s">
        <v>34</v>
      </c>
    </row>
    <row r="17" spans="1:22" x14ac:dyDescent="0.2">
      <c r="A17" s="8">
        <v>40269</v>
      </c>
      <c r="B17" s="19">
        <v>134783810</v>
      </c>
      <c r="C17" s="19">
        <v>3474388.0158000002</v>
      </c>
      <c r="D17" s="19">
        <v>-3017908.9010245698</v>
      </c>
      <c r="E17" s="19">
        <v>-582020.12769999995</v>
      </c>
      <c r="F17" s="19">
        <f t="shared" si="1"/>
        <v>134658268.98710001</v>
      </c>
      <c r="G17" s="20">
        <v>264.89999999999998</v>
      </c>
      <c r="H17" s="20">
        <v>0</v>
      </c>
      <c r="I17" s="3">
        <v>30</v>
      </c>
      <c r="J17" s="3">
        <v>1</v>
      </c>
      <c r="K17" s="3">
        <v>336</v>
      </c>
      <c r="L17" s="3">
        <f t="shared" si="2"/>
        <v>137394265.6539</v>
      </c>
      <c r="M17" s="21">
        <f t="shared" si="0"/>
        <v>2.0318073946592241E-2</v>
      </c>
      <c r="N17" s="186" t="s">
        <v>22</v>
      </c>
      <c r="O17" s="186">
        <v>-739518.96612393856</v>
      </c>
      <c r="P17" s="186">
        <v>12513775.162570952</v>
      </c>
      <c r="Q17" s="186">
        <v>-5.9096392297015236E-2</v>
      </c>
      <c r="R17" s="186">
        <v>0.95297880088331821</v>
      </c>
      <c r="S17" s="186">
        <v>-25529211.181778606</v>
      </c>
      <c r="T17" s="186">
        <v>24050173.249530729</v>
      </c>
      <c r="U17" s="186">
        <v>-25529211.181778606</v>
      </c>
      <c r="V17" s="186">
        <v>24050173.249530729</v>
      </c>
    </row>
    <row r="18" spans="1:22" x14ac:dyDescent="0.2">
      <c r="A18" s="8">
        <v>40299</v>
      </c>
      <c r="B18" s="19">
        <v>147558538</v>
      </c>
      <c r="C18" s="19">
        <v>3554303.75</v>
      </c>
      <c r="D18" s="19">
        <v>-3078009.7094399678</v>
      </c>
      <c r="E18" s="19">
        <v>-519806.41310000001</v>
      </c>
      <c r="F18" s="19">
        <f t="shared" si="1"/>
        <v>147515025.6275</v>
      </c>
      <c r="G18" s="20">
        <v>145.1</v>
      </c>
      <c r="H18" s="20">
        <v>20.6</v>
      </c>
      <c r="I18" s="3">
        <v>31</v>
      </c>
      <c r="J18" s="3">
        <v>1</v>
      </c>
      <c r="K18" s="3">
        <v>320</v>
      </c>
      <c r="L18" s="3">
        <f t="shared" si="2"/>
        <v>142688460.91980001</v>
      </c>
      <c r="M18" s="21">
        <f t="shared" si="0"/>
        <v>3.2719139539641673E-2</v>
      </c>
      <c r="N18" s="186" t="s">
        <v>0</v>
      </c>
      <c r="O18" s="186">
        <v>39691.281211329675</v>
      </c>
      <c r="P18" s="186">
        <v>1800.0709539761579</v>
      </c>
      <c r="Q18" s="186">
        <v>22.049842604068477</v>
      </c>
      <c r="R18" s="186">
        <v>6.2847904782183465E-43</v>
      </c>
      <c r="S18" s="186">
        <v>36125.354515692845</v>
      </c>
      <c r="T18" s="186">
        <v>43257.207906966505</v>
      </c>
      <c r="U18" s="186">
        <v>36125.354515692845</v>
      </c>
      <c r="V18" s="186">
        <v>43257.207906966505</v>
      </c>
    </row>
    <row r="19" spans="1:22" x14ac:dyDescent="0.2">
      <c r="A19" s="8">
        <v>40330</v>
      </c>
      <c r="B19" s="19">
        <v>152085417</v>
      </c>
      <c r="C19" s="19">
        <v>3365360.0581</v>
      </c>
      <c r="D19" s="19">
        <v>-3356870.5179548389</v>
      </c>
      <c r="E19" s="19">
        <v>-534542.54535000003</v>
      </c>
      <c r="F19" s="19">
        <f t="shared" si="1"/>
        <v>151559363.9948</v>
      </c>
      <c r="G19" s="20">
        <v>38.5</v>
      </c>
      <c r="H19" s="20">
        <v>31.900000000000002</v>
      </c>
      <c r="I19" s="3">
        <v>30</v>
      </c>
      <c r="J19" s="3">
        <v>0</v>
      </c>
      <c r="K19" s="3">
        <v>352</v>
      </c>
      <c r="L19" s="3">
        <f t="shared" si="2"/>
        <v>147295281.26300001</v>
      </c>
      <c r="M19" s="21">
        <f t="shared" si="0"/>
        <v>2.8134736247285241E-2</v>
      </c>
      <c r="N19" s="186" t="s">
        <v>1</v>
      </c>
      <c r="O19" s="186">
        <v>372345.0896582767</v>
      </c>
      <c r="P19" s="186">
        <v>17827.615934597408</v>
      </c>
      <c r="Q19" s="186">
        <v>20.885859950330211</v>
      </c>
      <c r="R19" s="186">
        <v>9.016113568659065E-41</v>
      </c>
      <c r="S19" s="186">
        <v>337028.71980056755</v>
      </c>
      <c r="T19" s="186">
        <v>407661.45951598586</v>
      </c>
      <c r="U19" s="186">
        <v>337028.71980056755</v>
      </c>
      <c r="V19" s="186">
        <v>407661.45951598586</v>
      </c>
    </row>
    <row r="20" spans="1:22" x14ac:dyDescent="0.2">
      <c r="A20" s="8">
        <v>40360</v>
      </c>
      <c r="B20" s="19">
        <v>173774673</v>
      </c>
      <c r="C20" s="19">
        <v>3414396.3319999999</v>
      </c>
      <c r="D20" s="19">
        <v>-3773577.7383865509</v>
      </c>
      <c r="E20" s="19">
        <v>-557932.38124999998</v>
      </c>
      <c r="F20" s="19">
        <f t="shared" si="1"/>
        <v>172857559.21239999</v>
      </c>
      <c r="G20" s="20">
        <v>9.1999999999999993</v>
      </c>
      <c r="H20" s="20">
        <v>105.19999999999999</v>
      </c>
      <c r="I20" s="3">
        <v>31</v>
      </c>
      <c r="J20" s="3">
        <v>0</v>
      </c>
      <c r="K20" s="3">
        <v>336</v>
      </c>
      <c r="L20" s="3">
        <f t="shared" si="2"/>
        <v>175804123.70359999</v>
      </c>
      <c r="M20" s="21">
        <f t="shared" si="0"/>
        <v>1.7046199799566786E-2</v>
      </c>
      <c r="N20" s="186" t="s">
        <v>2</v>
      </c>
      <c r="O20" s="186">
        <v>3595475.3753885133</v>
      </c>
      <c r="P20" s="186">
        <v>444404.74706460175</v>
      </c>
      <c r="Q20" s="186">
        <v>8.0905422346126521</v>
      </c>
      <c r="R20" s="186">
        <v>7.1300473078448835E-13</v>
      </c>
      <c r="S20" s="186">
        <v>2715112.9942696271</v>
      </c>
      <c r="T20" s="186">
        <v>4475837.7565073995</v>
      </c>
      <c r="U20" s="186">
        <v>2715112.9942696271</v>
      </c>
      <c r="V20" s="186">
        <v>4475837.7565073995</v>
      </c>
    </row>
    <row r="21" spans="1:22" x14ac:dyDescent="0.2">
      <c r="A21" s="8">
        <v>40391</v>
      </c>
      <c r="B21" s="19">
        <v>169918494</v>
      </c>
      <c r="C21" s="19">
        <v>3110959.2243999997</v>
      </c>
      <c r="D21" s="19">
        <v>-3919905.7352034212</v>
      </c>
      <c r="E21" s="19">
        <v>-569676.21519999998</v>
      </c>
      <c r="F21" s="19">
        <f t="shared" si="1"/>
        <v>168539871.27399999</v>
      </c>
      <c r="G21" s="20">
        <v>12.900000000000002</v>
      </c>
      <c r="H21" s="20">
        <v>85.1</v>
      </c>
      <c r="I21" s="3">
        <v>31</v>
      </c>
      <c r="J21" s="3">
        <v>0</v>
      </c>
      <c r="K21" s="3">
        <v>336</v>
      </c>
      <c r="L21" s="3">
        <f t="shared" si="2"/>
        <v>168466845.1419</v>
      </c>
      <c r="M21" s="21">
        <f t="shared" si="0"/>
        <v>4.332869815787399E-4</v>
      </c>
      <c r="N21" s="186" t="s">
        <v>4</v>
      </c>
      <c r="O21" s="186">
        <v>-5792739.8479684666</v>
      </c>
      <c r="P21" s="186">
        <v>774942.01628351782</v>
      </c>
      <c r="Q21" s="186">
        <v>-7.4750622965953015</v>
      </c>
      <c r="R21" s="186">
        <v>1.708531994074668E-11</v>
      </c>
      <c r="S21" s="186">
        <v>-7327894.0136039983</v>
      </c>
      <c r="T21" s="186">
        <v>-4257585.6823329348</v>
      </c>
      <c r="U21" s="186">
        <v>-7327894.0136039983</v>
      </c>
      <c r="V21" s="186">
        <v>-4257585.6823329348</v>
      </c>
    </row>
    <row r="22" spans="1:22" ht="13.5" thickBot="1" x14ac:dyDescent="0.25">
      <c r="A22" s="8">
        <v>40422</v>
      </c>
      <c r="B22" s="19">
        <v>141552978</v>
      </c>
      <c r="C22" s="19">
        <v>3138948.3831999996</v>
      </c>
      <c r="D22" s="19">
        <v>-3317452.9174375804</v>
      </c>
      <c r="E22" s="19">
        <v>-765009.28940000001</v>
      </c>
      <c r="F22" s="19">
        <f t="shared" si="1"/>
        <v>140609464.17640001</v>
      </c>
      <c r="G22" s="20">
        <v>123.2</v>
      </c>
      <c r="H22" s="20">
        <v>23.2</v>
      </c>
      <c r="I22" s="3">
        <v>30</v>
      </c>
      <c r="J22" s="3">
        <v>1</v>
      </c>
      <c r="K22" s="3">
        <v>336</v>
      </c>
      <c r="L22" s="3">
        <f t="shared" si="2"/>
        <v>140408417.18630001</v>
      </c>
      <c r="M22" s="21">
        <f t="shared" si="0"/>
        <v>1.4298254479355732E-3</v>
      </c>
      <c r="N22" s="187" t="s">
        <v>5</v>
      </c>
      <c r="O22" s="187">
        <v>76035.841706726045</v>
      </c>
      <c r="P22" s="187">
        <v>20873.245074604569</v>
      </c>
      <c r="Q22" s="187">
        <v>3.6427417699050082</v>
      </c>
      <c r="R22" s="187">
        <v>4.0738917201262818E-4</v>
      </c>
      <c r="S22" s="187">
        <v>34686.103980171843</v>
      </c>
      <c r="T22" s="187">
        <v>117385.57943328025</v>
      </c>
      <c r="U22" s="187">
        <v>34686.103980171843</v>
      </c>
      <c r="V22" s="187">
        <v>117385.57943328025</v>
      </c>
    </row>
    <row r="23" spans="1:22" x14ac:dyDescent="0.2">
      <c r="A23" s="8">
        <v>40452</v>
      </c>
      <c r="B23" s="19">
        <v>141431853</v>
      </c>
      <c r="C23" s="19">
        <v>3513334.037</v>
      </c>
      <c r="D23" s="19">
        <v>-3326606.5024370835</v>
      </c>
      <c r="E23" s="19">
        <v>-727248.89020000002</v>
      </c>
      <c r="F23" s="19">
        <f t="shared" si="1"/>
        <v>140891331.6444</v>
      </c>
      <c r="G23" s="20">
        <v>285.5</v>
      </c>
      <c r="H23" s="20">
        <v>0</v>
      </c>
      <c r="I23" s="3">
        <v>31</v>
      </c>
      <c r="J23" s="3">
        <v>1</v>
      </c>
      <c r="K23" s="3">
        <v>320</v>
      </c>
      <c r="L23" s="3">
        <f t="shared" si="2"/>
        <v>140590807.9549</v>
      </c>
      <c r="M23" s="21">
        <f t="shared" si="0"/>
        <v>2.1330175958482744E-3</v>
      </c>
      <c r="N23"/>
    </row>
    <row r="24" spans="1:22" x14ac:dyDescent="0.2">
      <c r="A24" s="8">
        <v>40483</v>
      </c>
      <c r="B24" s="19">
        <v>149100645</v>
      </c>
      <c r="C24" s="19">
        <v>3312803.1055999999</v>
      </c>
      <c r="D24" s="19">
        <v>-2811710.4883119464</v>
      </c>
      <c r="E24" s="19">
        <v>-842611.01500000001</v>
      </c>
      <c r="F24" s="19">
        <f t="shared" si="1"/>
        <v>148759126.60229999</v>
      </c>
      <c r="G24" s="20">
        <v>453.8</v>
      </c>
      <c r="H24" s="20">
        <v>0</v>
      </c>
      <c r="I24" s="3">
        <v>30</v>
      </c>
      <c r="J24" s="3">
        <v>1</v>
      </c>
      <c r="K24" s="3">
        <v>352</v>
      </c>
      <c r="L24" s="3">
        <f t="shared" si="2"/>
        <v>146108522.14199999</v>
      </c>
      <c r="M24" s="21">
        <f t="shared" si="0"/>
        <v>1.7818096414254025E-2</v>
      </c>
      <c r="N24"/>
    </row>
    <row r="25" spans="1:22" x14ac:dyDescent="0.2">
      <c r="A25" s="9">
        <v>40513</v>
      </c>
      <c r="B25" s="22">
        <v>169078607</v>
      </c>
      <c r="C25" s="22">
        <v>3230196.2334000003</v>
      </c>
      <c r="D25" s="22">
        <v>-4828826.509599125</v>
      </c>
      <c r="E25" s="22">
        <v>-979708.34680000006</v>
      </c>
      <c r="F25" s="22">
        <f t="shared" si="1"/>
        <v>166500268.377</v>
      </c>
      <c r="G25" s="23">
        <v>718.80000000000018</v>
      </c>
      <c r="H25" s="23">
        <v>0</v>
      </c>
      <c r="I25" s="5">
        <v>31</v>
      </c>
      <c r="J25" s="5">
        <v>0</v>
      </c>
      <c r="K25" s="5">
        <v>336</v>
      </c>
      <c r="L25" s="5">
        <f t="shared" si="2"/>
        <v>164798353.41909999</v>
      </c>
      <c r="M25" s="24">
        <f t="shared" si="0"/>
        <v>1.022169498277592E-2</v>
      </c>
      <c r="N25"/>
    </row>
    <row r="26" spans="1:22" x14ac:dyDescent="0.2">
      <c r="A26" s="8">
        <v>40544</v>
      </c>
      <c r="B26" s="19">
        <v>173480601</v>
      </c>
      <c r="C26" s="19">
        <v>2965559.5879000002</v>
      </c>
      <c r="D26" s="19">
        <v>-2945323.2907589772</v>
      </c>
      <c r="E26" s="19">
        <v>-743524.17249999999</v>
      </c>
      <c r="F26" s="19">
        <f t="shared" si="1"/>
        <v>172757313.12459999</v>
      </c>
      <c r="G26" s="20">
        <v>825.9000000000002</v>
      </c>
      <c r="H26" s="20">
        <v>0</v>
      </c>
      <c r="I26" s="3">
        <v>31</v>
      </c>
      <c r="J26" s="3">
        <v>0</v>
      </c>
      <c r="K26" s="3">
        <v>320</v>
      </c>
      <c r="L26" s="3">
        <f t="shared" si="2"/>
        <v>167832716.16949999</v>
      </c>
      <c r="M26" s="21">
        <f t="shared" si="0"/>
        <v>2.8505866790994649E-2</v>
      </c>
      <c r="N26"/>
    </row>
    <row r="27" spans="1:22" x14ac:dyDescent="0.2">
      <c r="A27" s="8">
        <v>40575</v>
      </c>
      <c r="B27" s="19">
        <v>154641844</v>
      </c>
      <c r="C27" s="19">
        <v>2793478.2314000004</v>
      </c>
      <c r="D27" s="19">
        <v>-2750496.0942007359</v>
      </c>
      <c r="E27" s="19">
        <v>-708177.65469999996</v>
      </c>
      <c r="F27" s="19">
        <f t="shared" si="1"/>
        <v>153976648.48249999</v>
      </c>
      <c r="G27" s="20">
        <v>686.4</v>
      </c>
      <c r="H27" s="20">
        <v>0</v>
      </c>
      <c r="I27" s="3">
        <v>28</v>
      </c>
      <c r="J27" s="3">
        <v>0</v>
      </c>
      <c r="K27" s="3">
        <v>304</v>
      </c>
      <c r="L27" s="3">
        <f t="shared" si="2"/>
        <v>150292782.84709999</v>
      </c>
      <c r="M27" s="21">
        <f t="shared" si="0"/>
        <v>2.3924833224426734E-2</v>
      </c>
      <c r="N27"/>
    </row>
    <row r="28" spans="1:22" x14ac:dyDescent="0.2">
      <c r="A28" s="8">
        <v>40603</v>
      </c>
      <c r="B28" s="19">
        <v>161467012</v>
      </c>
      <c r="C28" s="19">
        <v>3394931.7817000002</v>
      </c>
      <c r="D28" s="19">
        <v>-3086294.5009449911</v>
      </c>
      <c r="E28" s="19">
        <v>-620283.67229999998</v>
      </c>
      <c r="F28" s="19">
        <f t="shared" si="1"/>
        <v>161155365.6085</v>
      </c>
      <c r="G28" s="20">
        <v>623.79999999999995</v>
      </c>
      <c r="H28" s="20">
        <v>0</v>
      </c>
      <c r="I28" s="3">
        <v>31</v>
      </c>
      <c r="J28" s="3">
        <v>1</v>
      </c>
      <c r="K28" s="3">
        <v>368</v>
      </c>
      <c r="L28" s="3">
        <f t="shared" si="2"/>
        <v>157668088.79069999</v>
      </c>
      <c r="M28" s="21">
        <f t="shared" si="0"/>
        <v>2.1639222526861235E-2</v>
      </c>
      <c r="N28"/>
    </row>
    <row r="29" spans="1:22" x14ac:dyDescent="0.2">
      <c r="A29" s="8">
        <v>40634</v>
      </c>
      <c r="B29" s="19">
        <v>141723732</v>
      </c>
      <c r="C29" s="19">
        <v>3572400.3092000005</v>
      </c>
      <c r="D29" s="19">
        <v>-2866113.6943201032</v>
      </c>
      <c r="E29" s="19">
        <v>-551322.31385000004</v>
      </c>
      <c r="F29" s="19">
        <f t="shared" si="1"/>
        <v>141878696.301</v>
      </c>
      <c r="G29" s="20">
        <v>360.8</v>
      </c>
      <c r="H29" s="20">
        <v>0</v>
      </c>
      <c r="I29" s="3">
        <v>30</v>
      </c>
      <c r="J29" s="3">
        <v>1</v>
      </c>
      <c r="K29" s="3">
        <v>320</v>
      </c>
      <c r="L29" s="3">
        <f t="shared" si="2"/>
        <v>139984086.0548</v>
      </c>
      <c r="M29" s="21">
        <f t="shared" si="0"/>
        <v>1.335373312269883E-2</v>
      </c>
      <c r="N29"/>
    </row>
    <row r="30" spans="1:22" x14ac:dyDescent="0.2">
      <c r="A30" s="8">
        <v>40664</v>
      </c>
      <c r="B30" s="19">
        <v>142626392</v>
      </c>
      <c r="C30" s="19">
        <v>3355063.2826999999</v>
      </c>
      <c r="D30" s="19">
        <v>-3207072.1130010937</v>
      </c>
      <c r="E30" s="19">
        <v>-508684.87170000002</v>
      </c>
      <c r="F30" s="19">
        <f t="shared" si="1"/>
        <v>142265698.29800001</v>
      </c>
      <c r="G30" s="20">
        <v>156.39999999999998</v>
      </c>
      <c r="H30" s="20">
        <v>13.099999999999998</v>
      </c>
      <c r="I30" s="3">
        <v>31</v>
      </c>
      <c r="J30" s="3">
        <v>1</v>
      </c>
      <c r="K30" s="3">
        <v>336</v>
      </c>
      <c r="L30" s="3">
        <f t="shared" si="2"/>
        <v>141560957.69240001</v>
      </c>
      <c r="M30" s="21">
        <f t="shared" si="0"/>
        <v>4.9536930829510162E-3</v>
      </c>
    </row>
    <row r="31" spans="1:22" x14ac:dyDescent="0.2">
      <c r="A31" s="8">
        <v>40695</v>
      </c>
      <c r="B31" s="19">
        <v>148833888</v>
      </c>
      <c r="C31" s="19">
        <v>3642232.409</v>
      </c>
      <c r="D31" s="19">
        <v>-3427963.3168208492</v>
      </c>
      <c r="E31" s="19">
        <v>-526142.77960000001</v>
      </c>
      <c r="F31" s="19">
        <f t="shared" si="1"/>
        <v>148522014.31259999</v>
      </c>
      <c r="G31" s="20">
        <v>48.900000000000006</v>
      </c>
      <c r="H31" s="20">
        <v>21.499999999999996</v>
      </c>
      <c r="I31" s="3">
        <v>30</v>
      </c>
      <c r="J31" s="3">
        <v>0</v>
      </c>
      <c r="K31" s="3">
        <v>352</v>
      </c>
      <c r="L31" s="3">
        <f t="shared" si="2"/>
        <v>143835681.6552</v>
      </c>
      <c r="M31" s="21">
        <f t="shared" si="0"/>
        <v>3.1553118095587362E-2</v>
      </c>
    </row>
    <row r="32" spans="1:22" x14ac:dyDescent="0.2">
      <c r="A32" s="8">
        <v>40725</v>
      </c>
      <c r="B32" s="19">
        <v>178623729</v>
      </c>
      <c r="C32" s="19">
        <v>3655249.0690000001</v>
      </c>
      <c r="D32" s="19">
        <v>-3789024.1205610265</v>
      </c>
      <c r="E32" s="19">
        <v>-461201.69880000001</v>
      </c>
      <c r="F32" s="19">
        <f t="shared" si="1"/>
        <v>178028752.24959999</v>
      </c>
      <c r="G32" s="20">
        <v>0.9</v>
      </c>
      <c r="H32" s="20">
        <v>128</v>
      </c>
      <c r="I32" s="3">
        <v>31</v>
      </c>
      <c r="J32" s="3">
        <v>0</v>
      </c>
      <c r="K32" s="3">
        <v>320</v>
      </c>
      <c r="L32" s="3">
        <f t="shared" si="2"/>
        <v>182747580.6464</v>
      </c>
      <c r="M32" s="21">
        <f t="shared" si="0"/>
        <v>2.6505990392968082E-2</v>
      </c>
    </row>
    <row r="33" spans="1:13" x14ac:dyDescent="0.2">
      <c r="A33" s="8">
        <v>40756</v>
      </c>
      <c r="B33" s="19">
        <v>164128078</v>
      </c>
      <c r="C33" s="19">
        <v>3433020.8317000004</v>
      </c>
      <c r="D33" s="19">
        <v>-3755390.5255147717</v>
      </c>
      <c r="E33" s="19">
        <v>-591302.37095000001</v>
      </c>
      <c r="F33" s="19">
        <f t="shared" si="1"/>
        <v>163214405.93520001</v>
      </c>
      <c r="G33" s="20">
        <v>6.8999999999999995</v>
      </c>
      <c r="H33" s="20">
        <v>62.29999999999999</v>
      </c>
      <c r="I33" s="3">
        <v>31</v>
      </c>
      <c r="J33" s="3">
        <v>0</v>
      </c>
      <c r="K33" s="3">
        <v>352</v>
      </c>
      <c r="L33" s="3">
        <f t="shared" si="2"/>
        <v>160955802.87779999</v>
      </c>
      <c r="M33" s="21">
        <f t="shared" si="0"/>
        <v>1.3838257992353498E-2</v>
      </c>
    </row>
    <row r="34" spans="1:13" x14ac:dyDescent="0.2">
      <c r="A34" s="8">
        <v>40787</v>
      </c>
      <c r="B34" s="19">
        <v>143183425</v>
      </c>
      <c r="C34" s="19">
        <v>2919649.1887000003</v>
      </c>
      <c r="D34" s="19">
        <v>-3198182.5166616929</v>
      </c>
      <c r="E34" s="19">
        <v>-674866.95589999994</v>
      </c>
      <c r="F34" s="19">
        <f t="shared" si="1"/>
        <v>142230024.71610001</v>
      </c>
      <c r="G34" s="20">
        <v>98.9</v>
      </c>
      <c r="H34" s="20">
        <v>21.099999999999998</v>
      </c>
      <c r="I34" s="3">
        <v>30</v>
      </c>
      <c r="J34" s="3">
        <v>1</v>
      </c>
      <c r="K34" s="3">
        <v>336</v>
      </c>
      <c r="L34" s="3">
        <f t="shared" si="2"/>
        <v>138661994.3646</v>
      </c>
      <c r="M34" s="21">
        <f t="shared" ref="M34:M65" si="3">IFERROR((ABS(L34/F34-1)),0)</f>
        <v>2.508633714029096E-2</v>
      </c>
    </row>
    <row r="35" spans="1:13" x14ac:dyDescent="0.2">
      <c r="A35" s="8">
        <v>40817</v>
      </c>
      <c r="B35" s="19">
        <v>143618154</v>
      </c>
      <c r="C35" s="19">
        <v>3035028.5625</v>
      </c>
      <c r="D35" s="19">
        <v>-2964004.8954540933</v>
      </c>
      <c r="E35" s="19">
        <v>-761843.63234999997</v>
      </c>
      <c r="F35" s="19">
        <f t="shared" si="1"/>
        <v>142927334.03470001</v>
      </c>
      <c r="G35" s="20">
        <v>280.5</v>
      </c>
      <c r="H35" s="20">
        <v>0</v>
      </c>
      <c r="I35" s="3">
        <v>31</v>
      </c>
      <c r="J35" s="3">
        <v>1</v>
      </c>
      <c r="K35" s="3">
        <v>320</v>
      </c>
      <c r="L35" s="3">
        <f t="shared" si="2"/>
        <v>140392351.54890001</v>
      </c>
      <c r="M35" s="21">
        <f t="shared" si="3"/>
        <v>1.7736162945462541E-2</v>
      </c>
    </row>
    <row r="36" spans="1:13" x14ac:dyDescent="0.2">
      <c r="A36" s="8">
        <v>40848</v>
      </c>
      <c r="B36" s="19">
        <v>146066573</v>
      </c>
      <c r="C36" s="19">
        <v>3083189.6196000003</v>
      </c>
      <c r="D36" s="19">
        <v>-2978683.2870784835</v>
      </c>
      <c r="E36" s="19">
        <v>-811158.70054999995</v>
      </c>
      <c r="F36" s="19">
        <f t="shared" si="1"/>
        <v>145359920.632</v>
      </c>
      <c r="G36" s="20">
        <v>383.1</v>
      </c>
      <c r="H36" s="20">
        <v>0</v>
      </c>
      <c r="I36" s="3">
        <v>30</v>
      </c>
      <c r="J36" s="3">
        <v>1</v>
      </c>
      <c r="K36" s="3">
        <v>352</v>
      </c>
      <c r="L36" s="3">
        <f t="shared" si="2"/>
        <v>143302348.56040001</v>
      </c>
      <c r="M36" s="21">
        <f t="shared" si="3"/>
        <v>1.4155016476715354E-2</v>
      </c>
    </row>
    <row r="37" spans="1:13" x14ac:dyDescent="0.2">
      <c r="A37" s="9">
        <v>40878</v>
      </c>
      <c r="B37" s="22">
        <v>159732793</v>
      </c>
      <c r="C37" s="22">
        <v>3298546.5112000001</v>
      </c>
      <c r="D37" s="22">
        <v>-2868216.0860439669</v>
      </c>
      <c r="E37" s="22">
        <v>-878190.95845000003</v>
      </c>
      <c r="F37" s="22">
        <f t="shared" si="1"/>
        <v>159284932.46669999</v>
      </c>
      <c r="G37" s="23">
        <v>575.09999999999991</v>
      </c>
      <c r="H37" s="23">
        <v>0</v>
      </c>
      <c r="I37" s="5">
        <v>31</v>
      </c>
      <c r="J37" s="5">
        <v>0</v>
      </c>
      <c r="K37" s="5">
        <v>320</v>
      </c>
      <c r="L37" s="5">
        <f t="shared" si="2"/>
        <v>157878142.84169999</v>
      </c>
      <c r="M37" s="24">
        <f t="shared" si="3"/>
        <v>8.8319064660689062E-3</v>
      </c>
    </row>
    <row r="38" spans="1:13" x14ac:dyDescent="0.2">
      <c r="A38" s="8">
        <v>40909</v>
      </c>
      <c r="B38" s="19">
        <v>167297863</v>
      </c>
      <c r="C38" s="19">
        <v>3308989.4794000001</v>
      </c>
      <c r="D38" s="19">
        <v>-2945812.8986372226</v>
      </c>
      <c r="E38" s="19">
        <v>-857696.10985000001</v>
      </c>
      <c r="F38" s="19">
        <f t="shared" si="1"/>
        <v>166803343.4709</v>
      </c>
      <c r="G38" s="20">
        <v>656.30000000000007</v>
      </c>
      <c r="H38" s="20">
        <v>0</v>
      </c>
      <c r="I38" s="2">
        <v>31</v>
      </c>
      <c r="J38" s="3">
        <v>0</v>
      </c>
      <c r="K38" s="3">
        <v>336</v>
      </c>
      <c r="L38" s="3">
        <f t="shared" si="2"/>
        <v>162317648.3434</v>
      </c>
      <c r="M38" s="21">
        <f t="shared" si="3"/>
        <v>2.689211759285004E-2</v>
      </c>
    </row>
    <row r="39" spans="1:13" x14ac:dyDescent="0.2">
      <c r="A39" s="8">
        <v>40940</v>
      </c>
      <c r="B39" s="19">
        <v>151749261</v>
      </c>
      <c r="C39" s="19">
        <v>3070041.1155999997</v>
      </c>
      <c r="D39" s="19">
        <v>-2754825.6843728237</v>
      </c>
      <c r="E39" s="19">
        <v>-741050.47549999994</v>
      </c>
      <c r="F39" s="19">
        <f t="shared" si="1"/>
        <v>151323425.95570001</v>
      </c>
      <c r="G39" s="20">
        <v>572.59999999999991</v>
      </c>
      <c r="H39" s="20">
        <v>0</v>
      </c>
      <c r="I39" s="2">
        <v>29</v>
      </c>
      <c r="J39" s="3">
        <v>0</v>
      </c>
      <c r="K39" s="3">
        <v>320</v>
      </c>
      <c r="L39" s="3">
        <f t="shared" si="2"/>
        <v>150587963.88789999</v>
      </c>
      <c r="M39" s="21">
        <f t="shared" si="3"/>
        <v>4.8601996892095878E-3</v>
      </c>
    </row>
    <row r="40" spans="1:13" x14ac:dyDescent="0.2">
      <c r="A40" s="8">
        <v>40969</v>
      </c>
      <c r="B40" s="19">
        <v>149081825</v>
      </c>
      <c r="C40" s="19">
        <v>3441732.9915</v>
      </c>
      <c r="D40" s="19">
        <v>-2939880.0861434396</v>
      </c>
      <c r="E40" s="19">
        <v>-708360.22939999995</v>
      </c>
      <c r="F40" s="19">
        <f t="shared" si="1"/>
        <v>148875317.676</v>
      </c>
      <c r="G40" s="20">
        <v>370.2</v>
      </c>
      <c r="H40" s="20">
        <v>0</v>
      </c>
      <c r="I40" s="2">
        <v>31</v>
      </c>
      <c r="J40" s="3">
        <v>1</v>
      </c>
      <c r="K40" s="3">
        <v>352</v>
      </c>
      <c r="L40" s="3">
        <f t="shared" si="2"/>
        <v>146385806.4082</v>
      </c>
      <c r="M40" s="21">
        <f t="shared" si="3"/>
        <v>1.6722122287711749E-2</v>
      </c>
    </row>
    <row r="41" spans="1:13" x14ac:dyDescent="0.2">
      <c r="A41" s="8">
        <v>41000</v>
      </c>
      <c r="B41" s="19">
        <v>137212331</v>
      </c>
      <c r="C41" s="19">
        <v>3211863.4937999998</v>
      </c>
      <c r="D41" s="19">
        <v>-2842603.2891674126</v>
      </c>
      <c r="E41" s="19">
        <v>-602374.95534999995</v>
      </c>
      <c r="F41" s="19">
        <f t="shared" si="1"/>
        <v>136979216.2493</v>
      </c>
      <c r="G41" s="20">
        <v>365.9</v>
      </c>
      <c r="H41" s="20">
        <v>0</v>
      </c>
      <c r="I41" s="2">
        <v>30</v>
      </c>
      <c r="J41" s="3">
        <v>1</v>
      </c>
      <c r="K41" s="3">
        <v>320</v>
      </c>
      <c r="L41" s="3">
        <f t="shared" si="2"/>
        <v>140186511.5889</v>
      </c>
      <c r="M41" s="21">
        <f t="shared" si="3"/>
        <v>2.341446700762817E-2</v>
      </c>
    </row>
    <row r="42" spans="1:13" x14ac:dyDescent="0.2">
      <c r="A42" s="8">
        <v>41030</v>
      </c>
      <c r="B42" s="19">
        <v>146013521</v>
      </c>
      <c r="C42" s="19">
        <v>3295565.1473999997</v>
      </c>
      <c r="D42" s="19">
        <v>-3333556.9132597232</v>
      </c>
      <c r="E42" s="19">
        <v>-549466.04205000005</v>
      </c>
      <c r="F42" s="19">
        <f t="shared" si="1"/>
        <v>145426063.19209999</v>
      </c>
      <c r="G42" s="20">
        <v>107.8</v>
      </c>
      <c r="H42" s="20">
        <v>18.099999999999998</v>
      </c>
      <c r="I42" s="2">
        <v>31</v>
      </c>
      <c r="J42" s="3">
        <v>1</v>
      </c>
      <c r="K42" s="3">
        <v>352</v>
      </c>
      <c r="L42" s="3">
        <f t="shared" si="2"/>
        <v>142710260.34110001</v>
      </c>
      <c r="M42" s="21">
        <f t="shared" si="3"/>
        <v>1.8674801417216114E-2</v>
      </c>
    </row>
    <row r="43" spans="1:13" x14ac:dyDescent="0.2">
      <c r="A43" s="8">
        <v>41061</v>
      </c>
      <c r="B43" s="19">
        <v>156866745</v>
      </c>
      <c r="C43" s="19">
        <v>3174356.0354999998</v>
      </c>
      <c r="D43" s="19">
        <v>-3402436.9124639407</v>
      </c>
      <c r="E43" s="19">
        <v>-496238.6997</v>
      </c>
      <c r="F43" s="19">
        <f t="shared" si="1"/>
        <v>156142425.4233</v>
      </c>
      <c r="G43" s="20">
        <v>42.300000000000011</v>
      </c>
      <c r="H43" s="20">
        <v>60.399999999999991</v>
      </c>
      <c r="I43" s="2">
        <v>30</v>
      </c>
      <c r="J43" s="3">
        <v>0</v>
      </c>
      <c r="K43" s="3">
        <v>336</v>
      </c>
      <c r="L43" s="3">
        <f t="shared" si="2"/>
        <v>156841369.71959999</v>
      </c>
      <c r="M43" s="21">
        <f t="shared" si="3"/>
        <v>4.4763253446664653E-3</v>
      </c>
    </row>
    <row r="44" spans="1:13" x14ac:dyDescent="0.2">
      <c r="A44" s="8">
        <v>41091</v>
      </c>
      <c r="B44" s="19">
        <v>181523408</v>
      </c>
      <c r="C44" s="19">
        <v>3077557.9137999997</v>
      </c>
      <c r="D44" s="19">
        <v>-3687072.1168805333</v>
      </c>
      <c r="E44" s="19">
        <v>-532987.10875000001</v>
      </c>
      <c r="F44" s="19">
        <f t="shared" si="1"/>
        <v>180380906.6882</v>
      </c>
      <c r="G44" s="20">
        <v>0.6</v>
      </c>
      <c r="H44" s="20">
        <v>126.4</v>
      </c>
      <c r="I44" s="2">
        <v>31</v>
      </c>
      <c r="J44" s="3">
        <v>0</v>
      </c>
      <c r="K44" s="3">
        <v>336</v>
      </c>
      <c r="L44" s="3">
        <f t="shared" si="2"/>
        <v>183356494.58590001</v>
      </c>
      <c r="M44" s="21">
        <f t="shared" si="3"/>
        <v>1.6496135607320772E-2</v>
      </c>
    </row>
    <row r="45" spans="1:13" x14ac:dyDescent="0.2">
      <c r="A45" s="8">
        <v>41122</v>
      </c>
      <c r="B45" s="19">
        <v>164407829</v>
      </c>
      <c r="C45" s="19">
        <v>3066640.3250000002</v>
      </c>
      <c r="D45" s="19">
        <v>-3561124.9205212374</v>
      </c>
      <c r="E45" s="19">
        <v>-599914.01315000001</v>
      </c>
      <c r="F45" s="19">
        <f t="shared" si="1"/>
        <v>163313430.39129999</v>
      </c>
      <c r="G45" s="20">
        <v>19.500000000000004</v>
      </c>
      <c r="H45" s="20">
        <v>58.20000000000001</v>
      </c>
      <c r="I45" s="2">
        <v>31</v>
      </c>
      <c r="J45" s="3">
        <v>0</v>
      </c>
      <c r="K45" s="3">
        <v>352</v>
      </c>
      <c r="L45" s="3">
        <f t="shared" si="2"/>
        <v>159929298.1534</v>
      </c>
      <c r="M45" s="21">
        <f t="shared" si="3"/>
        <v>2.0721702004492748E-2</v>
      </c>
    </row>
    <row r="46" spans="1:13" x14ac:dyDescent="0.2">
      <c r="A46" s="8">
        <v>41153</v>
      </c>
      <c r="B46" s="19">
        <v>143005966</v>
      </c>
      <c r="C46" s="19">
        <v>2785144.2812999999</v>
      </c>
      <c r="D46" s="19">
        <v>-3177710.4950760966</v>
      </c>
      <c r="E46" s="19">
        <v>-662437.96155000001</v>
      </c>
      <c r="F46" s="19">
        <f t="shared" si="1"/>
        <v>141950961.8247</v>
      </c>
      <c r="G46" s="20">
        <v>125.8</v>
      </c>
      <c r="H46" s="20">
        <v>16.200000000000003</v>
      </c>
      <c r="I46" s="2">
        <v>30</v>
      </c>
      <c r="J46" s="3">
        <v>1</v>
      </c>
      <c r="K46" s="3">
        <v>304</v>
      </c>
      <c r="L46" s="3">
        <f t="shared" si="2"/>
        <v>135472051.9553</v>
      </c>
      <c r="M46" s="21">
        <f t="shared" si="3"/>
        <v>4.5641887776716961E-2</v>
      </c>
    </row>
    <row r="47" spans="1:13" x14ac:dyDescent="0.2">
      <c r="A47" s="8">
        <v>41183</v>
      </c>
      <c r="B47" s="19">
        <v>145715525</v>
      </c>
      <c r="C47" s="19">
        <v>2739275.3606000002</v>
      </c>
      <c r="D47" s="19">
        <v>-3134256.0963891377</v>
      </c>
      <c r="E47" s="19">
        <v>-770990.63785000006</v>
      </c>
      <c r="F47" s="19">
        <f t="shared" si="1"/>
        <v>144549553.62639999</v>
      </c>
      <c r="G47" s="20">
        <v>280.5</v>
      </c>
      <c r="H47" s="20">
        <v>0</v>
      </c>
      <c r="I47" s="2">
        <v>31</v>
      </c>
      <c r="J47" s="3">
        <v>1</v>
      </c>
      <c r="K47" s="3">
        <v>352</v>
      </c>
      <c r="L47" s="3">
        <f t="shared" si="2"/>
        <v>142825498.4835</v>
      </c>
      <c r="M47" s="21">
        <f t="shared" si="3"/>
        <v>1.1927087283548077E-2</v>
      </c>
    </row>
    <row r="48" spans="1:13" x14ac:dyDescent="0.2">
      <c r="A48" s="8">
        <v>41214</v>
      </c>
      <c r="B48" s="19">
        <v>149958942</v>
      </c>
      <c r="C48" s="19">
        <v>2848806.0047999998</v>
      </c>
      <c r="D48" s="19">
        <v>-2934945.6920322292</v>
      </c>
      <c r="E48" s="19">
        <v>-819563.59840000002</v>
      </c>
      <c r="F48" s="19">
        <f t="shared" si="1"/>
        <v>149053238.71439999</v>
      </c>
      <c r="G48" s="20">
        <v>484</v>
      </c>
      <c r="H48" s="20">
        <v>0</v>
      </c>
      <c r="I48" s="2">
        <v>30</v>
      </c>
      <c r="J48" s="3">
        <v>1</v>
      </c>
      <c r="K48" s="3">
        <v>352</v>
      </c>
      <c r="L48" s="3">
        <f t="shared" si="2"/>
        <v>147307198.8346</v>
      </c>
      <c r="M48" s="21">
        <f t="shared" si="3"/>
        <v>1.1714202890589775E-2</v>
      </c>
    </row>
    <row r="49" spans="1:13" x14ac:dyDescent="0.2">
      <c r="A49" s="9">
        <v>41244</v>
      </c>
      <c r="B49" s="22">
        <v>157244281</v>
      </c>
      <c r="C49" s="22">
        <v>3332783.3693999997</v>
      </c>
      <c r="D49" s="22">
        <v>-2737694.4787625582</v>
      </c>
      <c r="E49" s="22">
        <v>-885766.48124999995</v>
      </c>
      <c r="F49" s="22">
        <f t="shared" si="1"/>
        <v>156953603.40939999</v>
      </c>
      <c r="G49" s="23">
        <v>565.20000000000005</v>
      </c>
      <c r="H49" s="23">
        <v>0</v>
      </c>
      <c r="I49" s="6">
        <v>31</v>
      </c>
      <c r="J49" s="5">
        <v>0</v>
      </c>
      <c r="K49" s="5">
        <v>304</v>
      </c>
      <c r="L49" s="5">
        <f t="shared" si="2"/>
        <v>156268625.6904</v>
      </c>
      <c r="M49" s="24">
        <f t="shared" si="3"/>
        <v>4.3642051161659756E-3</v>
      </c>
    </row>
    <row r="50" spans="1:13" x14ac:dyDescent="0.2">
      <c r="A50" s="8">
        <v>41275</v>
      </c>
      <c r="B50" s="19">
        <v>166887939</v>
      </c>
      <c r="C50" s="19">
        <v>3380704.4913999997</v>
      </c>
      <c r="D50" s="19">
        <v>-2983843.2839948274</v>
      </c>
      <c r="E50" s="19">
        <v>-864038.91095000005</v>
      </c>
      <c r="F50" s="19">
        <f t="shared" si="1"/>
        <v>166420761.2965</v>
      </c>
      <c r="G50" s="20">
        <v>680.69999999999993</v>
      </c>
      <c r="H50" s="20">
        <v>0</v>
      </c>
      <c r="I50" s="3">
        <v>31</v>
      </c>
      <c r="J50" s="3">
        <v>0</v>
      </c>
      <c r="K50" s="3">
        <v>352</v>
      </c>
      <c r="L50" s="3">
        <f t="shared" si="2"/>
        <v>164502689.0722</v>
      </c>
      <c r="M50" s="21">
        <f t="shared" si="3"/>
        <v>1.1525438348901074E-2</v>
      </c>
    </row>
    <row r="51" spans="1:13" x14ac:dyDescent="0.2">
      <c r="A51" s="8">
        <v>41306</v>
      </c>
      <c r="B51" s="19">
        <v>151813490.00000003</v>
      </c>
      <c r="C51" s="19">
        <v>3110013.9947000002</v>
      </c>
      <c r="D51" s="19">
        <v>-2601825.6823833678</v>
      </c>
      <c r="E51" s="19">
        <v>-720995.59750000003</v>
      </c>
      <c r="F51" s="19">
        <f t="shared" si="1"/>
        <v>151600682.7148</v>
      </c>
      <c r="G51" s="20">
        <v>696.90000000000009</v>
      </c>
      <c r="H51" s="20">
        <v>0</v>
      </c>
      <c r="I51" s="3">
        <v>29</v>
      </c>
      <c r="J51" s="3">
        <v>0</v>
      </c>
      <c r="K51" s="3">
        <v>304</v>
      </c>
      <c r="L51" s="3">
        <f t="shared" si="2"/>
        <v>154305016.67519999</v>
      </c>
      <c r="M51" s="21">
        <f t="shared" si="3"/>
        <v>1.7838534180532273E-2</v>
      </c>
    </row>
    <row r="52" spans="1:13" x14ac:dyDescent="0.2">
      <c r="A52" s="8">
        <v>41334</v>
      </c>
      <c r="B52" s="19">
        <v>156390854</v>
      </c>
      <c r="C52" s="19">
        <v>3559799.1553000002</v>
      </c>
      <c r="D52" s="19">
        <v>-2817950.4828409427</v>
      </c>
      <c r="E52" s="19">
        <v>-714800.4902</v>
      </c>
      <c r="F52" s="19">
        <f t="shared" si="1"/>
        <v>156417902.1823</v>
      </c>
      <c r="G52" s="20">
        <v>611.99999999999989</v>
      </c>
      <c r="H52" s="20">
        <v>0</v>
      </c>
      <c r="I52" s="3">
        <v>31</v>
      </c>
      <c r="J52" s="3">
        <v>1</v>
      </c>
      <c r="K52" s="3">
        <v>320</v>
      </c>
      <c r="L52" s="3">
        <f t="shared" si="2"/>
        <v>153550011.27039999</v>
      </c>
      <c r="M52" s="21">
        <f t="shared" si="3"/>
        <v>1.8334799737676932E-2</v>
      </c>
    </row>
    <row r="53" spans="1:13" x14ac:dyDescent="0.2">
      <c r="A53" s="8">
        <v>41365</v>
      </c>
      <c r="B53" s="19">
        <v>141874300.99999997</v>
      </c>
      <c r="C53" s="19">
        <v>3477633.2572999997</v>
      </c>
      <c r="D53" s="19">
        <v>-2931379.291952651</v>
      </c>
      <c r="E53" s="19">
        <v>-607439.21909999999</v>
      </c>
      <c r="F53" s="19">
        <f t="shared" si="1"/>
        <v>141813115.7462</v>
      </c>
      <c r="G53" s="20">
        <v>384.9</v>
      </c>
      <c r="H53" s="20">
        <v>0</v>
      </c>
      <c r="I53" s="3">
        <v>30</v>
      </c>
      <c r="J53" s="3">
        <v>1</v>
      </c>
      <c r="K53" s="3">
        <v>352</v>
      </c>
      <c r="L53" s="3">
        <f t="shared" si="2"/>
        <v>143373792.86660001</v>
      </c>
      <c r="M53" s="21">
        <f t="shared" si="3"/>
        <v>1.1005167696851892E-2</v>
      </c>
    </row>
    <row r="54" spans="1:13" x14ac:dyDescent="0.2">
      <c r="A54" s="8">
        <v>41395</v>
      </c>
      <c r="B54" s="19">
        <v>141124267.99999997</v>
      </c>
      <c r="C54" s="19">
        <v>3738459.7997999997</v>
      </c>
      <c r="D54" s="19">
        <v>-3353942.524122152</v>
      </c>
      <c r="E54" s="19">
        <v>-553833.38459999999</v>
      </c>
      <c r="F54" s="19">
        <f t="shared" si="1"/>
        <v>140954951.89109999</v>
      </c>
      <c r="G54" s="20">
        <v>153.20000000000002</v>
      </c>
      <c r="H54" s="20">
        <v>19.5</v>
      </c>
      <c r="I54" s="3">
        <v>31</v>
      </c>
      <c r="J54" s="3">
        <v>1</v>
      </c>
      <c r="K54" s="3">
        <v>352</v>
      </c>
      <c r="L54" s="3">
        <f t="shared" si="2"/>
        <v>145033527.6336</v>
      </c>
      <c r="M54" s="21">
        <f t="shared" si="3"/>
        <v>2.8935313642979077E-2</v>
      </c>
    </row>
    <row r="55" spans="1:13" x14ac:dyDescent="0.2">
      <c r="A55" s="8">
        <v>41426</v>
      </c>
      <c r="B55" s="19">
        <v>147458381.00000003</v>
      </c>
      <c r="C55" s="19">
        <v>3589014.2058000006</v>
      </c>
      <c r="D55" s="19">
        <v>-3438075.9181338898</v>
      </c>
      <c r="E55" s="19">
        <v>-499557.07895</v>
      </c>
      <c r="F55" s="19">
        <f t="shared" si="1"/>
        <v>147109762.2087</v>
      </c>
      <c r="G55" s="20">
        <v>54.599999999999994</v>
      </c>
      <c r="H55" s="20">
        <v>36.9</v>
      </c>
      <c r="I55" s="3">
        <v>30</v>
      </c>
      <c r="J55" s="3">
        <v>0</v>
      </c>
      <c r="K55" s="3">
        <v>320</v>
      </c>
      <c r="L55" s="3">
        <f t="shared" si="2"/>
        <v>147362889.40419999</v>
      </c>
      <c r="M55" s="21">
        <f t="shared" si="3"/>
        <v>1.7206689189048774E-3</v>
      </c>
    </row>
    <row r="56" spans="1:13" x14ac:dyDescent="0.2">
      <c r="A56" s="8">
        <v>41456</v>
      </c>
      <c r="B56" s="19">
        <v>168337886</v>
      </c>
      <c r="C56" s="19">
        <v>3710031.9615000002</v>
      </c>
      <c r="D56" s="19">
        <v>-3764270.5253158258</v>
      </c>
      <c r="E56" s="19">
        <v>-536638.62939999998</v>
      </c>
      <c r="F56" s="19">
        <f t="shared" si="1"/>
        <v>167747008.80680001</v>
      </c>
      <c r="G56" s="20">
        <v>15.399999999999999</v>
      </c>
      <c r="H56" s="20">
        <v>85.4</v>
      </c>
      <c r="I56" s="3">
        <v>31</v>
      </c>
      <c r="J56" s="3">
        <v>0</v>
      </c>
      <c r="K56" s="3">
        <v>352</v>
      </c>
      <c r="L56" s="3">
        <f t="shared" si="2"/>
        <v>169894350.33919999</v>
      </c>
      <c r="M56" s="21">
        <f t="shared" si="3"/>
        <v>1.2801071969474886E-2</v>
      </c>
    </row>
    <row r="57" spans="1:13" x14ac:dyDescent="0.2">
      <c r="A57" s="8">
        <v>41487</v>
      </c>
      <c r="B57" s="19">
        <v>156613822</v>
      </c>
      <c r="C57" s="19">
        <v>3609240.3678000006</v>
      </c>
      <c r="D57" s="19">
        <v>-3507067.3174176859</v>
      </c>
      <c r="E57" s="19">
        <v>-602351.78015000001</v>
      </c>
      <c r="F57" s="19">
        <f t="shared" si="1"/>
        <v>156113643.27020001</v>
      </c>
      <c r="G57" s="20">
        <v>33.1</v>
      </c>
      <c r="H57" s="20">
        <v>41.800000000000004</v>
      </c>
      <c r="I57" s="3">
        <v>31</v>
      </c>
      <c r="J57" s="3">
        <v>0</v>
      </c>
      <c r="K57" s="3">
        <v>336</v>
      </c>
      <c r="L57" s="3">
        <f t="shared" si="2"/>
        <v>153146066.64019999</v>
      </c>
      <c r="M57" s="21">
        <f t="shared" si="3"/>
        <v>1.9009079333724643E-2</v>
      </c>
    </row>
    <row r="58" spans="1:13" x14ac:dyDescent="0.2">
      <c r="A58" s="8">
        <v>41518</v>
      </c>
      <c r="B58" s="19">
        <v>141695735.00000003</v>
      </c>
      <c r="C58" s="19">
        <v>3066299.1931000003</v>
      </c>
      <c r="D58" s="19">
        <v>-3160454.5015418278</v>
      </c>
      <c r="E58" s="19">
        <v>-663796.93530000001</v>
      </c>
      <c r="F58" s="19">
        <f t="shared" si="1"/>
        <v>140937782.7563</v>
      </c>
      <c r="G58" s="20">
        <v>130.80000000000001</v>
      </c>
      <c r="H58" s="20">
        <v>20.5</v>
      </c>
      <c r="I58" s="3">
        <v>30</v>
      </c>
      <c r="J58" s="3">
        <v>1</v>
      </c>
      <c r="K58" s="3">
        <v>320</v>
      </c>
      <c r="L58" s="3">
        <f t="shared" si="2"/>
        <v>138488165.71419999</v>
      </c>
      <c r="M58" s="21">
        <f t="shared" si="3"/>
        <v>1.7380839929458269E-2</v>
      </c>
    </row>
    <row r="59" spans="1:13" x14ac:dyDescent="0.2">
      <c r="A59" s="8">
        <v>41548</v>
      </c>
      <c r="B59" s="19">
        <v>143048402</v>
      </c>
      <c r="C59" s="19">
        <v>3464664.6814000001</v>
      </c>
      <c r="D59" s="19">
        <v>-3144988.8845120859</v>
      </c>
      <c r="E59" s="19">
        <v>-772868.34230000002</v>
      </c>
      <c r="F59" s="19">
        <f t="shared" si="1"/>
        <v>142595209.45460001</v>
      </c>
      <c r="G59" s="20">
        <v>261.10000000000002</v>
      </c>
      <c r="H59" s="20">
        <v>0</v>
      </c>
      <c r="I59" s="3">
        <v>31</v>
      </c>
      <c r="J59" s="3">
        <v>1</v>
      </c>
      <c r="K59" s="3">
        <v>352</v>
      </c>
      <c r="L59" s="3">
        <f t="shared" si="2"/>
        <v>142055487.62799999</v>
      </c>
      <c r="M59" s="21">
        <f t="shared" si="3"/>
        <v>3.7849926983125615E-3</v>
      </c>
    </row>
    <row r="60" spans="1:13" x14ac:dyDescent="0.2">
      <c r="A60" s="8">
        <v>41579</v>
      </c>
      <c r="B60" s="19">
        <v>150584276.99999994</v>
      </c>
      <c r="C60" s="19">
        <v>3374964.8167000003</v>
      </c>
      <c r="D60" s="19">
        <v>-2799523.2917537051</v>
      </c>
      <c r="E60" s="19">
        <v>-822160.26029999997</v>
      </c>
      <c r="F60" s="19">
        <f t="shared" si="1"/>
        <v>150337558.26460001</v>
      </c>
      <c r="G60" s="20">
        <v>517.69999999999993</v>
      </c>
      <c r="H60" s="20">
        <v>0</v>
      </c>
      <c r="I60" s="3">
        <v>30</v>
      </c>
      <c r="J60" s="3">
        <v>1</v>
      </c>
      <c r="K60" s="3">
        <v>336</v>
      </c>
      <c r="L60" s="3">
        <f t="shared" si="2"/>
        <v>147428221.54409999</v>
      </c>
      <c r="M60" s="21">
        <f t="shared" si="3"/>
        <v>1.935202855549556E-2</v>
      </c>
    </row>
    <row r="61" spans="1:13" x14ac:dyDescent="0.2">
      <c r="A61" s="9">
        <v>41609</v>
      </c>
      <c r="B61" s="22">
        <v>164601316.99999997</v>
      </c>
      <c r="C61" s="22">
        <v>3053675.4243999999</v>
      </c>
      <c r="D61" s="22">
        <v>-2737200.0793792894</v>
      </c>
      <c r="E61" s="22">
        <v>-888718.88840000005</v>
      </c>
      <c r="F61" s="22">
        <f t="shared" si="1"/>
        <v>164029073.45660001</v>
      </c>
      <c r="G61" s="23">
        <v>726.59999999999991</v>
      </c>
      <c r="H61" s="23">
        <v>0</v>
      </c>
      <c r="I61" s="5">
        <v>31</v>
      </c>
      <c r="J61" s="5">
        <v>0</v>
      </c>
      <c r="K61" s="5">
        <v>320</v>
      </c>
      <c r="L61" s="5">
        <f t="shared" si="2"/>
        <v>163891371.9452</v>
      </c>
      <c r="M61" s="24">
        <f t="shared" si="3"/>
        <v>8.3949453897547155E-4</v>
      </c>
    </row>
    <row r="62" spans="1:13" x14ac:dyDescent="0.2">
      <c r="A62" s="8">
        <v>41640</v>
      </c>
      <c r="B62" s="19">
        <v>176937928.00000003</v>
      </c>
      <c r="C62" s="19">
        <v>3117284.6735999999</v>
      </c>
      <c r="D62" s="19">
        <v>-2753337.6744255442</v>
      </c>
      <c r="E62" s="19">
        <v>-866484.92044999998</v>
      </c>
      <c r="F62" s="19">
        <f t="shared" si="1"/>
        <v>176435390.07870001</v>
      </c>
      <c r="G62" s="20">
        <v>867.6</v>
      </c>
      <c r="H62" s="20">
        <v>0</v>
      </c>
      <c r="I62" s="3">
        <v>31</v>
      </c>
      <c r="J62" s="3">
        <v>0</v>
      </c>
      <c r="K62" s="3">
        <v>352</v>
      </c>
      <c r="L62" s="3">
        <f t="shared" si="2"/>
        <v>171920989.53060001</v>
      </c>
      <c r="M62" s="21">
        <f t="shared" si="3"/>
        <v>2.5586706533685333E-2</v>
      </c>
    </row>
    <row r="63" spans="1:13" x14ac:dyDescent="0.2">
      <c r="A63" s="8">
        <v>41671</v>
      </c>
      <c r="B63" s="19">
        <v>156052442.00000003</v>
      </c>
      <c r="C63" s="19">
        <v>2695981.3314999999</v>
      </c>
      <c r="D63" s="19">
        <v>-2421009.6821844224</v>
      </c>
      <c r="E63" s="19">
        <v>-722959.56515000004</v>
      </c>
      <c r="F63" s="19">
        <f t="shared" si="1"/>
        <v>155604454.08419999</v>
      </c>
      <c r="G63" s="20">
        <v>830.9</v>
      </c>
      <c r="H63" s="20">
        <v>0</v>
      </c>
      <c r="I63" s="3">
        <v>28</v>
      </c>
      <c r="J63" s="3">
        <v>0</v>
      </c>
      <c r="K63" s="3">
        <v>304</v>
      </c>
      <c r="L63" s="3">
        <f t="shared" si="2"/>
        <v>156028172.98210001</v>
      </c>
      <c r="M63" s="21">
        <f t="shared" si="3"/>
        <v>2.7230512159421849E-3</v>
      </c>
    </row>
    <row r="64" spans="1:13" x14ac:dyDescent="0.2">
      <c r="A64" s="8">
        <v>41699</v>
      </c>
      <c r="B64" s="19">
        <v>164051051</v>
      </c>
      <c r="C64" s="19">
        <v>3508123.4853000003</v>
      </c>
      <c r="D64" s="19">
        <v>-2698785.674823436</v>
      </c>
      <c r="E64" s="19">
        <v>-716752.8051</v>
      </c>
      <c r="F64" s="19">
        <f t="shared" si="1"/>
        <v>164143636.0054</v>
      </c>
      <c r="G64" s="20">
        <v>757.09999999999991</v>
      </c>
      <c r="H64" s="20">
        <v>0</v>
      </c>
      <c r="I64" s="3">
        <v>31</v>
      </c>
      <c r="J64" s="3">
        <v>1</v>
      </c>
      <c r="K64" s="3">
        <v>336</v>
      </c>
      <c r="L64" s="3">
        <f t="shared" si="2"/>
        <v>160525789.6415</v>
      </c>
      <c r="M64" s="21">
        <f t="shared" si="3"/>
        <v>2.2040734882837532E-2</v>
      </c>
    </row>
    <row r="65" spans="1:13" x14ac:dyDescent="0.2">
      <c r="A65" s="8">
        <v>41730</v>
      </c>
      <c r="B65" s="19">
        <v>139469349</v>
      </c>
      <c r="C65" s="19">
        <v>3309527.9556</v>
      </c>
      <c r="D65" s="19">
        <v>-2679379.2657913058</v>
      </c>
      <c r="E65" s="19">
        <v>-609286.27560000005</v>
      </c>
      <c r="F65" s="19">
        <f t="shared" si="1"/>
        <v>139490211.41420001</v>
      </c>
      <c r="G65" s="20">
        <v>390.70000000000005</v>
      </c>
      <c r="H65" s="20">
        <v>0</v>
      </c>
      <c r="I65" s="3">
        <v>30</v>
      </c>
      <c r="J65" s="3">
        <v>1</v>
      </c>
      <c r="K65" s="3">
        <v>336</v>
      </c>
      <c r="L65" s="3">
        <f t="shared" si="2"/>
        <v>142387428.8303</v>
      </c>
      <c r="M65" s="21">
        <f t="shared" si="3"/>
        <v>2.0770041042500464E-2</v>
      </c>
    </row>
    <row r="66" spans="1:13" x14ac:dyDescent="0.2">
      <c r="A66" s="8">
        <v>41760</v>
      </c>
      <c r="B66" s="19">
        <v>138347944</v>
      </c>
      <c r="C66" s="19">
        <v>3782220.5157999997</v>
      </c>
      <c r="D66" s="19">
        <v>-2764046.4747836464</v>
      </c>
      <c r="E66" s="19">
        <v>-557153.65610000002</v>
      </c>
      <c r="F66" s="19">
        <f t="shared" si="1"/>
        <v>138808964.3849</v>
      </c>
      <c r="G66" s="20">
        <v>172.1</v>
      </c>
      <c r="H66" s="20">
        <v>8.6</v>
      </c>
      <c r="I66" s="3">
        <v>31</v>
      </c>
      <c r="J66" s="3">
        <v>1</v>
      </c>
      <c r="K66" s="3">
        <v>336</v>
      </c>
      <c r="L66" s="3">
        <f t="shared" si="2"/>
        <v>140508557.9039</v>
      </c>
      <c r="M66" s="21">
        <f t="shared" ref="M66:M97" si="4">IFERROR((ABS(L66/F66-1)),0)</f>
        <v>1.2244119293961742E-2</v>
      </c>
    </row>
    <row r="67" spans="1:13" x14ac:dyDescent="0.2">
      <c r="A67" s="8">
        <v>41791</v>
      </c>
      <c r="B67" s="19">
        <v>151167417</v>
      </c>
      <c r="C67" s="19">
        <v>3556970.6538</v>
      </c>
      <c r="D67" s="19">
        <v>-3103497.6992937429</v>
      </c>
      <c r="E67" s="19">
        <v>-502783.67080000002</v>
      </c>
      <c r="F67" s="19">
        <f t="shared" ref="F67:F130" si="5">ROUND((SUM(B67:E67)),4)</f>
        <v>151118106.28369999</v>
      </c>
      <c r="G67" s="20">
        <v>37.799999999999997</v>
      </c>
      <c r="H67" s="20">
        <v>43.9</v>
      </c>
      <c r="I67" s="3">
        <v>30</v>
      </c>
      <c r="J67" s="3">
        <v>0</v>
      </c>
      <c r="K67" s="3">
        <v>336</v>
      </c>
      <c r="L67" s="3">
        <f t="shared" ref="L67:L130" si="6">ROUND(($O$17+G67*$O$18+H67*$O$19+I67*$O$20+J67*$O$21+K67*$O$22),4)</f>
        <v>150519064.97479999</v>
      </c>
      <c r="M67" s="21">
        <f t="shared" si="4"/>
        <v>3.9640604533212054E-3</v>
      </c>
    </row>
    <row r="68" spans="1:13" x14ac:dyDescent="0.2">
      <c r="A68" s="8">
        <v>41821</v>
      </c>
      <c r="B68" s="19">
        <v>151381289.99999997</v>
      </c>
      <c r="C68" s="19">
        <v>3307852.9447999997</v>
      </c>
      <c r="D68" s="19">
        <v>-3244492.8942604195</v>
      </c>
      <c r="E68" s="19">
        <v>-538866.65529999998</v>
      </c>
      <c r="F68" s="19">
        <f t="shared" si="5"/>
        <v>150905783.39520001</v>
      </c>
      <c r="G68" s="20">
        <v>37.300000000000004</v>
      </c>
      <c r="H68" s="20">
        <v>37.70000000000001</v>
      </c>
      <c r="I68" s="3">
        <v>31</v>
      </c>
      <c r="J68" s="3">
        <v>0</v>
      </c>
      <c r="K68" s="3">
        <v>352</v>
      </c>
      <c r="L68" s="3">
        <f t="shared" si="6"/>
        <v>153002728.62099999</v>
      </c>
      <c r="M68" s="21">
        <f t="shared" si="4"/>
        <v>1.3895724727185588E-2</v>
      </c>
    </row>
    <row r="69" spans="1:13" x14ac:dyDescent="0.2">
      <c r="A69" s="8">
        <v>41852</v>
      </c>
      <c r="B69" s="19">
        <v>149335009.99999997</v>
      </c>
      <c r="C69" s="19">
        <v>3642561.9632999999</v>
      </c>
      <c r="D69" s="19">
        <v>-2926684.9079876649</v>
      </c>
      <c r="E69" s="19">
        <v>-605462.47395000001</v>
      </c>
      <c r="F69" s="19">
        <f t="shared" si="5"/>
        <v>149445424.58140001</v>
      </c>
      <c r="G69" s="20">
        <v>31.9</v>
      </c>
      <c r="H69" s="20">
        <v>27.1</v>
      </c>
      <c r="I69" s="3">
        <v>31</v>
      </c>
      <c r="J69" s="3">
        <v>0</v>
      </c>
      <c r="K69" s="3">
        <v>320</v>
      </c>
      <c r="L69" s="3">
        <f t="shared" si="6"/>
        <v>146408390.8175</v>
      </c>
      <c r="M69" s="21">
        <f t="shared" si="4"/>
        <v>2.0322025732181559E-2</v>
      </c>
    </row>
    <row r="70" spans="1:13" x14ac:dyDescent="0.2">
      <c r="A70" s="8">
        <v>41883</v>
      </c>
      <c r="B70" s="19">
        <v>139766060.99999997</v>
      </c>
      <c r="C70" s="19">
        <v>3545627.7272999994</v>
      </c>
      <c r="D70" s="19">
        <v>-2483016.0842534569</v>
      </c>
      <c r="E70" s="19">
        <v>-667671.53850000002</v>
      </c>
      <c r="F70" s="19">
        <f t="shared" si="5"/>
        <v>140161001.1045</v>
      </c>
      <c r="G70" s="20">
        <v>117.60000000000002</v>
      </c>
      <c r="H70" s="20">
        <v>11.200000000000001</v>
      </c>
      <c r="I70" s="3">
        <v>30</v>
      </c>
      <c r="J70" s="3">
        <v>1</v>
      </c>
      <c r="K70" s="3">
        <v>336</v>
      </c>
      <c r="L70" s="3">
        <f t="shared" si="6"/>
        <v>135718004.93560001</v>
      </c>
      <c r="M70" s="21">
        <f t="shared" si="4"/>
        <v>3.1699232553193735E-2</v>
      </c>
    </row>
    <row r="71" spans="1:13" x14ac:dyDescent="0.2">
      <c r="A71" s="8">
        <v>41913</v>
      </c>
      <c r="B71" s="19">
        <v>139367656.99999997</v>
      </c>
      <c r="C71" s="19">
        <v>3215895.2414000002</v>
      </c>
      <c r="D71" s="19">
        <v>-2397696.0781856161</v>
      </c>
      <c r="E71" s="19">
        <v>-778283.61754999997</v>
      </c>
      <c r="F71" s="19">
        <f t="shared" si="5"/>
        <v>139407572.54570001</v>
      </c>
      <c r="G71" s="20">
        <v>271.7</v>
      </c>
      <c r="H71" s="20">
        <v>0</v>
      </c>
      <c r="I71" s="3">
        <v>31</v>
      </c>
      <c r="J71" s="3">
        <v>1</v>
      </c>
      <c r="K71" s="3">
        <v>352</v>
      </c>
      <c r="L71" s="3">
        <f t="shared" si="6"/>
        <v>142476215.20879999</v>
      </c>
      <c r="M71" s="21">
        <f t="shared" si="4"/>
        <v>2.2012022783726604E-2</v>
      </c>
    </row>
    <row r="72" spans="1:13" x14ac:dyDescent="0.2">
      <c r="A72" s="8">
        <v>41944</v>
      </c>
      <c r="B72" s="19">
        <v>149943539.00000006</v>
      </c>
      <c r="C72" s="19">
        <v>2898608.1288000001</v>
      </c>
      <c r="D72" s="19">
        <v>-2214508.8672038196</v>
      </c>
      <c r="E72" s="19">
        <v>-827745.24309999996</v>
      </c>
      <c r="F72" s="19">
        <f t="shared" si="5"/>
        <v>149799893.0185</v>
      </c>
      <c r="G72" s="20">
        <v>532.20000000000005</v>
      </c>
      <c r="H72" s="20">
        <v>0</v>
      </c>
      <c r="I72" s="3">
        <v>30</v>
      </c>
      <c r="J72" s="3">
        <v>1</v>
      </c>
      <c r="K72" s="3">
        <v>320</v>
      </c>
      <c r="L72" s="3">
        <f t="shared" si="6"/>
        <v>146787171.65439999</v>
      </c>
      <c r="M72" s="21">
        <f t="shared" si="4"/>
        <v>2.0111638956430644E-2</v>
      </c>
    </row>
    <row r="73" spans="1:13" x14ac:dyDescent="0.2">
      <c r="A73" s="9">
        <v>41974</v>
      </c>
      <c r="B73" s="22">
        <v>158404134.65384611</v>
      </c>
      <c r="C73" s="22">
        <v>3028318.5380000002</v>
      </c>
      <c r="D73" s="22">
        <v>-2207246.4606585093</v>
      </c>
      <c r="E73" s="22">
        <v>-898906.19279999996</v>
      </c>
      <c r="F73" s="22">
        <f t="shared" si="5"/>
        <v>158326300.53839999</v>
      </c>
      <c r="G73" s="23">
        <v>597.79999999999995</v>
      </c>
      <c r="H73" s="23">
        <v>0</v>
      </c>
      <c r="I73" s="5">
        <v>31</v>
      </c>
      <c r="J73" s="5">
        <v>0</v>
      </c>
      <c r="K73" s="5">
        <v>336</v>
      </c>
      <c r="L73" s="5">
        <f t="shared" si="6"/>
        <v>159995708.39250001</v>
      </c>
      <c r="M73" s="24">
        <f t="shared" si="4"/>
        <v>1.0544096896239363E-2</v>
      </c>
    </row>
    <row r="74" spans="1:13" x14ac:dyDescent="0.2">
      <c r="A74" s="8">
        <v>42005</v>
      </c>
      <c r="B74" s="19">
        <v>170394114</v>
      </c>
      <c r="C74" s="19">
        <v>3041341.1636999999</v>
      </c>
      <c r="D74" s="19">
        <v>-2044579.2443051822</v>
      </c>
      <c r="E74" s="19">
        <v>-876866.40430000005</v>
      </c>
      <c r="F74" s="19">
        <f t="shared" si="5"/>
        <v>170514009.5151</v>
      </c>
      <c r="G74" s="20">
        <v>842.40000000000009</v>
      </c>
      <c r="H74" s="20">
        <v>0</v>
      </c>
      <c r="I74" s="3">
        <v>31</v>
      </c>
      <c r="J74" s="3">
        <v>0</v>
      </c>
      <c r="K74" s="3">
        <v>336</v>
      </c>
      <c r="L74" s="3">
        <f t="shared" si="6"/>
        <v>169704195.77680001</v>
      </c>
      <c r="M74" s="21">
        <f t="shared" si="4"/>
        <v>4.7492504610202602E-3</v>
      </c>
    </row>
    <row r="75" spans="1:13" x14ac:dyDescent="0.2">
      <c r="A75" s="8">
        <v>42036</v>
      </c>
      <c r="B75" s="19">
        <v>159595479</v>
      </c>
      <c r="C75" s="19">
        <v>2620561.8352000001</v>
      </c>
      <c r="D75" s="19">
        <v>-1646140.8349746345</v>
      </c>
      <c r="E75" s="19">
        <v>-733522.65914999996</v>
      </c>
      <c r="F75" s="19">
        <f t="shared" si="5"/>
        <v>159836377.34110001</v>
      </c>
      <c r="G75" s="20">
        <v>917.09999999999991</v>
      </c>
      <c r="H75" s="20">
        <v>0</v>
      </c>
      <c r="I75" s="3">
        <v>28</v>
      </c>
      <c r="J75" s="3">
        <v>0</v>
      </c>
      <c r="K75" s="3">
        <v>304</v>
      </c>
      <c r="L75" s="3">
        <f t="shared" si="6"/>
        <v>159449561.42250001</v>
      </c>
      <c r="M75" s="21">
        <f t="shared" si="4"/>
        <v>2.420074360009461E-3</v>
      </c>
    </row>
    <row r="76" spans="1:13" x14ac:dyDescent="0.2">
      <c r="A76" s="8">
        <v>42064</v>
      </c>
      <c r="B76" s="19">
        <v>156767280.00000003</v>
      </c>
      <c r="C76" s="19">
        <v>3638361.7214000002</v>
      </c>
      <c r="D76" s="19">
        <v>0</v>
      </c>
      <c r="E76" s="19">
        <v>-727367.75809999998</v>
      </c>
      <c r="F76" s="19">
        <f t="shared" si="5"/>
        <v>159678273.96329999</v>
      </c>
      <c r="G76" s="20">
        <v>657.30000000000007</v>
      </c>
      <c r="H76" s="20">
        <v>0</v>
      </c>
      <c r="I76" s="3">
        <v>31</v>
      </c>
      <c r="J76" s="3">
        <v>1</v>
      </c>
      <c r="K76" s="3">
        <v>352</v>
      </c>
      <c r="L76" s="3">
        <f t="shared" si="6"/>
        <v>157781173.2439</v>
      </c>
      <c r="M76" s="21">
        <f t="shared" si="4"/>
        <v>1.1880769201175201E-2</v>
      </c>
    </row>
    <row r="77" spans="1:13" x14ac:dyDescent="0.2">
      <c r="A77" s="8">
        <v>42095</v>
      </c>
      <c r="B77" s="19">
        <v>134799745.99999997</v>
      </c>
      <c r="C77" s="19">
        <v>3692706.7620999999</v>
      </c>
      <c r="D77" s="19">
        <v>0</v>
      </c>
      <c r="E77" s="19">
        <v>-618309.94039999996</v>
      </c>
      <c r="F77" s="19">
        <f t="shared" si="5"/>
        <v>137874142.82170001</v>
      </c>
      <c r="G77" s="20">
        <v>359.40000000000003</v>
      </c>
      <c r="H77" s="20">
        <v>0</v>
      </c>
      <c r="I77" s="3">
        <v>30</v>
      </c>
      <c r="J77" s="3">
        <v>1</v>
      </c>
      <c r="K77" s="3">
        <v>336</v>
      </c>
      <c r="L77" s="3">
        <f t="shared" si="6"/>
        <v>141145091.72839999</v>
      </c>
      <c r="M77" s="21">
        <f t="shared" si="4"/>
        <v>2.3724164950421622E-2</v>
      </c>
    </row>
    <row r="78" spans="1:13" x14ac:dyDescent="0.2">
      <c r="A78" s="8">
        <v>42125</v>
      </c>
      <c r="B78" s="19">
        <v>138723842</v>
      </c>
      <c r="C78" s="19">
        <v>3988852.6880000001</v>
      </c>
      <c r="D78" s="19">
        <v>0</v>
      </c>
      <c r="E78" s="19">
        <v>-563834.34675000003</v>
      </c>
      <c r="F78" s="19">
        <f t="shared" si="5"/>
        <v>142148860.34130001</v>
      </c>
      <c r="G78" s="20">
        <v>116.60000000000002</v>
      </c>
      <c r="H78" s="20">
        <v>29.199999999999996</v>
      </c>
      <c r="I78" s="3">
        <v>31</v>
      </c>
      <c r="J78" s="3">
        <v>1</v>
      </c>
      <c r="K78" s="3">
        <v>320</v>
      </c>
      <c r="L78" s="3">
        <f t="shared" si="6"/>
        <v>144759427.17640001</v>
      </c>
      <c r="M78" s="21">
        <f t="shared" si="4"/>
        <v>1.8365021209681309E-2</v>
      </c>
    </row>
    <row r="79" spans="1:13" x14ac:dyDescent="0.2">
      <c r="A79" s="8">
        <v>42156</v>
      </c>
      <c r="B79" s="19">
        <v>139875436.99999997</v>
      </c>
      <c r="C79" s="19">
        <v>3955693.7250999999</v>
      </c>
      <c r="D79" s="19">
        <v>0</v>
      </c>
      <c r="E79" s="19">
        <v>-508129.37</v>
      </c>
      <c r="F79" s="19">
        <f t="shared" si="5"/>
        <v>143323001.35510001</v>
      </c>
      <c r="G79" s="20">
        <v>56.5</v>
      </c>
      <c r="H79" s="20">
        <v>14.5</v>
      </c>
      <c r="I79" s="3">
        <v>30</v>
      </c>
      <c r="J79" s="3">
        <v>0</v>
      </c>
      <c r="K79" s="3">
        <v>352</v>
      </c>
      <c r="L79" s="3">
        <f t="shared" si="6"/>
        <v>141530919.76480001</v>
      </c>
      <c r="M79" s="21">
        <f t="shared" si="4"/>
        <v>1.250379613429875E-2</v>
      </c>
    </row>
    <row r="80" spans="1:13" x14ac:dyDescent="0.2">
      <c r="A80" s="8">
        <v>42186</v>
      </c>
      <c r="B80" s="19">
        <v>156564116</v>
      </c>
      <c r="C80" s="19">
        <v>4317131.5157000003</v>
      </c>
      <c r="D80" s="19">
        <v>0</v>
      </c>
      <c r="E80" s="19">
        <v>-545174.05330000003</v>
      </c>
      <c r="F80" s="19">
        <f t="shared" si="5"/>
        <v>160336073.46239999</v>
      </c>
      <c r="G80" s="20">
        <v>19.900000000000006</v>
      </c>
      <c r="H80" s="20">
        <v>57.000000000000007</v>
      </c>
      <c r="I80" s="3">
        <v>31</v>
      </c>
      <c r="J80" s="3">
        <v>0</v>
      </c>
      <c r="K80" s="3">
        <v>352</v>
      </c>
      <c r="L80" s="3">
        <f t="shared" si="6"/>
        <v>159498360.55829999</v>
      </c>
      <c r="M80" s="21">
        <f t="shared" si="4"/>
        <v>5.2247313159783371E-3</v>
      </c>
    </row>
    <row r="81" spans="1:13" x14ac:dyDescent="0.2">
      <c r="A81" s="8">
        <v>42217</v>
      </c>
      <c r="B81" s="19">
        <v>150055351.00000003</v>
      </c>
      <c r="C81" s="19">
        <v>3839833.4193000002</v>
      </c>
      <c r="D81" s="19">
        <v>0</v>
      </c>
      <c r="E81" s="19">
        <v>-611438.12315</v>
      </c>
      <c r="F81" s="19">
        <f t="shared" si="5"/>
        <v>153283746.29620001</v>
      </c>
      <c r="G81" s="20">
        <v>29.800000000000008</v>
      </c>
      <c r="H81" s="20">
        <v>47.8</v>
      </c>
      <c r="I81" s="3">
        <v>31</v>
      </c>
      <c r="J81" s="3">
        <v>0</v>
      </c>
      <c r="K81" s="3">
        <v>320</v>
      </c>
      <c r="L81" s="3">
        <f t="shared" si="6"/>
        <v>154032582.48280001</v>
      </c>
      <c r="M81" s="21">
        <f t="shared" si="4"/>
        <v>4.8852941338801692E-3</v>
      </c>
    </row>
    <row r="82" spans="1:13" x14ac:dyDescent="0.2">
      <c r="A82" s="8">
        <v>42248</v>
      </c>
      <c r="B82" s="19">
        <v>146219596</v>
      </c>
      <c r="C82" s="19">
        <v>3512058.7532000002</v>
      </c>
      <c r="D82" s="19">
        <v>0</v>
      </c>
      <c r="E82" s="19">
        <v>-675089.70984999998</v>
      </c>
      <c r="F82" s="19">
        <f t="shared" si="5"/>
        <v>149056565.04339999</v>
      </c>
      <c r="G82" s="20">
        <v>58.400000000000006</v>
      </c>
      <c r="H82" s="20">
        <v>44.7</v>
      </c>
      <c r="I82" s="3">
        <v>30</v>
      </c>
      <c r="J82" s="3">
        <v>1</v>
      </c>
      <c r="K82" s="3">
        <v>336</v>
      </c>
      <c r="L82" s="3">
        <f t="shared" si="6"/>
        <v>145841841.59150001</v>
      </c>
      <c r="M82" s="21">
        <f t="shared" si="4"/>
        <v>2.1567137622982013E-2</v>
      </c>
    </row>
    <row r="83" spans="1:13" x14ac:dyDescent="0.2">
      <c r="A83" s="8">
        <v>42278</v>
      </c>
      <c r="B83" s="19">
        <v>135439538</v>
      </c>
      <c r="C83" s="19">
        <v>3234044.1974999998</v>
      </c>
      <c r="D83" s="19">
        <v>0</v>
      </c>
      <c r="E83" s="19">
        <v>-785850.43420000002</v>
      </c>
      <c r="F83" s="19">
        <f t="shared" si="5"/>
        <v>137887731.7633</v>
      </c>
      <c r="G83" s="20">
        <v>290.89999999999998</v>
      </c>
      <c r="H83" s="20">
        <v>0</v>
      </c>
      <c r="I83" s="3">
        <v>31</v>
      </c>
      <c r="J83" s="3">
        <v>1</v>
      </c>
      <c r="K83" s="3">
        <v>336</v>
      </c>
      <c r="L83" s="3">
        <f t="shared" si="6"/>
        <v>142021714.34079999</v>
      </c>
      <c r="M83" s="21">
        <f t="shared" si="4"/>
        <v>2.9980785996222226E-2</v>
      </c>
    </row>
    <row r="84" spans="1:13" x14ac:dyDescent="0.2">
      <c r="A84" s="8">
        <v>42309</v>
      </c>
      <c r="B84" s="19">
        <v>137059823</v>
      </c>
      <c r="C84" s="19">
        <v>3137506.1808000002</v>
      </c>
      <c r="D84" s="19">
        <v>0</v>
      </c>
      <c r="E84" s="19">
        <v>-835840.37800000003</v>
      </c>
      <c r="F84" s="19">
        <f t="shared" si="5"/>
        <v>139361488.8028</v>
      </c>
      <c r="G84" s="20">
        <v>391.7</v>
      </c>
      <c r="H84" s="20">
        <v>0</v>
      </c>
      <c r="I84" s="3">
        <v>30</v>
      </c>
      <c r="J84" s="3">
        <v>1</v>
      </c>
      <c r="K84" s="3">
        <v>336</v>
      </c>
      <c r="L84" s="3">
        <f t="shared" si="6"/>
        <v>142427120.11149999</v>
      </c>
      <c r="M84" s="21">
        <f t="shared" si="4"/>
        <v>2.1997693444836486E-2</v>
      </c>
    </row>
    <row r="85" spans="1:13" x14ac:dyDescent="0.2">
      <c r="A85" s="9">
        <v>42339</v>
      </c>
      <c r="B85" s="22">
        <v>146474819.99999997</v>
      </c>
      <c r="C85" s="22">
        <v>3119516.4407500001</v>
      </c>
      <c r="D85" s="22">
        <v>0</v>
      </c>
      <c r="E85" s="22">
        <v>-904654.74265000003</v>
      </c>
      <c r="F85" s="22">
        <f t="shared" si="5"/>
        <v>148689681.6981</v>
      </c>
      <c r="G85" s="23">
        <v>468.2</v>
      </c>
      <c r="H85" s="23">
        <v>0</v>
      </c>
      <c r="I85" s="5">
        <v>31</v>
      </c>
      <c r="J85" s="5">
        <v>0</v>
      </c>
      <c r="K85" s="5">
        <v>336</v>
      </c>
      <c r="L85" s="5">
        <f t="shared" si="6"/>
        <v>154851718.3475</v>
      </c>
      <c r="M85" s="24">
        <f t="shared" si="4"/>
        <v>4.1442261352818033E-2</v>
      </c>
    </row>
    <row r="86" spans="1:13" x14ac:dyDescent="0.2">
      <c r="A86" s="8">
        <v>42370</v>
      </c>
      <c r="B86" s="13">
        <v>159251541</v>
      </c>
      <c r="C86" s="13">
        <v>3281605.5203999998</v>
      </c>
      <c r="D86" s="13">
        <v>0</v>
      </c>
      <c r="E86" s="13">
        <v>-883555.75950000004</v>
      </c>
      <c r="F86" s="13">
        <f t="shared" si="5"/>
        <v>161649590.76089999</v>
      </c>
      <c r="G86" s="20">
        <v>717</v>
      </c>
      <c r="H86" s="20">
        <v>0</v>
      </c>
      <c r="I86" s="3">
        <v>31</v>
      </c>
      <c r="J86" s="3">
        <v>0</v>
      </c>
      <c r="K86" s="3">
        <v>320</v>
      </c>
      <c r="L86" s="3">
        <f t="shared" si="6"/>
        <v>163510335.64559999</v>
      </c>
      <c r="M86" s="21">
        <f t="shared" si="4"/>
        <v>1.151097801077805E-2</v>
      </c>
    </row>
    <row r="87" spans="1:13" x14ac:dyDescent="0.2">
      <c r="A87" s="8">
        <v>42401</v>
      </c>
      <c r="B87" s="13">
        <v>145700617</v>
      </c>
      <c r="C87" s="13">
        <v>3249979.0684000002</v>
      </c>
      <c r="D87" s="13">
        <v>0</v>
      </c>
      <c r="E87" s="13">
        <v>-763115.80839999998</v>
      </c>
      <c r="F87" s="13">
        <f t="shared" si="5"/>
        <v>148187480.25999999</v>
      </c>
      <c r="G87" s="20">
        <v>627.10000000000014</v>
      </c>
      <c r="H87" s="20">
        <v>0</v>
      </c>
      <c r="I87" s="3">
        <v>29</v>
      </c>
      <c r="J87" s="3">
        <v>0</v>
      </c>
      <c r="K87" s="3">
        <v>320</v>
      </c>
      <c r="L87" s="3">
        <f t="shared" si="6"/>
        <v>152751138.7139</v>
      </c>
      <c r="M87" s="21">
        <f t="shared" si="4"/>
        <v>3.0796518342122603E-2</v>
      </c>
    </row>
    <row r="88" spans="1:13" x14ac:dyDescent="0.2">
      <c r="A88" s="8">
        <v>42430</v>
      </c>
      <c r="B88" s="13">
        <v>143585865</v>
      </c>
      <c r="C88" s="13">
        <v>3698905.8876999998</v>
      </c>
      <c r="D88" s="13">
        <v>0</v>
      </c>
      <c r="E88" s="13">
        <v>-729634.27824999997</v>
      </c>
      <c r="F88" s="13">
        <f t="shared" si="5"/>
        <v>146555136.60949999</v>
      </c>
      <c r="G88" s="20">
        <v>492.6</v>
      </c>
      <c r="H88" s="20">
        <v>0</v>
      </c>
      <c r="I88" s="3">
        <v>31</v>
      </c>
      <c r="J88" s="3">
        <v>1</v>
      </c>
      <c r="K88" s="3">
        <v>352</v>
      </c>
      <c r="L88" s="3">
        <f t="shared" si="6"/>
        <v>151244019.22839999</v>
      </c>
      <c r="M88" s="21">
        <f t="shared" si="4"/>
        <v>3.1993983475268051E-2</v>
      </c>
    </row>
    <row r="89" spans="1:13" x14ac:dyDescent="0.2">
      <c r="A89" s="8">
        <v>42461</v>
      </c>
      <c r="B89" s="13">
        <v>133317772.00000003</v>
      </c>
      <c r="C89" s="13">
        <v>4216858.0641000001</v>
      </c>
      <c r="D89" s="13">
        <v>0</v>
      </c>
      <c r="E89" s="13">
        <v>-620043.90749999997</v>
      </c>
      <c r="F89" s="13">
        <f t="shared" si="5"/>
        <v>136914586.1566</v>
      </c>
      <c r="G89" s="20">
        <v>432.3</v>
      </c>
      <c r="H89" s="20">
        <v>0</v>
      </c>
      <c r="I89" s="3">
        <v>30</v>
      </c>
      <c r="J89" s="3">
        <v>1</v>
      </c>
      <c r="K89" s="3">
        <v>336</v>
      </c>
      <c r="L89" s="3">
        <f t="shared" si="6"/>
        <v>144038586.12869999</v>
      </c>
      <c r="M89" s="21">
        <f t="shared" si="4"/>
        <v>5.2032439874241776E-2</v>
      </c>
    </row>
    <row r="90" spans="1:13" x14ac:dyDescent="0.2">
      <c r="A90" s="8">
        <v>42491</v>
      </c>
      <c r="B90" s="13">
        <v>135340999</v>
      </c>
      <c r="C90" s="13">
        <v>4699993.8752999995</v>
      </c>
      <c r="D90" s="13">
        <v>0</v>
      </c>
      <c r="E90" s="13">
        <v>-565248.72290000005</v>
      </c>
      <c r="F90" s="13">
        <f t="shared" si="5"/>
        <v>139475744.15239999</v>
      </c>
      <c r="G90" s="20">
        <v>175.1</v>
      </c>
      <c r="H90" s="20">
        <v>18.3</v>
      </c>
      <c r="I90" s="3">
        <v>31</v>
      </c>
      <c r="J90" s="3">
        <v>1</v>
      </c>
      <c r="K90" s="3">
        <v>336</v>
      </c>
      <c r="L90" s="3">
        <f t="shared" si="6"/>
        <v>144239379.1173</v>
      </c>
      <c r="M90" s="21">
        <f t="shared" si="4"/>
        <v>3.4153859467456638E-2</v>
      </c>
    </row>
    <row r="91" spans="1:13" x14ac:dyDescent="0.2">
      <c r="A91" s="8">
        <v>42522</v>
      </c>
      <c r="B91" s="13">
        <v>145060761</v>
      </c>
      <c r="C91" s="13">
        <v>4734008.8143000007</v>
      </c>
      <c r="D91" s="13">
        <v>0</v>
      </c>
      <c r="E91" s="13">
        <v>-510597.03535000002</v>
      </c>
      <c r="F91" s="13">
        <f t="shared" si="5"/>
        <v>149284172.77900001</v>
      </c>
      <c r="G91" s="20">
        <v>51.4</v>
      </c>
      <c r="H91" s="20">
        <v>33.799999999999997</v>
      </c>
      <c r="I91" s="3">
        <v>30</v>
      </c>
      <c r="J91" s="3">
        <v>0</v>
      </c>
      <c r="K91" s="3">
        <v>352</v>
      </c>
      <c r="L91" s="3">
        <f t="shared" si="6"/>
        <v>148514754.461</v>
      </c>
      <c r="M91" s="21">
        <f t="shared" si="4"/>
        <v>5.1540515225217964E-3</v>
      </c>
    </row>
    <row r="92" spans="1:13" x14ac:dyDescent="0.2">
      <c r="A92" s="8">
        <v>42552</v>
      </c>
      <c r="B92" s="13">
        <v>165663034.99999994</v>
      </c>
      <c r="C92" s="13">
        <v>4471434.8560000006</v>
      </c>
      <c r="D92" s="13">
        <v>0</v>
      </c>
      <c r="E92" s="13">
        <v>-542805.02024999994</v>
      </c>
      <c r="F92" s="13">
        <f t="shared" si="5"/>
        <v>169591664.83579999</v>
      </c>
      <c r="G92" s="20">
        <v>5</v>
      </c>
      <c r="H92" s="20">
        <v>102.29999999999998</v>
      </c>
      <c r="I92" s="3">
        <v>31</v>
      </c>
      <c r="J92" s="3">
        <v>0</v>
      </c>
      <c r="K92" s="3">
        <v>320</v>
      </c>
      <c r="L92" s="3">
        <f t="shared" si="6"/>
        <v>173341046.0952</v>
      </c>
      <c r="M92" s="21">
        <f t="shared" si="4"/>
        <v>2.2108287356163325E-2</v>
      </c>
    </row>
    <row r="93" spans="1:13" x14ac:dyDescent="0.2">
      <c r="A93" s="8">
        <v>42583</v>
      </c>
      <c r="B93" s="13">
        <v>172843199.99999997</v>
      </c>
      <c r="C93" s="13">
        <v>4537730.2801999999</v>
      </c>
      <c r="D93" s="13">
        <v>0</v>
      </c>
      <c r="E93" s="13">
        <v>-609556.59034999995</v>
      </c>
      <c r="F93" s="13">
        <f t="shared" si="5"/>
        <v>176771373.68990001</v>
      </c>
      <c r="G93" s="20">
        <v>2.1</v>
      </c>
      <c r="H93" s="20">
        <v>104.39999999999999</v>
      </c>
      <c r="I93" s="3">
        <v>31</v>
      </c>
      <c r="J93" s="3">
        <v>0</v>
      </c>
      <c r="K93" s="3">
        <v>352</v>
      </c>
      <c r="L93" s="3">
        <f t="shared" si="6"/>
        <v>176441013.00260001</v>
      </c>
      <c r="M93" s="21">
        <f t="shared" si="4"/>
        <v>1.8688585171009464E-3</v>
      </c>
    </row>
    <row r="94" spans="1:13" x14ac:dyDescent="0.2">
      <c r="A94" s="8">
        <v>42614</v>
      </c>
      <c r="B94" s="13">
        <v>143586381.99999997</v>
      </c>
      <c r="C94" s="13">
        <v>4409993.0782999992</v>
      </c>
      <c r="D94" s="13">
        <v>0</v>
      </c>
      <c r="E94" s="13">
        <v>-671831.03130000003</v>
      </c>
      <c r="F94" s="13">
        <f t="shared" si="5"/>
        <v>147324544.04699999</v>
      </c>
      <c r="G94" s="20">
        <v>69.2</v>
      </c>
      <c r="H94" s="20">
        <v>26.3</v>
      </c>
      <c r="I94" s="3">
        <v>30</v>
      </c>
      <c r="J94" s="3">
        <v>1</v>
      </c>
      <c r="K94" s="3">
        <v>336</v>
      </c>
      <c r="L94" s="3">
        <f t="shared" si="6"/>
        <v>139419357.7789</v>
      </c>
      <c r="M94" s="21">
        <f t="shared" si="4"/>
        <v>5.3658311445905826E-2</v>
      </c>
    </row>
    <row r="95" spans="1:13" x14ac:dyDescent="0.2">
      <c r="A95" s="8">
        <v>42644</v>
      </c>
      <c r="B95" s="13">
        <v>135079936.99999997</v>
      </c>
      <c r="C95" s="13">
        <v>3925740.7600000002</v>
      </c>
      <c r="D95" s="13">
        <v>0</v>
      </c>
      <c r="E95" s="13">
        <v>-784165.34699999995</v>
      </c>
      <c r="F95" s="13">
        <f t="shared" si="5"/>
        <v>138221512.41299999</v>
      </c>
      <c r="G95" s="20">
        <v>247.7</v>
      </c>
      <c r="H95" s="20">
        <v>1.8</v>
      </c>
      <c r="I95" s="3">
        <v>31</v>
      </c>
      <c r="J95" s="3">
        <v>1</v>
      </c>
      <c r="K95" s="3">
        <v>320</v>
      </c>
      <c r="L95" s="3">
        <f t="shared" si="6"/>
        <v>139760698.68650001</v>
      </c>
      <c r="M95" s="21">
        <f t="shared" si="4"/>
        <v>1.1135649195481268E-2</v>
      </c>
    </row>
    <row r="96" spans="1:13" x14ac:dyDescent="0.2">
      <c r="A96" s="8">
        <v>42675</v>
      </c>
      <c r="B96" s="13">
        <v>136705849</v>
      </c>
      <c r="C96" s="13">
        <v>3722646.4846000001</v>
      </c>
      <c r="D96" s="13">
        <v>0</v>
      </c>
      <c r="E96" s="13">
        <v>-833886.08015000005</v>
      </c>
      <c r="F96" s="13">
        <f t="shared" si="5"/>
        <v>139594609.40450001</v>
      </c>
      <c r="G96" s="20">
        <v>388.80000000000007</v>
      </c>
      <c r="H96" s="20">
        <v>0</v>
      </c>
      <c r="I96" s="3">
        <v>30</v>
      </c>
      <c r="J96" s="3">
        <v>1</v>
      </c>
      <c r="K96" s="3">
        <v>352</v>
      </c>
      <c r="L96" s="3">
        <f t="shared" si="6"/>
        <v>143528588.8633</v>
      </c>
      <c r="M96" s="21">
        <f t="shared" si="4"/>
        <v>2.8181456831191776E-2</v>
      </c>
    </row>
    <row r="97" spans="1:13" x14ac:dyDescent="0.2">
      <c r="A97" s="9">
        <v>42705</v>
      </c>
      <c r="B97" s="14">
        <v>155844338.00000006</v>
      </c>
      <c r="C97" s="14">
        <v>3177288.9808</v>
      </c>
      <c r="D97" s="14">
        <v>0</v>
      </c>
      <c r="E97" s="14">
        <v>-901366.57444999996</v>
      </c>
      <c r="F97" s="14">
        <f t="shared" si="5"/>
        <v>158120260.4064</v>
      </c>
      <c r="G97" s="23">
        <v>647.89999999999986</v>
      </c>
      <c r="H97" s="23">
        <v>0</v>
      </c>
      <c r="I97" s="5">
        <v>31</v>
      </c>
      <c r="J97" s="5">
        <v>0</v>
      </c>
      <c r="K97" s="5">
        <v>320</v>
      </c>
      <c r="L97" s="5">
        <f t="shared" si="6"/>
        <v>160767668.11390001</v>
      </c>
      <c r="M97" s="24">
        <f t="shared" si="4"/>
        <v>1.6743001185905326E-2</v>
      </c>
    </row>
    <row r="98" spans="1:13" x14ac:dyDescent="0.2">
      <c r="A98" s="8">
        <v>42736</v>
      </c>
      <c r="B98" s="13">
        <v>157837189.00000006</v>
      </c>
      <c r="C98" s="13">
        <v>3445293.4747000001</v>
      </c>
      <c r="D98" s="13">
        <v>0</v>
      </c>
      <c r="E98" s="13">
        <v>-870967.31499999994</v>
      </c>
      <c r="F98" s="13">
        <f t="shared" si="5"/>
        <v>160411515.15970001</v>
      </c>
      <c r="G98" s="20">
        <v>651.9</v>
      </c>
      <c r="H98" s="20">
        <v>0</v>
      </c>
      <c r="I98" s="3">
        <v>31</v>
      </c>
      <c r="J98" s="3">
        <v>0</v>
      </c>
      <c r="K98" s="3">
        <v>336</v>
      </c>
      <c r="L98" s="3">
        <f t="shared" si="6"/>
        <v>162143006.706</v>
      </c>
      <c r="M98" s="21">
        <f t="shared" ref="M98:M129" si="7">IFERROR((ABS(L98/F98-1)),0)</f>
        <v>1.0794060168163089E-2</v>
      </c>
    </row>
    <row r="99" spans="1:13" x14ac:dyDescent="0.2">
      <c r="A99" s="8">
        <v>42767</v>
      </c>
      <c r="B99" s="13">
        <v>137035801.99999997</v>
      </c>
      <c r="C99" s="13">
        <v>3474853.6203999999</v>
      </c>
      <c r="D99" s="13">
        <v>0</v>
      </c>
      <c r="E99" s="13">
        <v>-726272.54139999999</v>
      </c>
      <c r="F99" s="13">
        <f t="shared" si="5"/>
        <v>139784383.079</v>
      </c>
      <c r="G99" s="20">
        <v>537.9</v>
      </c>
      <c r="H99" s="20">
        <v>0</v>
      </c>
      <c r="I99" s="3">
        <v>28</v>
      </c>
      <c r="J99" s="3">
        <v>0</v>
      </c>
      <c r="K99" s="3">
        <v>304</v>
      </c>
      <c r="L99" s="3">
        <f t="shared" si="6"/>
        <v>144398627.58719999</v>
      </c>
      <c r="M99" s="21">
        <f t="shared" si="7"/>
        <v>3.3009728315588793E-2</v>
      </c>
    </row>
    <row r="100" spans="1:13" x14ac:dyDescent="0.2">
      <c r="A100" s="8">
        <v>42795</v>
      </c>
      <c r="B100" s="13">
        <v>150658537</v>
      </c>
      <c r="C100" s="13">
        <v>4089075.9759</v>
      </c>
      <c r="D100" s="13">
        <v>0</v>
      </c>
      <c r="E100" s="13">
        <v>-719967.47860000003</v>
      </c>
      <c r="F100" s="13">
        <f t="shared" si="5"/>
        <v>154027645.4973</v>
      </c>
      <c r="G100" s="20">
        <v>597.6</v>
      </c>
      <c r="H100" s="20">
        <v>0</v>
      </c>
      <c r="I100" s="3">
        <v>31</v>
      </c>
      <c r="J100" s="3">
        <v>1</v>
      </c>
      <c r="K100" s="3">
        <v>368</v>
      </c>
      <c r="L100" s="3">
        <f t="shared" si="6"/>
        <v>156628177.2229</v>
      </c>
      <c r="M100" s="21">
        <f t="shared" si="7"/>
        <v>1.688353877775528E-2</v>
      </c>
    </row>
    <row r="101" spans="1:13" x14ac:dyDescent="0.2">
      <c r="A101" s="8">
        <v>42826</v>
      </c>
      <c r="B101" s="13">
        <v>127304278.99999999</v>
      </c>
      <c r="C101" s="13">
        <v>4330315.8899999997</v>
      </c>
      <c r="D101" s="13">
        <v>0</v>
      </c>
      <c r="E101" s="13">
        <v>-611823.22849999997</v>
      </c>
      <c r="F101" s="13">
        <f t="shared" si="5"/>
        <v>131022771.66150001</v>
      </c>
      <c r="G101" s="20">
        <v>281.59999999999991</v>
      </c>
      <c r="H101" s="20">
        <v>0</v>
      </c>
      <c r="I101" s="3">
        <v>30</v>
      </c>
      <c r="J101" s="3">
        <v>1</v>
      </c>
      <c r="K101" s="3">
        <v>304</v>
      </c>
      <c r="L101" s="3">
        <f t="shared" si="6"/>
        <v>135623963.1155</v>
      </c>
      <c r="M101" s="21">
        <f t="shared" si="7"/>
        <v>3.5117494429802276E-2</v>
      </c>
    </row>
    <row r="102" spans="1:13" x14ac:dyDescent="0.2">
      <c r="A102" s="8">
        <v>42856</v>
      </c>
      <c r="B102" s="13">
        <v>131264949</v>
      </c>
      <c r="C102" s="13">
        <v>4577361.8942999998</v>
      </c>
      <c r="D102" s="13">
        <v>0</v>
      </c>
      <c r="E102" s="13">
        <v>-557389.46429999999</v>
      </c>
      <c r="F102" s="13">
        <f t="shared" si="5"/>
        <v>135284921.43000001</v>
      </c>
      <c r="G102" s="20">
        <v>214.39999999999995</v>
      </c>
      <c r="H102" s="20">
        <v>2.7</v>
      </c>
      <c r="I102" s="3">
        <v>31</v>
      </c>
      <c r="J102" s="3">
        <v>1</v>
      </c>
      <c r="K102" s="3">
        <v>352</v>
      </c>
      <c r="L102" s="3">
        <f t="shared" si="6"/>
        <v>141207236.53749999</v>
      </c>
      <c r="M102" s="21">
        <f t="shared" si="7"/>
        <v>4.3776608988639998E-2</v>
      </c>
    </row>
    <row r="103" spans="1:13" x14ac:dyDescent="0.2">
      <c r="A103" s="8">
        <v>42887</v>
      </c>
      <c r="B103" s="13">
        <v>141608182.00000003</v>
      </c>
      <c r="C103" s="13">
        <v>4667636.0681999996</v>
      </c>
      <c r="D103" s="13">
        <v>0</v>
      </c>
      <c r="E103" s="13">
        <v>-503065.74625000003</v>
      </c>
      <c r="F103" s="13">
        <f t="shared" si="5"/>
        <v>145772752.322</v>
      </c>
      <c r="G103" s="20">
        <v>45.2</v>
      </c>
      <c r="H103" s="20">
        <v>43</v>
      </c>
      <c r="I103" s="3">
        <v>30</v>
      </c>
      <c r="J103" s="3">
        <v>0</v>
      </c>
      <c r="K103" s="3">
        <v>352</v>
      </c>
      <c r="L103" s="3">
        <f t="shared" si="6"/>
        <v>151694243.34240001</v>
      </c>
      <c r="M103" s="21">
        <f t="shared" si="7"/>
        <v>4.0621384491114965E-2</v>
      </c>
    </row>
    <row r="104" spans="1:13" x14ac:dyDescent="0.2">
      <c r="A104" s="8">
        <v>42917</v>
      </c>
      <c r="B104" s="13">
        <v>151242759</v>
      </c>
      <c r="C104" s="13">
        <v>4754140.7174999993</v>
      </c>
      <c r="D104" s="13">
        <v>0</v>
      </c>
      <c r="E104" s="13">
        <v>-539685.66619999998</v>
      </c>
      <c r="F104" s="13">
        <f t="shared" si="5"/>
        <v>155457214.05129999</v>
      </c>
      <c r="G104" s="20">
        <v>3.2</v>
      </c>
      <c r="H104" s="20">
        <v>58.500000000000007</v>
      </c>
      <c r="I104" s="3">
        <v>31</v>
      </c>
      <c r="J104" s="3">
        <v>0</v>
      </c>
      <c r="K104" s="3">
        <v>320</v>
      </c>
      <c r="L104" s="3">
        <f t="shared" si="6"/>
        <v>156960886.86199999</v>
      </c>
      <c r="M104" s="21">
        <f t="shared" si="7"/>
        <v>9.6725830311341632E-3</v>
      </c>
    </row>
    <row r="105" spans="1:13" x14ac:dyDescent="0.2">
      <c r="A105" s="8">
        <v>42948</v>
      </c>
      <c r="B105" s="13">
        <v>146987028</v>
      </c>
      <c r="C105" s="13">
        <v>4553487.6454000007</v>
      </c>
      <c r="D105" s="13">
        <v>0</v>
      </c>
      <c r="E105" s="13">
        <v>-605595.09129999997</v>
      </c>
      <c r="F105" s="13">
        <f t="shared" si="5"/>
        <v>150934920.55410001</v>
      </c>
      <c r="G105" s="20">
        <v>34.5</v>
      </c>
      <c r="H105" s="20">
        <v>28.6</v>
      </c>
      <c r="I105" s="3">
        <v>31</v>
      </c>
      <c r="J105" s="3">
        <v>0</v>
      </c>
      <c r="K105" s="3">
        <v>352</v>
      </c>
      <c r="L105" s="3">
        <f t="shared" si="6"/>
        <v>149503252.7177</v>
      </c>
      <c r="M105" s="21">
        <f t="shared" si="7"/>
        <v>9.4853320301503397E-3</v>
      </c>
    </row>
    <row r="106" spans="1:13" x14ac:dyDescent="0.2">
      <c r="A106" s="8">
        <v>42979</v>
      </c>
      <c r="B106" s="13">
        <v>140693453.99999997</v>
      </c>
      <c r="C106" s="13">
        <v>4316091.5694000004</v>
      </c>
      <c r="D106" s="13">
        <v>0</v>
      </c>
      <c r="E106" s="13">
        <v>-667111.82854999998</v>
      </c>
      <c r="F106" s="13">
        <f t="shared" si="5"/>
        <v>144342433.74090001</v>
      </c>
      <c r="G106" s="20">
        <v>81.100000000000009</v>
      </c>
      <c r="H106" s="20">
        <v>36.299999999999997</v>
      </c>
      <c r="I106" s="3">
        <v>30</v>
      </c>
      <c r="J106" s="3">
        <v>1</v>
      </c>
      <c r="K106" s="3">
        <v>320</v>
      </c>
      <c r="L106" s="3">
        <f t="shared" si="6"/>
        <v>142398561.45460001</v>
      </c>
      <c r="M106" s="21">
        <f t="shared" si="7"/>
        <v>1.3467088200752708E-2</v>
      </c>
    </row>
    <row r="107" spans="1:13" x14ac:dyDescent="0.2">
      <c r="A107" s="8">
        <v>43009</v>
      </c>
      <c r="B107" s="13">
        <v>133632620.99999999</v>
      </c>
      <c r="C107" s="13">
        <v>3681788.6799999997</v>
      </c>
      <c r="D107" s="13">
        <v>0</v>
      </c>
      <c r="E107" s="13">
        <v>-593850.13080000004</v>
      </c>
      <c r="F107" s="13">
        <f t="shared" si="5"/>
        <v>136720559.5492</v>
      </c>
      <c r="G107" s="20">
        <v>208.89999999999998</v>
      </c>
      <c r="H107" s="20">
        <v>3.2</v>
      </c>
      <c r="I107" s="3">
        <v>31</v>
      </c>
      <c r="J107" s="3">
        <v>1</v>
      </c>
      <c r="K107" s="3">
        <v>336</v>
      </c>
      <c r="L107" s="3">
        <f t="shared" si="6"/>
        <v>139958533.5684</v>
      </c>
      <c r="M107" s="21">
        <f t="shared" si="7"/>
        <v>2.368315365206497E-2</v>
      </c>
    </row>
    <row r="108" spans="1:13" x14ac:dyDescent="0.2">
      <c r="A108" s="8">
        <v>43040</v>
      </c>
      <c r="B108" s="13">
        <v>141644891.99999997</v>
      </c>
      <c r="C108" s="13">
        <v>3213518.0557999997</v>
      </c>
      <c r="D108" s="13">
        <v>0</v>
      </c>
      <c r="E108" s="13">
        <v>-631399.79495000001</v>
      </c>
      <c r="F108" s="13">
        <f t="shared" si="5"/>
        <v>144227010.26089999</v>
      </c>
      <c r="G108" s="20">
        <v>480.00000000000006</v>
      </c>
      <c r="H108" s="20">
        <v>0</v>
      </c>
      <c r="I108" s="3">
        <v>30</v>
      </c>
      <c r="J108" s="3">
        <v>1</v>
      </c>
      <c r="K108" s="3">
        <v>352</v>
      </c>
      <c r="L108" s="3">
        <f t="shared" si="6"/>
        <v>147148433.7098</v>
      </c>
      <c r="M108" s="21">
        <f t="shared" si="7"/>
        <v>2.0255730487758861E-2</v>
      </c>
    </row>
    <row r="109" spans="1:13" x14ac:dyDescent="0.2">
      <c r="A109" s="9">
        <v>43070</v>
      </c>
      <c r="B109" s="14">
        <v>157394233</v>
      </c>
      <c r="C109" s="14">
        <v>3107980.5725999996</v>
      </c>
      <c r="D109" s="14">
        <v>0</v>
      </c>
      <c r="E109" s="14">
        <v>-679599.16945000004</v>
      </c>
      <c r="F109" s="14">
        <f t="shared" si="5"/>
        <v>159822614.4032</v>
      </c>
      <c r="G109" s="23">
        <v>755.7</v>
      </c>
      <c r="H109" s="23">
        <v>0</v>
      </c>
      <c r="I109" s="5">
        <v>31</v>
      </c>
      <c r="J109" s="5">
        <v>0</v>
      </c>
      <c r="K109" s="5">
        <v>304</v>
      </c>
      <c r="L109" s="5">
        <f t="shared" si="6"/>
        <v>163829814.76120001</v>
      </c>
      <c r="M109" s="24">
        <f t="shared" si="7"/>
        <v>2.5072799446833383E-2</v>
      </c>
    </row>
    <row r="110" spans="1:13" x14ac:dyDescent="0.2">
      <c r="A110" s="8">
        <v>43101</v>
      </c>
      <c r="B110" s="13">
        <v>165079987.99999997</v>
      </c>
      <c r="C110" s="13">
        <v>3266072.5217000004</v>
      </c>
      <c r="D110" s="13">
        <v>0</v>
      </c>
      <c r="E110" s="13">
        <v>0</v>
      </c>
      <c r="F110" s="13">
        <f t="shared" si="5"/>
        <v>168346060.52169999</v>
      </c>
      <c r="G110" s="20">
        <v>791.1</v>
      </c>
      <c r="H110" s="20">
        <v>0</v>
      </c>
      <c r="I110" s="3">
        <v>31</v>
      </c>
      <c r="J110" s="3">
        <v>0</v>
      </c>
      <c r="K110" s="3">
        <v>352</v>
      </c>
      <c r="L110" s="3">
        <f t="shared" si="6"/>
        <v>168884606.51800001</v>
      </c>
      <c r="M110" s="21">
        <f t="shared" si="7"/>
        <v>3.1990412762321618E-3</v>
      </c>
    </row>
    <row r="111" spans="1:13" x14ac:dyDescent="0.2">
      <c r="A111" s="8">
        <v>43132</v>
      </c>
      <c r="B111" s="13">
        <v>140447382.00000003</v>
      </c>
      <c r="C111" s="13">
        <v>3167678.0368999997</v>
      </c>
      <c r="D111" s="13">
        <v>0</v>
      </c>
      <c r="E111" s="13">
        <v>0</v>
      </c>
      <c r="F111" s="13">
        <f t="shared" si="5"/>
        <v>143615060.03690001</v>
      </c>
      <c r="G111" s="20">
        <v>594.9</v>
      </c>
      <c r="H111" s="20">
        <v>0</v>
      </c>
      <c r="I111" s="3">
        <v>28</v>
      </c>
      <c r="J111" s="3">
        <v>0</v>
      </c>
      <c r="K111" s="3">
        <v>304</v>
      </c>
      <c r="L111" s="3">
        <f t="shared" si="6"/>
        <v>146661030.6162</v>
      </c>
      <c r="M111" s="21">
        <f t="shared" si="7"/>
        <v>2.1209269964566069E-2</v>
      </c>
    </row>
    <row r="112" spans="1:13" x14ac:dyDescent="0.2">
      <c r="A112" s="8">
        <v>43160</v>
      </c>
      <c r="B112" s="13">
        <v>148006583.00000003</v>
      </c>
      <c r="C112" s="13">
        <v>4325858.5483999997</v>
      </c>
      <c r="D112" s="13">
        <v>0</v>
      </c>
      <c r="E112" s="13">
        <v>0</v>
      </c>
      <c r="F112" s="13">
        <f t="shared" si="5"/>
        <v>152332441.54840001</v>
      </c>
      <c r="G112" s="20">
        <v>591.10000000000014</v>
      </c>
      <c r="H112" s="20">
        <v>0</v>
      </c>
      <c r="I112" s="3">
        <v>31</v>
      </c>
      <c r="J112" s="3">
        <v>1</v>
      </c>
      <c r="K112" s="3">
        <v>336</v>
      </c>
      <c r="L112" s="3">
        <f t="shared" si="6"/>
        <v>153937036.96039999</v>
      </c>
      <c r="M112" s="21">
        <f t="shared" si="7"/>
        <v>1.0533510759033859E-2</v>
      </c>
    </row>
    <row r="113" spans="1:13" x14ac:dyDescent="0.2">
      <c r="A113" s="8">
        <v>43191</v>
      </c>
      <c r="B113" s="13">
        <v>138011811.99999997</v>
      </c>
      <c r="C113" s="13">
        <v>4328439.2625000002</v>
      </c>
      <c r="D113" s="13">
        <v>0</v>
      </c>
      <c r="E113" s="13">
        <v>0</v>
      </c>
      <c r="F113" s="13">
        <f t="shared" si="5"/>
        <v>142340251.26249999</v>
      </c>
      <c r="G113" s="20">
        <v>474.7999999999999</v>
      </c>
      <c r="H113" s="20">
        <v>0</v>
      </c>
      <c r="I113" s="3">
        <v>30</v>
      </c>
      <c r="J113" s="3">
        <v>1</v>
      </c>
      <c r="K113" s="3">
        <v>336</v>
      </c>
      <c r="L113" s="3">
        <f t="shared" si="6"/>
        <v>145725465.58019999</v>
      </c>
      <c r="M113" s="21">
        <f t="shared" si="7"/>
        <v>2.3782551229708515E-2</v>
      </c>
    </row>
    <row r="114" spans="1:13" x14ac:dyDescent="0.2">
      <c r="A114" s="8">
        <v>43221</v>
      </c>
      <c r="B114" s="13">
        <v>139618567.86400005</v>
      </c>
      <c r="C114" s="13">
        <v>4981302.2183999997</v>
      </c>
      <c r="D114" s="13">
        <v>0</v>
      </c>
      <c r="E114" s="13">
        <v>0</v>
      </c>
      <c r="F114" s="13">
        <f t="shared" si="5"/>
        <v>144599870.08239999</v>
      </c>
      <c r="G114" s="20">
        <v>95.199999999999989</v>
      </c>
      <c r="H114" s="20">
        <v>32.5</v>
      </c>
      <c r="I114" s="3">
        <v>31</v>
      </c>
      <c r="J114" s="3">
        <v>1</v>
      </c>
      <c r="K114" s="3">
        <v>352</v>
      </c>
      <c r="L114" s="3">
        <f t="shared" si="6"/>
        <v>147571919.48890001</v>
      </c>
      <c r="M114" s="21">
        <f t="shared" si="7"/>
        <v>2.0553610489458807E-2</v>
      </c>
    </row>
    <row r="115" spans="1:13" x14ac:dyDescent="0.2">
      <c r="A115" s="8">
        <v>43252</v>
      </c>
      <c r="B115" s="13">
        <v>147243340.99999997</v>
      </c>
      <c r="C115" s="13">
        <v>4613999.3741999995</v>
      </c>
      <c r="D115" s="13">
        <v>0</v>
      </c>
      <c r="E115" s="13">
        <v>0</v>
      </c>
      <c r="F115" s="13">
        <f t="shared" si="5"/>
        <v>151857340.37419999</v>
      </c>
      <c r="G115" s="20">
        <v>36.400000000000006</v>
      </c>
      <c r="H115" s="20">
        <v>41.5</v>
      </c>
      <c r="I115" s="3">
        <v>30</v>
      </c>
      <c r="J115" s="3">
        <v>0</v>
      </c>
      <c r="K115" s="3">
        <v>336</v>
      </c>
      <c r="L115" s="3">
        <f t="shared" si="6"/>
        <v>149569868.9659</v>
      </c>
      <c r="M115" s="21">
        <f t="shared" si="7"/>
        <v>1.5063291656915001E-2</v>
      </c>
    </row>
    <row r="116" spans="1:13" x14ac:dyDescent="0.2">
      <c r="A116" s="8">
        <v>43282</v>
      </c>
      <c r="B116" s="13">
        <v>170652291</v>
      </c>
      <c r="C116" s="13">
        <v>4759523.7725999998</v>
      </c>
      <c r="D116" s="13">
        <v>0</v>
      </c>
      <c r="E116" s="13">
        <v>0</v>
      </c>
      <c r="F116" s="13">
        <f t="shared" si="5"/>
        <v>175411814.7726</v>
      </c>
      <c r="G116" s="20">
        <v>3.6000000000000005</v>
      </c>
      <c r="H116" s="20">
        <v>89.300000000000011</v>
      </c>
      <c r="I116" s="3">
        <v>31</v>
      </c>
      <c r="J116" s="3">
        <v>0</v>
      </c>
      <c r="K116" s="3">
        <v>336</v>
      </c>
      <c r="L116" s="3">
        <f t="shared" si="6"/>
        <v>169661565.60319999</v>
      </c>
      <c r="M116" s="21">
        <f t="shared" si="7"/>
        <v>3.2781424540043069E-2</v>
      </c>
    </row>
    <row r="117" spans="1:13" x14ac:dyDescent="0.2">
      <c r="A117" s="8">
        <v>43313</v>
      </c>
      <c r="B117" s="13">
        <v>169978732</v>
      </c>
      <c r="C117" s="13">
        <v>4346729.2704000007</v>
      </c>
      <c r="D117" s="13">
        <v>0</v>
      </c>
      <c r="E117" s="13">
        <v>0</v>
      </c>
      <c r="F117" s="13">
        <f t="shared" si="5"/>
        <v>174325461.27039999</v>
      </c>
      <c r="G117" s="20">
        <v>6.6000000000000005</v>
      </c>
      <c r="H117" s="20">
        <v>93.90000000000002</v>
      </c>
      <c r="I117" s="3">
        <v>31</v>
      </c>
      <c r="J117" s="3">
        <v>0</v>
      </c>
      <c r="K117" s="3">
        <v>352</v>
      </c>
      <c r="L117" s="3">
        <f t="shared" si="6"/>
        <v>172710000.32659999</v>
      </c>
      <c r="M117" s="21">
        <f t="shared" si="7"/>
        <v>9.2669248199734877E-3</v>
      </c>
    </row>
    <row r="118" spans="1:13" x14ac:dyDescent="0.2">
      <c r="A118" s="8">
        <v>43344</v>
      </c>
      <c r="B118" s="13">
        <v>149561165</v>
      </c>
      <c r="C118" s="13">
        <v>3907560.2309999997</v>
      </c>
      <c r="D118" s="13">
        <v>0</v>
      </c>
      <c r="E118" s="13">
        <v>0</v>
      </c>
      <c r="F118" s="13">
        <f t="shared" si="5"/>
        <v>153468725.23100001</v>
      </c>
      <c r="G118" s="20">
        <v>77.199999999999989</v>
      </c>
      <c r="H118" s="20">
        <v>48.800000000000004</v>
      </c>
      <c r="I118" s="3">
        <v>30</v>
      </c>
      <c r="J118" s="3">
        <v>1</v>
      </c>
      <c r="K118" s="3">
        <v>304</v>
      </c>
      <c r="L118" s="3">
        <f t="shared" si="6"/>
        <v>145681505.6112</v>
      </c>
      <c r="M118" s="21">
        <f t="shared" si="7"/>
        <v>5.0741410721166336E-2</v>
      </c>
    </row>
    <row r="119" spans="1:13" x14ac:dyDescent="0.2">
      <c r="A119" s="8">
        <v>43374</v>
      </c>
      <c r="B119" s="13">
        <v>140901104</v>
      </c>
      <c r="C119" s="13">
        <v>2918531.9030999998</v>
      </c>
      <c r="D119" s="13">
        <v>0</v>
      </c>
      <c r="E119" s="13">
        <v>0</v>
      </c>
      <c r="F119" s="13">
        <f t="shared" si="5"/>
        <v>143819635.90310001</v>
      </c>
      <c r="G119" s="20">
        <v>319.5</v>
      </c>
      <c r="H119" s="20">
        <v>5.1999999999999993</v>
      </c>
      <c r="I119" s="3">
        <v>31</v>
      </c>
      <c r="J119" s="3">
        <v>1</v>
      </c>
      <c r="K119" s="3">
        <v>352</v>
      </c>
      <c r="L119" s="3">
        <f t="shared" si="6"/>
        <v>146309652.917</v>
      </c>
      <c r="M119" s="21">
        <f t="shared" si="7"/>
        <v>1.731347043304754E-2</v>
      </c>
    </row>
    <row r="120" spans="1:13" x14ac:dyDescent="0.2">
      <c r="A120" s="8">
        <v>43405</v>
      </c>
      <c r="B120" s="13">
        <v>147572258</v>
      </c>
      <c r="C120" s="13">
        <v>2798292.6881999997</v>
      </c>
      <c r="D120" s="13">
        <v>0</v>
      </c>
      <c r="E120" s="13">
        <v>0</v>
      </c>
      <c r="F120" s="13">
        <f t="shared" si="5"/>
        <v>150370550.6882</v>
      </c>
      <c r="G120" s="20">
        <v>538.6</v>
      </c>
      <c r="H120" s="20">
        <v>0</v>
      </c>
      <c r="I120" s="3">
        <v>30</v>
      </c>
      <c r="J120" s="3">
        <v>1</v>
      </c>
      <c r="K120" s="3">
        <v>352</v>
      </c>
      <c r="L120" s="3">
        <f t="shared" si="6"/>
        <v>149474342.7888</v>
      </c>
      <c r="M120" s="21">
        <f t="shared" si="7"/>
        <v>5.9599961248949507E-3</v>
      </c>
    </row>
    <row r="121" spans="1:13" ht="12.75" customHeight="1" x14ac:dyDescent="0.2">
      <c r="A121" s="9">
        <v>43435</v>
      </c>
      <c r="B121" s="14">
        <v>153313471</v>
      </c>
      <c r="C121" s="14">
        <v>3249160.7074999996</v>
      </c>
      <c r="D121" s="14">
        <v>0</v>
      </c>
      <c r="E121" s="14">
        <v>0</v>
      </c>
      <c r="F121" s="14">
        <f t="shared" si="5"/>
        <v>156562631.70750001</v>
      </c>
      <c r="G121" s="23">
        <v>600.79999999999995</v>
      </c>
      <c r="H121" s="23">
        <v>0</v>
      </c>
      <c r="I121" s="5">
        <v>31</v>
      </c>
      <c r="J121" s="5">
        <v>0</v>
      </c>
      <c r="K121" s="5">
        <v>304</v>
      </c>
      <c r="L121" s="5">
        <f t="shared" si="6"/>
        <v>157681635.30149999</v>
      </c>
      <c r="M121" s="24">
        <f t="shared" si="7"/>
        <v>7.1473223322573443E-3</v>
      </c>
    </row>
    <row r="122" spans="1:13" x14ac:dyDescent="0.2">
      <c r="A122" s="8">
        <v>43466</v>
      </c>
      <c r="B122" s="13">
        <v>0</v>
      </c>
      <c r="C122" s="13">
        <v>0</v>
      </c>
      <c r="D122" s="13">
        <v>0</v>
      </c>
      <c r="E122" s="13">
        <v>0</v>
      </c>
      <c r="F122" s="13">
        <f t="shared" si="5"/>
        <v>0</v>
      </c>
      <c r="G122" s="20">
        <v>763.76499999999999</v>
      </c>
      <c r="H122" s="20">
        <v>0</v>
      </c>
      <c r="I122" s="3">
        <v>31</v>
      </c>
      <c r="J122" s="3">
        <v>0</v>
      </c>
      <c r="K122" s="3">
        <v>352</v>
      </c>
      <c r="L122" s="3">
        <f t="shared" si="6"/>
        <v>167799645.3461</v>
      </c>
      <c r="M122" s="21">
        <f t="shared" si="7"/>
        <v>0</v>
      </c>
    </row>
    <row r="123" spans="1:13" x14ac:dyDescent="0.2">
      <c r="A123" s="8">
        <v>43497</v>
      </c>
      <c r="B123" s="13">
        <v>0</v>
      </c>
      <c r="C123" s="13">
        <v>0</v>
      </c>
      <c r="D123" s="13">
        <v>0</v>
      </c>
      <c r="E123" s="13">
        <v>0</v>
      </c>
      <c r="F123" s="13">
        <f t="shared" si="5"/>
        <v>0</v>
      </c>
      <c r="G123" s="20">
        <v>675.56999999999994</v>
      </c>
      <c r="H123" s="20">
        <v>0</v>
      </c>
      <c r="I123" s="3">
        <v>28</v>
      </c>
      <c r="J123" s="3">
        <v>0</v>
      </c>
      <c r="K123" s="3">
        <v>304</v>
      </c>
      <c r="L123" s="3">
        <f t="shared" si="6"/>
        <v>149862926.27149999</v>
      </c>
      <c r="M123" s="21">
        <f t="shared" si="7"/>
        <v>0</v>
      </c>
    </row>
    <row r="124" spans="1:13" x14ac:dyDescent="0.2">
      <c r="A124" s="8">
        <v>43525</v>
      </c>
      <c r="B124" s="13">
        <v>0</v>
      </c>
      <c r="C124" s="13">
        <v>0</v>
      </c>
      <c r="D124" s="13">
        <v>0</v>
      </c>
      <c r="E124" s="13">
        <v>0</v>
      </c>
      <c r="F124" s="13">
        <f t="shared" si="5"/>
        <v>0</v>
      </c>
      <c r="G124" s="20">
        <v>561.45500000000015</v>
      </c>
      <c r="H124" s="20">
        <v>0</v>
      </c>
      <c r="I124" s="3">
        <v>31</v>
      </c>
      <c r="J124" s="3">
        <v>1</v>
      </c>
      <c r="K124" s="3">
        <v>336</v>
      </c>
      <c r="L124" s="3">
        <f t="shared" si="6"/>
        <v>152760388.9289</v>
      </c>
      <c r="M124" s="21">
        <f t="shared" si="7"/>
        <v>0</v>
      </c>
    </row>
    <row r="125" spans="1:13" x14ac:dyDescent="0.2">
      <c r="A125" s="8">
        <v>43556</v>
      </c>
      <c r="B125" s="13">
        <v>0</v>
      </c>
      <c r="C125" s="13">
        <v>0</v>
      </c>
      <c r="D125" s="13">
        <v>0</v>
      </c>
      <c r="E125" s="13">
        <v>0</v>
      </c>
      <c r="F125" s="13">
        <f t="shared" si="5"/>
        <v>0</v>
      </c>
      <c r="G125" s="20">
        <v>363.83</v>
      </c>
      <c r="H125" s="20">
        <v>0.32</v>
      </c>
      <c r="I125" s="3">
        <v>30</v>
      </c>
      <c r="J125" s="3">
        <v>1</v>
      </c>
      <c r="K125" s="3">
        <v>336</v>
      </c>
      <c r="L125" s="3">
        <f t="shared" si="6"/>
        <v>141440074.53279999</v>
      </c>
      <c r="M125" s="21">
        <f t="shared" si="7"/>
        <v>0</v>
      </c>
    </row>
    <row r="126" spans="1:13" x14ac:dyDescent="0.2">
      <c r="A126" s="8">
        <v>43586</v>
      </c>
      <c r="B126" s="13">
        <v>0</v>
      </c>
      <c r="C126" s="13">
        <v>0</v>
      </c>
      <c r="D126" s="13">
        <v>0</v>
      </c>
      <c r="E126" s="13">
        <v>0</v>
      </c>
      <c r="F126" s="13">
        <f t="shared" si="5"/>
        <v>0</v>
      </c>
      <c r="G126" s="20">
        <v>151.71999999999997</v>
      </c>
      <c r="H126" s="20">
        <v>16.82</v>
      </c>
      <c r="I126" s="3">
        <v>31</v>
      </c>
      <c r="J126" s="3">
        <v>1</v>
      </c>
      <c r="K126" s="3">
        <v>352</v>
      </c>
      <c r="L126" s="3">
        <f t="shared" si="6"/>
        <v>143976899.6972</v>
      </c>
      <c r="M126" s="21">
        <f t="shared" si="7"/>
        <v>0</v>
      </c>
    </row>
    <row r="127" spans="1:13" x14ac:dyDescent="0.2">
      <c r="A127" s="8">
        <v>43617</v>
      </c>
      <c r="B127" s="13">
        <v>0</v>
      </c>
      <c r="C127" s="13">
        <v>0</v>
      </c>
      <c r="D127" s="13">
        <v>0</v>
      </c>
      <c r="E127" s="13">
        <v>0</v>
      </c>
      <c r="F127" s="13">
        <f t="shared" si="5"/>
        <v>0</v>
      </c>
      <c r="G127" s="20">
        <v>47.535000000000004</v>
      </c>
      <c r="H127" s="20">
        <v>34.924999999999997</v>
      </c>
      <c r="I127" s="3">
        <v>30</v>
      </c>
      <c r="J127" s="3">
        <v>0</v>
      </c>
      <c r="K127" s="3">
        <v>320</v>
      </c>
      <c r="L127" s="3">
        <f t="shared" si="6"/>
        <v>146347088.95039999</v>
      </c>
      <c r="M127" s="21">
        <f t="shared" si="7"/>
        <v>0</v>
      </c>
    </row>
    <row r="128" spans="1:13" x14ac:dyDescent="0.2">
      <c r="A128" s="8">
        <v>43647</v>
      </c>
      <c r="B128" s="13">
        <v>0</v>
      </c>
      <c r="C128" s="13">
        <v>0</v>
      </c>
      <c r="D128" s="13">
        <v>0</v>
      </c>
      <c r="E128" s="13">
        <v>0</v>
      </c>
      <c r="F128" s="13">
        <f t="shared" si="5"/>
        <v>0</v>
      </c>
      <c r="G128" s="20">
        <v>12.79</v>
      </c>
      <c r="H128" s="20">
        <v>80.820000000000007</v>
      </c>
      <c r="I128" s="3">
        <v>31</v>
      </c>
      <c r="J128" s="3">
        <v>0</v>
      </c>
      <c r="K128" s="3">
        <v>352</v>
      </c>
      <c r="L128" s="3">
        <f t="shared" si="6"/>
        <v>168085415.5846</v>
      </c>
      <c r="M128" s="21">
        <f t="shared" si="7"/>
        <v>0</v>
      </c>
    </row>
    <row r="129" spans="1:14" x14ac:dyDescent="0.2">
      <c r="A129" s="8">
        <v>43678</v>
      </c>
      <c r="B129" s="13">
        <v>0</v>
      </c>
      <c r="C129" s="13">
        <v>0</v>
      </c>
      <c r="D129" s="13">
        <v>0</v>
      </c>
      <c r="E129" s="13">
        <v>0</v>
      </c>
      <c r="F129" s="13">
        <f t="shared" si="5"/>
        <v>0</v>
      </c>
      <c r="G129" s="20">
        <v>20.975000000000001</v>
      </c>
      <c r="H129" s="20">
        <v>60.88000000000001</v>
      </c>
      <c r="I129" s="3">
        <v>31</v>
      </c>
      <c r="J129" s="3">
        <v>0</v>
      </c>
      <c r="K129" s="3">
        <v>336</v>
      </c>
      <c r="L129" s="3">
        <f t="shared" si="6"/>
        <v>159769154.16620001</v>
      </c>
      <c r="M129" s="21">
        <f t="shared" si="7"/>
        <v>0</v>
      </c>
    </row>
    <row r="130" spans="1:14" x14ac:dyDescent="0.2">
      <c r="A130" s="8">
        <v>43709</v>
      </c>
      <c r="B130" s="13">
        <v>0</v>
      </c>
      <c r="C130" s="13">
        <v>0</v>
      </c>
      <c r="D130" s="13">
        <v>0</v>
      </c>
      <c r="E130" s="13">
        <v>0</v>
      </c>
      <c r="F130" s="13">
        <f t="shared" si="5"/>
        <v>0</v>
      </c>
      <c r="G130" s="20">
        <v>96.54500000000003</v>
      </c>
      <c r="H130" s="20">
        <v>25.225000000000001</v>
      </c>
      <c r="I130" s="3">
        <v>30</v>
      </c>
      <c r="J130" s="3">
        <v>1</v>
      </c>
      <c r="K130" s="3">
        <v>320</v>
      </c>
      <c r="L130" s="3">
        <f t="shared" si="6"/>
        <v>138887871.4249</v>
      </c>
      <c r="M130" s="21">
        <f t="shared" ref="M130:M161" si="8">IFERROR((ABS(L130/F130-1)),0)</f>
        <v>0</v>
      </c>
      <c r="N130"/>
    </row>
    <row r="131" spans="1:14" x14ac:dyDescent="0.2">
      <c r="A131" s="8">
        <v>43739</v>
      </c>
      <c r="B131" s="13">
        <v>0</v>
      </c>
      <c r="C131" s="13">
        <v>0</v>
      </c>
      <c r="D131" s="13">
        <v>0</v>
      </c>
      <c r="E131" s="13">
        <v>0</v>
      </c>
      <c r="F131" s="13">
        <f t="shared" ref="F131:F145" si="9">ROUND((SUM(B131:E131)),4)</f>
        <v>0</v>
      </c>
      <c r="G131" s="20">
        <v>275.76499999999999</v>
      </c>
      <c r="H131" s="20">
        <v>1.0299999999999998</v>
      </c>
      <c r="I131" s="3">
        <v>31</v>
      </c>
      <c r="J131" s="3">
        <v>1</v>
      </c>
      <c r="K131" s="3">
        <v>352</v>
      </c>
      <c r="L131" s="3">
        <f t="shared" ref="L131:L145" si="10">ROUND(($O$17+G131*$O$18+H131*$O$19+I131*$O$20+J131*$O$21+K131*$O$22),4)</f>
        <v>143021075.70930001</v>
      </c>
      <c r="M131" s="21">
        <f t="shared" si="8"/>
        <v>0</v>
      </c>
    </row>
    <row r="132" spans="1:14" x14ac:dyDescent="0.2">
      <c r="A132" s="8">
        <v>43770</v>
      </c>
      <c r="B132" s="13">
        <v>0</v>
      </c>
      <c r="C132" s="13">
        <v>0</v>
      </c>
      <c r="D132" s="13">
        <v>0</v>
      </c>
      <c r="E132" s="13">
        <v>0</v>
      </c>
      <c r="F132" s="13">
        <f t="shared" si="9"/>
        <v>0</v>
      </c>
      <c r="G132" s="20">
        <v>457.58000000000004</v>
      </c>
      <c r="H132" s="20">
        <v>0</v>
      </c>
      <c r="I132" s="3">
        <v>30</v>
      </c>
      <c r="J132" s="3">
        <v>1</v>
      </c>
      <c r="K132" s="3">
        <v>336</v>
      </c>
      <c r="L132" s="3">
        <f t="shared" si="10"/>
        <v>145041981.7177</v>
      </c>
      <c r="M132" s="21">
        <f t="shared" si="8"/>
        <v>0</v>
      </c>
    </row>
    <row r="133" spans="1:14" x14ac:dyDescent="0.2">
      <c r="A133" s="9">
        <v>43800</v>
      </c>
      <c r="B133" s="14">
        <v>0</v>
      </c>
      <c r="C133" s="14">
        <v>0</v>
      </c>
      <c r="D133" s="14">
        <v>0</v>
      </c>
      <c r="E133" s="14">
        <v>0</v>
      </c>
      <c r="F133" s="14">
        <f t="shared" si="9"/>
        <v>0</v>
      </c>
      <c r="G133" s="23">
        <v>631.14</v>
      </c>
      <c r="H133" s="23">
        <v>0</v>
      </c>
      <c r="I133" s="5">
        <v>31</v>
      </c>
      <c r="J133" s="5">
        <v>0</v>
      </c>
      <c r="K133" s="5">
        <v>320</v>
      </c>
      <c r="L133" s="5">
        <f t="shared" si="10"/>
        <v>160102442.24079999</v>
      </c>
      <c r="M133" s="24">
        <f t="shared" si="8"/>
        <v>0</v>
      </c>
    </row>
    <row r="134" spans="1:14" x14ac:dyDescent="0.2">
      <c r="A134" s="8">
        <v>43831</v>
      </c>
      <c r="B134" s="13">
        <v>0</v>
      </c>
      <c r="C134" s="13">
        <v>0</v>
      </c>
      <c r="D134" s="13">
        <v>0</v>
      </c>
      <c r="E134" s="13">
        <v>0</v>
      </c>
      <c r="F134" s="13">
        <f t="shared" si="9"/>
        <v>0</v>
      </c>
      <c r="G134" s="20">
        <v>763.76499999999999</v>
      </c>
      <c r="H134" s="20">
        <v>0</v>
      </c>
      <c r="I134" s="3">
        <v>31</v>
      </c>
      <c r="J134" s="3">
        <v>0</v>
      </c>
      <c r="K134" s="3">
        <v>352</v>
      </c>
      <c r="L134" s="3">
        <f t="shared" si="10"/>
        <v>167799645.3461</v>
      </c>
      <c r="M134" s="21">
        <f t="shared" si="8"/>
        <v>0</v>
      </c>
    </row>
    <row r="135" spans="1:14" x14ac:dyDescent="0.2">
      <c r="A135" s="8">
        <v>43862</v>
      </c>
      <c r="B135" s="13">
        <v>0</v>
      </c>
      <c r="C135" s="13">
        <v>0</v>
      </c>
      <c r="D135" s="13">
        <v>0</v>
      </c>
      <c r="E135" s="13">
        <v>0</v>
      </c>
      <c r="F135" s="13">
        <f t="shared" si="9"/>
        <v>0</v>
      </c>
      <c r="G135" s="20">
        <v>675.56999999999994</v>
      </c>
      <c r="H135" s="20">
        <v>0</v>
      </c>
      <c r="I135" s="3">
        <v>29</v>
      </c>
      <c r="J135" s="3">
        <v>0</v>
      </c>
      <c r="K135" s="3">
        <v>304</v>
      </c>
      <c r="L135" s="3">
        <f t="shared" si="10"/>
        <v>153458401.6469</v>
      </c>
      <c r="M135" s="21">
        <f t="shared" si="8"/>
        <v>0</v>
      </c>
    </row>
    <row r="136" spans="1:14" x14ac:dyDescent="0.2">
      <c r="A136" s="8">
        <v>43891</v>
      </c>
      <c r="B136" s="13">
        <v>0</v>
      </c>
      <c r="C136" s="13">
        <v>0</v>
      </c>
      <c r="D136" s="13">
        <v>0</v>
      </c>
      <c r="E136" s="13">
        <v>0</v>
      </c>
      <c r="F136" s="13">
        <f t="shared" si="9"/>
        <v>0</v>
      </c>
      <c r="G136" s="20">
        <v>561.45500000000015</v>
      </c>
      <c r="H136" s="20">
        <v>0</v>
      </c>
      <c r="I136" s="3">
        <v>31</v>
      </c>
      <c r="J136" s="3">
        <v>1</v>
      </c>
      <c r="K136" s="3">
        <v>352</v>
      </c>
      <c r="L136" s="3">
        <f t="shared" si="10"/>
        <v>153976962.3962</v>
      </c>
      <c r="M136" s="21">
        <f t="shared" si="8"/>
        <v>0</v>
      </c>
    </row>
    <row r="137" spans="1:14" x14ac:dyDescent="0.2">
      <c r="A137" s="8">
        <v>43922</v>
      </c>
      <c r="B137" s="13">
        <v>0</v>
      </c>
      <c r="C137" s="13">
        <v>0</v>
      </c>
      <c r="D137" s="13">
        <v>0</v>
      </c>
      <c r="E137" s="13">
        <v>0</v>
      </c>
      <c r="F137" s="13">
        <f t="shared" si="9"/>
        <v>0</v>
      </c>
      <c r="G137" s="20">
        <v>363.83</v>
      </c>
      <c r="H137" s="20">
        <v>0.32</v>
      </c>
      <c r="I137" s="3">
        <v>30</v>
      </c>
      <c r="J137" s="3">
        <v>1</v>
      </c>
      <c r="K137" s="3">
        <v>336</v>
      </c>
      <c r="L137" s="3">
        <f t="shared" si="10"/>
        <v>141440074.53279999</v>
      </c>
      <c r="M137" s="21">
        <f t="shared" si="8"/>
        <v>0</v>
      </c>
    </row>
    <row r="138" spans="1:14" x14ac:dyDescent="0.2">
      <c r="A138" s="8">
        <v>43952</v>
      </c>
      <c r="B138" s="13">
        <v>0</v>
      </c>
      <c r="C138" s="13">
        <v>0</v>
      </c>
      <c r="D138" s="13">
        <v>0</v>
      </c>
      <c r="E138" s="13">
        <v>0</v>
      </c>
      <c r="F138" s="13">
        <f t="shared" si="9"/>
        <v>0</v>
      </c>
      <c r="G138" s="20">
        <v>151.71999999999997</v>
      </c>
      <c r="H138" s="20">
        <v>16.82</v>
      </c>
      <c r="I138" s="3">
        <v>31</v>
      </c>
      <c r="J138" s="3">
        <v>1</v>
      </c>
      <c r="K138" s="3">
        <v>320</v>
      </c>
      <c r="L138" s="3">
        <f t="shared" si="10"/>
        <v>141543752.76249999</v>
      </c>
      <c r="M138" s="21">
        <f t="shared" si="8"/>
        <v>0</v>
      </c>
    </row>
    <row r="139" spans="1:14" x14ac:dyDescent="0.2">
      <c r="A139" s="8">
        <v>43983</v>
      </c>
      <c r="B139" s="13">
        <v>0</v>
      </c>
      <c r="C139" s="13">
        <v>0</v>
      </c>
      <c r="D139" s="13">
        <v>0</v>
      </c>
      <c r="E139" s="13">
        <v>0</v>
      </c>
      <c r="F139" s="13">
        <f t="shared" si="9"/>
        <v>0</v>
      </c>
      <c r="G139" s="20">
        <v>47.535000000000004</v>
      </c>
      <c r="H139" s="20">
        <v>34.924999999999997</v>
      </c>
      <c r="I139" s="3">
        <v>30</v>
      </c>
      <c r="J139" s="3">
        <v>0</v>
      </c>
      <c r="K139" s="3">
        <v>352</v>
      </c>
      <c r="L139" s="3">
        <f t="shared" si="10"/>
        <v>148780235.88499999</v>
      </c>
      <c r="M139" s="21">
        <f t="shared" si="8"/>
        <v>0</v>
      </c>
    </row>
    <row r="140" spans="1:14" x14ac:dyDescent="0.2">
      <c r="A140" s="8">
        <v>44013</v>
      </c>
      <c r="B140" s="13">
        <v>0</v>
      </c>
      <c r="C140" s="13">
        <v>0</v>
      </c>
      <c r="D140" s="13">
        <v>0</v>
      </c>
      <c r="E140" s="13">
        <v>0</v>
      </c>
      <c r="F140" s="13">
        <f t="shared" si="9"/>
        <v>0</v>
      </c>
      <c r="G140" s="20">
        <v>12.79</v>
      </c>
      <c r="H140" s="20">
        <v>80.820000000000007</v>
      </c>
      <c r="I140" s="3">
        <v>31</v>
      </c>
      <c r="J140" s="3">
        <v>0</v>
      </c>
      <c r="K140" s="3">
        <v>352</v>
      </c>
      <c r="L140" s="3">
        <f t="shared" si="10"/>
        <v>168085415.5846</v>
      </c>
      <c r="M140" s="21">
        <f t="shared" si="8"/>
        <v>0</v>
      </c>
    </row>
    <row r="141" spans="1:14" x14ac:dyDescent="0.2">
      <c r="A141" s="8">
        <v>44044</v>
      </c>
      <c r="B141" s="13">
        <v>0</v>
      </c>
      <c r="C141" s="13">
        <v>0</v>
      </c>
      <c r="D141" s="13">
        <v>0</v>
      </c>
      <c r="E141" s="13">
        <v>0</v>
      </c>
      <c r="F141" s="13">
        <f t="shared" si="9"/>
        <v>0</v>
      </c>
      <c r="G141" s="20">
        <v>20.975000000000001</v>
      </c>
      <c r="H141" s="20">
        <v>60.88000000000001</v>
      </c>
      <c r="I141" s="3">
        <v>31</v>
      </c>
      <c r="J141" s="3">
        <v>0</v>
      </c>
      <c r="K141" s="3">
        <v>320</v>
      </c>
      <c r="L141" s="3">
        <f t="shared" si="10"/>
        <v>158552580.69890001</v>
      </c>
      <c r="M141" s="21">
        <f t="shared" si="8"/>
        <v>0</v>
      </c>
    </row>
    <row r="142" spans="1:14" x14ac:dyDescent="0.2">
      <c r="A142" s="8">
        <v>44075</v>
      </c>
      <c r="B142" s="13">
        <v>0</v>
      </c>
      <c r="C142" s="13">
        <v>0</v>
      </c>
      <c r="D142" s="13">
        <v>0</v>
      </c>
      <c r="E142" s="13">
        <v>0</v>
      </c>
      <c r="F142" s="13">
        <f t="shared" si="9"/>
        <v>0</v>
      </c>
      <c r="G142" s="20">
        <v>96.54500000000003</v>
      </c>
      <c r="H142" s="20">
        <v>25.225000000000001</v>
      </c>
      <c r="I142" s="3">
        <v>30</v>
      </c>
      <c r="J142" s="3">
        <v>1</v>
      </c>
      <c r="K142" s="3">
        <v>336</v>
      </c>
      <c r="L142" s="3">
        <f t="shared" si="10"/>
        <v>140104444.89219999</v>
      </c>
      <c r="M142" s="21">
        <f t="shared" si="8"/>
        <v>0</v>
      </c>
      <c r="N142"/>
    </row>
    <row r="143" spans="1:14" x14ac:dyDescent="0.2">
      <c r="A143" s="8">
        <v>44105</v>
      </c>
      <c r="B143" s="13">
        <v>0</v>
      </c>
      <c r="C143" s="13">
        <v>0</v>
      </c>
      <c r="D143" s="13">
        <v>0</v>
      </c>
      <c r="E143" s="13">
        <v>0</v>
      </c>
      <c r="F143" s="13">
        <f t="shared" si="9"/>
        <v>0</v>
      </c>
      <c r="G143" s="20">
        <v>275.76499999999999</v>
      </c>
      <c r="H143" s="20">
        <v>1.0299999999999998</v>
      </c>
      <c r="I143" s="3">
        <v>31</v>
      </c>
      <c r="J143" s="3">
        <v>1</v>
      </c>
      <c r="K143" s="3">
        <v>336</v>
      </c>
      <c r="L143" s="3">
        <f t="shared" si="10"/>
        <v>141804502.24200001</v>
      </c>
      <c r="M143" s="21">
        <f t="shared" si="8"/>
        <v>0</v>
      </c>
    </row>
    <row r="144" spans="1:14" x14ac:dyDescent="0.2">
      <c r="A144" s="8">
        <v>44136</v>
      </c>
      <c r="B144" s="13">
        <v>0</v>
      </c>
      <c r="C144" s="13">
        <v>0</v>
      </c>
      <c r="D144" s="13">
        <v>0</v>
      </c>
      <c r="E144" s="13">
        <v>0</v>
      </c>
      <c r="F144" s="13">
        <f t="shared" si="9"/>
        <v>0</v>
      </c>
      <c r="G144" s="20">
        <v>457.58000000000004</v>
      </c>
      <c r="H144" s="20">
        <v>0</v>
      </c>
      <c r="I144" s="3">
        <v>30</v>
      </c>
      <c r="J144" s="3">
        <v>1</v>
      </c>
      <c r="K144" s="3">
        <v>336</v>
      </c>
      <c r="L144" s="3">
        <f t="shared" si="10"/>
        <v>145041981.7177</v>
      </c>
      <c r="M144" s="21">
        <f t="shared" si="8"/>
        <v>0</v>
      </c>
    </row>
    <row r="145" spans="1:14" x14ac:dyDescent="0.2">
      <c r="A145" s="9">
        <v>44166</v>
      </c>
      <c r="B145" s="14">
        <v>0</v>
      </c>
      <c r="C145" s="14">
        <v>0</v>
      </c>
      <c r="D145" s="14">
        <v>0</v>
      </c>
      <c r="E145" s="14">
        <v>0</v>
      </c>
      <c r="F145" s="14">
        <f t="shared" si="9"/>
        <v>0</v>
      </c>
      <c r="G145" s="23">
        <v>631.14</v>
      </c>
      <c r="H145" s="23">
        <v>0</v>
      </c>
      <c r="I145" s="5">
        <v>31</v>
      </c>
      <c r="J145" s="5">
        <v>0</v>
      </c>
      <c r="K145" s="5">
        <v>336</v>
      </c>
      <c r="L145" s="5">
        <f t="shared" si="10"/>
        <v>161319015.70809999</v>
      </c>
      <c r="M145" s="24">
        <f t="shared" si="8"/>
        <v>0</v>
      </c>
    </row>
    <row r="146" spans="1:14" x14ac:dyDescent="0.2">
      <c r="L146" s="3"/>
    </row>
    <row r="147" spans="1:14" x14ac:dyDescent="0.2">
      <c r="I147" t="s">
        <v>35</v>
      </c>
      <c r="L147" s="3">
        <f>ROUND((SUM(L2:L146)),4)</f>
        <v>21831426212.814499</v>
      </c>
      <c r="M147" s="117">
        <f>AVERAGE(M2:M121)</f>
        <v>1.8729245038690705E-2</v>
      </c>
      <c r="N147" s="26" t="s">
        <v>11</v>
      </c>
    </row>
    <row r="148" spans="1:14" x14ac:dyDescent="0.2">
      <c r="M148" s="25"/>
    </row>
    <row r="149" spans="1:14" x14ac:dyDescent="0.2">
      <c r="A149" s="7">
        <v>2009</v>
      </c>
      <c r="B149" s="13">
        <f>ROUND((SUM(B2:B13)),4)</f>
        <v>1799117218</v>
      </c>
      <c r="C149" s="13">
        <f>ROUND((SUM(C2:C13)),4)</f>
        <v>40185654.629500002</v>
      </c>
      <c r="F149" s="13">
        <f>ROUND((SUM(F2:F13)),4)</f>
        <v>1783525545.6735001</v>
      </c>
      <c r="L149" s="13">
        <f>ROUND((SUM(L2:L13)),4)</f>
        <v>1789169849.1176</v>
      </c>
      <c r="M149" s="25">
        <f t="shared" ref="M149:M158" si="11">L149/F149</f>
        <v>1.0031646888701942</v>
      </c>
      <c r="N149" s="27">
        <f t="shared" ref="N149:N158" si="12">+L149-F149</f>
        <v>5644303.4440999031</v>
      </c>
    </row>
    <row r="150" spans="1:14" x14ac:dyDescent="0.2">
      <c r="A150" s="7">
        <v>2010</v>
      </c>
      <c r="B150" s="13">
        <f>ROUND((SUM(B14:B25)),4)</f>
        <v>1856139934</v>
      </c>
      <c r="C150" s="13">
        <f>ROUND((SUM(C14:C25)),4)</f>
        <v>40032545.976099998</v>
      </c>
      <c r="F150" s="13">
        <f>ROUND((SUM(F14:F25)),4)</f>
        <v>1847282693.8638999</v>
      </c>
      <c r="L150" s="13">
        <f>ROUND((SUM(L14:L25)),4)</f>
        <v>1828679648.8020999</v>
      </c>
      <c r="M150" s="25">
        <f t="shared" si="11"/>
        <v>0.98992950828609316</v>
      </c>
      <c r="N150" s="27">
        <f t="shared" si="12"/>
        <v>-18603045.061800003</v>
      </c>
    </row>
    <row r="151" spans="1:14" x14ac:dyDescent="0.2">
      <c r="A151" s="7">
        <v>2011</v>
      </c>
      <c r="B151" s="13">
        <f>ROUND((SUM(B26:B37)),4)</f>
        <v>1858126221</v>
      </c>
      <c r="C151" s="13">
        <f>ROUND((SUM(C26:C37)),4)</f>
        <v>39148349.384599999</v>
      </c>
      <c r="F151" s="13">
        <f>ROUND((SUM(F26:F37)),4)</f>
        <v>1851601106.1615</v>
      </c>
      <c r="L151" s="13">
        <f>ROUND((SUM(L26:L37)),4)</f>
        <v>1825112534.0495</v>
      </c>
      <c r="M151" s="25">
        <f t="shared" si="11"/>
        <v>0.9856942340205701</v>
      </c>
      <c r="N151" s="27">
        <f t="shared" si="12"/>
        <v>-26488572.111999989</v>
      </c>
    </row>
    <row r="152" spans="1:14" x14ac:dyDescent="0.2">
      <c r="A152" s="7">
        <v>2012</v>
      </c>
      <c r="B152" s="13">
        <f>ROUND((SUM(B38:B49)),4)</f>
        <v>1850077497</v>
      </c>
      <c r="C152" s="13">
        <f>ROUND((SUM(C38:C49)),4)</f>
        <v>37352755.518100001</v>
      </c>
      <c r="F152" s="13">
        <f>ROUND((SUM(F38:F49)),4)</f>
        <v>1841751486.6217</v>
      </c>
      <c r="L152" s="13">
        <f>ROUND((SUM(L38:L49)),4)</f>
        <v>1824188727.9921999</v>
      </c>
      <c r="M152" s="25">
        <f t="shared" si="11"/>
        <v>0.99046409965889848</v>
      </c>
      <c r="N152" s="27">
        <f t="shared" si="12"/>
        <v>-17562758.629500151</v>
      </c>
    </row>
    <row r="153" spans="1:14" x14ac:dyDescent="0.2">
      <c r="A153" s="7">
        <v>2013</v>
      </c>
      <c r="B153" s="13">
        <f>ROUND((SUM(B50:B61)),4)</f>
        <v>1830430672</v>
      </c>
      <c r="C153" s="13">
        <f>ROUND((SUM(C50:C61)),4)</f>
        <v>41134501.349200003</v>
      </c>
      <c r="F153" s="13">
        <f>ROUND((SUM(F50:F61)),4)</f>
        <v>1826077452.0487001</v>
      </c>
      <c r="L153" s="13">
        <f>ROUND((SUM(L50:L61)),4)</f>
        <v>1823031590.7330999</v>
      </c>
      <c r="M153" s="25">
        <f t="shared" si="11"/>
        <v>0.99833201964561635</v>
      </c>
      <c r="N153" s="27">
        <f t="shared" si="12"/>
        <v>-3045861.3156001568</v>
      </c>
    </row>
    <row r="154" spans="1:14" x14ac:dyDescent="0.2">
      <c r="A154" s="7">
        <v>2014</v>
      </c>
      <c r="B154" s="13">
        <f>ROUND((SUM(B62:B73)),4)</f>
        <v>1814223822.6538999</v>
      </c>
      <c r="C154" s="13">
        <f>ROUND((SUM(C62:C73)),4)</f>
        <v>39608973.159199998</v>
      </c>
      <c r="F154" s="13">
        <f>ROUND((SUM(F62:F73)),4)</f>
        <v>1813646737.4347999</v>
      </c>
      <c r="L154" s="13">
        <f>ROUND((SUM(L62:L73)),4)</f>
        <v>1806278223.493</v>
      </c>
      <c r="M154" s="25">
        <f t="shared" si="11"/>
        <v>0.99593718347145055</v>
      </c>
      <c r="N154" s="27">
        <f t="shared" si="12"/>
        <v>-7368513.9417998791</v>
      </c>
    </row>
    <row r="155" spans="1:14" x14ac:dyDescent="0.2">
      <c r="A155" s="7">
        <v>2015</v>
      </c>
      <c r="B155" s="13">
        <f>ROUND((SUM(B74:B85)),4)</f>
        <v>1771969142</v>
      </c>
      <c r="C155" s="13">
        <f>ROUND((SUM(C74:D85)),4)</f>
        <v>38406888.3235</v>
      </c>
      <c r="F155" s="13">
        <f>ROUND((SUM(F74:F85)),4)</f>
        <v>1801989952.4038</v>
      </c>
      <c r="L155" s="13">
        <f>ROUND((SUM(L74:L85)),4)</f>
        <v>1813043706.5452001</v>
      </c>
      <c r="M155" s="25">
        <f t="shared" si="11"/>
        <v>1.006134192994059</v>
      </c>
      <c r="N155" s="27">
        <f t="shared" si="12"/>
        <v>11053754.141400099</v>
      </c>
    </row>
    <row r="156" spans="1:14" x14ac:dyDescent="0.2">
      <c r="A156" s="7">
        <v>2016</v>
      </c>
      <c r="B156" s="13">
        <f>ROUND((SUM(B86:B97)),4)</f>
        <v>1771980296</v>
      </c>
      <c r="C156" s="13">
        <f>ROUND((SUM(C86:D97)),4)</f>
        <v>48126185.670100003</v>
      </c>
      <c r="F156" s="13">
        <f>ROUND((SUM(F86:F97)),4)</f>
        <v>1811690675.5150001</v>
      </c>
      <c r="L156" s="13">
        <f>ROUND((SUM(L86:L97)),4)</f>
        <v>1837556585.8353</v>
      </c>
      <c r="M156" s="25">
        <f t="shared" si="11"/>
        <v>1.0142772221935441</v>
      </c>
      <c r="N156" s="27">
        <f t="shared" si="12"/>
        <v>25865910.320299864</v>
      </c>
    </row>
    <row r="157" spans="1:14" x14ac:dyDescent="0.2">
      <c r="A157" s="7">
        <v>2017</v>
      </c>
      <c r="B157" s="13">
        <f>ROUND((SUM(B98:B109)),4)</f>
        <v>1717303925</v>
      </c>
      <c r="C157" s="13">
        <f>ROUND((SUM(C98:D109)),4)</f>
        <v>48211544.1642</v>
      </c>
      <c r="F157" s="13">
        <f>ROUND((SUM(F98:F109)),4)</f>
        <v>1757808741.7091</v>
      </c>
      <c r="L157" s="13">
        <f>ROUND((SUM(L98:L109)),4)</f>
        <v>1791494737.5852001</v>
      </c>
      <c r="M157" s="25">
        <f t="shared" si="11"/>
        <v>1.0191636297378674</v>
      </c>
      <c r="N157" s="27">
        <f t="shared" si="12"/>
        <v>33685995.876100063</v>
      </c>
    </row>
    <row r="158" spans="1:14" x14ac:dyDescent="0.2">
      <c r="A158" s="7">
        <v>2018</v>
      </c>
      <c r="B158" s="13">
        <f>ROUND((SUM(B110:B121)),4)</f>
        <v>1810386694.8640001</v>
      </c>
      <c r="C158" s="13">
        <f>ROUND((SUM(C110:D121)),4)</f>
        <v>46663148.534900002</v>
      </c>
      <c r="F158" s="13">
        <f>ROUND((SUM(F110:F121)),4)</f>
        <v>1857049843.3989</v>
      </c>
      <c r="L158" s="13">
        <f>ROUND((SUM(L110:L121)),4)</f>
        <v>1853868630.6779001</v>
      </c>
      <c r="M158" s="25">
        <f t="shared" si="11"/>
        <v>0.9982869535073019</v>
      </c>
      <c r="N158" s="27">
        <f t="shared" si="12"/>
        <v>-3181212.7209999561</v>
      </c>
    </row>
    <row r="159" spans="1:14" x14ac:dyDescent="0.2">
      <c r="A159" s="7">
        <v>2019</v>
      </c>
      <c r="F159" s="13">
        <f>ROUND((SUM(F122:F133)),4)</f>
        <v>0</v>
      </c>
      <c r="L159" s="13">
        <f>ROUND((SUM(L122:L133)),4)</f>
        <v>1817094964.5704</v>
      </c>
    </row>
    <row r="160" spans="1:14" x14ac:dyDescent="0.2">
      <c r="A160" s="7">
        <v>2020</v>
      </c>
      <c r="F160" s="13">
        <f>ROUND((SUM(F134:F145)),4)</f>
        <v>0</v>
      </c>
      <c r="L160" s="13">
        <f>ROUND((SUM(L134:L145)),4)</f>
        <v>1821907013.4130001</v>
      </c>
    </row>
    <row r="161" spans="1:14" x14ac:dyDescent="0.2">
      <c r="L161" s="13"/>
      <c r="N161" s="1"/>
    </row>
    <row r="162" spans="1:14" x14ac:dyDescent="0.2">
      <c r="A162" s="28" t="s">
        <v>91</v>
      </c>
      <c r="F162" s="13">
        <f>ROUND((SUM(F149:F161)),4)</f>
        <v>18192424234.830898</v>
      </c>
      <c r="L162" s="32">
        <f>ROUND((SUM(L149:L158)),4)</f>
        <v>18192424234.8311</v>
      </c>
      <c r="N162" s="2">
        <f>ROUND((+L162-F162),2)</f>
        <v>0</v>
      </c>
    </row>
    <row r="163" spans="1:14" x14ac:dyDescent="0.2">
      <c r="L163" s="13"/>
      <c r="N163" s="1"/>
    </row>
    <row r="164" spans="1:14" x14ac:dyDescent="0.2">
      <c r="L164" s="29">
        <f>ROUND((SUM(L149:L160)),4)</f>
        <v>21831426212.814499</v>
      </c>
      <c r="N164" s="2">
        <f>+L164-L147</f>
        <v>0</v>
      </c>
    </row>
    <row r="166" spans="1:14" x14ac:dyDescent="0.2">
      <c r="K166"/>
    </row>
    <row r="167" spans="1:14" x14ac:dyDescent="0.2">
      <c r="K167"/>
      <c r="L167" s="30" t="s">
        <v>36</v>
      </c>
      <c r="M167" s="31"/>
      <c r="N167" s="31"/>
    </row>
    <row r="168" spans="1:14" x14ac:dyDescent="0.2">
      <c r="K168"/>
    </row>
    <row r="169" spans="1:14" x14ac:dyDescent="0.2">
      <c r="K169"/>
    </row>
    <row r="170" spans="1:14" x14ac:dyDescent="0.2">
      <c r="K170"/>
    </row>
    <row r="171" spans="1:14" x14ac:dyDescent="0.2">
      <c r="K171"/>
    </row>
    <row r="172" spans="1:14" x14ac:dyDescent="0.2">
      <c r="K172"/>
    </row>
    <row r="173" spans="1:14" x14ac:dyDescent="0.2">
      <c r="K173"/>
    </row>
    <row r="174" spans="1:14" x14ac:dyDescent="0.2">
      <c r="K174"/>
    </row>
    <row r="175" spans="1:14" x14ac:dyDescent="0.2">
      <c r="K175"/>
    </row>
    <row r="176" spans="1:14" x14ac:dyDescent="0.2">
      <c r="K176"/>
    </row>
    <row r="177" spans="10:11" x14ac:dyDescent="0.2">
      <c r="K177"/>
    </row>
    <row r="178" spans="10:11" x14ac:dyDescent="0.2">
      <c r="K178"/>
    </row>
    <row r="179" spans="10:11" x14ac:dyDescent="0.2">
      <c r="K179"/>
    </row>
    <row r="180" spans="10:11" x14ac:dyDescent="0.2">
      <c r="K180"/>
    </row>
    <row r="181" spans="10:11" x14ac:dyDescent="0.2">
      <c r="K181"/>
    </row>
    <row r="182" spans="10:11" x14ac:dyDescent="0.2">
      <c r="K182"/>
    </row>
    <row r="183" spans="10:11" x14ac:dyDescent="0.2">
      <c r="K183"/>
    </row>
    <row r="184" spans="10:11" x14ac:dyDescent="0.2">
      <c r="K184"/>
    </row>
    <row r="185" spans="10:11" x14ac:dyDescent="0.2">
      <c r="K185"/>
    </row>
    <row r="186" spans="10:11" x14ac:dyDescent="0.2">
      <c r="K186"/>
    </row>
    <row r="187" spans="10:11" x14ac:dyDescent="0.2">
      <c r="K187"/>
    </row>
    <row r="188" spans="10:11" x14ac:dyDescent="0.2">
      <c r="K188"/>
    </row>
    <row r="189" spans="10:11" x14ac:dyDescent="0.2">
      <c r="K189"/>
    </row>
    <row r="190" spans="10:11" x14ac:dyDescent="0.2">
      <c r="K190"/>
    </row>
    <row r="191" spans="10:11" x14ac:dyDescent="0.2">
      <c r="K191"/>
    </row>
    <row r="192" spans="10:11" x14ac:dyDescent="0.2">
      <c r="J192"/>
      <c r="K192"/>
    </row>
    <row r="193" spans="10:11" x14ac:dyDescent="0.2">
      <c r="J193"/>
      <c r="K193"/>
    </row>
    <row r="194" spans="10:11" x14ac:dyDescent="0.2">
      <c r="J194"/>
      <c r="K194"/>
    </row>
    <row r="195" spans="10:11" x14ac:dyDescent="0.2">
      <c r="J195"/>
      <c r="K195"/>
    </row>
    <row r="196" spans="10:11" x14ac:dyDescent="0.2">
      <c r="J196"/>
      <c r="K196"/>
    </row>
    <row r="197" spans="10:11" x14ac:dyDescent="0.2">
      <c r="J197"/>
      <c r="K197"/>
    </row>
    <row r="198" spans="10:11" x14ac:dyDescent="0.2">
      <c r="J198"/>
      <c r="K198"/>
    </row>
    <row r="199" spans="10:11" x14ac:dyDescent="0.2">
      <c r="J199"/>
      <c r="K199"/>
    </row>
    <row r="200" spans="10:11" x14ac:dyDescent="0.2">
      <c r="J200"/>
      <c r="K200"/>
    </row>
    <row r="201" spans="10:11" x14ac:dyDescent="0.2">
      <c r="J201"/>
      <c r="K201"/>
    </row>
    <row r="202" spans="10:11" x14ac:dyDescent="0.2">
      <c r="J202"/>
      <c r="K202"/>
    </row>
    <row r="203" spans="10:11" x14ac:dyDescent="0.2">
      <c r="J203"/>
      <c r="K203"/>
    </row>
  </sheetData>
  <pageMargins left="0.67" right="0.24" top="0.8" bottom="0.55000000000000004" header="0.3" footer="0.18"/>
  <pageSetup scale="3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217"/>
  <sheetViews>
    <sheetView topLeftCell="P1" zoomScaleNormal="100" workbookViewId="0">
      <selection activeCell="P1" sqref="P1:AC21"/>
    </sheetView>
  </sheetViews>
  <sheetFormatPr defaultRowHeight="12.75" x14ac:dyDescent="0.2"/>
  <cols>
    <col min="1" max="1" width="11.28515625" bestFit="1" customWidth="1"/>
    <col min="2" max="2" width="12.7109375" customWidth="1"/>
    <col min="3" max="3" width="13.7109375" customWidth="1"/>
    <col min="4" max="4" width="13" bestFit="1" customWidth="1"/>
    <col min="5" max="5" width="14" bestFit="1" customWidth="1"/>
    <col min="6" max="6" width="13" customWidth="1"/>
    <col min="7" max="7" width="12.85546875" bestFit="1" customWidth="1"/>
    <col min="10" max="11" width="14" bestFit="1" customWidth="1"/>
    <col min="12" max="12" width="11.28515625" bestFit="1" customWidth="1"/>
    <col min="16" max="16" width="15.28515625" customWidth="1"/>
    <col min="17" max="29" width="13.7109375" customWidth="1"/>
  </cols>
  <sheetData>
    <row r="1" spans="1:29" ht="20.25" customHeight="1" x14ac:dyDescent="0.25">
      <c r="B1" s="4" t="s">
        <v>174</v>
      </c>
      <c r="C1" s="4" t="s">
        <v>152</v>
      </c>
      <c r="D1" s="4" t="s">
        <v>135</v>
      </c>
      <c r="E1" s="4" t="s">
        <v>136</v>
      </c>
      <c r="F1" s="4"/>
      <c r="J1" s="226" t="s">
        <v>137</v>
      </c>
      <c r="K1" s="226"/>
      <c r="P1" s="240" t="s">
        <v>188</v>
      </c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</row>
    <row r="2" spans="1:29" ht="15" x14ac:dyDescent="0.2">
      <c r="A2">
        <v>2005</v>
      </c>
      <c r="B2" s="140">
        <v>292583</v>
      </c>
      <c r="C2" s="140">
        <v>292583</v>
      </c>
      <c r="D2" s="138">
        <f>C2</f>
        <v>292583</v>
      </c>
      <c r="E2" s="138">
        <f>D2/2</f>
        <v>146291.5</v>
      </c>
      <c r="F2" s="138">
        <f>E2</f>
        <v>146291.5</v>
      </c>
      <c r="G2" s="138">
        <f t="shared" ref="G2:G17" si="0">F2/$N$14</f>
        <v>1875.5320512820513</v>
      </c>
      <c r="J2" s="139">
        <f>+E37</f>
        <v>146291.5</v>
      </c>
      <c r="K2" s="139">
        <f>E2</f>
        <v>146291.5</v>
      </c>
      <c r="L2" s="139">
        <f>J2-K2</f>
        <v>0</v>
      </c>
      <c r="M2" s="55" t="s">
        <v>138</v>
      </c>
      <c r="N2" s="55">
        <v>1</v>
      </c>
      <c r="P2" s="180" t="s">
        <v>153</v>
      </c>
      <c r="Q2" s="233">
        <v>2008</v>
      </c>
      <c r="R2" s="233">
        <v>2009</v>
      </c>
      <c r="S2" s="233">
        <v>2010</v>
      </c>
      <c r="T2" s="233">
        <v>2011</v>
      </c>
      <c r="U2" s="233">
        <v>2012</v>
      </c>
      <c r="V2" s="233">
        <v>2013</v>
      </c>
      <c r="W2" s="169">
        <v>2014</v>
      </c>
      <c r="X2" s="169">
        <v>2015</v>
      </c>
      <c r="Y2" s="169">
        <v>2016</v>
      </c>
      <c r="Z2" s="169">
        <v>2017</v>
      </c>
      <c r="AA2" s="169">
        <v>2018</v>
      </c>
      <c r="AB2" s="169">
        <v>2019</v>
      </c>
      <c r="AC2" s="169">
        <v>2020</v>
      </c>
    </row>
    <row r="3" spans="1:29" x14ac:dyDescent="0.2">
      <c r="A3">
        <v>2006</v>
      </c>
      <c r="B3" s="140">
        <v>11429858.135299999</v>
      </c>
      <c r="C3" s="140">
        <v>10724827.041200001</v>
      </c>
      <c r="D3" s="138">
        <f>C3-C2</f>
        <v>10432244.041200001</v>
      </c>
      <c r="E3" s="138">
        <f>C2+D3/2</f>
        <v>5508705.0206000004</v>
      </c>
      <c r="F3" s="138">
        <f>E3-F37</f>
        <v>5238628.4052153854</v>
      </c>
      <c r="G3" s="138">
        <f t="shared" si="0"/>
        <v>67161.902630966477</v>
      </c>
      <c r="J3" s="139">
        <f>+E49</f>
        <v>5508705.0206000023</v>
      </c>
      <c r="K3" s="139">
        <f t="shared" ref="K3:K17" si="1">E3</f>
        <v>5508705.0206000004</v>
      </c>
      <c r="L3" s="139">
        <f t="shared" ref="L3:L15" si="2">J3-K3</f>
        <v>0</v>
      </c>
      <c r="M3" s="55" t="s">
        <v>139</v>
      </c>
      <c r="N3" s="55">
        <v>2</v>
      </c>
      <c r="P3" s="234" t="s">
        <v>140</v>
      </c>
      <c r="Q3" s="235">
        <v>13901638.780000001</v>
      </c>
      <c r="R3" s="235">
        <v>14769006.445204627</v>
      </c>
      <c r="S3" s="235">
        <v>14630347.945204627</v>
      </c>
      <c r="T3" s="235">
        <v>14630347.945204627</v>
      </c>
      <c r="U3" s="235">
        <v>14282989.945204627</v>
      </c>
      <c r="V3" s="236">
        <v>9108720.7277000006</v>
      </c>
      <c r="W3" s="236">
        <v>9108720.7277000006</v>
      </c>
      <c r="X3" s="236">
        <v>8889479.0610000007</v>
      </c>
      <c r="Y3" s="236">
        <v>8889479.0610000007</v>
      </c>
      <c r="Z3" s="236">
        <v>8433284.0085000005</v>
      </c>
      <c r="AA3" s="236">
        <v>7106534.6752000004</v>
      </c>
      <c r="AB3" s="236">
        <v>7106534.6752000004</v>
      </c>
      <c r="AC3" s="236">
        <v>7106534.6752000004</v>
      </c>
    </row>
    <row r="4" spans="1:29" x14ac:dyDescent="0.2">
      <c r="A4">
        <v>2007</v>
      </c>
      <c r="B4" s="140">
        <v>30126928.111399997</v>
      </c>
      <c r="C4" s="140">
        <v>21463789.4815</v>
      </c>
      <c r="D4" s="138">
        <f t="shared" ref="D4:D17" si="3">C4-C3</f>
        <v>10738962.440299999</v>
      </c>
      <c r="E4" s="138">
        <f t="shared" ref="E4:E17" si="4">C3+D4/2</f>
        <v>16094308.26135</v>
      </c>
      <c r="F4" s="138">
        <f>E4-F49</f>
        <v>6152917.6671062093</v>
      </c>
      <c r="G4" s="138">
        <f t="shared" si="0"/>
        <v>78883.559834694985</v>
      </c>
      <c r="J4" s="139">
        <f>E61</f>
        <v>16094308.261349995</v>
      </c>
      <c r="K4" s="139">
        <f t="shared" si="1"/>
        <v>16094308.26135</v>
      </c>
      <c r="L4" s="139">
        <f t="shared" si="2"/>
        <v>0</v>
      </c>
      <c r="M4" s="55" t="s">
        <v>141</v>
      </c>
      <c r="N4" s="55">
        <v>3</v>
      </c>
      <c r="P4" s="234">
        <v>2006</v>
      </c>
      <c r="Q4" s="235">
        <v>6036034.9712358201</v>
      </c>
      <c r="R4" s="235">
        <v>6036034.9712358201</v>
      </c>
      <c r="S4" s="235">
        <v>1048325.6212944656</v>
      </c>
      <c r="T4" s="235">
        <v>1048325.6212944656</v>
      </c>
      <c r="U4" s="235">
        <v>958932.53070224635</v>
      </c>
      <c r="V4" s="236">
        <v>958932.5307</v>
      </c>
      <c r="W4" s="236">
        <v>901064.85930000001</v>
      </c>
      <c r="X4" s="236">
        <v>901064.85930000001</v>
      </c>
      <c r="Y4" s="236">
        <v>851307.5368</v>
      </c>
      <c r="Z4" s="236">
        <v>851307.5368</v>
      </c>
      <c r="AA4" s="236">
        <v>851307.5368</v>
      </c>
      <c r="AB4" s="236">
        <v>851307.5368</v>
      </c>
      <c r="AC4" s="236">
        <v>770593.15899999999</v>
      </c>
    </row>
    <row r="5" spans="1:29" x14ac:dyDescent="0.2">
      <c r="A5">
        <v>2008</v>
      </c>
      <c r="B5" s="140">
        <v>34400975.484799996</v>
      </c>
      <c r="C5" s="140">
        <v>27058909.221900001</v>
      </c>
      <c r="D5" s="138">
        <f t="shared" si="3"/>
        <v>5595119.7404000014</v>
      </c>
      <c r="E5" s="138">
        <f t="shared" si="4"/>
        <v>24261349.3517</v>
      </c>
      <c r="F5" s="138">
        <f>E5-F61</f>
        <v>2960726.1412601359</v>
      </c>
      <c r="G5" s="138">
        <f t="shared" si="0"/>
        <v>37958.027452053022</v>
      </c>
      <c r="J5" s="139">
        <f>+E73</f>
        <v>24261349.3517</v>
      </c>
      <c r="K5" s="139">
        <f t="shared" si="1"/>
        <v>24261349.3517</v>
      </c>
      <c r="L5" s="139">
        <f t="shared" si="2"/>
        <v>0</v>
      </c>
      <c r="M5" s="55" t="s">
        <v>142</v>
      </c>
      <c r="N5" s="55">
        <v>4</v>
      </c>
      <c r="P5" s="234">
        <v>2007</v>
      </c>
      <c r="Q5" s="235">
        <v>3111481.7995622377</v>
      </c>
      <c r="R5" s="235">
        <v>3016918.0548136067</v>
      </c>
      <c r="S5" s="235">
        <v>3016918.0548136067</v>
      </c>
      <c r="T5" s="235">
        <v>3016607.5121982312</v>
      </c>
      <c r="U5" s="235">
        <v>2920674.0214894065</v>
      </c>
      <c r="V5" s="236">
        <v>2920741.9328999999</v>
      </c>
      <c r="W5" s="236">
        <v>2920674.0214</v>
      </c>
      <c r="X5" s="236">
        <v>1036730.128</v>
      </c>
      <c r="Y5" s="236">
        <v>900764.071</v>
      </c>
      <c r="Z5" s="236">
        <v>577412.88769999996</v>
      </c>
      <c r="AA5" s="236">
        <v>577412.88769999996</v>
      </c>
      <c r="AB5" s="236">
        <v>577412.88769999996</v>
      </c>
      <c r="AC5" s="236">
        <v>577412.88769999996</v>
      </c>
    </row>
    <row r="6" spans="1:29" x14ac:dyDescent="0.2">
      <c r="A6">
        <v>2009</v>
      </c>
      <c r="B6" s="140">
        <v>47381960.727704629</v>
      </c>
      <c r="C6" s="140">
        <v>36655515.3336</v>
      </c>
      <c r="D6" s="138">
        <f t="shared" si="3"/>
        <v>9596606.1116999984</v>
      </c>
      <c r="E6" s="138">
        <f t="shared" si="4"/>
        <v>31857212.27775</v>
      </c>
      <c r="F6" s="138">
        <f>E6-F73</f>
        <v>5090633.1142144985</v>
      </c>
      <c r="G6" s="138">
        <f t="shared" si="0"/>
        <v>65264.527105314082</v>
      </c>
      <c r="J6" s="139">
        <f>+E85</f>
        <v>31857212.277750008</v>
      </c>
      <c r="K6" s="139">
        <f t="shared" si="1"/>
        <v>31857212.27775</v>
      </c>
      <c r="L6" s="139">
        <f t="shared" si="2"/>
        <v>0</v>
      </c>
      <c r="M6" s="55" t="s">
        <v>143</v>
      </c>
      <c r="N6" s="55">
        <v>5</v>
      </c>
      <c r="P6" s="234">
        <v>2008</v>
      </c>
      <c r="Q6" s="235">
        <v>4009753.6712747766</v>
      </c>
      <c r="R6" s="235">
        <v>3663595.9474246027</v>
      </c>
      <c r="S6" s="235">
        <v>3663595.9474246027</v>
      </c>
      <c r="T6" s="235">
        <v>3663595.9474246027</v>
      </c>
      <c r="U6" s="235">
        <v>3373054.7370565534</v>
      </c>
      <c r="V6" s="236">
        <v>3372859.3509999998</v>
      </c>
      <c r="W6" s="236">
        <v>3070530.0879000002</v>
      </c>
      <c r="X6" s="236">
        <v>2844942.4230999998</v>
      </c>
      <c r="Y6" s="236">
        <v>2206892.6046000002</v>
      </c>
      <c r="Z6" s="236">
        <v>1920978.838</v>
      </c>
      <c r="AA6" s="236">
        <v>1772268.6181999999</v>
      </c>
      <c r="AB6" s="236">
        <v>1772268.6181999999</v>
      </c>
      <c r="AC6" s="236">
        <v>1743360.1923</v>
      </c>
    </row>
    <row r="7" spans="1:29" x14ac:dyDescent="0.2">
      <c r="A7">
        <v>2010</v>
      </c>
      <c r="B7" s="140">
        <v>54664486.625004634</v>
      </c>
      <c r="C7" s="140">
        <v>39643598.0973</v>
      </c>
      <c r="D7" s="138">
        <f t="shared" si="3"/>
        <v>2988082.7637000009</v>
      </c>
      <c r="E7" s="138">
        <f t="shared" si="4"/>
        <v>38149556.715450004</v>
      </c>
      <c r="F7" s="138">
        <f>E7-F85</f>
        <v>1984885.6487492621</v>
      </c>
      <c r="G7" s="138">
        <f t="shared" si="0"/>
        <v>25447.25190704182</v>
      </c>
      <c r="J7" s="139">
        <f>+E97</f>
        <v>38149556.715450004</v>
      </c>
      <c r="K7" s="139">
        <f t="shared" si="1"/>
        <v>38149556.715450004</v>
      </c>
      <c r="L7" s="139">
        <f t="shared" si="2"/>
        <v>0</v>
      </c>
      <c r="M7" s="55" t="s">
        <v>144</v>
      </c>
      <c r="N7" s="55">
        <v>6</v>
      </c>
      <c r="P7" s="234">
        <v>2009</v>
      </c>
      <c r="Q7" s="237"/>
      <c r="R7" s="235">
        <v>9169959.9147070833</v>
      </c>
      <c r="S7" s="235">
        <v>7890852.1039132979</v>
      </c>
      <c r="T7" s="235">
        <v>7890852.1039132979</v>
      </c>
      <c r="U7" s="235">
        <v>7887707.1526503582</v>
      </c>
      <c r="V7" s="236">
        <v>7796526.2141000004</v>
      </c>
      <c r="W7" s="236">
        <v>7491579.6662999997</v>
      </c>
      <c r="X7" s="236">
        <v>7041835.8415000001</v>
      </c>
      <c r="Y7" s="236">
        <v>6832205.3581999997</v>
      </c>
      <c r="Z7" s="236">
        <v>5280325.8485000003</v>
      </c>
      <c r="AA7" s="236">
        <v>3555174.8073</v>
      </c>
      <c r="AB7" s="236">
        <v>2950716.9471999998</v>
      </c>
      <c r="AC7" s="236">
        <v>864116.98289326951</v>
      </c>
    </row>
    <row r="8" spans="1:29" x14ac:dyDescent="0.2">
      <c r="A8">
        <v>2011</v>
      </c>
      <c r="B8" s="140">
        <v>65677230.152747899</v>
      </c>
      <c r="C8" s="140">
        <v>50620379.920699999</v>
      </c>
      <c r="D8" s="138">
        <f t="shared" si="3"/>
        <v>10976781.823399998</v>
      </c>
      <c r="E8" s="138">
        <f t="shared" si="4"/>
        <v>45131989.009000003</v>
      </c>
      <c r="F8" s="138">
        <f>E8-F97</f>
        <v>5302913.6676852405</v>
      </c>
      <c r="G8" s="138">
        <f t="shared" si="0"/>
        <v>67986.072662631283</v>
      </c>
      <c r="J8" s="139">
        <f>+E109</f>
        <v>45131989.008999981</v>
      </c>
      <c r="K8" s="139">
        <f t="shared" si="1"/>
        <v>45131989.009000003</v>
      </c>
      <c r="L8" s="139">
        <f t="shared" si="2"/>
        <v>0</v>
      </c>
      <c r="M8" s="55" t="s">
        <v>145</v>
      </c>
      <c r="N8" s="55">
        <v>7</v>
      </c>
      <c r="P8" s="234">
        <v>2010</v>
      </c>
      <c r="Q8" s="237"/>
      <c r="R8" s="237"/>
      <c r="S8" s="235">
        <v>9393558.4245995656</v>
      </c>
      <c r="T8" s="235">
        <v>7125231.6944247335</v>
      </c>
      <c r="U8" s="235">
        <v>7116405.1546846479</v>
      </c>
      <c r="V8" s="236">
        <v>7117425.5054000001</v>
      </c>
      <c r="W8" s="236">
        <v>7023482.6486999998</v>
      </c>
      <c r="X8" s="236">
        <v>6565925.6502</v>
      </c>
      <c r="Y8" s="236">
        <v>6533244.1749</v>
      </c>
      <c r="Z8" s="236">
        <v>6022793.9061000003</v>
      </c>
      <c r="AA8" s="236">
        <v>4928029.7174000004</v>
      </c>
      <c r="AB8" s="236">
        <v>1963456.6318000001</v>
      </c>
      <c r="AC8" s="236">
        <v>1202682.6788999999</v>
      </c>
    </row>
    <row r="9" spans="1:29" x14ac:dyDescent="0.2">
      <c r="A9">
        <v>2012</v>
      </c>
      <c r="B9" s="140">
        <v>71029722.032871455</v>
      </c>
      <c r="C9" s="140">
        <v>56622171.722000003</v>
      </c>
      <c r="D9" s="138">
        <f t="shared" si="3"/>
        <v>6001791.8013000041</v>
      </c>
      <c r="E9" s="138">
        <f t="shared" si="4"/>
        <v>53621275.821350001</v>
      </c>
      <c r="F9" s="138">
        <f>E9-F109</f>
        <v>4002206.0166163668</v>
      </c>
      <c r="G9" s="138">
        <f t="shared" si="0"/>
        <v>51310.333546363676</v>
      </c>
      <c r="J9" s="139">
        <f>+E121</f>
        <v>53621275.821350008</v>
      </c>
      <c r="K9" s="139">
        <f t="shared" si="1"/>
        <v>53621275.821350001</v>
      </c>
      <c r="L9" s="139">
        <f t="shared" si="2"/>
        <v>0</v>
      </c>
      <c r="M9" s="55" t="s">
        <v>146</v>
      </c>
      <c r="N9" s="55">
        <v>8</v>
      </c>
      <c r="P9" s="234">
        <v>2011</v>
      </c>
      <c r="Q9" s="237"/>
      <c r="R9" s="237"/>
      <c r="S9" s="237"/>
      <c r="T9" s="235">
        <v>13238663.296255277</v>
      </c>
      <c r="U9" s="235">
        <v>13133317.915198933</v>
      </c>
      <c r="V9" s="236">
        <v>13123211.3106</v>
      </c>
      <c r="W9" s="236">
        <v>12936022.0944</v>
      </c>
      <c r="X9" s="236">
        <v>12318158.171800001</v>
      </c>
      <c r="Y9" s="236">
        <v>11872233.1602</v>
      </c>
      <c r="Z9" s="236">
        <v>11206433.6822</v>
      </c>
      <c r="AA9" s="236">
        <v>11199432.9967</v>
      </c>
      <c r="AB9" s="236">
        <v>10960077.782500001</v>
      </c>
      <c r="AC9" s="236">
        <v>10531707.2552</v>
      </c>
    </row>
    <row r="10" spans="1:29" x14ac:dyDescent="0.2">
      <c r="A10">
        <v>2013</v>
      </c>
      <c r="B10" s="140">
        <v>75626820.638019115</v>
      </c>
      <c r="C10" s="140">
        <v>61309444.238899998</v>
      </c>
      <c r="D10" s="138">
        <f t="shared" si="3"/>
        <v>4687272.5168999955</v>
      </c>
      <c r="E10" s="138">
        <f t="shared" si="4"/>
        <v>58965807.980450004</v>
      </c>
      <c r="F10" s="138">
        <f>E10-F121</f>
        <v>1958050.1450399905</v>
      </c>
      <c r="G10" s="138">
        <f t="shared" si="0"/>
        <v>25103.206987692185</v>
      </c>
      <c r="J10" s="139">
        <f>+E133</f>
        <v>58965807.980449989</v>
      </c>
      <c r="K10" s="139">
        <f t="shared" si="1"/>
        <v>58965807.980450004</v>
      </c>
      <c r="L10" s="139">
        <f t="shared" si="2"/>
        <v>0</v>
      </c>
      <c r="M10" s="55" t="s">
        <v>147</v>
      </c>
      <c r="N10" s="55">
        <v>9</v>
      </c>
      <c r="P10" s="234">
        <v>2012</v>
      </c>
      <c r="Q10" s="237"/>
      <c r="R10" s="237"/>
      <c r="S10" s="237"/>
      <c r="T10" s="237">
        <v>6755.7999879999998</v>
      </c>
      <c r="U10" s="235">
        <v>6949090.2650679238</v>
      </c>
      <c r="V10" s="236">
        <v>6754594.3976999996</v>
      </c>
      <c r="W10" s="236">
        <v>6679287.3123000003</v>
      </c>
      <c r="X10" s="236">
        <v>6359017.5565999998</v>
      </c>
      <c r="Y10" s="236">
        <v>6093072.5433</v>
      </c>
      <c r="Z10" s="236">
        <v>5398744.0356999999</v>
      </c>
      <c r="AA10" s="236">
        <v>5172456.5310000004</v>
      </c>
      <c r="AB10" s="236">
        <v>5168161.9002999999</v>
      </c>
      <c r="AC10" s="236">
        <v>4975668.3777000001</v>
      </c>
    </row>
    <row r="11" spans="1:29" x14ac:dyDescent="0.2">
      <c r="A11">
        <v>2014</v>
      </c>
      <c r="B11" s="140">
        <v>83853805.558608472</v>
      </c>
      <c r="C11" s="140">
        <v>70275491.078600004</v>
      </c>
      <c r="D11" s="138">
        <f t="shared" si="3"/>
        <v>8966046.8397000059</v>
      </c>
      <c r="E11" s="138">
        <f t="shared" si="4"/>
        <v>65792467.658749998</v>
      </c>
      <c r="F11" s="138">
        <f>E11-F133</f>
        <v>5169848.0171123296</v>
      </c>
      <c r="G11" s="138">
        <f t="shared" si="0"/>
        <v>66280.102783491398</v>
      </c>
      <c r="J11" s="139">
        <f>+E145</f>
        <v>65792467.658750027</v>
      </c>
      <c r="K11" s="139">
        <f t="shared" si="1"/>
        <v>65792467.658749998</v>
      </c>
      <c r="L11" s="139">
        <f t="shared" si="2"/>
        <v>0</v>
      </c>
      <c r="M11" s="55" t="s">
        <v>148</v>
      </c>
      <c r="N11" s="55">
        <v>10</v>
      </c>
      <c r="P11" s="234">
        <v>2013</v>
      </c>
      <c r="Q11" s="237"/>
      <c r="R11" s="237"/>
      <c r="S11" s="237"/>
      <c r="T11" s="237"/>
      <c r="U11" s="235"/>
      <c r="V11" s="238">
        <v>10156432.2688</v>
      </c>
      <c r="W11" s="238">
        <v>9881775.2895</v>
      </c>
      <c r="X11" s="238">
        <v>8950597.4055000003</v>
      </c>
      <c r="Y11" s="238">
        <v>8751965.6677000001</v>
      </c>
      <c r="Z11" s="238">
        <v>8052439.2747</v>
      </c>
      <c r="AA11" s="238">
        <v>7902937.3174999999</v>
      </c>
      <c r="AB11" s="238">
        <v>7889635.523</v>
      </c>
      <c r="AC11" s="238">
        <v>7876805.2653999999</v>
      </c>
    </row>
    <row r="12" spans="1:29" x14ac:dyDescent="0.2">
      <c r="A12">
        <v>2015</v>
      </c>
      <c r="B12" s="140">
        <v>102523021.441873</v>
      </c>
      <c r="C12" s="140">
        <v>90753702.113999993</v>
      </c>
      <c r="D12" s="138">
        <f t="shared" si="3"/>
        <v>20478211.035399988</v>
      </c>
      <c r="E12" s="138">
        <f t="shared" si="4"/>
        <v>80514596.596300006</v>
      </c>
      <c r="F12" s="138">
        <f>E12-F145</f>
        <v>10347642.153839514</v>
      </c>
      <c r="G12" s="138">
        <f t="shared" si="0"/>
        <v>132662.07889537839</v>
      </c>
      <c r="J12" s="139">
        <f>+E157</f>
        <v>80514596.596300021</v>
      </c>
      <c r="K12" s="139">
        <f t="shared" si="1"/>
        <v>80514596.596300006</v>
      </c>
      <c r="L12" s="139">
        <f t="shared" si="2"/>
        <v>0</v>
      </c>
      <c r="M12" s="55" t="s">
        <v>149</v>
      </c>
      <c r="N12" s="55">
        <v>11</v>
      </c>
      <c r="P12" s="234">
        <v>2014</v>
      </c>
      <c r="Q12" s="237"/>
      <c r="R12" s="237"/>
      <c r="S12" s="237"/>
      <c r="T12" s="237"/>
      <c r="U12" s="235"/>
      <c r="V12" s="238"/>
      <c r="W12" s="238">
        <v>10262354.370999999</v>
      </c>
      <c r="X12" s="238">
        <v>9722970.0168999992</v>
      </c>
      <c r="Y12" s="238">
        <v>9493633.9157999996</v>
      </c>
      <c r="Z12" s="238">
        <v>9308069.9998000003</v>
      </c>
      <c r="AA12" s="238">
        <v>8464732.3550000004</v>
      </c>
      <c r="AB12" s="238">
        <v>8417313.9642999992</v>
      </c>
      <c r="AC12" s="238">
        <v>8197711.0080000004</v>
      </c>
    </row>
    <row r="13" spans="1:29" x14ac:dyDescent="0.2">
      <c r="A13">
        <v>2016</v>
      </c>
      <c r="B13" s="140">
        <v>121091398.36652932</v>
      </c>
      <c r="C13" s="140">
        <v>110125229.0936</v>
      </c>
      <c r="D13" s="138">
        <f t="shared" si="3"/>
        <v>19371526.979600012</v>
      </c>
      <c r="E13" s="138">
        <f t="shared" si="4"/>
        <v>100439465.6038</v>
      </c>
      <c r="F13" s="138">
        <f>E13-F157</f>
        <v>11169171.800404966</v>
      </c>
      <c r="G13" s="138">
        <f t="shared" si="0"/>
        <v>143194.51026160212</v>
      </c>
      <c r="J13" s="139">
        <f>+E169</f>
        <v>100439465.6038</v>
      </c>
      <c r="K13" s="139">
        <f t="shared" si="1"/>
        <v>100439465.6038</v>
      </c>
      <c r="L13" s="139">
        <f t="shared" si="2"/>
        <v>0</v>
      </c>
      <c r="M13" s="55" t="s">
        <v>150</v>
      </c>
      <c r="N13" s="55">
        <v>12</v>
      </c>
      <c r="P13" s="234">
        <v>2015</v>
      </c>
      <c r="Q13" s="237"/>
      <c r="R13" s="237"/>
      <c r="S13" s="237"/>
      <c r="T13" s="237"/>
      <c r="U13" s="235"/>
      <c r="V13" s="238"/>
      <c r="W13" s="238"/>
      <c r="X13" s="238">
        <v>26122981</v>
      </c>
      <c r="Y13" s="238">
        <v>26071643</v>
      </c>
      <c r="Z13" s="238">
        <v>26001608</v>
      </c>
      <c r="AA13" s="238">
        <v>26015673</v>
      </c>
      <c r="AB13" s="238">
        <v>26003647</v>
      </c>
      <c r="AC13" s="238">
        <v>25991840</v>
      </c>
    </row>
    <row r="14" spans="1:29" x14ac:dyDescent="0.2">
      <c r="A14">
        <v>2017</v>
      </c>
      <c r="B14" s="140">
        <v>157976515.12677801</v>
      </c>
      <c r="C14" s="140">
        <v>147697956.01800001</v>
      </c>
      <c r="D14" s="138">
        <f t="shared" si="3"/>
        <v>37572726.924400002</v>
      </c>
      <c r="E14" s="138">
        <f t="shared" si="4"/>
        <v>128911592.55580001</v>
      </c>
      <c r="F14" s="138">
        <f>E14-F169</f>
        <v>19021289.274734244</v>
      </c>
      <c r="G14" s="138">
        <f t="shared" si="0"/>
        <v>243862.68300941339</v>
      </c>
      <c r="J14" s="139">
        <f>+E181</f>
        <v>128911592.55580005</v>
      </c>
      <c r="K14" s="139">
        <f t="shared" si="1"/>
        <v>128911592.55580001</v>
      </c>
      <c r="L14" s="139">
        <f t="shared" si="2"/>
        <v>0</v>
      </c>
      <c r="M14" s="55" t="s">
        <v>3</v>
      </c>
      <c r="N14" s="55">
        <f>SUM(N2:N13)</f>
        <v>78</v>
      </c>
      <c r="P14" s="234">
        <v>2016</v>
      </c>
      <c r="Q14" s="237"/>
      <c r="R14" s="237"/>
      <c r="S14" s="237"/>
      <c r="T14" s="237"/>
      <c r="U14" s="235"/>
      <c r="V14" s="238"/>
      <c r="W14" s="238"/>
      <c r="X14" s="238"/>
      <c r="Y14" s="238">
        <v>21628788</v>
      </c>
      <c r="Z14" s="238">
        <v>21628788</v>
      </c>
      <c r="AA14" s="238">
        <v>22395334</v>
      </c>
      <c r="AB14" s="238">
        <v>22395334</v>
      </c>
      <c r="AC14" s="238">
        <v>22395334</v>
      </c>
    </row>
    <row r="15" spans="1:29" x14ac:dyDescent="0.2">
      <c r="A15">
        <v>2018</v>
      </c>
      <c r="B15" s="140">
        <v>149693567.55672708</v>
      </c>
      <c r="C15" s="140">
        <v>139710565.4429</v>
      </c>
      <c r="D15" s="138">
        <f t="shared" si="3"/>
        <v>-7987390.5751000047</v>
      </c>
      <c r="E15" s="138">
        <f t="shared" si="4"/>
        <v>143704260.73045</v>
      </c>
      <c r="F15" s="138">
        <f>E15-F181</f>
        <v>-1302268.903971374</v>
      </c>
      <c r="G15" s="138">
        <f t="shared" si="0"/>
        <v>-16695.75517912018</v>
      </c>
      <c r="J15" s="139">
        <f>+E193</f>
        <v>143704260.73044997</v>
      </c>
      <c r="K15" s="139">
        <f t="shared" si="1"/>
        <v>143704260.73045</v>
      </c>
      <c r="L15" s="139">
        <f t="shared" si="2"/>
        <v>0</v>
      </c>
      <c r="M15" s="10"/>
      <c r="N15" s="10"/>
      <c r="P15" s="234">
        <v>2017</v>
      </c>
      <c r="Q15" s="237"/>
      <c r="R15" s="237"/>
      <c r="S15" s="237"/>
      <c r="T15" s="237"/>
      <c r="U15" s="235"/>
      <c r="V15" s="238"/>
      <c r="W15" s="238"/>
      <c r="X15" s="238"/>
      <c r="Y15" s="238"/>
      <c r="Z15" s="238">
        <v>43015770</v>
      </c>
      <c r="AA15" s="238">
        <v>39769271</v>
      </c>
      <c r="AB15" s="238">
        <v>39769271</v>
      </c>
      <c r="AC15" s="238">
        <v>39768618</v>
      </c>
    </row>
    <row r="16" spans="1:29" x14ac:dyDescent="0.2">
      <c r="A16">
        <v>2019</v>
      </c>
      <c r="B16" s="140">
        <v>142835737.37036848</v>
      </c>
      <c r="C16" s="140">
        <v>135825138.46700001</v>
      </c>
      <c r="D16" s="138">
        <f t="shared" si="3"/>
        <v>-3885426.9758999944</v>
      </c>
      <c r="E16" s="138">
        <f t="shared" si="4"/>
        <v>137767851.95495</v>
      </c>
      <c r="F16" s="138">
        <f>E16-F193</f>
        <v>-4834488.9336780608</v>
      </c>
      <c r="G16" s="138">
        <f t="shared" si="0"/>
        <v>-61980.627354846933</v>
      </c>
      <c r="J16" s="139">
        <f>+E205</f>
        <v>137767851.95494998</v>
      </c>
      <c r="K16" s="139">
        <f t="shared" si="1"/>
        <v>137767851.95495</v>
      </c>
      <c r="L16" s="139"/>
      <c r="M16" s="10"/>
      <c r="N16" s="10"/>
      <c r="P16" s="234">
        <v>2018</v>
      </c>
      <c r="Q16" s="237"/>
      <c r="R16" s="237"/>
      <c r="S16" s="237"/>
      <c r="T16" s="237"/>
      <c r="U16" s="235"/>
      <c r="V16" s="238"/>
      <c r="W16" s="238"/>
      <c r="X16" s="238"/>
      <c r="Y16" s="238"/>
      <c r="Z16" s="238"/>
      <c r="AA16" s="238"/>
      <c r="AB16" s="238"/>
      <c r="AC16" s="238"/>
    </row>
    <row r="17" spans="1:29" x14ac:dyDescent="0.2">
      <c r="A17">
        <v>2020</v>
      </c>
      <c r="B17" s="140">
        <v>137021968.69829354</v>
      </c>
      <c r="C17" s="140">
        <v>132002384.4823</v>
      </c>
      <c r="D17" s="138">
        <f t="shared" si="3"/>
        <v>-3822753.9847000092</v>
      </c>
      <c r="E17" s="138">
        <f t="shared" si="4"/>
        <v>133913761.47465</v>
      </c>
      <c r="F17" s="138">
        <f>E17-F205</f>
        <v>236630.92511993647</v>
      </c>
      <c r="G17" s="138">
        <f t="shared" si="0"/>
        <v>3033.7298092299548</v>
      </c>
      <c r="J17" s="139">
        <f>+E217</f>
        <v>133913761.47465001</v>
      </c>
      <c r="K17" s="139">
        <f t="shared" si="1"/>
        <v>133913761.47465</v>
      </c>
      <c r="L17" s="139"/>
      <c r="M17" s="10"/>
      <c r="N17" s="10"/>
      <c r="P17" s="234">
        <v>2019</v>
      </c>
      <c r="Q17" s="237"/>
      <c r="R17" s="237"/>
      <c r="S17" s="237"/>
      <c r="T17" s="237"/>
      <c r="U17" s="235"/>
      <c r="V17" s="238"/>
      <c r="W17" s="238"/>
      <c r="X17" s="238"/>
      <c r="Y17" s="238"/>
      <c r="Z17" s="238"/>
      <c r="AA17" s="238"/>
      <c r="AB17" s="238"/>
      <c r="AC17" s="238"/>
    </row>
    <row r="18" spans="1:29" x14ac:dyDescent="0.2">
      <c r="C18" s="138"/>
      <c r="D18" s="138"/>
      <c r="E18" s="138"/>
      <c r="F18" s="138"/>
      <c r="G18" s="138"/>
      <c r="J18" s="139"/>
      <c r="K18" s="139"/>
      <c r="L18" s="139"/>
      <c r="M18" s="10"/>
      <c r="N18" s="10"/>
      <c r="P18" s="234">
        <v>2020</v>
      </c>
      <c r="Q18" s="237"/>
      <c r="R18" s="237"/>
      <c r="S18" s="237"/>
      <c r="T18" s="237"/>
      <c r="U18" s="235"/>
      <c r="V18" s="238"/>
      <c r="W18" s="238"/>
      <c r="X18" s="238"/>
      <c r="Y18" s="238"/>
      <c r="Z18" s="238"/>
      <c r="AA18" s="238"/>
      <c r="AB18" s="238"/>
      <c r="AC18" s="238"/>
    </row>
    <row r="19" spans="1:29" x14ac:dyDescent="0.2">
      <c r="A19" s="50" t="s">
        <v>3</v>
      </c>
      <c r="B19" s="50"/>
      <c r="C19" s="138">
        <f>SUM(C2:C17)</f>
        <v>1130781684.7535</v>
      </c>
      <c r="D19" s="138"/>
      <c r="E19" s="138">
        <f>SUM(E2:E17)</f>
        <v>1064780492.5123501</v>
      </c>
      <c r="F19" s="138"/>
      <c r="G19" s="138"/>
      <c r="J19" s="138">
        <f>SUM(J2:J17)</f>
        <v>1064780492.5123501</v>
      </c>
      <c r="K19" s="138">
        <f>SUM(K2:K17)</f>
        <v>1064780492.5123501</v>
      </c>
      <c r="P19" s="234"/>
      <c r="Q19" s="237"/>
      <c r="R19" s="237"/>
      <c r="S19" s="237"/>
      <c r="T19" s="237"/>
      <c r="U19" s="235"/>
      <c r="V19" s="238"/>
      <c r="W19" s="238"/>
      <c r="X19" s="238"/>
      <c r="Y19" s="238"/>
      <c r="Z19" s="238"/>
      <c r="AA19" s="238"/>
      <c r="AB19" s="238"/>
      <c r="AC19" s="238"/>
    </row>
    <row r="20" spans="1:29" x14ac:dyDescent="0.2">
      <c r="D20" s="138"/>
      <c r="E20" s="138"/>
      <c r="F20" s="138"/>
      <c r="G20" s="138"/>
      <c r="P20" s="234" t="s">
        <v>3</v>
      </c>
      <c r="Q20" s="237">
        <f t="shared" ref="Q20:U20" si="5">SUM(Q3:Q19)</f>
        <v>27058909.222072836</v>
      </c>
      <c r="R20" s="237">
        <f t="shared" si="5"/>
        <v>36655515.333385736</v>
      </c>
      <c r="S20" s="237">
        <f t="shared" si="5"/>
        <v>39643598.097250164</v>
      </c>
      <c r="T20" s="237">
        <f t="shared" si="5"/>
        <v>50620379.920703232</v>
      </c>
      <c r="U20" s="237">
        <f t="shared" si="5"/>
        <v>56622171.72205469</v>
      </c>
      <c r="V20" s="237">
        <f>SUM(V3:V19)</f>
        <v>61309444.238899991</v>
      </c>
      <c r="W20" s="237">
        <f t="shared" ref="W20:AC20" si="6">SUM(W3:W19)</f>
        <v>70275491.078500003</v>
      </c>
      <c r="X20" s="237">
        <f t="shared" si="6"/>
        <v>90753702.113900006</v>
      </c>
      <c r="Y20" s="237">
        <f t="shared" si="6"/>
        <v>110125229.0935</v>
      </c>
      <c r="Z20" s="237">
        <f t="shared" si="6"/>
        <v>147697956.01800001</v>
      </c>
      <c r="AA20" s="237">
        <f t="shared" si="6"/>
        <v>139710565.44279999</v>
      </c>
      <c r="AB20" s="237">
        <f t="shared" si="6"/>
        <v>135825138.46700001</v>
      </c>
      <c r="AC20" s="237">
        <f t="shared" si="6"/>
        <v>132002384.48229328</v>
      </c>
    </row>
    <row r="21" spans="1:29" x14ac:dyDescent="0.2">
      <c r="C21" s="139"/>
      <c r="D21" s="138"/>
      <c r="E21" s="138"/>
      <c r="F21" s="138"/>
      <c r="G21" s="138"/>
      <c r="P21" s="184"/>
      <c r="Q21" s="239">
        <f>ROUND((Q20-$C5),2)</f>
        <v>0</v>
      </c>
      <c r="R21" s="239">
        <f>ROUND((R20-$C6),2)</f>
        <v>0</v>
      </c>
      <c r="S21" s="239">
        <f>ROUND((S20-$C7),2)</f>
        <v>0</v>
      </c>
      <c r="T21" s="239">
        <f>ROUND((T20-$C8),2)</f>
        <v>0</v>
      </c>
      <c r="U21" s="239">
        <f>ROUND((U20-$C9),2)</f>
        <v>0</v>
      </c>
      <c r="V21" s="239">
        <f>ROUND((V20-$C10),2)</f>
        <v>0</v>
      </c>
      <c r="W21" s="239">
        <f>ROUND((W20-$C11),2)</f>
        <v>0</v>
      </c>
      <c r="X21" s="239">
        <f>ROUND((X20-$C12),2)</f>
        <v>0</v>
      </c>
      <c r="Y21" s="239">
        <f>ROUND((Y20-$C13),2)</f>
        <v>0</v>
      </c>
      <c r="Z21" s="239">
        <f>ROUND((Z20-$C14),2)</f>
        <v>0</v>
      </c>
      <c r="AA21" s="239">
        <f>ROUND((AA20-$C15),2)</f>
        <v>0</v>
      </c>
      <c r="AB21" s="239">
        <f>ROUND((AB20-$C16),2)</f>
        <v>0</v>
      </c>
      <c r="AC21" s="239">
        <f>ROUND((AC20-$C17),2)</f>
        <v>0</v>
      </c>
    </row>
    <row r="22" spans="1:29" x14ac:dyDescent="0.2">
      <c r="C22" s="44"/>
      <c r="D22" s="138"/>
      <c r="E22" s="138"/>
      <c r="F22" s="138"/>
      <c r="G22" s="138"/>
      <c r="K22" s="137"/>
    </row>
    <row r="23" spans="1:29" x14ac:dyDescent="0.2">
      <c r="C23" s="44"/>
      <c r="D23" s="138"/>
      <c r="E23" s="138"/>
      <c r="F23" s="138"/>
      <c r="G23" s="138"/>
      <c r="K23" s="137"/>
    </row>
    <row r="24" spans="1:29" x14ac:dyDescent="0.2">
      <c r="C24" s="44"/>
      <c r="D24" s="138" t="s">
        <v>151</v>
      </c>
      <c r="G24" s="138"/>
      <c r="K24" s="137"/>
    </row>
    <row r="25" spans="1:29" x14ac:dyDescent="0.2">
      <c r="C25" s="44"/>
      <c r="D25" s="138"/>
      <c r="K25" s="137"/>
      <c r="P25" s="227" t="s">
        <v>169</v>
      </c>
      <c r="Q25" s="227"/>
      <c r="R25" s="227"/>
    </row>
    <row r="26" spans="1:29" x14ac:dyDescent="0.2">
      <c r="A26" s="44">
        <v>38353</v>
      </c>
      <c r="B26" s="44"/>
      <c r="C26" s="44"/>
      <c r="D26" s="138">
        <f>$G$2</f>
        <v>1875.5320512820513</v>
      </c>
      <c r="K26" s="137"/>
      <c r="P26" s="228">
        <v>105710000</v>
      </c>
      <c r="Q26" s="228"/>
      <c r="R26" s="228"/>
    </row>
    <row r="27" spans="1:29" ht="13.5" thickBot="1" x14ac:dyDescent="0.25">
      <c r="A27" s="44">
        <v>38384</v>
      </c>
      <c r="B27" s="44"/>
      <c r="C27" s="44"/>
      <c r="D27" s="138">
        <f>D26+$G$2</f>
        <v>3751.0641025641025</v>
      </c>
      <c r="K27" s="137"/>
    </row>
    <row r="28" spans="1:29" x14ac:dyDescent="0.2">
      <c r="A28" s="44">
        <v>38412</v>
      </c>
      <c r="B28" s="44"/>
      <c r="C28" s="44"/>
      <c r="D28" s="138">
        <f t="shared" ref="D28:D34" si="7">D27+$G$2</f>
        <v>5626.5961538461543</v>
      </c>
      <c r="K28" s="137"/>
      <c r="P28" s="223" t="s">
        <v>168</v>
      </c>
      <c r="Q28" s="224"/>
      <c r="R28" s="224"/>
      <c r="S28" s="224"/>
      <c r="T28" s="224"/>
      <c r="U28" s="224"/>
      <c r="V28" s="225"/>
    </row>
    <row r="29" spans="1:29" x14ac:dyDescent="0.2">
      <c r="A29" s="44">
        <v>38443</v>
      </c>
      <c r="B29" s="44"/>
      <c r="C29" s="44"/>
      <c r="D29" s="138">
        <f t="shared" si="7"/>
        <v>7502.1282051282051</v>
      </c>
      <c r="K29" s="137"/>
      <c r="P29" s="151">
        <v>2015</v>
      </c>
      <c r="Q29" s="55">
        <v>2016</v>
      </c>
      <c r="R29" s="55">
        <v>2017</v>
      </c>
      <c r="S29" s="55">
        <v>2018</v>
      </c>
      <c r="T29" s="55">
        <v>2019</v>
      </c>
      <c r="U29" s="55">
        <v>2020</v>
      </c>
      <c r="V29" s="152" t="s">
        <v>3</v>
      </c>
    </row>
    <row r="30" spans="1:29" x14ac:dyDescent="0.2">
      <c r="A30" s="44">
        <v>38473</v>
      </c>
      <c r="B30" s="44"/>
      <c r="C30" s="44"/>
      <c r="D30" s="138">
        <f t="shared" si="7"/>
        <v>9377.6602564102559</v>
      </c>
      <c r="K30" s="137"/>
      <c r="P30" s="153">
        <f>P37/$P$26</f>
        <v>2.777777777788289E-2</v>
      </c>
      <c r="Q30" s="154">
        <f t="shared" ref="Q30:U33" si="8">Q37/$P$26</f>
        <v>2.777777777788289E-2</v>
      </c>
      <c r="R30" s="154">
        <f t="shared" si="8"/>
        <v>2.777777777788289E-2</v>
      </c>
      <c r="S30" s="154">
        <f t="shared" si="8"/>
        <v>2.777777777788289E-2</v>
      </c>
      <c r="T30" s="154">
        <f t="shared" si="8"/>
        <v>2.777777777788289E-2</v>
      </c>
      <c r="U30" s="154">
        <f t="shared" si="8"/>
        <v>2.777777777788289E-2</v>
      </c>
      <c r="V30" s="155">
        <f>SUM(P30:U30)</f>
        <v>0.16666666666729735</v>
      </c>
    </row>
    <row r="31" spans="1:29" x14ac:dyDescent="0.2">
      <c r="A31" s="44">
        <v>38504</v>
      </c>
      <c r="B31" s="44"/>
      <c r="C31" s="44"/>
      <c r="D31" s="138">
        <f t="shared" si="7"/>
        <v>11253.192307692307</v>
      </c>
      <c r="K31" s="137"/>
      <c r="P31" s="153"/>
      <c r="Q31" s="154">
        <f t="shared" si="8"/>
        <v>3.3333333333648664E-2</v>
      </c>
      <c r="R31" s="154">
        <f t="shared" si="8"/>
        <v>3.3333333333648664E-2</v>
      </c>
      <c r="S31" s="154">
        <f t="shared" si="8"/>
        <v>3.3333333333648664E-2</v>
      </c>
      <c r="T31" s="154">
        <f t="shared" si="8"/>
        <v>3.3333333333648664E-2</v>
      </c>
      <c r="U31" s="154">
        <f t="shared" si="8"/>
        <v>3.3333333333648664E-2</v>
      </c>
      <c r="V31" s="155">
        <f t="shared" ref="V31:V35" si="9">SUM(P31:U31)</f>
        <v>0.16666666666824331</v>
      </c>
    </row>
    <row r="32" spans="1:29" x14ac:dyDescent="0.2">
      <c r="A32" s="44">
        <v>38534</v>
      </c>
      <c r="B32" s="44"/>
      <c r="C32" s="44"/>
      <c r="D32" s="138">
        <f t="shared" si="7"/>
        <v>13128.724358974358</v>
      </c>
      <c r="K32" s="137"/>
      <c r="P32" s="153"/>
      <c r="Q32" s="154"/>
      <c r="R32" s="154">
        <f t="shared" si="8"/>
        <v>4.166666666635134E-2</v>
      </c>
      <c r="S32" s="154">
        <f t="shared" si="8"/>
        <v>4.166666666635134E-2</v>
      </c>
      <c r="T32" s="154">
        <f t="shared" ref="T32:U35" si="10">T39/$P$26</f>
        <v>4.166666666635134E-2</v>
      </c>
      <c r="U32" s="154">
        <f t="shared" si="10"/>
        <v>4.166666666635134E-2</v>
      </c>
      <c r="V32" s="155">
        <f t="shared" si="9"/>
        <v>0.16666666666540536</v>
      </c>
      <c r="X32" s="167"/>
      <c r="Y32" s="167"/>
      <c r="Z32" s="167"/>
      <c r="AA32" s="167"/>
      <c r="AB32" s="167"/>
      <c r="AC32" s="167"/>
    </row>
    <row r="33" spans="1:29" x14ac:dyDescent="0.2">
      <c r="A33" s="44">
        <v>38565</v>
      </c>
      <c r="B33" s="44"/>
      <c r="C33" s="44"/>
      <c r="D33" s="138">
        <f t="shared" si="7"/>
        <v>15004.256410256408</v>
      </c>
      <c r="K33" s="137"/>
      <c r="P33" s="153"/>
      <c r="Q33" s="154"/>
      <c r="R33" s="154"/>
      <c r="S33" s="154">
        <f t="shared" si="8"/>
        <v>5.555555555576578E-2</v>
      </c>
      <c r="T33" s="154">
        <f t="shared" si="10"/>
        <v>5.555555555576578E-2</v>
      </c>
      <c r="U33" s="154">
        <f t="shared" si="10"/>
        <v>5.555555555576578E-2</v>
      </c>
      <c r="V33" s="155">
        <f t="shared" si="9"/>
        <v>0.16666666666729735</v>
      </c>
      <c r="X33" s="168"/>
      <c r="Y33" s="168"/>
      <c r="Z33" s="168"/>
      <c r="AA33" s="168"/>
      <c r="AB33" s="168"/>
      <c r="AC33" s="168"/>
    </row>
    <row r="34" spans="1:29" x14ac:dyDescent="0.2">
      <c r="A34" s="44">
        <v>38596</v>
      </c>
      <c r="B34" s="44"/>
      <c r="C34" s="44"/>
      <c r="D34" s="138">
        <f t="shared" si="7"/>
        <v>16879.788461538461</v>
      </c>
      <c r="K34" s="137"/>
      <c r="P34" s="153"/>
      <c r="Q34" s="154"/>
      <c r="R34" s="154"/>
      <c r="S34" s="154"/>
      <c r="T34" s="154">
        <f t="shared" si="10"/>
        <v>8.333333333364866E-2</v>
      </c>
      <c r="U34" s="154">
        <f t="shared" si="10"/>
        <v>8.333333333364866E-2</v>
      </c>
      <c r="V34" s="155">
        <f t="shared" si="9"/>
        <v>0.16666666666729732</v>
      </c>
      <c r="X34" s="168"/>
      <c r="Y34" s="168"/>
      <c r="Z34" s="168"/>
      <c r="AA34" s="168"/>
      <c r="AB34" s="168"/>
      <c r="AC34" s="168"/>
    </row>
    <row r="35" spans="1:29" x14ac:dyDescent="0.2">
      <c r="A35" s="44">
        <v>38626</v>
      </c>
      <c r="B35" s="44"/>
      <c r="C35" s="44"/>
      <c r="D35" s="138">
        <f>D34+$G$2</f>
        <v>18755.320512820512</v>
      </c>
      <c r="K35" s="137"/>
      <c r="P35" s="153"/>
      <c r="Q35" s="154"/>
      <c r="R35" s="154"/>
      <c r="S35" s="154"/>
      <c r="T35" s="154"/>
      <c r="U35" s="154">
        <f t="shared" si="10"/>
        <v>0.16666666666635133</v>
      </c>
      <c r="V35" s="155">
        <f t="shared" si="9"/>
        <v>0.16666666666635133</v>
      </c>
      <c r="X35" s="146"/>
      <c r="Y35" s="146"/>
      <c r="Z35" s="146"/>
      <c r="AA35" s="146"/>
      <c r="AB35" s="146"/>
      <c r="AC35" s="146"/>
    </row>
    <row r="36" spans="1:29" x14ac:dyDescent="0.2">
      <c r="A36" s="44">
        <v>38657</v>
      </c>
      <c r="B36" s="44"/>
      <c r="C36" s="44"/>
      <c r="D36" s="138">
        <f>D35+$G$2</f>
        <v>20630.852564102563</v>
      </c>
      <c r="E36" s="50" t="s">
        <v>137</v>
      </c>
      <c r="F36" s="50"/>
      <c r="K36" s="137"/>
      <c r="P36" s="230" t="s">
        <v>64</v>
      </c>
      <c r="Q36" s="231"/>
      <c r="R36" s="231"/>
      <c r="S36" s="231"/>
      <c r="T36" s="231"/>
      <c r="U36" s="231"/>
      <c r="V36" s="232"/>
    </row>
    <row r="37" spans="1:29" x14ac:dyDescent="0.2">
      <c r="A37" s="44">
        <v>38687</v>
      </c>
      <c r="B37" s="44"/>
      <c r="C37" s="44"/>
      <c r="D37" s="138">
        <f>D36+$G$2</f>
        <v>22506.384615384613</v>
      </c>
      <c r="E37" s="138">
        <f>SUM(D26:D37)</f>
        <v>146291.5</v>
      </c>
      <c r="F37" s="138">
        <f>D37*12</f>
        <v>270076.61538461538</v>
      </c>
      <c r="K37" s="137"/>
      <c r="O37">
        <v>2015</v>
      </c>
      <c r="P37" s="156">
        <f>ROUND((V37/6),4)</f>
        <v>2936388.8889000001</v>
      </c>
      <c r="Q37" s="157">
        <f>ROUND((V37/6),4)</f>
        <v>2936388.8889000001</v>
      </c>
      <c r="R37" s="157">
        <f>ROUND((V37/6),4)</f>
        <v>2936388.8889000001</v>
      </c>
      <c r="S37" s="157">
        <f>ROUND((V37/6),4)</f>
        <v>2936388.8889000001</v>
      </c>
      <c r="T37" s="157">
        <f>ROUND((V37/6),4)</f>
        <v>2936388.8889000001</v>
      </c>
      <c r="U37" s="157">
        <f>ROUND((V37/6),4)</f>
        <v>2936388.8889000001</v>
      </c>
      <c r="V37" s="158">
        <f>ROUND((P26/6),4)</f>
        <v>17618333.333299998</v>
      </c>
    </row>
    <row r="38" spans="1:29" x14ac:dyDescent="0.2">
      <c r="A38" s="44">
        <v>38718</v>
      </c>
      <c r="B38" s="44"/>
      <c r="C38" s="44"/>
      <c r="D38" s="138">
        <f>+D37+$G$3</f>
        <v>89668.287246351087</v>
      </c>
      <c r="K38" s="137"/>
      <c r="O38">
        <v>2016</v>
      </c>
      <c r="P38" s="159"/>
      <c r="Q38" s="157">
        <f>ROUND((V38/5),4)</f>
        <v>3523666.6666999999</v>
      </c>
      <c r="R38" s="157">
        <f>ROUND((V38/5),4)</f>
        <v>3523666.6666999999</v>
      </c>
      <c r="S38" s="157">
        <f>ROUND((V38/5),4)</f>
        <v>3523666.6666999999</v>
      </c>
      <c r="T38" s="157">
        <f>ROUND((V38/5),4)</f>
        <v>3523666.6666999999</v>
      </c>
      <c r="U38" s="157">
        <f>ROUND((V38/5),4)</f>
        <v>3523666.6666999999</v>
      </c>
      <c r="V38" s="158">
        <f>ROUND((P26/6),4)</f>
        <v>17618333.333299998</v>
      </c>
    </row>
    <row r="39" spans="1:29" x14ac:dyDescent="0.2">
      <c r="A39" s="44">
        <v>38749</v>
      </c>
      <c r="B39" s="44"/>
      <c r="C39" s="44"/>
      <c r="D39" s="138">
        <f>+D38+$G$3</f>
        <v>156830.18987731758</v>
      </c>
      <c r="K39" s="137"/>
      <c r="O39">
        <v>2017</v>
      </c>
      <c r="P39" s="159"/>
      <c r="Q39" s="160"/>
      <c r="R39" s="157">
        <f>ROUND((V39/4),4)</f>
        <v>4404583.3333000001</v>
      </c>
      <c r="S39" s="157">
        <f>ROUND((V39/4),4)</f>
        <v>4404583.3333000001</v>
      </c>
      <c r="T39" s="157">
        <f>ROUND((V39/4),4)</f>
        <v>4404583.3333000001</v>
      </c>
      <c r="U39" s="157">
        <f>ROUND((V39/4),4)</f>
        <v>4404583.3333000001</v>
      </c>
      <c r="V39" s="158">
        <f>ROUND((P26/6),4)</f>
        <v>17618333.333299998</v>
      </c>
      <c r="W39" s="48"/>
    </row>
    <row r="40" spans="1:29" x14ac:dyDescent="0.2">
      <c r="A40" s="44">
        <v>38777</v>
      </c>
      <c r="B40" s="44"/>
      <c r="C40" s="44"/>
      <c r="D40" s="138">
        <f>+D39+$G$3</f>
        <v>223992.09250828405</v>
      </c>
      <c r="K40" s="137"/>
      <c r="O40">
        <v>2018</v>
      </c>
      <c r="P40" s="159"/>
      <c r="Q40" s="160"/>
      <c r="R40" s="160"/>
      <c r="S40" s="160">
        <f>ROUND((V40/3),4)</f>
        <v>5872777.7778000003</v>
      </c>
      <c r="T40" s="160">
        <f>ROUND((V40/3),4)</f>
        <v>5872777.7778000003</v>
      </c>
      <c r="U40" s="160">
        <f>ROUND((V40/3),4)</f>
        <v>5872777.7778000003</v>
      </c>
      <c r="V40" s="158">
        <f>ROUND((P26/6),4)</f>
        <v>17618333.333299998</v>
      </c>
      <c r="W40" s="48"/>
    </row>
    <row r="41" spans="1:29" x14ac:dyDescent="0.2">
      <c r="A41" s="44">
        <v>38808</v>
      </c>
      <c r="B41" s="44"/>
      <c r="C41" s="44"/>
      <c r="D41" s="138">
        <f t="shared" ref="D41:D49" si="11">+D40+$G$3</f>
        <v>291153.99513925053</v>
      </c>
      <c r="K41" s="137"/>
      <c r="O41">
        <v>2019</v>
      </c>
      <c r="P41" s="164"/>
      <c r="Q41" s="165"/>
      <c r="R41" s="165"/>
      <c r="S41" s="165"/>
      <c r="T41" s="160">
        <f>ROUND((V41/2),4)</f>
        <v>8809166.6666999999</v>
      </c>
      <c r="U41" s="160">
        <f>ROUND((V41/2),4)</f>
        <v>8809166.6666999999</v>
      </c>
      <c r="V41" s="166">
        <f>ROUND((P26/6),4)</f>
        <v>17618333.333299998</v>
      </c>
      <c r="W41" s="48"/>
    </row>
    <row r="42" spans="1:29" ht="13.5" thickBot="1" x14ac:dyDescent="0.25">
      <c r="A42" s="44">
        <v>38838</v>
      </c>
      <c r="B42" s="44"/>
      <c r="C42" s="44"/>
      <c r="D42" s="138">
        <f t="shared" si="11"/>
        <v>358315.89777021704</v>
      </c>
      <c r="K42" s="137"/>
      <c r="O42">
        <v>2020</v>
      </c>
      <c r="P42" s="161"/>
      <c r="Q42" s="162"/>
      <c r="R42" s="162"/>
      <c r="S42" s="162"/>
      <c r="T42" s="162"/>
      <c r="U42" s="162">
        <f>ROUND((V42),4)</f>
        <v>17618333.333299998</v>
      </c>
      <c r="V42" s="163">
        <f>ROUND((P26/6),4)</f>
        <v>17618333.333299998</v>
      </c>
      <c r="W42" s="48"/>
    </row>
    <row r="43" spans="1:29" x14ac:dyDescent="0.2">
      <c r="A43" s="44">
        <v>38869</v>
      </c>
      <c r="B43" s="44"/>
      <c r="C43" s="44"/>
      <c r="D43" s="138">
        <f t="shared" si="11"/>
        <v>425477.80040118354</v>
      </c>
      <c r="K43" s="137"/>
      <c r="Q43" s="44"/>
      <c r="R43" s="44"/>
      <c r="S43" s="74"/>
      <c r="T43" s="74"/>
    </row>
    <row r="44" spans="1:29" x14ac:dyDescent="0.2">
      <c r="A44" s="44">
        <v>38899</v>
      </c>
      <c r="B44" s="44"/>
      <c r="C44" s="44"/>
      <c r="D44" s="138">
        <f t="shared" si="11"/>
        <v>492639.70303215005</v>
      </c>
      <c r="K44" s="137"/>
      <c r="Q44" s="44"/>
      <c r="T44" s="229" t="s">
        <v>170</v>
      </c>
      <c r="U44" s="229"/>
    </row>
    <row r="45" spans="1:29" x14ac:dyDescent="0.2">
      <c r="A45" s="44">
        <v>38930</v>
      </c>
      <c r="B45" s="44"/>
      <c r="C45" s="44"/>
      <c r="D45" s="138">
        <f t="shared" si="11"/>
        <v>559801.60566311656</v>
      </c>
      <c r="K45" s="137"/>
      <c r="Q45" s="44"/>
      <c r="T45" s="29">
        <f>ROUND((T40),4)</f>
        <v>5872777.7778000003</v>
      </c>
      <c r="U45" s="29">
        <f>ROUND((U40),4)</f>
        <v>5872777.7778000003</v>
      </c>
    </row>
    <row r="46" spans="1:29" x14ac:dyDescent="0.2">
      <c r="A46" s="44">
        <v>38961</v>
      </c>
      <c r="B46" s="44"/>
      <c r="C46" s="44"/>
      <c r="D46" s="138">
        <f t="shared" si="11"/>
        <v>626963.50829408306</v>
      </c>
      <c r="Q46" s="44"/>
      <c r="T46" s="29">
        <f>ROUND((T41/2),4)</f>
        <v>4404583.3333999999</v>
      </c>
      <c r="U46" s="29">
        <f>ROUND((U41),4)</f>
        <v>8809166.6666999999</v>
      </c>
      <c r="V46" s="13"/>
    </row>
    <row r="47" spans="1:29" x14ac:dyDescent="0.2">
      <c r="A47" s="44">
        <v>38991</v>
      </c>
      <c r="B47" s="44"/>
      <c r="C47" s="44"/>
      <c r="D47" s="138">
        <f t="shared" si="11"/>
        <v>694125.41092504957</v>
      </c>
      <c r="Q47" s="44"/>
      <c r="T47" s="44"/>
      <c r="U47" s="29">
        <f>ROUND((U42/2),2)</f>
        <v>8809166.6699999999</v>
      </c>
    </row>
    <row r="48" spans="1:29" ht="13.5" thickBot="1" x14ac:dyDescent="0.25">
      <c r="A48" s="44">
        <v>39022</v>
      </c>
      <c r="B48" s="44"/>
      <c r="C48" s="44"/>
      <c r="D48" s="138">
        <f t="shared" si="11"/>
        <v>761287.31355601607</v>
      </c>
      <c r="T48" s="170">
        <f>ROUND((SUM(T45:T47)),4)</f>
        <v>10277361.111199999</v>
      </c>
      <c r="U48" s="170">
        <f>ROUND((SUM(U45:U47)),4)</f>
        <v>23491111.114500001</v>
      </c>
    </row>
    <row r="49" spans="1:6" ht="13.5" thickTop="1" x14ac:dyDescent="0.2">
      <c r="A49" s="44">
        <v>39052</v>
      </c>
      <c r="B49" s="44"/>
      <c r="C49" s="44"/>
      <c r="D49" s="138">
        <f t="shared" si="11"/>
        <v>828449.21618698258</v>
      </c>
      <c r="E49" s="138">
        <f>SUM(D38:D49)</f>
        <v>5508705.0206000023</v>
      </c>
      <c r="F49" s="138">
        <f>D49*12</f>
        <v>9941390.594243791</v>
      </c>
    </row>
    <row r="50" spans="1:6" x14ac:dyDescent="0.2">
      <c r="A50" s="44">
        <v>39083</v>
      </c>
      <c r="B50" s="44"/>
      <c r="C50" s="44"/>
      <c r="D50" s="138">
        <f>+D49+$G$4</f>
        <v>907332.77602167754</v>
      </c>
    </row>
    <row r="51" spans="1:6" x14ac:dyDescent="0.2">
      <c r="A51" s="44">
        <v>39114</v>
      </c>
      <c r="B51" s="44"/>
      <c r="C51" s="44"/>
      <c r="D51" s="138">
        <f t="shared" ref="D51:D61" si="12">+D50+$G$4</f>
        <v>986216.33585637249</v>
      </c>
    </row>
    <row r="52" spans="1:6" ht="12.75" customHeight="1" x14ac:dyDescent="0.2">
      <c r="A52" s="44">
        <v>39142</v>
      </c>
      <c r="B52" s="44"/>
      <c r="C52" s="44"/>
      <c r="D52" s="138">
        <f t="shared" si="12"/>
        <v>1065099.8956910674</v>
      </c>
    </row>
    <row r="53" spans="1:6" ht="12.75" customHeight="1" x14ac:dyDescent="0.2">
      <c r="A53" s="44">
        <v>39173</v>
      </c>
      <c r="B53" s="44"/>
      <c r="C53" s="44"/>
      <c r="D53" s="138">
        <f t="shared" si="12"/>
        <v>1143983.4555257624</v>
      </c>
    </row>
    <row r="54" spans="1:6" ht="12.75" customHeight="1" x14ac:dyDescent="0.2">
      <c r="A54" s="44">
        <v>39203</v>
      </c>
      <c r="B54" s="44"/>
      <c r="C54" s="44"/>
      <c r="D54" s="138">
        <f t="shared" si="12"/>
        <v>1222867.0153604574</v>
      </c>
    </row>
    <row r="55" spans="1:6" ht="12.75" customHeight="1" x14ac:dyDescent="0.2">
      <c r="A55" s="44">
        <v>39234</v>
      </c>
      <c r="B55" s="44"/>
      <c r="C55" s="44"/>
      <c r="D55" s="138">
        <f t="shared" si="12"/>
        <v>1301750.5751951523</v>
      </c>
    </row>
    <row r="56" spans="1:6" ht="12.75" customHeight="1" x14ac:dyDescent="0.2">
      <c r="A56" s="44">
        <v>39264</v>
      </c>
      <c r="B56" s="44"/>
      <c r="C56" s="44"/>
      <c r="D56" s="138">
        <f t="shared" si="12"/>
        <v>1380634.1350298473</v>
      </c>
    </row>
    <row r="57" spans="1:6" ht="12.75" customHeight="1" x14ac:dyDescent="0.2">
      <c r="A57" s="44">
        <v>39295</v>
      </c>
      <c r="B57" s="44"/>
      <c r="C57" s="44"/>
      <c r="D57" s="138">
        <f t="shared" si="12"/>
        <v>1459517.6948645422</v>
      </c>
    </row>
    <row r="58" spans="1:6" ht="12.75" customHeight="1" x14ac:dyDescent="0.2">
      <c r="A58" s="44">
        <v>39326</v>
      </c>
      <c r="B58" s="44"/>
      <c r="C58" s="44"/>
      <c r="D58" s="138">
        <f t="shared" si="12"/>
        <v>1538401.2546992372</v>
      </c>
    </row>
    <row r="59" spans="1:6" ht="12.75" customHeight="1" x14ac:dyDescent="0.2">
      <c r="A59" s="44">
        <v>39356</v>
      </c>
      <c r="B59" s="44"/>
      <c r="C59" s="44"/>
      <c r="D59" s="138">
        <f t="shared" si="12"/>
        <v>1617284.8145339321</v>
      </c>
    </row>
    <row r="60" spans="1:6" ht="12.75" customHeight="1" x14ac:dyDescent="0.2">
      <c r="A60" s="44">
        <v>39387</v>
      </c>
      <c r="B60" s="44"/>
      <c r="C60" s="44"/>
      <c r="D60" s="138">
        <f t="shared" si="12"/>
        <v>1696168.3743686271</v>
      </c>
    </row>
    <row r="61" spans="1:6" ht="12.75" customHeight="1" x14ac:dyDescent="0.2">
      <c r="A61" s="44">
        <v>39417</v>
      </c>
      <c r="B61" s="44"/>
      <c r="C61" s="44"/>
      <c r="D61" s="138">
        <f t="shared" si="12"/>
        <v>1775051.934203322</v>
      </c>
      <c r="E61" s="138">
        <f>SUM(D50:D61)</f>
        <v>16094308.261349995</v>
      </c>
      <c r="F61" s="138">
        <f>D61*12</f>
        <v>21300623.210439865</v>
      </c>
    </row>
    <row r="62" spans="1:6" ht="12.75" customHeight="1" x14ac:dyDescent="0.2">
      <c r="A62" s="44">
        <v>39448</v>
      </c>
      <c r="B62" s="44"/>
      <c r="C62" s="44"/>
      <c r="D62" s="138">
        <f>D61+$G$5</f>
        <v>1813009.9616553751</v>
      </c>
    </row>
    <row r="63" spans="1:6" x14ac:dyDescent="0.2">
      <c r="A63" s="44">
        <v>39479</v>
      </c>
      <c r="B63" s="44"/>
      <c r="C63" s="44"/>
      <c r="D63" s="138">
        <f t="shared" ref="D63:D73" si="13">D62+$G$5</f>
        <v>1850967.9891074281</v>
      </c>
    </row>
    <row r="64" spans="1:6" ht="12.75" customHeight="1" x14ac:dyDescent="0.2">
      <c r="A64" s="44">
        <v>39508</v>
      </c>
      <c r="B64" s="44"/>
      <c r="C64" s="44"/>
      <c r="D64" s="138">
        <f t="shared" si="13"/>
        <v>1888926.0165594812</v>
      </c>
    </row>
    <row r="65" spans="1:6" ht="12.75" customHeight="1" x14ac:dyDescent="0.2">
      <c r="A65" s="44">
        <v>39539</v>
      </c>
      <c r="B65" s="44"/>
      <c r="C65" s="44"/>
      <c r="D65" s="138">
        <f t="shared" si="13"/>
        <v>1926884.0440115342</v>
      </c>
    </row>
    <row r="66" spans="1:6" ht="13.5" customHeight="1" x14ac:dyDescent="0.2">
      <c r="A66" s="44">
        <v>39569</v>
      </c>
      <c r="B66" s="44"/>
      <c r="C66" s="44"/>
      <c r="D66" s="138">
        <f t="shared" si="13"/>
        <v>1964842.0714635872</v>
      </c>
    </row>
    <row r="67" spans="1:6" ht="12.75" customHeight="1" x14ac:dyDescent="0.2">
      <c r="A67" s="44">
        <v>39600</v>
      </c>
      <c r="B67" s="44"/>
      <c r="C67" s="44"/>
      <c r="D67" s="138">
        <f t="shared" si="13"/>
        <v>2002800.0989156403</v>
      </c>
    </row>
    <row r="68" spans="1:6" ht="12.75" customHeight="1" x14ac:dyDescent="0.2">
      <c r="A68" s="44">
        <v>39630</v>
      </c>
      <c r="B68" s="44"/>
      <c r="C68" s="44"/>
      <c r="D68" s="138">
        <f t="shared" si="13"/>
        <v>2040758.1263676933</v>
      </c>
    </row>
    <row r="69" spans="1:6" ht="12.75" customHeight="1" x14ac:dyDescent="0.2">
      <c r="A69" s="44">
        <v>39661</v>
      </c>
      <c r="B69" s="44"/>
      <c r="C69" s="44"/>
      <c r="D69" s="138">
        <f t="shared" si="13"/>
        <v>2078716.1538197463</v>
      </c>
    </row>
    <row r="70" spans="1:6" ht="12.75" customHeight="1" x14ac:dyDescent="0.2">
      <c r="A70" s="44">
        <v>39692</v>
      </c>
      <c r="B70" s="44"/>
      <c r="C70" s="44"/>
      <c r="D70" s="138">
        <f t="shared" si="13"/>
        <v>2116674.1812717994</v>
      </c>
    </row>
    <row r="71" spans="1:6" ht="12.75" customHeight="1" x14ac:dyDescent="0.2">
      <c r="A71" s="44">
        <v>39722</v>
      </c>
      <c r="B71" s="44"/>
      <c r="C71" s="44"/>
      <c r="D71" s="138">
        <f t="shared" si="13"/>
        <v>2154632.2087238524</v>
      </c>
    </row>
    <row r="72" spans="1:6" x14ac:dyDescent="0.2">
      <c r="A72" s="44">
        <v>39753</v>
      </c>
      <c r="B72" s="44"/>
      <c r="C72" s="44"/>
      <c r="D72" s="138">
        <f t="shared" si="13"/>
        <v>2192590.2361759054</v>
      </c>
    </row>
    <row r="73" spans="1:6" x14ac:dyDescent="0.2">
      <c r="A73" s="44">
        <v>39783</v>
      </c>
      <c r="B73" s="44"/>
      <c r="C73" s="44"/>
      <c r="D73" s="138">
        <f t="shared" si="13"/>
        <v>2230548.2636279585</v>
      </c>
      <c r="E73" s="138">
        <f>SUM(D62:D73)</f>
        <v>24261349.3517</v>
      </c>
      <c r="F73" s="138">
        <f>D73*12</f>
        <v>26766579.163535502</v>
      </c>
    </row>
    <row r="74" spans="1:6" x14ac:dyDescent="0.2">
      <c r="A74" s="44">
        <v>39814</v>
      </c>
      <c r="B74" s="44"/>
      <c r="C74" s="44"/>
      <c r="D74" s="138">
        <f>D73+$G$6</f>
        <v>2295812.7907332727</v>
      </c>
    </row>
    <row r="75" spans="1:6" x14ac:dyDescent="0.2">
      <c r="A75" s="44">
        <v>39845</v>
      </c>
      <c r="B75" s="44"/>
      <c r="C75" s="44"/>
      <c r="D75" s="138">
        <f t="shared" ref="D75:D85" si="14">D74+$G$6</f>
        <v>2361077.3178385869</v>
      </c>
    </row>
    <row r="76" spans="1:6" x14ac:dyDescent="0.2">
      <c r="A76" s="44">
        <v>39873</v>
      </c>
      <c r="B76" s="44"/>
      <c r="C76" s="44"/>
      <c r="D76" s="138">
        <f t="shared" si="14"/>
        <v>2426341.8449439011</v>
      </c>
    </row>
    <row r="77" spans="1:6" x14ac:dyDescent="0.2">
      <c r="A77" s="44">
        <v>39904</v>
      </c>
      <c r="B77" s="44"/>
      <c r="C77" s="44"/>
      <c r="D77" s="138">
        <f t="shared" si="14"/>
        <v>2491606.3720492152</v>
      </c>
    </row>
    <row r="78" spans="1:6" x14ac:dyDescent="0.2">
      <c r="A78" s="44">
        <v>39934</v>
      </c>
      <c r="B78" s="44"/>
      <c r="C78" s="44"/>
      <c r="D78" s="138">
        <f t="shared" si="14"/>
        <v>2556870.8991545294</v>
      </c>
    </row>
    <row r="79" spans="1:6" x14ac:dyDescent="0.2">
      <c r="A79" s="44">
        <v>39965</v>
      </c>
      <c r="B79" s="44"/>
      <c r="C79" s="44"/>
      <c r="D79" s="138">
        <f t="shared" si="14"/>
        <v>2622135.4262598436</v>
      </c>
    </row>
    <row r="80" spans="1:6" x14ac:dyDescent="0.2">
      <c r="A80" s="44">
        <v>39995</v>
      </c>
      <c r="B80" s="44"/>
      <c r="C80" s="44"/>
      <c r="D80" s="138">
        <f t="shared" si="14"/>
        <v>2687399.9533651578</v>
      </c>
    </row>
    <row r="81" spans="1:6" x14ac:dyDescent="0.2">
      <c r="A81" s="44">
        <v>40026</v>
      </c>
      <c r="B81" s="44"/>
      <c r="C81" s="44"/>
      <c r="D81" s="138">
        <f t="shared" si="14"/>
        <v>2752664.480470472</v>
      </c>
    </row>
    <row r="82" spans="1:6" x14ac:dyDescent="0.2">
      <c r="A82" s="44">
        <v>40057</v>
      </c>
      <c r="B82" s="44"/>
      <c r="C82" s="44"/>
      <c r="D82" s="138">
        <f t="shared" si="14"/>
        <v>2817929.0075757862</v>
      </c>
    </row>
    <row r="83" spans="1:6" x14ac:dyDescent="0.2">
      <c r="A83" s="44">
        <v>40087</v>
      </c>
      <c r="B83" s="44"/>
      <c r="C83" s="44"/>
      <c r="D83" s="138">
        <f t="shared" si="14"/>
        <v>2883193.5346811004</v>
      </c>
    </row>
    <row r="84" spans="1:6" x14ac:dyDescent="0.2">
      <c r="A84" s="44">
        <v>40118</v>
      </c>
      <c r="B84" s="44"/>
      <c r="C84" s="44"/>
      <c r="D84" s="138">
        <f t="shared" si="14"/>
        <v>2948458.0617864146</v>
      </c>
    </row>
    <row r="85" spans="1:6" x14ac:dyDescent="0.2">
      <c r="A85" s="44">
        <v>40148</v>
      </c>
      <c r="B85" s="44"/>
      <c r="C85" s="44"/>
      <c r="D85" s="138">
        <f t="shared" si="14"/>
        <v>3013722.5888917288</v>
      </c>
      <c r="E85" s="138">
        <f>SUM(D74:D85)</f>
        <v>31857212.277750008</v>
      </c>
      <c r="F85" s="138">
        <f>D85*12</f>
        <v>36164671.066700742</v>
      </c>
    </row>
    <row r="86" spans="1:6" x14ac:dyDescent="0.2">
      <c r="A86" s="44">
        <v>40179</v>
      </c>
      <c r="B86" s="44"/>
      <c r="C86" s="44"/>
      <c r="D86" s="138">
        <f>D85+$G$7</f>
        <v>3039169.8407987705</v>
      </c>
    </row>
    <row r="87" spans="1:6" x14ac:dyDescent="0.2">
      <c r="A87" s="44">
        <v>40210</v>
      </c>
      <c r="B87" s="44"/>
      <c r="C87" s="44"/>
      <c r="D87" s="138">
        <f t="shared" ref="D87:D97" si="15">D86+$G$7</f>
        <v>3064617.0927058123</v>
      </c>
    </row>
    <row r="88" spans="1:6" x14ac:dyDescent="0.2">
      <c r="A88" s="44">
        <v>40238</v>
      </c>
      <c r="B88" s="44"/>
      <c r="C88" s="44"/>
      <c r="D88" s="138">
        <f t="shared" si="15"/>
        <v>3090064.3446128541</v>
      </c>
    </row>
    <row r="89" spans="1:6" x14ac:dyDescent="0.2">
      <c r="A89" s="44">
        <v>40269</v>
      </c>
      <c r="B89" s="44"/>
      <c r="C89" s="44"/>
      <c r="D89" s="138">
        <f t="shared" si="15"/>
        <v>3115511.5965198958</v>
      </c>
    </row>
    <row r="90" spans="1:6" x14ac:dyDescent="0.2">
      <c r="A90" s="44">
        <v>40299</v>
      </c>
      <c r="B90" s="44"/>
      <c r="C90" s="44"/>
      <c r="D90" s="138">
        <f t="shared" si="15"/>
        <v>3140958.8484269376</v>
      </c>
    </row>
    <row r="91" spans="1:6" x14ac:dyDescent="0.2">
      <c r="A91" s="44">
        <v>40330</v>
      </c>
      <c r="B91" s="44"/>
      <c r="C91" s="44"/>
      <c r="D91" s="138">
        <f t="shared" si="15"/>
        <v>3166406.1003339794</v>
      </c>
    </row>
    <row r="92" spans="1:6" x14ac:dyDescent="0.2">
      <c r="A92" s="44">
        <v>40360</v>
      </c>
      <c r="B92" s="44"/>
      <c r="C92" s="44"/>
      <c r="D92" s="138">
        <f t="shared" si="15"/>
        <v>3191853.3522410211</v>
      </c>
    </row>
    <row r="93" spans="1:6" x14ac:dyDescent="0.2">
      <c r="A93" s="44">
        <v>40391</v>
      </c>
      <c r="B93" s="44"/>
      <c r="C93" s="44"/>
      <c r="D93" s="138">
        <f t="shared" si="15"/>
        <v>3217300.6041480629</v>
      </c>
    </row>
    <row r="94" spans="1:6" x14ac:dyDescent="0.2">
      <c r="A94" s="44">
        <v>40422</v>
      </c>
      <c r="B94" s="44"/>
      <c r="C94" s="44"/>
      <c r="D94" s="138">
        <f t="shared" si="15"/>
        <v>3242747.8560551046</v>
      </c>
    </row>
    <row r="95" spans="1:6" x14ac:dyDescent="0.2">
      <c r="A95" s="44">
        <v>40452</v>
      </c>
      <c r="B95" s="44"/>
      <c r="C95" s="44"/>
      <c r="D95" s="138">
        <f t="shared" si="15"/>
        <v>3268195.1079621464</v>
      </c>
    </row>
    <row r="96" spans="1:6" x14ac:dyDescent="0.2">
      <c r="A96" s="44">
        <v>40483</v>
      </c>
      <c r="B96" s="44"/>
      <c r="C96" s="44"/>
      <c r="D96" s="138">
        <f t="shared" si="15"/>
        <v>3293642.3598691882</v>
      </c>
    </row>
    <row r="97" spans="1:6" x14ac:dyDescent="0.2">
      <c r="A97" s="44">
        <v>40513</v>
      </c>
      <c r="B97" s="44"/>
      <c r="C97" s="44"/>
      <c r="D97" s="138">
        <f t="shared" si="15"/>
        <v>3319089.6117762299</v>
      </c>
      <c r="E97" s="138">
        <f>SUM(D86:D97)</f>
        <v>38149556.715450004</v>
      </c>
      <c r="F97" s="138">
        <f>D97*12</f>
        <v>39829075.341314763</v>
      </c>
    </row>
    <row r="98" spans="1:6" x14ac:dyDescent="0.2">
      <c r="A98" s="44">
        <v>40544</v>
      </c>
      <c r="B98" s="44"/>
      <c r="C98" s="44"/>
      <c r="D98" s="138">
        <f>D97+$G$8</f>
        <v>3387075.684438861</v>
      </c>
    </row>
    <row r="99" spans="1:6" x14ac:dyDescent="0.2">
      <c r="A99" s="44">
        <v>40575</v>
      </c>
      <c r="B99" s="44"/>
      <c r="C99" s="44"/>
      <c r="D99" s="138">
        <f t="shared" ref="D99:D109" si="16">D98+$G$8</f>
        <v>3455061.757101492</v>
      </c>
    </row>
    <row r="100" spans="1:6" x14ac:dyDescent="0.2">
      <c r="A100" s="44">
        <v>40603</v>
      </c>
      <c r="B100" s="44"/>
      <c r="C100" s="44"/>
      <c r="D100" s="138">
        <f t="shared" si="16"/>
        <v>3523047.8297641231</v>
      </c>
    </row>
    <row r="101" spans="1:6" x14ac:dyDescent="0.2">
      <c r="A101" s="44">
        <v>40634</v>
      </c>
      <c r="B101" s="44"/>
      <c r="D101" s="138">
        <f t="shared" si="16"/>
        <v>3591033.9024267541</v>
      </c>
    </row>
    <row r="102" spans="1:6" x14ac:dyDescent="0.2">
      <c r="A102" s="44">
        <v>40664</v>
      </c>
      <c r="B102" s="44"/>
      <c r="D102" s="138">
        <f t="shared" si="16"/>
        <v>3659019.9750893852</v>
      </c>
    </row>
    <row r="103" spans="1:6" x14ac:dyDescent="0.2">
      <c r="A103" s="44">
        <v>40695</v>
      </c>
      <c r="B103" s="44"/>
      <c r="D103" s="138">
        <f t="shared" si="16"/>
        <v>3727006.0477520162</v>
      </c>
    </row>
    <row r="104" spans="1:6" x14ac:dyDescent="0.2">
      <c r="A104" s="44">
        <v>40725</v>
      </c>
      <c r="B104" s="44"/>
      <c r="D104" s="138">
        <f t="shared" si="16"/>
        <v>3794992.1204146473</v>
      </c>
    </row>
    <row r="105" spans="1:6" x14ac:dyDescent="0.2">
      <c r="A105" s="44">
        <v>40756</v>
      </c>
      <c r="B105" s="44"/>
      <c r="D105" s="138">
        <f t="shared" si="16"/>
        <v>3862978.1930772783</v>
      </c>
    </row>
    <row r="106" spans="1:6" x14ac:dyDescent="0.2">
      <c r="A106" s="44">
        <v>40787</v>
      </c>
      <c r="B106" s="44"/>
      <c r="D106" s="138">
        <f t="shared" si="16"/>
        <v>3930964.2657399094</v>
      </c>
    </row>
    <row r="107" spans="1:6" x14ac:dyDescent="0.2">
      <c r="A107" s="44">
        <v>40817</v>
      </c>
      <c r="B107" s="44"/>
      <c r="D107" s="138">
        <f t="shared" si="16"/>
        <v>3998950.3384025404</v>
      </c>
    </row>
    <row r="108" spans="1:6" x14ac:dyDescent="0.2">
      <c r="A108" s="44">
        <v>40848</v>
      </c>
      <c r="B108" s="44"/>
      <c r="D108" s="138">
        <f t="shared" si="16"/>
        <v>4066936.4110651715</v>
      </c>
    </row>
    <row r="109" spans="1:6" x14ac:dyDescent="0.2">
      <c r="A109" s="44">
        <v>40878</v>
      </c>
      <c r="B109" s="44"/>
      <c r="D109" s="138">
        <f t="shared" si="16"/>
        <v>4134922.4837278025</v>
      </c>
      <c r="E109" s="138">
        <f>SUM(D98:D109)</f>
        <v>45131989.008999981</v>
      </c>
      <c r="F109" s="138">
        <f>D109*12</f>
        <v>49619069.804733634</v>
      </c>
    </row>
    <row r="110" spans="1:6" x14ac:dyDescent="0.2">
      <c r="A110" s="44">
        <v>40909</v>
      </c>
      <c r="B110" s="44"/>
      <c r="D110" s="138">
        <f>D109+$G$9</f>
        <v>4186232.8172741663</v>
      </c>
    </row>
    <row r="111" spans="1:6" x14ac:dyDescent="0.2">
      <c r="A111" s="44">
        <v>40940</v>
      </c>
      <c r="B111" s="44"/>
      <c r="D111" s="138">
        <f t="shared" ref="D111:D121" si="17">D110+$G$9</f>
        <v>4237543.15082053</v>
      </c>
    </row>
    <row r="112" spans="1:6" x14ac:dyDescent="0.2">
      <c r="A112" s="44">
        <v>40969</v>
      </c>
      <c r="B112" s="44"/>
      <c r="D112" s="138">
        <f t="shared" si="17"/>
        <v>4288853.4843668938</v>
      </c>
    </row>
    <row r="113" spans="1:6" x14ac:dyDescent="0.2">
      <c r="A113" s="44">
        <v>41000</v>
      </c>
      <c r="B113" s="44"/>
      <c r="D113" s="138">
        <f t="shared" si="17"/>
        <v>4340163.8179132575</v>
      </c>
    </row>
    <row r="114" spans="1:6" x14ac:dyDescent="0.2">
      <c r="A114" s="44">
        <v>41030</v>
      </c>
      <c r="B114" s="44"/>
      <c r="D114" s="138">
        <f t="shared" si="17"/>
        <v>4391474.1514596213</v>
      </c>
    </row>
    <row r="115" spans="1:6" x14ac:dyDescent="0.2">
      <c r="A115" s="44">
        <v>41061</v>
      </c>
      <c r="B115" s="44"/>
      <c r="D115" s="138">
        <f t="shared" si="17"/>
        <v>4442784.485005985</v>
      </c>
    </row>
    <row r="116" spans="1:6" x14ac:dyDescent="0.2">
      <c r="A116" s="44">
        <v>41091</v>
      </c>
      <c r="B116" s="44"/>
      <c r="D116" s="138">
        <f t="shared" si="17"/>
        <v>4494094.8185523488</v>
      </c>
    </row>
    <row r="117" spans="1:6" x14ac:dyDescent="0.2">
      <c r="A117" s="44">
        <v>41122</v>
      </c>
      <c r="B117" s="44"/>
      <c r="D117" s="138">
        <f t="shared" si="17"/>
        <v>4545405.1520987125</v>
      </c>
    </row>
    <row r="118" spans="1:6" x14ac:dyDescent="0.2">
      <c r="A118" s="44">
        <v>41153</v>
      </c>
      <c r="B118" s="44"/>
      <c r="D118" s="138">
        <f t="shared" si="17"/>
        <v>4596715.4856450763</v>
      </c>
    </row>
    <row r="119" spans="1:6" x14ac:dyDescent="0.2">
      <c r="A119" s="44">
        <v>41183</v>
      </c>
      <c r="B119" s="44"/>
      <c r="D119" s="138">
        <f t="shared" si="17"/>
        <v>4648025.81919144</v>
      </c>
    </row>
    <row r="120" spans="1:6" x14ac:dyDescent="0.2">
      <c r="A120" s="44">
        <v>41214</v>
      </c>
      <c r="B120" s="44"/>
      <c r="D120" s="138">
        <f t="shared" si="17"/>
        <v>4699336.1527378038</v>
      </c>
    </row>
    <row r="121" spans="1:6" x14ac:dyDescent="0.2">
      <c r="A121" s="44">
        <v>41244</v>
      </c>
      <c r="B121" s="44"/>
      <c r="D121" s="138">
        <f t="shared" si="17"/>
        <v>4750646.4862841675</v>
      </c>
      <c r="E121" s="138">
        <f>SUM(D110:D121)</f>
        <v>53621275.821350008</v>
      </c>
      <c r="F121" s="138">
        <f>D121*12</f>
        <v>57007757.835410014</v>
      </c>
    </row>
    <row r="122" spans="1:6" x14ac:dyDescent="0.2">
      <c r="A122" s="44">
        <v>41275</v>
      </c>
      <c r="B122" s="44"/>
      <c r="D122" s="139">
        <f>D121+$G$10</f>
        <v>4775749.6932718595</v>
      </c>
    </row>
    <row r="123" spans="1:6" x14ac:dyDescent="0.2">
      <c r="A123" s="44">
        <v>41306</v>
      </c>
      <c r="B123" s="44"/>
      <c r="D123" s="139">
        <f t="shared" ref="D123:D133" si="18">D122+$G$10</f>
        <v>4800852.9002595516</v>
      </c>
    </row>
    <row r="124" spans="1:6" x14ac:dyDescent="0.2">
      <c r="A124" s="44">
        <v>41334</v>
      </c>
      <c r="B124" s="44"/>
      <c r="D124" s="139">
        <f t="shared" si="18"/>
        <v>4825956.1072472436</v>
      </c>
    </row>
    <row r="125" spans="1:6" x14ac:dyDescent="0.2">
      <c r="A125" s="44">
        <v>41365</v>
      </c>
      <c r="B125" s="44"/>
      <c r="D125" s="139">
        <f t="shared" si="18"/>
        <v>4851059.3142349357</v>
      </c>
    </row>
    <row r="126" spans="1:6" x14ac:dyDescent="0.2">
      <c r="A126" s="44">
        <v>41395</v>
      </c>
      <c r="B126" s="44"/>
      <c r="D126" s="139">
        <f t="shared" si="18"/>
        <v>4876162.5212226277</v>
      </c>
    </row>
    <row r="127" spans="1:6" x14ac:dyDescent="0.2">
      <c r="A127" s="44">
        <v>41426</v>
      </c>
      <c r="B127" s="44"/>
      <c r="D127" s="139">
        <f t="shared" si="18"/>
        <v>4901265.7282103198</v>
      </c>
    </row>
    <row r="128" spans="1:6" x14ac:dyDescent="0.2">
      <c r="A128" s="44">
        <v>41456</v>
      </c>
      <c r="B128" s="44"/>
      <c r="D128" s="139">
        <f t="shared" si="18"/>
        <v>4926368.9351980118</v>
      </c>
    </row>
    <row r="129" spans="1:6" x14ac:dyDescent="0.2">
      <c r="A129" s="44">
        <v>41487</v>
      </c>
      <c r="B129" s="44"/>
      <c r="D129" s="139">
        <f t="shared" si="18"/>
        <v>4951472.1421857039</v>
      </c>
    </row>
    <row r="130" spans="1:6" x14ac:dyDescent="0.2">
      <c r="A130" s="44">
        <v>41518</v>
      </c>
      <c r="B130" s="44"/>
      <c r="D130" s="139">
        <f t="shared" si="18"/>
        <v>4976575.3491733959</v>
      </c>
    </row>
    <row r="131" spans="1:6" x14ac:dyDescent="0.2">
      <c r="A131" s="44">
        <v>41548</v>
      </c>
      <c r="B131" s="44"/>
      <c r="D131" s="139">
        <f t="shared" si="18"/>
        <v>5001678.5561610879</v>
      </c>
    </row>
    <row r="132" spans="1:6" x14ac:dyDescent="0.2">
      <c r="A132" s="44">
        <v>41579</v>
      </c>
      <c r="B132" s="44"/>
      <c r="D132" s="139">
        <f t="shared" si="18"/>
        <v>5026781.76314878</v>
      </c>
    </row>
    <row r="133" spans="1:6" x14ac:dyDescent="0.2">
      <c r="A133" s="44">
        <v>41609</v>
      </c>
      <c r="B133" s="44"/>
      <c r="D133" s="139">
        <f t="shared" si="18"/>
        <v>5051884.970136472</v>
      </c>
      <c r="E133" s="138">
        <f>SUM(D122:D133)</f>
        <v>58965807.980449989</v>
      </c>
      <c r="F133" s="138">
        <f>D133*12</f>
        <v>60622619.641637668</v>
      </c>
    </row>
    <row r="134" spans="1:6" x14ac:dyDescent="0.2">
      <c r="A134" s="44">
        <v>41640</v>
      </c>
      <c r="B134" s="44"/>
      <c r="D134" s="139">
        <f>D133+$G$11</f>
        <v>5118165.0729199639</v>
      </c>
    </row>
    <row r="135" spans="1:6" x14ac:dyDescent="0.2">
      <c r="A135" s="44">
        <v>41671</v>
      </c>
      <c r="B135" s="44"/>
      <c r="D135" s="139">
        <f t="shared" ref="D135:D145" si="19">D134+$G$11</f>
        <v>5184445.1757034557</v>
      </c>
    </row>
    <row r="136" spans="1:6" x14ac:dyDescent="0.2">
      <c r="A136" s="44">
        <v>41699</v>
      </c>
      <c r="B136" s="44"/>
      <c r="D136" s="139">
        <f t="shared" si="19"/>
        <v>5250725.2784869475</v>
      </c>
    </row>
    <row r="137" spans="1:6" x14ac:dyDescent="0.2">
      <c r="A137" s="44">
        <v>41730</v>
      </c>
      <c r="B137" s="44"/>
      <c r="D137" s="139">
        <f t="shared" si="19"/>
        <v>5317005.3812704394</v>
      </c>
    </row>
    <row r="138" spans="1:6" x14ac:dyDescent="0.2">
      <c r="A138" s="44">
        <v>41760</v>
      </c>
      <c r="B138" s="44"/>
      <c r="D138" s="139">
        <f t="shared" si="19"/>
        <v>5383285.4840539312</v>
      </c>
    </row>
    <row r="139" spans="1:6" x14ac:dyDescent="0.2">
      <c r="A139" s="44">
        <v>41791</v>
      </c>
      <c r="B139" s="44"/>
      <c r="D139" s="139">
        <f t="shared" si="19"/>
        <v>5449565.586837423</v>
      </c>
    </row>
    <row r="140" spans="1:6" x14ac:dyDescent="0.2">
      <c r="A140" s="44">
        <v>41821</v>
      </c>
      <c r="B140" s="44"/>
      <c r="D140" s="139">
        <f t="shared" si="19"/>
        <v>5515845.6896209149</v>
      </c>
    </row>
    <row r="141" spans="1:6" x14ac:dyDescent="0.2">
      <c r="A141" s="44">
        <v>41852</v>
      </c>
      <c r="B141" s="44"/>
      <c r="D141" s="139">
        <f t="shared" si="19"/>
        <v>5582125.7924044067</v>
      </c>
    </row>
    <row r="142" spans="1:6" x14ac:dyDescent="0.2">
      <c r="A142" s="44">
        <v>41883</v>
      </c>
      <c r="B142" s="44"/>
      <c r="D142" s="139">
        <f t="shared" si="19"/>
        <v>5648405.8951878985</v>
      </c>
    </row>
    <row r="143" spans="1:6" x14ac:dyDescent="0.2">
      <c r="A143" s="44">
        <v>41913</v>
      </c>
      <c r="B143" s="44"/>
      <c r="D143" s="139">
        <f t="shared" si="19"/>
        <v>5714685.9979713904</v>
      </c>
    </row>
    <row r="144" spans="1:6" x14ac:dyDescent="0.2">
      <c r="A144" s="44">
        <v>41944</v>
      </c>
      <c r="B144" s="44"/>
      <c r="D144" s="139">
        <f t="shared" si="19"/>
        <v>5780966.1007548822</v>
      </c>
    </row>
    <row r="145" spans="1:6" x14ac:dyDescent="0.2">
      <c r="A145" s="44">
        <v>41974</v>
      </c>
      <c r="B145" s="44"/>
      <c r="D145" s="139">
        <f t="shared" si="19"/>
        <v>5847246.203538374</v>
      </c>
      <c r="E145" s="139">
        <f>SUM(D134:D145)</f>
        <v>65792467.658750027</v>
      </c>
      <c r="F145" s="138">
        <f>+D145*12</f>
        <v>70166954.442460492</v>
      </c>
    </row>
    <row r="146" spans="1:6" x14ac:dyDescent="0.2">
      <c r="A146" s="44">
        <v>42005</v>
      </c>
      <c r="B146" s="44"/>
      <c r="D146" s="139">
        <f>+D145+$G$12</f>
        <v>5979908.282433752</v>
      </c>
      <c r="E146" s="139"/>
      <c r="F146" s="138"/>
    </row>
    <row r="147" spans="1:6" x14ac:dyDescent="0.2">
      <c r="A147" s="44">
        <v>42036</v>
      </c>
      <c r="B147" s="44"/>
      <c r="D147" s="139">
        <f t="shared" ref="D147:D157" si="20">+D146+$G$12</f>
        <v>6112570.3613291308</v>
      </c>
      <c r="E147" s="139"/>
      <c r="F147" s="138"/>
    </row>
    <row r="148" spans="1:6" x14ac:dyDescent="0.2">
      <c r="A148" s="44">
        <v>42064</v>
      </c>
      <c r="B148" s="44"/>
      <c r="D148" s="139">
        <f t="shared" si="20"/>
        <v>6245232.4402245097</v>
      </c>
      <c r="E148" s="139"/>
      <c r="F148" s="138"/>
    </row>
    <row r="149" spans="1:6" x14ac:dyDescent="0.2">
      <c r="A149" s="44">
        <v>42095</v>
      </c>
      <c r="B149" s="44"/>
      <c r="D149" s="139">
        <f t="shared" si="20"/>
        <v>6377894.5191198885</v>
      </c>
      <c r="E149" s="139"/>
      <c r="F149" s="138"/>
    </row>
    <row r="150" spans="1:6" x14ac:dyDescent="0.2">
      <c r="A150" s="44">
        <v>42125</v>
      </c>
      <c r="B150" s="44"/>
      <c r="D150" s="139">
        <f t="shared" si="20"/>
        <v>6510556.5980152674</v>
      </c>
      <c r="E150" s="139"/>
      <c r="F150" s="138"/>
    </row>
    <row r="151" spans="1:6" x14ac:dyDescent="0.2">
      <c r="A151" s="44">
        <v>42156</v>
      </c>
      <c r="B151" s="44"/>
      <c r="D151" s="139">
        <f t="shared" si="20"/>
        <v>6643218.6769106463</v>
      </c>
      <c r="E151" s="139"/>
      <c r="F151" s="138"/>
    </row>
    <row r="152" spans="1:6" x14ac:dyDescent="0.2">
      <c r="A152" s="44">
        <v>42186</v>
      </c>
      <c r="B152" s="44"/>
      <c r="D152" s="139">
        <f t="shared" si="20"/>
        <v>6775880.7558060251</v>
      </c>
      <c r="E152" s="139"/>
      <c r="F152" s="138"/>
    </row>
    <row r="153" spans="1:6" x14ac:dyDescent="0.2">
      <c r="A153" s="44">
        <v>42217</v>
      </c>
      <c r="B153" s="44"/>
      <c r="D153" s="139">
        <f t="shared" si="20"/>
        <v>6908542.834701404</v>
      </c>
      <c r="E153" s="139"/>
      <c r="F153" s="138"/>
    </row>
    <row r="154" spans="1:6" x14ac:dyDescent="0.2">
      <c r="A154" s="44">
        <v>42248</v>
      </c>
      <c r="B154" s="44"/>
      <c r="D154" s="139">
        <f t="shared" si="20"/>
        <v>7041204.9135967828</v>
      </c>
      <c r="E154" s="139"/>
      <c r="F154" s="138"/>
    </row>
    <row r="155" spans="1:6" x14ac:dyDescent="0.2">
      <c r="A155" s="44">
        <v>42278</v>
      </c>
      <c r="B155" s="44"/>
      <c r="D155" s="139">
        <f t="shared" si="20"/>
        <v>7173866.9924921617</v>
      </c>
      <c r="E155" s="139"/>
      <c r="F155" s="138"/>
    </row>
    <row r="156" spans="1:6" x14ac:dyDescent="0.2">
      <c r="A156" s="44">
        <v>42309</v>
      </c>
      <c r="B156" s="44"/>
      <c r="D156" s="139">
        <f t="shared" si="20"/>
        <v>7306529.0713875405</v>
      </c>
      <c r="E156" s="139"/>
      <c r="F156" s="138"/>
    </row>
    <row r="157" spans="1:6" x14ac:dyDescent="0.2">
      <c r="A157" s="44">
        <v>42339</v>
      </c>
      <c r="B157" s="44"/>
      <c r="D157" s="139">
        <f t="shared" si="20"/>
        <v>7439191.1502829194</v>
      </c>
      <c r="E157" s="139">
        <f>SUM(D146:D157)</f>
        <v>80514596.596300021</v>
      </c>
      <c r="F157" s="138">
        <f>+D157*12</f>
        <v>89270293.803395033</v>
      </c>
    </row>
    <row r="158" spans="1:6" x14ac:dyDescent="0.2">
      <c r="A158" s="44">
        <v>42370</v>
      </c>
      <c r="B158" s="44"/>
      <c r="D158" s="139">
        <f>+D157+$G$13</f>
        <v>7582385.6605445212</v>
      </c>
      <c r="E158" s="139"/>
      <c r="F158" s="138"/>
    </row>
    <row r="159" spans="1:6" x14ac:dyDescent="0.2">
      <c r="A159" s="44">
        <v>42401</v>
      </c>
      <c r="B159" s="44"/>
      <c r="D159" s="139">
        <f t="shared" ref="D159:D169" si="21">+D158+$G$13</f>
        <v>7725580.1708061229</v>
      </c>
      <c r="E159" s="139"/>
      <c r="F159" s="138"/>
    </row>
    <row r="160" spans="1:6" x14ac:dyDescent="0.2">
      <c r="A160" s="44">
        <v>42430</v>
      </c>
      <c r="B160" s="44"/>
      <c r="D160" s="139">
        <f t="shared" si="21"/>
        <v>7868774.6810677247</v>
      </c>
      <c r="E160" s="139"/>
      <c r="F160" s="138"/>
    </row>
    <row r="161" spans="1:6" x14ac:dyDescent="0.2">
      <c r="A161" s="44">
        <v>42461</v>
      </c>
      <c r="B161" s="44"/>
      <c r="D161" s="139">
        <f t="shared" si="21"/>
        <v>8011969.1913293265</v>
      </c>
      <c r="E161" s="139"/>
      <c r="F161" s="138"/>
    </row>
    <row r="162" spans="1:6" x14ac:dyDescent="0.2">
      <c r="A162" s="44">
        <v>42491</v>
      </c>
      <c r="B162" s="44"/>
      <c r="D162" s="139">
        <f t="shared" si="21"/>
        <v>8155163.7015909282</v>
      </c>
      <c r="E162" s="139"/>
      <c r="F162" s="138"/>
    </row>
    <row r="163" spans="1:6" x14ac:dyDescent="0.2">
      <c r="A163" s="44">
        <v>42522</v>
      </c>
      <c r="B163" s="44"/>
      <c r="D163" s="139">
        <f t="shared" si="21"/>
        <v>8298358.21185253</v>
      </c>
      <c r="E163" s="139"/>
      <c r="F163" s="138"/>
    </row>
    <row r="164" spans="1:6" x14ac:dyDescent="0.2">
      <c r="A164" s="44">
        <v>42552</v>
      </c>
      <c r="B164" s="44"/>
      <c r="D164" s="139">
        <f t="shared" si="21"/>
        <v>8441552.7221141327</v>
      </c>
      <c r="E164" s="139"/>
      <c r="F164" s="138"/>
    </row>
    <row r="165" spans="1:6" x14ac:dyDescent="0.2">
      <c r="A165" s="44">
        <v>42583</v>
      </c>
      <c r="B165" s="44"/>
      <c r="D165" s="139">
        <f t="shared" si="21"/>
        <v>8584747.2323757354</v>
      </c>
      <c r="E165" s="139"/>
      <c r="F165" s="138"/>
    </row>
    <row r="166" spans="1:6" x14ac:dyDescent="0.2">
      <c r="A166" s="44">
        <v>42614</v>
      </c>
      <c r="B166" s="44"/>
      <c r="D166" s="139">
        <f t="shared" si="21"/>
        <v>8727941.7426373381</v>
      </c>
      <c r="E166" s="139"/>
      <c r="F166" s="138"/>
    </row>
    <row r="167" spans="1:6" x14ac:dyDescent="0.2">
      <c r="A167" s="44">
        <v>42644</v>
      </c>
      <c r="B167" s="44"/>
      <c r="D167" s="139">
        <f t="shared" si="21"/>
        <v>8871136.2528989408</v>
      </c>
      <c r="E167" s="139"/>
      <c r="F167" s="138"/>
    </row>
    <row r="168" spans="1:6" x14ac:dyDescent="0.2">
      <c r="A168" s="44">
        <v>42675</v>
      </c>
      <c r="B168" s="44"/>
      <c r="D168" s="139">
        <f t="shared" si="21"/>
        <v>9014330.7631605435</v>
      </c>
      <c r="E168" s="139"/>
      <c r="F168" s="138"/>
    </row>
    <row r="169" spans="1:6" x14ac:dyDescent="0.2">
      <c r="A169" s="44">
        <v>42705</v>
      </c>
      <c r="B169" s="44"/>
      <c r="D169" s="139">
        <f t="shared" si="21"/>
        <v>9157525.2734221462</v>
      </c>
      <c r="E169" s="139">
        <f>SUM(D158:D169)</f>
        <v>100439465.6038</v>
      </c>
      <c r="F169" s="138">
        <f>+D169*12</f>
        <v>109890303.28106576</v>
      </c>
    </row>
    <row r="170" spans="1:6" x14ac:dyDescent="0.2">
      <c r="A170" s="44">
        <v>42736</v>
      </c>
      <c r="B170" s="44"/>
      <c r="D170" s="139">
        <f>+D169+$G$14</f>
        <v>9401387.9564315602</v>
      </c>
      <c r="E170" s="139"/>
      <c r="F170" s="138"/>
    </row>
    <row r="171" spans="1:6" x14ac:dyDescent="0.2">
      <c r="A171" s="44">
        <v>42767</v>
      </c>
      <c r="B171" s="44"/>
      <c r="D171" s="139">
        <f t="shared" ref="D171:D181" si="22">+D170+$G$14</f>
        <v>9645250.6394409742</v>
      </c>
      <c r="E171" s="139"/>
      <c r="F171" s="138"/>
    </row>
    <row r="172" spans="1:6" x14ac:dyDescent="0.2">
      <c r="A172" s="44">
        <v>42795</v>
      </c>
      <c r="B172" s="44"/>
      <c r="D172" s="139">
        <f t="shared" si="22"/>
        <v>9889113.3224503882</v>
      </c>
      <c r="E172" s="139"/>
      <c r="F172" s="138"/>
    </row>
    <row r="173" spans="1:6" x14ac:dyDescent="0.2">
      <c r="A173" s="44">
        <v>42826</v>
      </c>
      <c r="B173" s="44"/>
      <c r="D173" s="139">
        <f t="shared" si="22"/>
        <v>10132976.005459802</v>
      </c>
      <c r="E173" s="139"/>
      <c r="F173" s="138"/>
    </row>
    <row r="174" spans="1:6" x14ac:dyDescent="0.2">
      <c r="A174" s="44">
        <v>42856</v>
      </c>
      <c r="B174" s="44"/>
      <c r="D174" s="139">
        <f t="shared" si="22"/>
        <v>10376838.688469216</v>
      </c>
      <c r="E174" s="139"/>
      <c r="F174" s="138"/>
    </row>
    <row r="175" spans="1:6" x14ac:dyDescent="0.2">
      <c r="A175" s="44">
        <v>42887</v>
      </c>
      <c r="B175" s="44"/>
      <c r="D175" s="139">
        <f t="shared" si="22"/>
        <v>10620701.37147863</v>
      </c>
      <c r="E175" s="139"/>
      <c r="F175" s="138"/>
    </row>
    <row r="176" spans="1:6" x14ac:dyDescent="0.2">
      <c r="A176" s="44">
        <v>42917</v>
      </c>
      <c r="B176" s="44"/>
      <c r="D176" s="139">
        <f t="shared" si="22"/>
        <v>10864564.054488044</v>
      </c>
      <c r="E176" s="139"/>
      <c r="F176" s="138"/>
    </row>
    <row r="177" spans="1:6" x14ac:dyDescent="0.2">
      <c r="A177" s="44">
        <v>42948</v>
      </c>
      <c r="B177" s="44"/>
      <c r="D177" s="139">
        <f t="shared" si="22"/>
        <v>11108426.737497458</v>
      </c>
      <c r="E177" s="139"/>
      <c r="F177" s="138"/>
    </row>
    <row r="178" spans="1:6" x14ac:dyDescent="0.2">
      <c r="A178" s="44">
        <v>42979</v>
      </c>
      <c r="B178" s="44"/>
      <c r="D178" s="139">
        <f t="shared" si="22"/>
        <v>11352289.420506872</v>
      </c>
      <c r="E178" s="139"/>
      <c r="F178" s="138"/>
    </row>
    <row r="179" spans="1:6" x14ac:dyDescent="0.2">
      <c r="A179" s="44">
        <v>43009</v>
      </c>
      <c r="B179" s="44"/>
      <c r="D179" s="139">
        <f t="shared" si="22"/>
        <v>11596152.103516286</v>
      </c>
      <c r="E179" s="139"/>
      <c r="F179" s="138"/>
    </row>
    <row r="180" spans="1:6" x14ac:dyDescent="0.2">
      <c r="A180" s="44">
        <v>43040</v>
      </c>
      <c r="B180" s="44"/>
      <c r="D180" s="139">
        <f t="shared" si="22"/>
        <v>11840014.7865257</v>
      </c>
      <c r="E180" s="139"/>
      <c r="F180" s="138"/>
    </row>
    <row r="181" spans="1:6" x14ac:dyDescent="0.2">
      <c r="A181" s="44">
        <v>43070</v>
      </c>
      <c r="B181" s="44"/>
      <c r="D181" s="139">
        <f t="shared" si="22"/>
        <v>12083877.469535114</v>
      </c>
      <c r="E181" s="139">
        <f>SUM(D170:D181)</f>
        <v>128911592.55580005</v>
      </c>
      <c r="F181" s="138">
        <f>+D181*12</f>
        <v>145006529.63442138</v>
      </c>
    </row>
    <row r="182" spans="1:6" x14ac:dyDescent="0.2">
      <c r="A182" s="44">
        <v>43101</v>
      </c>
      <c r="B182" s="44"/>
      <c r="D182" s="139">
        <f>+D181+$G$15</f>
        <v>12067181.714355994</v>
      </c>
      <c r="E182" s="139"/>
      <c r="F182" s="138"/>
    </row>
    <row r="183" spans="1:6" x14ac:dyDescent="0.2">
      <c r="A183" s="44">
        <v>43132</v>
      </c>
      <c r="B183" s="44"/>
      <c r="D183" s="139">
        <f t="shared" ref="D183:D193" si="23">+D182+$G$15</f>
        <v>12050485.959176874</v>
      </c>
      <c r="E183" s="139"/>
      <c r="F183" s="138"/>
    </row>
    <row r="184" spans="1:6" x14ac:dyDescent="0.2">
      <c r="A184" s="44">
        <v>43160</v>
      </c>
      <c r="B184" s="44"/>
      <c r="D184" s="139">
        <f t="shared" si="23"/>
        <v>12033790.203997754</v>
      </c>
      <c r="E184" s="139"/>
      <c r="F184" s="138"/>
    </row>
    <row r="185" spans="1:6" x14ac:dyDescent="0.2">
      <c r="A185" s="44">
        <v>43191</v>
      </c>
      <c r="B185" s="44"/>
      <c r="D185" s="139">
        <f t="shared" si="23"/>
        <v>12017094.448818633</v>
      </c>
      <c r="E185" s="139"/>
      <c r="F185" s="138"/>
    </row>
    <row r="186" spans="1:6" x14ac:dyDescent="0.2">
      <c r="A186" s="44">
        <v>43221</v>
      </c>
      <c r="B186" s="44"/>
      <c r="D186" s="139">
        <f t="shared" si="23"/>
        <v>12000398.693639513</v>
      </c>
      <c r="E186" s="139"/>
      <c r="F186" s="138"/>
    </row>
    <row r="187" spans="1:6" x14ac:dyDescent="0.2">
      <c r="A187" s="44">
        <v>43252</v>
      </c>
      <c r="B187" s="44"/>
      <c r="D187" s="139">
        <f t="shared" si="23"/>
        <v>11983702.938460393</v>
      </c>
      <c r="E187" s="139"/>
      <c r="F187" s="138"/>
    </row>
    <row r="188" spans="1:6" x14ac:dyDescent="0.2">
      <c r="A188" s="44">
        <v>43282</v>
      </c>
      <c r="B188" s="44"/>
      <c r="D188" s="139">
        <f t="shared" si="23"/>
        <v>11967007.183281273</v>
      </c>
      <c r="E188" s="139"/>
      <c r="F188" s="138"/>
    </row>
    <row r="189" spans="1:6" x14ac:dyDescent="0.2">
      <c r="A189" s="44">
        <v>43313</v>
      </c>
      <c r="B189" s="44"/>
      <c r="D189" s="139">
        <f t="shared" si="23"/>
        <v>11950311.428102152</v>
      </c>
      <c r="E189" s="139"/>
      <c r="F189" s="138"/>
    </row>
    <row r="190" spans="1:6" x14ac:dyDescent="0.2">
      <c r="A190" s="44">
        <v>43344</v>
      </c>
      <c r="B190" s="44"/>
      <c r="D190" s="139">
        <f t="shared" si="23"/>
        <v>11933615.672923032</v>
      </c>
      <c r="E190" s="139"/>
      <c r="F190" s="138"/>
    </row>
    <row r="191" spans="1:6" x14ac:dyDescent="0.2">
      <c r="A191" s="44">
        <v>43374</v>
      </c>
      <c r="B191" s="44"/>
      <c r="D191" s="139">
        <f t="shared" si="23"/>
        <v>11916919.917743912</v>
      </c>
      <c r="E191" s="139"/>
      <c r="F191" s="138"/>
    </row>
    <row r="192" spans="1:6" x14ac:dyDescent="0.2">
      <c r="A192" s="44">
        <v>43405</v>
      </c>
      <c r="B192" s="44"/>
      <c r="D192" s="139">
        <f t="shared" si="23"/>
        <v>11900224.162564792</v>
      </c>
      <c r="E192" s="139"/>
      <c r="F192" s="138"/>
    </row>
    <row r="193" spans="1:6" x14ac:dyDescent="0.2">
      <c r="A193" s="44">
        <v>43435</v>
      </c>
      <c r="B193" s="44"/>
      <c r="D193" s="139">
        <f t="shared" si="23"/>
        <v>11883528.407385672</v>
      </c>
      <c r="E193" s="139">
        <f>SUM(D182:D193)</f>
        <v>143704260.73044997</v>
      </c>
      <c r="F193" s="138">
        <f>+D193*12</f>
        <v>142602340.88862807</v>
      </c>
    </row>
    <row r="194" spans="1:6" x14ac:dyDescent="0.2">
      <c r="A194" s="44">
        <v>43466</v>
      </c>
      <c r="B194" s="44"/>
      <c r="D194" s="139">
        <f>+D193+$G$16</f>
        <v>11821547.780030824</v>
      </c>
    </row>
    <row r="195" spans="1:6" x14ac:dyDescent="0.2">
      <c r="A195" s="44">
        <v>43497</v>
      </c>
      <c r="B195" s="44"/>
      <c r="D195" s="139">
        <f t="shared" ref="D195:D205" si="24">+D194+$G$16</f>
        <v>11759567.152675977</v>
      </c>
    </row>
    <row r="196" spans="1:6" x14ac:dyDescent="0.2">
      <c r="A196" s="44">
        <v>43525</v>
      </c>
      <c r="B196" s="44"/>
      <c r="D196" s="139">
        <f t="shared" si="24"/>
        <v>11697586.52532113</v>
      </c>
    </row>
    <row r="197" spans="1:6" x14ac:dyDescent="0.2">
      <c r="A197" s="44">
        <v>43556</v>
      </c>
      <c r="B197" s="44"/>
      <c r="D197" s="139">
        <f t="shared" si="24"/>
        <v>11635605.897966282</v>
      </c>
    </row>
    <row r="198" spans="1:6" x14ac:dyDescent="0.2">
      <c r="A198" s="44">
        <v>43586</v>
      </c>
      <c r="B198" s="44"/>
      <c r="D198" s="139">
        <f t="shared" si="24"/>
        <v>11573625.270611435</v>
      </c>
    </row>
    <row r="199" spans="1:6" x14ac:dyDescent="0.2">
      <c r="A199" s="44">
        <v>43617</v>
      </c>
      <c r="B199" s="44"/>
      <c r="D199" s="139">
        <f t="shared" si="24"/>
        <v>11511644.643256588</v>
      </c>
    </row>
    <row r="200" spans="1:6" x14ac:dyDescent="0.2">
      <c r="A200" s="44">
        <v>43647</v>
      </c>
      <c r="B200" s="44"/>
      <c r="D200" s="139">
        <f t="shared" si="24"/>
        <v>11449664.015901741</v>
      </c>
    </row>
    <row r="201" spans="1:6" x14ac:dyDescent="0.2">
      <c r="A201" s="44">
        <v>43678</v>
      </c>
      <c r="B201" s="44"/>
      <c r="D201" s="139">
        <f t="shared" si="24"/>
        <v>11387683.388546893</v>
      </c>
    </row>
    <row r="202" spans="1:6" x14ac:dyDescent="0.2">
      <c r="A202" s="44">
        <v>43709</v>
      </c>
      <c r="B202" s="44"/>
      <c r="D202" s="139">
        <f t="shared" si="24"/>
        <v>11325702.761192046</v>
      </c>
    </row>
    <row r="203" spans="1:6" x14ac:dyDescent="0.2">
      <c r="A203" s="44">
        <v>43739</v>
      </c>
      <c r="B203" s="44"/>
      <c r="D203" s="139">
        <f t="shared" si="24"/>
        <v>11263722.133837199</v>
      </c>
    </row>
    <row r="204" spans="1:6" x14ac:dyDescent="0.2">
      <c r="A204" s="44">
        <v>43770</v>
      </c>
      <c r="B204" s="44"/>
      <c r="D204" s="139">
        <f t="shared" si="24"/>
        <v>11201741.506482352</v>
      </c>
    </row>
    <row r="205" spans="1:6" x14ac:dyDescent="0.2">
      <c r="A205" s="44">
        <v>43800</v>
      </c>
      <c r="B205" s="44"/>
      <c r="D205" s="139">
        <f t="shared" si="24"/>
        <v>11139760.879127504</v>
      </c>
      <c r="E205" s="139">
        <f>SUM(D194:D205)</f>
        <v>137767851.95494998</v>
      </c>
      <c r="F205" s="138">
        <f>+D205*12</f>
        <v>133677130.54953006</v>
      </c>
    </row>
    <row r="206" spans="1:6" x14ac:dyDescent="0.2">
      <c r="A206" s="44">
        <v>43831</v>
      </c>
      <c r="B206" s="44"/>
      <c r="D206" s="139">
        <f>+D205+$G$17</f>
        <v>11142794.608936734</v>
      </c>
    </row>
    <row r="207" spans="1:6" x14ac:dyDescent="0.2">
      <c r="A207" s="44">
        <v>43862</v>
      </c>
      <c r="B207" s="44"/>
      <c r="D207" s="139">
        <f t="shared" ref="D207:D217" si="25">+D206+$G$17</f>
        <v>11145828.338745965</v>
      </c>
    </row>
    <row r="208" spans="1:6" x14ac:dyDescent="0.2">
      <c r="A208" s="44">
        <v>43891</v>
      </c>
      <c r="B208" s="44"/>
      <c r="D208" s="139">
        <f t="shared" si="25"/>
        <v>11148862.068555195</v>
      </c>
    </row>
    <row r="209" spans="1:6" x14ac:dyDescent="0.2">
      <c r="A209" s="44">
        <v>43922</v>
      </c>
      <c r="B209" s="44"/>
      <c r="D209" s="139">
        <f t="shared" si="25"/>
        <v>11151895.798364425</v>
      </c>
    </row>
    <row r="210" spans="1:6" x14ac:dyDescent="0.2">
      <c r="A210" s="44">
        <v>43952</v>
      </c>
      <c r="B210" s="44"/>
      <c r="D210" s="139">
        <f t="shared" si="25"/>
        <v>11154929.528173655</v>
      </c>
    </row>
    <row r="211" spans="1:6" x14ac:dyDescent="0.2">
      <c r="A211" s="44">
        <v>43983</v>
      </c>
      <c r="B211" s="44"/>
      <c r="D211" s="139">
        <f t="shared" si="25"/>
        <v>11157963.257982885</v>
      </c>
    </row>
    <row r="212" spans="1:6" x14ac:dyDescent="0.2">
      <c r="A212" s="44">
        <v>44013</v>
      </c>
      <c r="B212" s="44"/>
      <c r="D212" s="139">
        <f t="shared" si="25"/>
        <v>11160996.987792116</v>
      </c>
    </row>
    <row r="213" spans="1:6" x14ac:dyDescent="0.2">
      <c r="A213" s="44">
        <v>44044</v>
      </c>
      <c r="B213" s="44"/>
      <c r="D213" s="139">
        <f t="shared" si="25"/>
        <v>11164030.717601346</v>
      </c>
    </row>
    <row r="214" spans="1:6" x14ac:dyDescent="0.2">
      <c r="A214" s="44">
        <v>44075</v>
      </c>
      <c r="B214" s="44"/>
      <c r="D214" s="139">
        <f t="shared" si="25"/>
        <v>11167064.447410576</v>
      </c>
    </row>
    <row r="215" spans="1:6" x14ac:dyDescent="0.2">
      <c r="A215" s="44">
        <v>44105</v>
      </c>
      <c r="B215" s="44"/>
      <c r="D215" s="139">
        <f t="shared" si="25"/>
        <v>11170098.177219806</v>
      </c>
    </row>
    <row r="216" spans="1:6" x14ac:dyDescent="0.2">
      <c r="A216" s="44">
        <v>44136</v>
      </c>
      <c r="B216" s="44"/>
      <c r="D216" s="139">
        <f t="shared" si="25"/>
        <v>11173131.907029036</v>
      </c>
    </row>
    <row r="217" spans="1:6" x14ac:dyDescent="0.2">
      <c r="A217" s="44">
        <v>44166</v>
      </c>
      <c r="B217" s="44"/>
      <c r="D217" s="139">
        <f t="shared" si="25"/>
        <v>11176165.636838267</v>
      </c>
      <c r="E217" s="139">
        <f>SUM(D206:D217)</f>
        <v>133913761.47465001</v>
      </c>
      <c r="F217" s="138">
        <f>+D217*12</f>
        <v>134113987.64205921</v>
      </c>
    </row>
  </sheetData>
  <mergeCells count="7">
    <mergeCell ref="P28:V28"/>
    <mergeCell ref="J1:K1"/>
    <mergeCell ref="P25:R25"/>
    <mergeCell ref="P26:R26"/>
    <mergeCell ref="T44:U44"/>
    <mergeCell ref="P36:V36"/>
    <mergeCell ref="P1:AC1"/>
  </mergeCell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Z91"/>
  <sheetViews>
    <sheetView topLeftCell="A61" workbookViewId="0">
      <selection activeCell="J9" sqref="J9"/>
    </sheetView>
  </sheetViews>
  <sheetFormatPr defaultRowHeight="12.75" x14ac:dyDescent="0.2"/>
  <cols>
    <col min="1" max="1" width="8.5703125" bestFit="1" customWidth="1"/>
    <col min="2" max="3" width="18" style="10" customWidth="1"/>
    <col min="4" max="4" width="10.85546875" style="10" bestFit="1" customWidth="1"/>
    <col min="5" max="5" width="12.7109375" style="1" bestFit="1" customWidth="1"/>
    <col min="6" max="6" width="11.28515625" style="1" customWidth="1"/>
    <col min="7" max="16" width="14.7109375" style="1" customWidth="1"/>
    <col min="17" max="17" width="11.140625" style="1" bestFit="1" customWidth="1"/>
    <col min="18" max="19" width="12" bestFit="1" customWidth="1"/>
    <col min="20" max="20" width="10.140625" bestFit="1" customWidth="1"/>
    <col min="21" max="21" width="11.140625" bestFit="1" customWidth="1"/>
    <col min="22" max="23" width="10.140625" bestFit="1" customWidth="1"/>
    <col min="25" max="25" width="12.7109375" bestFit="1" customWidth="1"/>
  </cols>
  <sheetData>
    <row r="2" spans="1:26" ht="25.5" x14ac:dyDescent="0.2">
      <c r="B2" s="18" t="s">
        <v>57</v>
      </c>
      <c r="C2" s="18" t="s">
        <v>38</v>
      </c>
      <c r="D2" s="18" t="s">
        <v>39</v>
      </c>
      <c r="E2" s="33" t="s">
        <v>40</v>
      </c>
      <c r="F2" s="33"/>
      <c r="G2" s="34" t="s">
        <v>41</v>
      </c>
      <c r="H2" s="34" t="s">
        <v>42</v>
      </c>
      <c r="I2" s="34" t="s">
        <v>43</v>
      </c>
      <c r="J2" s="34" t="s">
        <v>157</v>
      </c>
      <c r="K2" s="34" t="s">
        <v>158</v>
      </c>
      <c r="L2" s="34" t="s">
        <v>44</v>
      </c>
      <c r="M2" s="34" t="s">
        <v>45</v>
      </c>
      <c r="N2" s="34" t="s">
        <v>46</v>
      </c>
    </row>
    <row r="4" spans="1:26" ht="13.5" thickBot="1" x14ac:dyDescent="0.25">
      <c r="A4" s="59"/>
      <c r="B4" s="26" t="s">
        <v>47</v>
      </c>
    </row>
    <row r="5" spans="1:26" ht="13.5" thickBot="1" x14ac:dyDescent="0.25">
      <c r="G5" s="194" t="s">
        <v>48</v>
      </c>
      <c r="H5" s="195"/>
      <c r="I5" s="195"/>
      <c r="J5" s="195"/>
      <c r="K5" s="195"/>
      <c r="L5" s="195"/>
      <c r="M5" s="195"/>
      <c r="N5" s="196"/>
      <c r="Q5" s="203" t="s">
        <v>176</v>
      </c>
      <c r="R5" s="204"/>
      <c r="S5" s="204"/>
      <c r="T5" s="204"/>
      <c r="U5" s="204"/>
      <c r="V5" s="204"/>
      <c r="W5" s="204"/>
      <c r="X5" s="205"/>
    </row>
    <row r="6" spans="1:26" x14ac:dyDescent="0.2">
      <c r="A6">
        <v>2009</v>
      </c>
      <c r="B6" s="1">
        <f>ROUND((SUM(Power!B2:C13)),4)</f>
        <v>1839302872.6294999</v>
      </c>
      <c r="C6" s="1">
        <f>ROUND((Power!L149),4)</f>
        <v>1789169849.1176</v>
      </c>
      <c r="D6" s="36">
        <f t="shared" ref="D6:D15" si="0">ROUND((1 +(B6-E6)/E6),4)</f>
        <v>1.0347999999999999</v>
      </c>
      <c r="E6" s="37">
        <f t="shared" ref="E6:E15" si="1">ROUND((SUM(G6:N6)),4)</f>
        <v>1777401233</v>
      </c>
      <c r="F6" s="37"/>
      <c r="G6" s="1">
        <v>626869704</v>
      </c>
      <c r="H6" s="1">
        <v>230572826</v>
      </c>
      <c r="I6" s="1">
        <v>820920003</v>
      </c>
      <c r="L6" s="1">
        <v>79822385</v>
      </c>
      <c r="M6" s="1">
        <v>15920914</v>
      </c>
      <c r="N6" s="1">
        <v>3295401</v>
      </c>
      <c r="O6" s="1">
        <f t="shared" ref="O6:O15" si="2">ROUND((SUM(G6:N6)),4)</f>
        <v>1777401233</v>
      </c>
      <c r="Q6" s="39"/>
    </row>
    <row r="7" spans="1:26" x14ac:dyDescent="0.2">
      <c r="A7">
        <v>2010</v>
      </c>
      <c r="B7" s="1">
        <f>ROUND((SUM(Power!B14:C25)),4)</f>
        <v>1896172479.9761</v>
      </c>
      <c r="C7" s="1">
        <f>ROUND((Power!L150),4)</f>
        <v>1828679648.8020999</v>
      </c>
      <c r="D7" s="36">
        <f t="shared" si="0"/>
        <v>1.0364</v>
      </c>
      <c r="E7" s="37">
        <f t="shared" si="1"/>
        <v>1829500492</v>
      </c>
      <c r="F7" s="37"/>
      <c r="G7" s="1">
        <v>650651967</v>
      </c>
      <c r="H7" s="1">
        <v>236095929</v>
      </c>
      <c r="I7" s="1">
        <v>876884814</v>
      </c>
      <c r="L7" s="1">
        <v>46563626</v>
      </c>
      <c r="M7" s="1">
        <v>16035117</v>
      </c>
      <c r="N7" s="1">
        <v>3269039</v>
      </c>
      <c r="O7" s="1">
        <f t="shared" si="2"/>
        <v>1829500492</v>
      </c>
      <c r="Q7" s="39"/>
    </row>
    <row r="8" spans="1:26" x14ac:dyDescent="0.2">
      <c r="A8">
        <v>2011</v>
      </c>
      <c r="B8" s="1">
        <f>ROUND((SUM(Power!B26:C37)),4)</f>
        <v>1897274570.3845999</v>
      </c>
      <c r="C8" s="1">
        <f>ROUND((Power!L151),4)</f>
        <v>1825112534.0495</v>
      </c>
      <c r="D8" s="36">
        <f t="shared" si="0"/>
        <v>1.0346</v>
      </c>
      <c r="E8" s="37">
        <f t="shared" si="1"/>
        <v>1833881352</v>
      </c>
      <c r="F8" s="37"/>
      <c r="G8" s="1">
        <v>647280211</v>
      </c>
      <c r="H8" s="1">
        <v>240155523</v>
      </c>
      <c r="I8" s="1">
        <v>871254048</v>
      </c>
      <c r="L8" s="1">
        <v>56015269</v>
      </c>
      <c r="M8" s="1">
        <v>15857518</v>
      </c>
      <c r="N8" s="1">
        <v>3318783</v>
      </c>
      <c r="O8" s="1">
        <f t="shared" si="2"/>
        <v>1833881352</v>
      </c>
      <c r="Q8" s="39"/>
    </row>
    <row r="9" spans="1:26" x14ac:dyDescent="0.2">
      <c r="A9">
        <v>2012</v>
      </c>
      <c r="B9" s="1">
        <f>ROUND((SUM(Power!B38:C49)),4)</f>
        <v>1887430252.5181</v>
      </c>
      <c r="C9" s="1">
        <f>ROUND((Power!L152),4)</f>
        <v>1824188727.9921999</v>
      </c>
      <c r="D9" s="36">
        <f t="shared" si="0"/>
        <v>1.0341</v>
      </c>
      <c r="E9" s="37">
        <f t="shared" si="1"/>
        <v>1825234090</v>
      </c>
      <c r="F9" s="37"/>
      <c r="G9" s="1">
        <v>644467300</v>
      </c>
      <c r="H9" s="1">
        <v>240981970</v>
      </c>
      <c r="I9" s="1">
        <f>850788483-J9-K9</f>
        <v>835716635.9368</v>
      </c>
      <c r="J9" s="1">
        <v>2539059.0631999997</v>
      </c>
      <c r="K9" s="1">
        <v>12532788</v>
      </c>
      <c r="L9" s="1">
        <v>69356376</v>
      </c>
      <c r="M9" s="1">
        <v>15943501</v>
      </c>
      <c r="N9" s="1">
        <v>3696460</v>
      </c>
      <c r="O9" s="1">
        <f t="shared" si="2"/>
        <v>1825234090</v>
      </c>
      <c r="Q9" s="39"/>
    </row>
    <row r="10" spans="1:26" x14ac:dyDescent="0.2">
      <c r="A10">
        <v>2013</v>
      </c>
      <c r="B10" s="1">
        <f>ROUND((SUM(Power!B50:C61)),4)</f>
        <v>1871565173.3492</v>
      </c>
      <c r="C10" s="1">
        <f>ROUND((Power!L153),4)</f>
        <v>1823031590.7330999</v>
      </c>
      <c r="D10" s="36">
        <f t="shared" si="0"/>
        <v>1.0322</v>
      </c>
      <c r="E10" s="37">
        <f t="shared" si="1"/>
        <v>1813262316.5969999</v>
      </c>
      <c r="F10" s="37"/>
      <c r="G10" s="1">
        <v>640344406.68604648</v>
      </c>
      <c r="H10" s="1">
        <v>241162381.78294572</v>
      </c>
      <c r="I10" s="1">
        <f>823562781.12-J10-K10</f>
        <v>799792369.75919998</v>
      </c>
      <c r="J10" s="1">
        <v>17811733.360799998</v>
      </c>
      <c r="K10" s="1">
        <v>5958678</v>
      </c>
      <c r="L10" s="1">
        <v>88505648.025465026</v>
      </c>
      <c r="M10" s="1">
        <v>15982944.980620153</v>
      </c>
      <c r="N10" s="1">
        <v>3704154.0019379845</v>
      </c>
      <c r="O10" s="1">
        <f t="shared" si="2"/>
        <v>1813262316.5969999</v>
      </c>
      <c r="Z10" s="48" t="s">
        <v>137</v>
      </c>
    </row>
    <row r="11" spans="1:26" x14ac:dyDescent="0.2">
      <c r="A11">
        <v>2014</v>
      </c>
      <c r="B11" s="1">
        <f>ROUND((SUM(Power!B62:C73)),4)</f>
        <v>1853832795.8131001</v>
      </c>
      <c r="C11" s="1">
        <f>ROUND((Power!L154),4)</f>
        <v>1806278223.493</v>
      </c>
      <c r="D11" s="36">
        <f t="shared" si="0"/>
        <v>1.0279</v>
      </c>
      <c r="E11" s="37">
        <f t="shared" si="1"/>
        <v>1803531650.6849</v>
      </c>
      <c r="F11" s="37"/>
      <c r="G11" s="1">
        <v>637186639.75172198</v>
      </c>
      <c r="H11" s="1">
        <v>242185854.43488768</v>
      </c>
      <c r="I11" s="1">
        <f>840637054.2-J11-K11</f>
        <v>797257776.23199999</v>
      </c>
      <c r="J11" s="1">
        <v>17075273.870999999</v>
      </c>
      <c r="K11" s="1">
        <v>26304004.096999999</v>
      </c>
      <c r="L11" s="1">
        <v>63442910.469046049</v>
      </c>
      <c r="M11" s="1">
        <v>16039251.399241911</v>
      </c>
      <c r="N11" s="1">
        <v>4039940.43</v>
      </c>
      <c r="O11" s="1">
        <f t="shared" si="2"/>
        <v>1803531650.6849</v>
      </c>
      <c r="Q11" s="1">
        <f t="shared" ref="Q11:X11" si="3">ROUND(((+G11/$E11*$C11)),4)</f>
        <v>638157002.26119995</v>
      </c>
      <c r="R11" s="1">
        <f t="shared" si="3"/>
        <v>242554675.84259999</v>
      </c>
      <c r="S11" s="1">
        <f t="shared" si="3"/>
        <v>798471908.8082</v>
      </c>
      <c r="T11" s="1">
        <f t="shared" si="3"/>
        <v>17101277.563700002</v>
      </c>
      <c r="U11" s="1">
        <f t="shared" si="3"/>
        <v>26344062.092300002</v>
      </c>
      <c r="V11" s="1">
        <f t="shared" si="3"/>
        <v>63539526.778899997</v>
      </c>
      <c r="W11" s="1">
        <f t="shared" si="3"/>
        <v>16063677.347999999</v>
      </c>
      <c r="X11" s="1">
        <f t="shared" si="3"/>
        <v>4046092.7980999998</v>
      </c>
      <c r="Y11" s="74">
        <f>ROUND((SUM(Q11:X11)),4)</f>
        <v>1806278223.493</v>
      </c>
      <c r="Z11" s="13">
        <f>ROUND((+Y11-C11),0)</f>
        <v>0</v>
      </c>
    </row>
    <row r="12" spans="1:26" x14ac:dyDescent="0.2">
      <c r="A12">
        <v>2015</v>
      </c>
      <c r="B12" s="1">
        <f>ROUND((SUM(Power!B74:C85)),4)</f>
        <v>1814066750.4028001</v>
      </c>
      <c r="C12" s="1">
        <f>ROUND((Power!L155),4)</f>
        <v>1813043706.5452001</v>
      </c>
      <c r="D12" s="36">
        <f t="shared" si="0"/>
        <v>1.0293000000000001</v>
      </c>
      <c r="E12" s="37">
        <f t="shared" si="1"/>
        <v>1762488283.8699999</v>
      </c>
      <c r="F12" s="37"/>
      <c r="G12" s="1">
        <v>635723826.94000006</v>
      </c>
      <c r="H12" s="1">
        <v>237964967.00999999</v>
      </c>
      <c r="I12" s="1">
        <f>832883576.37-J12-K12</f>
        <v>791055891.19650006</v>
      </c>
      <c r="J12" s="1">
        <v>16690369.684300002</v>
      </c>
      <c r="K12" s="1">
        <v>25137315.489200003</v>
      </c>
      <c r="L12" s="1">
        <v>35769405.710000001</v>
      </c>
      <c r="M12" s="1">
        <v>16203415.84</v>
      </c>
      <c r="N12" s="1">
        <v>3943092</v>
      </c>
      <c r="O12" s="1">
        <f t="shared" si="2"/>
        <v>1762488283.8699999</v>
      </c>
      <c r="Q12" s="1">
        <f t="shared" ref="Q12:Q15" si="4">ROUND(((+G12/$E12*$C12)),4)</f>
        <v>653959004.48399997</v>
      </c>
      <c r="R12" s="1">
        <f t="shared" ref="R12:R15" si="5">ROUND(((+H12/$E12*$C12)),4)</f>
        <v>244790782.3071</v>
      </c>
      <c r="S12" s="1">
        <f t="shared" ref="S12:S15" si="6">ROUND(((+I12/$E12*$C12)),4)</f>
        <v>813746632.06850004</v>
      </c>
      <c r="T12" s="1">
        <f t="shared" ref="T12:T15" si="7">ROUND(((+J12/$E12*$C12)),4)</f>
        <v>17169118.225099999</v>
      </c>
      <c r="U12" s="1">
        <f t="shared" ref="U12:U15" si="8">ROUND(((+K12/$E12*$C12)),4)</f>
        <v>25858357.2238</v>
      </c>
      <c r="V12" s="1">
        <f t="shared" ref="V12:V15" si="9">ROUND(((+L12/$E12*$C12)),4)</f>
        <v>36795419.579700001</v>
      </c>
      <c r="W12" s="1">
        <f t="shared" ref="W12:W15" si="10">ROUND(((+M12/$E12*$C12)),4)</f>
        <v>16668196.539000001</v>
      </c>
      <c r="X12" s="1">
        <f t="shared" ref="X12:X15" si="11">ROUND(((+N12/$E12*$C12)),4)</f>
        <v>4056196.1179</v>
      </c>
      <c r="Y12" s="74">
        <f t="shared" ref="Y12:Y15" si="12">ROUND((SUM(Q12:X12)),4)</f>
        <v>1813043706.5451</v>
      </c>
      <c r="Z12" s="13">
        <f t="shared" ref="Z12:Z15" si="13">ROUND((+Y12-C12),0)</f>
        <v>0</v>
      </c>
    </row>
    <row r="13" spans="1:26" x14ac:dyDescent="0.2">
      <c r="A13">
        <v>2016</v>
      </c>
      <c r="B13" s="1">
        <f>ROUND((SUM(Power!B86:C97)),4)</f>
        <v>1820106481.6701</v>
      </c>
      <c r="C13" s="1">
        <f>ROUND((Power!L156),4)</f>
        <v>1837556585.8353</v>
      </c>
      <c r="D13" s="36">
        <f t="shared" si="0"/>
        <v>1.0307999999999999</v>
      </c>
      <c r="E13" s="37">
        <f>ROUND((SUM(G13:N13)),4)</f>
        <v>1765790195.1571</v>
      </c>
      <c r="F13" s="37"/>
      <c r="G13" s="1">
        <v>650672519.71179998</v>
      </c>
      <c r="H13" s="1">
        <v>239091360.5415</v>
      </c>
      <c r="I13" s="1">
        <f>826940979.11-J13-K13</f>
        <v>788651342.46179998</v>
      </c>
      <c r="J13" s="1">
        <v>16842071.168299999</v>
      </c>
      <c r="K13" s="1">
        <v>21447565.479899999</v>
      </c>
      <c r="L13" s="1">
        <v>28906567.2128</v>
      </c>
      <c r="M13" s="1">
        <v>16260856.581</v>
      </c>
      <c r="N13" s="1">
        <v>3917912</v>
      </c>
      <c r="O13" s="1">
        <f t="shared" si="2"/>
        <v>1765790195.1571</v>
      </c>
      <c r="Q13" s="1">
        <f t="shared" si="4"/>
        <v>677117574.38549995</v>
      </c>
      <c r="R13" s="1">
        <f t="shared" si="5"/>
        <v>248808666.72850001</v>
      </c>
      <c r="S13" s="1">
        <f t="shared" si="6"/>
        <v>820704221.96430004</v>
      </c>
      <c r="T13" s="1">
        <f t="shared" si="7"/>
        <v>17526577.551100001</v>
      </c>
      <c r="U13" s="1">
        <f t="shared" si="8"/>
        <v>22319251.350400001</v>
      </c>
      <c r="V13" s="1">
        <f t="shared" si="9"/>
        <v>30081406.6708</v>
      </c>
      <c r="W13" s="1">
        <f t="shared" si="10"/>
        <v>16921740.863499999</v>
      </c>
      <c r="X13" s="1">
        <f t="shared" si="11"/>
        <v>4077146.3213</v>
      </c>
      <c r="Y13" s="74">
        <f t="shared" si="12"/>
        <v>1837556585.8354001</v>
      </c>
      <c r="Z13" s="13">
        <f t="shared" si="13"/>
        <v>0</v>
      </c>
    </row>
    <row r="14" spans="1:26" x14ac:dyDescent="0.2">
      <c r="A14">
        <v>2017</v>
      </c>
      <c r="B14" s="1">
        <f>ROUND((SUM(Power!B98:C109)),4)</f>
        <v>1765515469.1642001</v>
      </c>
      <c r="C14" s="1">
        <f>ROUND((Power!L157),4)</f>
        <v>1791494737.5852001</v>
      </c>
      <c r="D14" s="36">
        <f t="shared" si="0"/>
        <v>1.0330999999999999</v>
      </c>
      <c r="E14" s="37">
        <f t="shared" si="1"/>
        <v>1709004939.8992</v>
      </c>
      <c r="F14" s="37"/>
      <c r="G14" s="1">
        <v>621996671.49440002</v>
      </c>
      <c r="H14" s="1">
        <v>232588463.34630001</v>
      </c>
      <c r="I14" s="1">
        <f>804219318.22-J14-K14</f>
        <v>686659318.3721</v>
      </c>
      <c r="J14" s="1">
        <v>15631701.144599998</v>
      </c>
      <c r="K14" s="1">
        <v>101928298.7033</v>
      </c>
      <c r="L14" s="1">
        <v>31425633.769499999</v>
      </c>
      <c r="M14" s="1">
        <v>14867141.069</v>
      </c>
      <c r="N14" s="1">
        <v>3907712</v>
      </c>
      <c r="O14" s="1">
        <f t="shared" si="2"/>
        <v>1709004939.8992</v>
      </c>
      <c r="Q14" s="1">
        <f t="shared" si="4"/>
        <v>652019042.05350006</v>
      </c>
      <c r="R14" s="1">
        <f t="shared" si="5"/>
        <v>243814981.67730001</v>
      </c>
      <c r="S14" s="1">
        <f t="shared" si="6"/>
        <v>719802808.44009995</v>
      </c>
      <c r="T14" s="1">
        <f t="shared" si="7"/>
        <v>16386207.954299999</v>
      </c>
      <c r="U14" s="1">
        <f t="shared" si="8"/>
        <v>106848146.8221</v>
      </c>
      <c r="V14" s="1">
        <f t="shared" si="9"/>
        <v>32942477.934900001</v>
      </c>
      <c r="W14" s="1">
        <f t="shared" si="10"/>
        <v>15584744.295499999</v>
      </c>
      <c r="X14" s="1">
        <f t="shared" si="11"/>
        <v>4096328.4076</v>
      </c>
      <c r="Y14" s="74">
        <f t="shared" si="12"/>
        <v>1791494737.5853</v>
      </c>
      <c r="Z14" s="13">
        <f t="shared" si="13"/>
        <v>0</v>
      </c>
    </row>
    <row r="15" spans="1:26" x14ac:dyDescent="0.2">
      <c r="A15">
        <v>2018</v>
      </c>
      <c r="B15" s="1">
        <f>ROUND((SUM(Power!B110:C121)),4)</f>
        <v>1857049843.3989</v>
      </c>
      <c r="C15" s="1">
        <f>ROUND((Power!L158),4)</f>
        <v>1853868630.6779001</v>
      </c>
      <c r="D15" s="36">
        <f t="shared" si="0"/>
        <v>1.0283</v>
      </c>
      <c r="E15" s="1">
        <f t="shared" si="1"/>
        <v>1805957382.2454</v>
      </c>
      <c r="F15" s="37"/>
      <c r="G15" s="37">
        <v>680846102.83019996</v>
      </c>
      <c r="H15" s="37">
        <v>240602996.91260001</v>
      </c>
      <c r="I15" s="37">
        <f>839662732.86-J15-K15</f>
        <v>616139317.53429997</v>
      </c>
      <c r="J15" s="37">
        <v>14788959.359999998</v>
      </c>
      <c r="K15" s="1">
        <v>208734455.96570003</v>
      </c>
      <c r="L15" s="37">
        <v>33369028.32</v>
      </c>
      <c r="M15" s="37">
        <v>7466579.3225999996</v>
      </c>
      <c r="N15" s="37">
        <v>4009942</v>
      </c>
      <c r="O15" s="1">
        <f t="shared" si="2"/>
        <v>1805957382.2454</v>
      </c>
      <c r="Q15" s="1">
        <f t="shared" si="4"/>
        <v>698908647.99189997</v>
      </c>
      <c r="R15" s="1">
        <f t="shared" si="5"/>
        <v>246986087.7164</v>
      </c>
      <c r="S15" s="1">
        <f t="shared" si="6"/>
        <v>632485220.37880003</v>
      </c>
      <c r="T15" s="1">
        <f t="shared" si="7"/>
        <v>15181303.893100001</v>
      </c>
      <c r="U15" s="1">
        <f t="shared" si="8"/>
        <v>214272088.5115</v>
      </c>
      <c r="V15" s="1">
        <f t="shared" si="9"/>
        <v>34254293.842600003</v>
      </c>
      <c r="W15" s="1">
        <f t="shared" si="10"/>
        <v>7664664.3607000001</v>
      </c>
      <c r="X15" s="1">
        <f t="shared" si="11"/>
        <v>4116323.9829000002</v>
      </c>
      <c r="Y15" s="74">
        <f t="shared" si="12"/>
        <v>1853868630.6779001</v>
      </c>
      <c r="Z15" s="13">
        <f t="shared" si="13"/>
        <v>0</v>
      </c>
    </row>
    <row r="16" spans="1:26" x14ac:dyDescent="0.2">
      <c r="A16">
        <v>2019</v>
      </c>
      <c r="B16" s="1"/>
      <c r="C16" s="59">
        <f>ROUND((Power!L159),4)</f>
        <v>1817094964.5704</v>
      </c>
      <c r="E16" s="1">
        <f>ROUND((C16/D18),4)</f>
        <v>1760409769.9770999</v>
      </c>
      <c r="F16" s="37"/>
    </row>
    <row r="17" spans="1:14" x14ac:dyDescent="0.2">
      <c r="A17">
        <v>2020</v>
      </c>
      <c r="B17" s="1"/>
      <c r="C17" s="59">
        <f>ROUND((Power!L160),4)</f>
        <v>1821907013.4130001</v>
      </c>
      <c r="E17" s="1">
        <f>ROUND((C17/D18),4)</f>
        <v>1765071704.5272</v>
      </c>
      <c r="F17" s="37"/>
    </row>
    <row r="18" spans="1:14" x14ac:dyDescent="0.2">
      <c r="A18" s="41" t="s">
        <v>49</v>
      </c>
      <c r="D18" s="36">
        <f>ROUND((AVERAGE(D6:D15)),4)</f>
        <v>1.0322</v>
      </c>
      <c r="F18" s="37"/>
      <c r="G18" s="37"/>
    </row>
    <row r="19" spans="1:14" x14ac:dyDescent="0.2">
      <c r="D19"/>
      <c r="E19"/>
      <c r="F19" s="37"/>
      <c r="G19" s="37"/>
    </row>
    <row r="20" spans="1:14" x14ac:dyDescent="0.2">
      <c r="G20"/>
    </row>
    <row r="21" spans="1:14" ht="25.5" x14ac:dyDescent="0.2">
      <c r="B21" s="42"/>
      <c r="C21" s="1"/>
      <c r="F21" s="150" t="s">
        <v>160</v>
      </c>
      <c r="G21" s="34" t="s">
        <v>41</v>
      </c>
      <c r="H21" s="34" t="s">
        <v>42</v>
      </c>
      <c r="I21" s="34" t="s">
        <v>43</v>
      </c>
      <c r="J21" s="34" t="s">
        <v>157</v>
      </c>
      <c r="K21" s="34" t="s">
        <v>181</v>
      </c>
      <c r="L21" s="34" t="s">
        <v>44</v>
      </c>
      <c r="M21" s="34" t="s">
        <v>45</v>
      </c>
      <c r="N21" s="34" t="s">
        <v>46</v>
      </c>
    </row>
    <row r="22" spans="1:14" x14ac:dyDescent="0.2">
      <c r="F22">
        <f t="shared" ref="F22:F33" si="14">A6</f>
        <v>2009</v>
      </c>
      <c r="G22" s="1">
        <f>ROUND((G6/Customer!B4),4)</f>
        <v>8220.7029999999995</v>
      </c>
      <c r="H22" s="1">
        <f>ROUND((H6/Customer!C4),4)</f>
        <v>31285.322400000001</v>
      </c>
      <c r="I22" s="1">
        <f>ROUND((I6/Customer!D4),4)</f>
        <v>816835.82389999996</v>
      </c>
      <c r="L22" s="1">
        <f>ROUND((L6/Customer!G4),4)</f>
        <v>26607461.666700002</v>
      </c>
      <c r="M22" s="1">
        <f>ROUND((M6/Customer!H4),4)</f>
        <v>10264.9349</v>
      </c>
      <c r="N22" s="1">
        <f>ROUND((N6/Customer!I4),4)</f>
        <v>4033.5385999999999</v>
      </c>
    </row>
    <row r="23" spans="1:14" x14ac:dyDescent="0.2">
      <c r="F23">
        <f t="shared" si="14"/>
        <v>2010</v>
      </c>
      <c r="G23" s="1">
        <f>ROUND((G7/Customer!B5),4)</f>
        <v>8394.8593000000001</v>
      </c>
      <c r="H23" s="1">
        <f>ROUND((H7/Customer!C5),4)</f>
        <v>31699.238600000001</v>
      </c>
      <c r="I23" s="1">
        <f>ROUND((I7/Customer!D5),4)</f>
        <v>886637.83010000002</v>
      </c>
      <c r="L23" s="1">
        <f>ROUND((L7/Customer!G5),4)</f>
        <v>46563626</v>
      </c>
      <c r="M23" s="1">
        <f>ROUND((M7/Customer!H5),4)</f>
        <v>10187.4949</v>
      </c>
      <c r="N23" s="1">
        <f>ROUND((N7/Customer!I5),4)</f>
        <v>4030.8742000000002</v>
      </c>
    </row>
    <row r="24" spans="1:14" x14ac:dyDescent="0.2">
      <c r="F24">
        <f t="shared" si="14"/>
        <v>2011</v>
      </c>
      <c r="G24" s="1">
        <f>ROUND((G8/Customer!B6),4)</f>
        <v>8218.2832999999991</v>
      </c>
      <c r="H24" s="1">
        <f>ROUND((H8/Customer!C6),4)</f>
        <v>31859.315900000001</v>
      </c>
      <c r="I24" s="1">
        <f>ROUND((I8/Customer!D6),4)</f>
        <v>893593.89540000004</v>
      </c>
      <c r="L24" s="1">
        <f>ROUND((L8/Customer!G6),4)</f>
        <v>28007634.5</v>
      </c>
      <c r="M24" s="1">
        <f>ROUND((M8/Customer!H6),4)</f>
        <v>10113.213</v>
      </c>
      <c r="N24" s="1">
        <f>ROUND((N8/Customer!I6),4)</f>
        <v>3946.2341999999999</v>
      </c>
    </row>
    <row r="25" spans="1:14" x14ac:dyDescent="0.2">
      <c r="F25">
        <f t="shared" si="14"/>
        <v>2012</v>
      </c>
      <c r="G25" s="1">
        <f>ROUND((G9/Customer!B7),4)</f>
        <v>8056.1433999999999</v>
      </c>
      <c r="H25" s="1">
        <f>ROUND((H9/Customer!C7),4)</f>
        <v>31521.5134</v>
      </c>
      <c r="I25" s="1">
        <f>ROUND((I9/Customer!D7),4)</f>
        <v>882488.52789999999</v>
      </c>
      <c r="J25" s="1">
        <f>ROUND((J9/Customer!E7),4)</f>
        <v>634764.76580000005</v>
      </c>
      <c r="K25" s="1">
        <f>ROUND((K9/Customer!F7),4)</f>
        <v>12532788</v>
      </c>
      <c r="L25" s="1">
        <f>ROUND((L9/Customer!G7),4)</f>
        <v>34678188</v>
      </c>
      <c r="M25" s="1">
        <f>ROUND((M9/Customer!H7),4)</f>
        <v>10135.728499999999</v>
      </c>
      <c r="N25" s="1">
        <f>ROUND((N9/Customer!I7),4)</f>
        <v>4254.9179999999997</v>
      </c>
    </row>
    <row r="26" spans="1:14" x14ac:dyDescent="0.2">
      <c r="F26">
        <f t="shared" si="14"/>
        <v>2013</v>
      </c>
      <c r="G26" s="1">
        <f>ROUND((G10/Customer!B8),4)</f>
        <v>7915.9434000000001</v>
      </c>
      <c r="H26" s="1">
        <f>ROUND((H10/Customer!C8),4)</f>
        <v>31372.756799999999</v>
      </c>
      <c r="I26" s="1">
        <f>ROUND((I10/Customer!D8),4)</f>
        <v>846341.13199999998</v>
      </c>
      <c r="J26" s="1">
        <f>ROUND((J10/Customer!E8),4)</f>
        <v>4452933.3402000004</v>
      </c>
      <c r="K26" s="1">
        <f>ROUND((K10/Customer!F8),4)</f>
        <v>5958678</v>
      </c>
      <c r="L26" s="1">
        <f>ROUND((L10/Customer!G8),4)</f>
        <v>29501882.6752</v>
      </c>
      <c r="M26" s="1">
        <f>ROUND((M10/Customer!H8),4)</f>
        <v>10304.929099999999</v>
      </c>
      <c r="N26" s="1">
        <f>ROUND((N10/Customer!I8),4)</f>
        <v>4391.4096</v>
      </c>
    </row>
    <row r="27" spans="1:14" x14ac:dyDescent="0.2">
      <c r="F27">
        <f t="shared" si="14"/>
        <v>2014</v>
      </c>
      <c r="G27" s="1">
        <f>ROUND((G11/Customer!B9),4)</f>
        <v>7783.0977000000003</v>
      </c>
      <c r="H27" s="1">
        <f>ROUND((H11/Customer!C9),4)</f>
        <v>31273.999800000001</v>
      </c>
      <c r="I27" s="1">
        <f>ROUND((I11/Customer!D9),4)</f>
        <v>849049.8149</v>
      </c>
      <c r="J27" s="1">
        <f>ROUND((J11/Customer!E9),4)</f>
        <v>4268818.4677999998</v>
      </c>
      <c r="K27" s="1">
        <f>ROUND((K11/Customer!F9),4)</f>
        <v>26304004.096999999</v>
      </c>
      <c r="L27" s="1">
        <f>ROUND((L11/Customer!G9),4)</f>
        <v>31721455.234499998</v>
      </c>
      <c r="M27" s="1">
        <f>ROUND((M11/Customer!H9),4)</f>
        <v>9925.2793000000001</v>
      </c>
      <c r="N27" s="1">
        <f>ROUND((N11/Customer!I9),4)</f>
        <v>4607.8590999999997</v>
      </c>
    </row>
    <row r="28" spans="1:14" x14ac:dyDescent="0.2">
      <c r="F28">
        <f t="shared" si="14"/>
        <v>2015</v>
      </c>
      <c r="G28" s="1">
        <f>ROUND((G12/Customer!B10),4)</f>
        <v>7649.5538999999999</v>
      </c>
      <c r="H28" s="1">
        <f>ROUND((H12/Customer!C10),4)</f>
        <v>30523.982400000001</v>
      </c>
      <c r="I28" s="1">
        <f>ROUND((I12/Customer!D10),4)</f>
        <v>846954.91559999995</v>
      </c>
      <c r="J28" s="1">
        <f>ROUND((J12/Customer!E10),4)</f>
        <v>4172592.4210999999</v>
      </c>
      <c r="K28" s="1">
        <f>ROUND((K12/Customer!F10),4)</f>
        <v>25137315.4892</v>
      </c>
      <c r="L28" s="1">
        <f>ROUND((L12/Customer!G10),4)</f>
        <v>35769405.710000001</v>
      </c>
      <c r="M28" s="1">
        <f>ROUND((M12/Customer!H10),4)</f>
        <v>9898.2381000000005</v>
      </c>
      <c r="N28" s="1">
        <f>ROUND((N12/Customer!I10),4)</f>
        <v>4425.4679999999998</v>
      </c>
    </row>
    <row r="29" spans="1:14" x14ac:dyDescent="0.2">
      <c r="F29">
        <f t="shared" si="14"/>
        <v>2016</v>
      </c>
      <c r="G29" s="1">
        <f>ROUND((G13/Customer!B11),4)</f>
        <v>7697.5337</v>
      </c>
      <c r="H29" s="1">
        <f>ROUND((H13/Customer!C11),4)</f>
        <v>30476.910199999998</v>
      </c>
      <c r="I29" s="1">
        <f>ROUND((I13/Customer!D11),4)</f>
        <v>843477.37159999995</v>
      </c>
      <c r="J29" s="1">
        <f>ROUND((J13/Customer!E11),4)</f>
        <v>4210517.7921000002</v>
      </c>
      <c r="K29" s="1">
        <f>ROUND((K13/Customer!F11),4)</f>
        <v>21447565.479899999</v>
      </c>
      <c r="L29" s="1">
        <f>ROUND((L13/Customer!G11),4)</f>
        <v>28906567.2128</v>
      </c>
      <c r="M29" s="1">
        <f>ROUND((M13/Customer!H11),4)</f>
        <v>9837.1787999999997</v>
      </c>
      <c r="N29" s="1">
        <f>ROUND((N13/Customer!I11),4)</f>
        <v>4522.4071000000004</v>
      </c>
    </row>
    <row r="30" spans="1:14" x14ac:dyDescent="0.2">
      <c r="F30">
        <f t="shared" si="14"/>
        <v>2017</v>
      </c>
      <c r="G30" s="1">
        <f>ROUND((G14/Customer!B12),4)</f>
        <v>7227.1410999999998</v>
      </c>
      <c r="H30" s="1">
        <f>ROUND((H14/Customer!C12),4)</f>
        <v>29308.022099999998</v>
      </c>
      <c r="I30" s="1">
        <f>ROUND((I14/Customer!D12),4)</f>
        <v>758739.57830000005</v>
      </c>
      <c r="J30" s="1">
        <f>ROUND((J14/Customer!E12),4)</f>
        <v>3907925.2862</v>
      </c>
      <c r="K30" s="1">
        <f>ROUND((K14/Customer!F12),4)</f>
        <v>3775122.1741999998</v>
      </c>
      <c r="L30" s="1">
        <f>ROUND((L14/Customer!G12),4)</f>
        <v>31425633.769499999</v>
      </c>
      <c r="M30" s="1">
        <f>ROUND((M14/Customer!H12),4)</f>
        <v>8766.0030000000006</v>
      </c>
      <c r="N30" s="1">
        <f>ROUND((N14/Customer!I12),4)</f>
        <v>4410.0954000000002</v>
      </c>
    </row>
    <row r="31" spans="1:14" x14ac:dyDescent="0.2">
      <c r="F31">
        <f t="shared" si="14"/>
        <v>2018</v>
      </c>
      <c r="G31" s="1">
        <f>ROUND((G15/Customer!B13),4)</f>
        <v>7790.4468999999999</v>
      </c>
      <c r="H31" s="1">
        <f>ROUND((H15/Customer!C13),4)</f>
        <v>30139.420900000001</v>
      </c>
      <c r="I31" s="1">
        <f>ROUND((I15/Customer!D13),4)</f>
        <v>676332.95010000002</v>
      </c>
      <c r="J31" s="1">
        <f>ROUND((J15/Customer!E13),4)</f>
        <v>2957791.872</v>
      </c>
      <c r="K31" s="1">
        <f>ROUND((K15/Customer!F13),4)</f>
        <v>6139248.7049000002</v>
      </c>
      <c r="L31" s="1">
        <f>ROUND((L15/Customer!G13),4)</f>
        <v>33369028.32</v>
      </c>
      <c r="M31" s="1">
        <f>ROUND((M15/Customer!H13),4)</f>
        <v>4481.7403000000004</v>
      </c>
      <c r="N31" s="1">
        <f>ROUND((N15/Customer!I13),4)</f>
        <v>4307.1342999999997</v>
      </c>
    </row>
    <row r="32" spans="1:14" x14ac:dyDescent="0.2">
      <c r="F32" s="58">
        <f t="shared" si="14"/>
        <v>2019</v>
      </c>
      <c r="G32" s="59">
        <f t="shared" ref="G32:L32" si="15">ROUND((G31*G48),4)</f>
        <v>7743.7042000000001</v>
      </c>
      <c r="H32" s="59">
        <f t="shared" si="15"/>
        <v>30015.849300000002</v>
      </c>
      <c r="I32" s="59">
        <f t="shared" si="15"/>
        <v>662265.22470000002</v>
      </c>
      <c r="J32" s="59">
        <f t="shared" si="15"/>
        <v>2725605.21</v>
      </c>
      <c r="K32" s="59">
        <f t="shared" si="15"/>
        <v>6176084.1971000005</v>
      </c>
      <c r="L32" s="59">
        <f t="shared" si="15"/>
        <v>34219938.542199999</v>
      </c>
      <c r="M32" s="59">
        <f t="shared" ref="M32:N32" si="16">ROUND((M31*M48),4)</f>
        <v>4394.3464000000004</v>
      </c>
      <c r="N32" s="59">
        <f t="shared" si="16"/>
        <v>4338.5763999999999</v>
      </c>
    </row>
    <row r="33" spans="1:23" x14ac:dyDescent="0.2">
      <c r="F33" s="58">
        <f t="shared" si="14"/>
        <v>2020</v>
      </c>
      <c r="G33" s="59">
        <f t="shared" ref="G33:L33" si="17">ROUND((G32*G48),4)</f>
        <v>7697.2420000000002</v>
      </c>
      <c r="H33" s="59">
        <f t="shared" si="17"/>
        <v>29892.784299999999</v>
      </c>
      <c r="I33" s="59">
        <f t="shared" si="17"/>
        <v>648490.10800000001</v>
      </c>
      <c r="J33" s="59">
        <f t="shared" si="17"/>
        <v>2511645.2009999999</v>
      </c>
      <c r="K33" s="59">
        <f t="shared" si="17"/>
        <v>6213140.7023</v>
      </c>
      <c r="L33" s="59">
        <f t="shared" si="17"/>
        <v>35092546.975000001</v>
      </c>
      <c r="M33" s="59">
        <f>ROUND((M32*M48),4)</f>
        <v>4308.6566000000003</v>
      </c>
      <c r="N33" s="59">
        <f>ROUND((N32*N48),4)</f>
        <v>4370.2479999999996</v>
      </c>
    </row>
    <row r="34" spans="1:23" x14ac:dyDescent="0.2">
      <c r="F34"/>
    </row>
    <row r="35" spans="1:23" x14ac:dyDescent="0.2">
      <c r="F35"/>
      <c r="G35" s="38"/>
      <c r="H35" s="38"/>
      <c r="I35" s="38"/>
      <c r="K35" s="38"/>
      <c r="L35" s="38"/>
      <c r="M35" s="38"/>
      <c r="N35" s="38"/>
      <c r="O35" s="38"/>
      <c r="P35" s="43"/>
      <c r="Q35" s="43"/>
      <c r="R35" s="43"/>
      <c r="S35" s="43"/>
      <c r="T35" s="43"/>
      <c r="U35" s="43"/>
      <c r="V35" s="43"/>
      <c r="W35" s="43"/>
    </row>
    <row r="36" spans="1:23" x14ac:dyDescent="0.2">
      <c r="F36">
        <v>2010</v>
      </c>
      <c r="G36" s="38">
        <f t="shared" ref="G36:I44" si="18">ROUND((G23/G22),4)</f>
        <v>1.0212000000000001</v>
      </c>
      <c r="H36" s="38">
        <f t="shared" si="18"/>
        <v>1.0132000000000001</v>
      </c>
      <c r="I36" s="38">
        <f t="shared" si="18"/>
        <v>1.0854999999999999</v>
      </c>
      <c r="J36" s="38">
        <v>0</v>
      </c>
      <c r="K36" s="38">
        <v>0</v>
      </c>
      <c r="L36" s="38">
        <f t="shared" ref="L36:L44" si="19">ROUND((L23/L22),4)</f>
        <v>1.75</v>
      </c>
      <c r="M36" s="38">
        <f t="shared" ref="M36:N36" si="20">ROUND((M23/M22),4)</f>
        <v>0.99250000000000005</v>
      </c>
      <c r="N36" s="38">
        <f t="shared" si="20"/>
        <v>0.99929999999999997</v>
      </c>
      <c r="O36" s="38"/>
      <c r="P36" s="43"/>
      <c r="Q36" s="43"/>
      <c r="R36" s="43"/>
      <c r="S36" s="43"/>
      <c r="T36" s="43"/>
      <c r="U36" s="43"/>
      <c r="V36" s="43"/>
      <c r="W36" s="43"/>
    </row>
    <row r="37" spans="1:23" x14ac:dyDescent="0.2">
      <c r="F37">
        <v>2011</v>
      </c>
      <c r="G37" s="38">
        <f t="shared" si="18"/>
        <v>0.97899999999999998</v>
      </c>
      <c r="H37" s="38">
        <f t="shared" si="18"/>
        <v>1.0049999999999999</v>
      </c>
      <c r="I37" s="38">
        <f t="shared" si="18"/>
        <v>1.0078</v>
      </c>
      <c r="J37" s="38">
        <v>0</v>
      </c>
      <c r="K37" s="38">
        <v>0</v>
      </c>
      <c r="L37" s="38">
        <f t="shared" si="19"/>
        <v>0.60150000000000003</v>
      </c>
      <c r="M37" s="38">
        <f t="shared" ref="M37:N37" si="21">ROUND((M24/M23),4)</f>
        <v>0.99270000000000003</v>
      </c>
      <c r="N37" s="38">
        <f t="shared" si="21"/>
        <v>0.97899999999999998</v>
      </c>
      <c r="O37" s="38"/>
      <c r="P37" s="43"/>
      <c r="Q37" s="43"/>
      <c r="R37" s="43"/>
      <c r="S37" s="43"/>
      <c r="T37" s="43"/>
      <c r="U37" s="43"/>
      <c r="V37" s="43"/>
      <c r="W37" s="43"/>
    </row>
    <row r="38" spans="1:23" x14ac:dyDescent="0.2">
      <c r="F38">
        <v>2012</v>
      </c>
      <c r="G38" s="38">
        <f t="shared" si="18"/>
        <v>0.98029999999999995</v>
      </c>
      <c r="H38" s="38">
        <f t="shared" si="18"/>
        <v>0.98939999999999995</v>
      </c>
      <c r="I38" s="38">
        <f t="shared" si="18"/>
        <v>0.98760000000000003</v>
      </c>
      <c r="J38" s="38">
        <v>0</v>
      </c>
      <c r="K38" s="38">
        <v>0</v>
      </c>
      <c r="L38" s="38">
        <f t="shared" si="19"/>
        <v>1.2382</v>
      </c>
      <c r="M38" s="38">
        <f t="shared" ref="M38:N38" si="22">ROUND((M25/M24),4)</f>
        <v>1.0022</v>
      </c>
      <c r="N38" s="38">
        <f t="shared" si="22"/>
        <v>1.0782</v>
      </c>
      <c r="O38" s="38"/>
      <c r="P38" s="43"/>
      <c r="Q38" s="43"/>
      <c r="R38" s="43"/>
      <c r="S38" s="43"/>
      <c r="T38" s="43"/>
      <c r="U38" s="43"/>
      <c r="V38" s="43"/>
      <c r="W38" s="43"/>
    </row>
    <row r="39" spans="1:23" x14ac:dyDescent="0.2">
      <c r="F39">
        <v>2013</v>
      </c>
      <c r="G39" s="38">
        <f t="shared" si="18"/>
        <v>0.98260000000000003</v>
      </c>
      <c r="H39" s="38">
        <f t="shared" si="18"/>
        <v>0.99529999999999996</v>
      </c>
      <c r="I39" s="38">
        <f t="shared" si="18"/>
        <v>0.95899999999999996</v>
      </c>
      <c r="J39" s="38">
        <v>0</v>
      </c>
      <c r="K39" s="38">
        <v>0</v>
      </c>
      <c r="L39" s="38">
        <f t="shared" si="19"/>
        <v>0.85070000000000001</v>
      </c>
      <c r="M39" s="38">
        <f t="shared" ref="M39:N39" si="23">ROUND((M26/M25),4)</f>
        <v>1.0166999999999999</v>
      </c>
      <c r="N39" s="38">
        <f t="shared" si="23"/>
        <v>1.0321</v>
      </c>
      <c r="O39" s="38"/>
      <c r="P39" s="43"/>
      <c r="Q39" s="43"/>
      <c r="R39" s="43"/>
      <c r="S39" s="43"/>
      <c r="T39" s="43"/>
      <c r="U39" s="43"/>
      <c r="V39" s="43"/>
      <c r="W39" s="43"/>
    </row>
    <row r="40" spans="1:23" x14ac:dyDescent="0.2">
      <c r="F40">
        <v>2014</v>
      </c>
      <c r="G40" s="38">
        <f t="shared" si="18"/>
        <v>0.98319999999999996</v>
      </c>
      <c r="H40" s="38">
        <f t="shared" si="18"/>
        <v>0.99690000000000001</v>
      </c>
      <c r="I40" s="38">
        <f t="shared" si="18"/>
        <v>1.0032000000000001</v>
      </c>
      <c r="J40" s="38">
        <f t="shared" ref="J40:K40" si="24">ROUND((J27/J26),4)</f>
        <v>0.9587</v>
      </c>
      <c r="K40" s="38">
        <f t="shared" si="24"/>
        <v>4.4143999999999997</v>
      </c>
      <c r="L40" s="38">
        <f t="shared" si="19"/>
        <v>1.0751999999999999</v>
      </c>
      <c r="M40" s="38">
        <f t="shared" ref="M40:N40" si="25">ROUND((M27/M26),4)</f>
        <v>0.96319999999999995</v>
      </c>
      <c r="N40" s="38">
        <f t="shared" si="25"/>
        <v>1.0492999999999999</v>
      </c>
      <c r="O40" s="38"/>
      <c r="P40" s="43"/>
      <c r="Q40" s="43"/>
      <c r="R40" s="43"/>
      <c r="S40" s="43"/>
      <c r="T40" s="43"/>
      <c r="U40" s="43"/>
      <c r="V40" s="43"/>
      <c r="W40" s="43"/>
    </row>
    <row r="41" spans="1:23" x14ac:dyDescent="0.2">
      <c r="F41">
        <v>2015</v>
      </c>
      <c r="G41" s="38">
        <f t="shared" si="18"/>
        <v>0.98280000000000001</v>
      </c>
      <c r="H41" s="38">
        <f t="shared" si="18"/>
        <v>0.97599999999999998</v>
      </c>
      <c r="I41" s="38">
        <f t="shared" si="18"/>
        <v>0.99750000000000005</v>
      </c>
      <c r="J41" s="38">
        <f t="shared" ref="J41:K41" si="26">ROUND((J28/J27),4)</f>
        <v>0.97750000000000004</v>
      </c>
      <c r="K41" s="38">
        <f t="shared" si="26"/>
        <v>0.9556</v>
      </c>
      <c r="L41" s="38">
        <f t="shared" si="19"/>
        <v>1.1275999999999999</v>
      </c>
      <c r="M41" s="38">
        <f t="shared" ref="M41:N41" si="27">ROUND((M28/M27),4)</f>
        <v>0.99729999999999996</v>
      </c>
      <c r="N41" s="38">
        <f t="shared" si="27"/>
        <v>0.96040000000000003</v>
      </c>
      <c r="O41" s="38"/>
      <c r="P41" s="43"/>
      <c r="Q41" s="43"/>
      <c r="R41" s="43"/>
      <c r="S41" s="43"/>
      <c r="T41" s="43"/>
      <c r="U41" s="43"/>
      <c r="V41" s="43"/>
      <c r="W41" s="43"/>
    </row>
    <row r="42" spans="1:23" x14ac:dyDescent="0.2">
      <c r="F42">
        <v>2016</v>
      </c>
      <c r="G42" s="38">
        <f t="shared" si="18"/>
        <v>1.0063</v>
      </c>
      <c r="H42" s="38">
        <f t="shared" si="18"/>
        <v>0.99850000000000005</v>
      </c>
      <c r="I42" s="38">
        <f t="shared" si="18"/>
        <v>0.99590000000000001</v>
      </c>
      <c r="J42" s="38">
        <f t="shared" ref="J42:K42" si="28">ROUND((J29/J28),4)</f>
        <v>1.0091000000000001</v>
      </c>
      <c r="K42" s="38">
        <f t="shared" si="28"/>
        <v>0.85319999999999996</v>
      </c>
      <c r="L42" s="38">
        <f t="shared" si="19"/>
        <v>0.80810000000000004</v>
      </c>
      <c r="M42" s="38">
        <f t="shared" ref="M42:N42" si="29">ROUND((M29/M28),4)</f>
        <v>0.99380000000000002</v>
      </c>
      <c r="N42" s="38">
        <f t="shared" si="29"/>
        <v>1.0219</v>
      </c>
      <c r="O42" s="38"/>
      <c r="P42" s="43"/>
      <c r="Q42" s="43"/>
      <c r="R42" s="43"/>
      <c r="S42" s="43"/>
      <c r="T42" s="43"/>
      <c r="U42" s="43"/>
      <c r="V42" s="43"/>
      <c r="W42" s="43"/>
    </row>
    <row r="43" spans="1:23" x14ac:dyDescent="0.2">
      <c r="F43">
        <v>2017</v>
      </c>
      <c r="G43" s="38">
        <f t="shared" si="18"/>
        <v>0.93889999999999996</v>
      </c>
      <c r="H43" s="38">
        <f t="shared" si="18"/>
        <v>0.96160000000000001</v>
      </c>
      <c r="I43" s="38">
        <f t="shared" si="18"/>
        <v>0.89949999999999997</v>
      </c>
      <c r="J43" s="38">
        <f t="shared" ref="J43:K43" si="30">ROUND((J30/J29),4)</f>
        <v>0.92810000000000004</v>
      </c>
      <c r="K43" s="38">
        <f t="shared" si="30"/>
        <v>0.17599999999999999</v>
      </c>
      <c r="L43" s="38">
        <f t="shared" si="19"/>
        <v>1.0871</v>
      </c>
      <c r="M43" s="38">
        <f t="shared" ref="M43:N43" si="31">ROUND((M30/M29),4)</f>
        <v>0.8911</v>
      </c>
      <c r="N43" s="38">
        <f t="shared" si="31"/>
        <v>0.97519999999999996</v>
      </c>
      <c r="O43" s="38"/>
      <c r="P43" s="43"/>
      <c r="Q43" s="43"/>
      <c r="R43" s="43"/>
      <c r="S43" s="43"/>
      <c r="T43" s="43"/>
      <c r="U43" s="43"/>
      <c r="V43" s="43"/>
      <c r="W43" s="43"/>
    </row>
    <row r="44" spans="1:23" x14ac:dyDescent="0.2">
      <c r="F44">
        <v>2018</v>
      </c>
      <c r="G44" s="38">
        <f t="shared" si="18"/>
        <v>1.0779000000000001</v>
      </c>
      <c r="H44" s="38">
        <f t="shared" si="18"/>
        <v>1.0284</v>
      </c>
      <c r="I44" s="38">
        <f t="shared" si="18"/>
        <v>0.89139999999999997</v>
      </c>
      <c r="J44" s="38">
        <f t="shared" ref="J44:K44" si="32">ROUND((J31/J30),4)</f>
        <v>0.75690000000000002</v>
      </c>
      <c r="K44" s="38">
        <f t="shared" si="32"/>
        <v>1.6262000000000001</v>
      </c>
      <c r="L44" s="38">
        <f t="shared" si="19"/>
        <v>1.0618000000000001</v>
      </c>
      <c r="M44" s="38">
        <f t="shared" ref="M44:N44" si="33">ROUND((M31/M30),4)</f>
        <v>0.51129999999999998</v>
      </c>
      <c r="N44" s="38">
        <f t="shared" si="33"/>
        <v>0.97670000000000001</v>
      </c>
      <c r="O44" s="38"/>
      <c r="P44" s="43"/>
      <c r="Q44" s="43"/>
      <c r="R44" s="43"/>
      <c r="S44" s="43"/>
      <c r="T44" s="43"/>
      <c r="U44" s="43"/>
      <c r="V44" s="43"/>
      <c r="W44" s="43"/>
    </row>
    <row r="45" spans="1:23" x14ac:dyDescent="0.2">
      <c r="F45">
        <v>2019</v>
      </c>
      <c r="G45" s="38"/>
      <c r="H45" s="38"/>
      <c r="I45" s="38"/>
      <c r="K45" s="38"/>
      <c r="L45" s="38"/>
      <c r="M45" s="38"/>
      <c r="N45" s="38"/>
      <c r="O45" s="38"/>
      <c r="P45" s="43"/>
      <c r="Q45" s="43"/>
      <c r="R45" s="43"/>
      <c r="S45" s="43"/>
      <c r="T45" s="43"/>
      <c r="U45" s="43"/>
      <c r="V45" s="43"/>
      <c r="W45" s="43"/>
    </row>
    <row r="46" spans="1:23" x14ac:dyDescent="0.2">
      <c r="F46">
        <v>2020</v>
      </c>
      <c r="G46" s="38"/>
      <c r="H46" s="38"/>
      <c r="I46" s="38"/>
      <c r="K46" s="38"/>
      <c r="L46" s="38"/>
      <c r="M46" s="38"/>
      <c r="N46" s="38"/>
      <c r="O46" s="38"/>
      <c r="P46" s="43"/>
      <c r="Q46" s="43"/>
      <c r="R46" s="43"/>
      <c r="S46" s="43"/>
      <c r="T46" s="43"/>
      <c r="U46" s="43"/>
      <c r="V46" s="43"/>
      <c r="W46" s="43"/>
    </row>
    <row r="47" spans="1:23" x14ac:dyDescent="0.2">
      <c r="A47" s="44"/>
      <c r="D47" s="1"/>
    </row>
    <row r="48" spans="1:23" x14ac:dyDescent="0.2">
      <c r="F48" s="50" t="s">
        <v>50</v>
      </c>
      <c r="G48" s="61">
        <f t="shared" ref="G48:L48" si="34">G50</f>
        <v>0.99399999999999999</v>
      </c>
      <c r="H48" s="61">
        <f t="shared" si="34"/>
        <v>0.99590000000000001</v>
      </c>
      <c r="I48" s="61">
        <f t="shared" si="34"/>
        <v>0.97919999999999996</v>
      </c>
      <c r="J48" s="61">
        <f t="shared" si="34"/>
        <v>0.92149999999999999</v>
      </c>
      <c r="K48" s="61">
        <f t="shared" si="34"/>
        <v>1.006</v>
      </c>
      <c r="L48" s="61">
        <f t="shared" si="34"/>
        <v>1.0255000000000001</v>
      </c>
      <c r="M48" s="61">
        <v>0.98050000000000004</v>
      </c>
      <c r="N48" s="61">
        <f t="shared" ref="N48" si="35">N50</f>
        <v>1.0073000000000001</v>
      </c>
    </row>
    <row r="49" spans="1:23" x14ac:dyDescent="0.2">
      <c r="A49" s="44"/>
      <c r="F49" s="181"/>
      <c r="G49" s="42"/>
      <c r="H49" s="42"/>
      <c r="M49" s="37"/>
      <c r="N49" s="37"/>
    </row>
    <row r="50" spans="1:23" x14ac:dyDescent="0.2">
      <c r="F50" s="50" t="s">
        <v>51</v>
      </c>
      <c r="G50" s="38">
        <f>ROUND((GEOMEAN(G36:G44)),4)</f>
        <v>0.99399999999999999</v>
      </c>
      <c r="H50" s="38">
        <f>ROUND((GEOMEAN(H36:H44)),4)</f>
        <v>0.99590000000000001</v>
      </c>
      <c r="I50" s="38">
        <f>ROUND((GEOMEAN(I36:I44)),4)</f>
        <v>0.97919999999999996</v>
      </c>
      <c r="J50" s="38">
        <f>ROUND((GEOMEAN(J40:J44)),4)</f>
        <v>0.92149999999999999</v>
      </c>
      <c r="K50" s="38">
        <f>ROUND((GEOMEAN(K40:K44)),4)</f>
        <v>1.006</v>
      </c>
      <c r="L50" s="38">
        <f>ROUND((GEOMEAN(L36:L44)),4)</f>
        <v>1.0255000000000001</v>
      </c>
      <c r="M50" s="38">
        <f>ROUND((GEOMEAN(M36:M44)),4)</f>
        <v>0.91200000000000003</v>
      </c>
      <c r="N50" s="38">
        <f t="shared" ref="N50" si="36">ROUND((GEOMEAN(N36:N44)),4)</f>
        <v>1.0073000000000001</v>
      </c>
      <c r="P50" s="43"/>
      <c r="Q50" s="43"/>
      <c r="R50" s="43"/>
      <c r="S50" s="43"/>
      <c r="T50" s="43"/>
      <c r="U50" s="43"/>
      <c r="V50" s="43"/>
      <c r="W50" s="43"/>
    </row>
    <row r="51" spans="1:23" x14ac:dyDescent="0.2">
      <c r="F51" s="181"/>
      <c r="H51" s="38"/>
      <c r="I51" s="38"/>
      <c r="J51" s="38"/>
      <c r="K51" s="38"/>
      <c r="L51" s="38"/>
      <c r="M51" s="38"/>
      <c r="N51" s="38"/>
    </row>
    <row r="53" spans="1:23" x14ac:dyDescent="0.2">
      <c r="B53"/>
      <c r="C53"/>
    </row>
    <row r="57" spans="1:23" x14ac:dyDescent="0.2">
      <c r="H57" s="45" t="s">
        <v>41</v>
      </c>
      <c r="I57" s="46" t="s">
        <v>42</v>
      </c>
      <c r="J57" s="46" t="s">
        <v>43</v>
      </c>
      <c r="K57" s="143" t="s">
        <v>83</v>
      </c>
      <c r="L57" s="143" t="s">
        <v>85</v>
      </c>
      <c r="M57" s="46" t="s">
        <v>44</v>
      </c>
      <c r="N57" s="46" t="s">
        <v>45</v>
      </c>
      <c r="O57" s="46" t="s">
        <v>46</v>
      </c>
    </row>
    <row r="58" spans="1:23" x14ac:dyDescent="0.2">
      <c r="F58" s="142" t="s">
        <v>52</v>
      </c>
      <c r="G58" s="142"/>
      <c r="H58" s="142"/>
      <c r="P58" s="37" t="s">
        <v>3</v>
      </c>
    </row>
    <row r="59" spans="1:23" x14ac:dyDescent="0.2">
      <c r="F59">
        <v>2019</v>
      </c>
      <c r="G59" s="144">
        <f>ROUND((SUM(H59:O59)),4)</f>
        <v>1796800081.4992001</v>
      </c>
      <c r="H59" s="144">
        <f>ROUND((G32*Customer!B14),4)</f>
        <v>686239322.49979997</v>
      </c>
      <c r="I59" s="144">
        <f>ROUND((H32*Customer!C14),4)</f>
        <v>241897729.50870001</v>
      </c>
      <c r="J59" s="144">
        <f>ROUND((I32*Customer!D14),4)</f>
        <v>599350028.35350001</v>
      </c>
      <c r="K59" s="144">
        <f>ROUND((J32*Customer!E14),4)</f>
        <v>13628026.050000001</v>
      </c>
      <c r="L59" s="144">
        <f>ROUND((K32*Customer!F14),4)</f>
        <v>209986862.70140001</v>
      </c>
      <c r="M59" s="144">
        <f>ROUND((L32*Customer!G14),4)</f>
        <v>34219938.542199999</v>
      </c>
      <c r="N59" s="144">
        <f>ROUND((M32*Customer!H14),4)</f>
        <v>7386896.2983999997</v>
      </c>
      <c r="O59" s="144">
        <f>ROUND((N32*Customer!I14),4)</f>
        <v>4091277.5452000001</v>
      </c>
      <c r="P59" s="35">
        <f>ROUND((SUM(H59:O59)),4)</f>
        <v>1796800081.4992001</v>
      </c>
    </row>
    <row r="60" spans="1:23" x14ac:dyDescent="0.2">
      <c r="F60">
        <v>2020</v>
      </c>
      <c r="G60" s="144">
        <f>ROUND((SUM(H60:O60)),4)</f>
        <v>1788253091.5685999</v>
      </c>
      <c r="H60" s="144">
        <f>ROUND((G33*Customer!B15),4)</f>
        <v>691674166.12</v>
      </c>
      <c r="I60" s="144">
        <f>ROUND((H33*Customer!C15),4)</f>
        <v>243207693.06479999</v>
      </c>
      <c r="J60" s="144">
        <f>ROUND((I33*Customer!D15),4)</f>
        <v>582992607.09200001</v>
      </c>
      <c r="K60" s="144">
        <f>ROUND((J33*Customer!E15),4)</f>
        <v>12558226.005000001</v>
      </c>
      <c r="L60" s="144">
        <f>ROUND((K33*Customer!F15),4)</f>
        <v>211246783.87819999</v>
      </c>
      <c r="M60" s="144">
        <f>ROUND((L33*Customer!G15),4)</f>
        <v>35092546.975000001</v>
      </c>
      <c r="N60" s="144">
        <f>ROUND((M33*Customer!H15),4)</f>
        <v>7307481.5936000003</v>
      </c>
      <c r="O60" s="144">
        <f>ROUND((N33*Customer!I15),4)</f>
        <v>4173586.84</v>
      </c>
      <c r="P60" s="35">
        <f>ROUND((SUM(H60:O60)),4)</f>
        <v>1788253091.5685999</v>
      </c>
    </row>
    <row r="61" spans="1:23" x14ac:dyDescent="0.2">
      <c r="F61" s="10"/>
      <c r="G61" s="35"/>
      <c r="H61" s="35"/>
      <c r="I61" s="35"/>
      <c r="J61" s="35"/>
      <c r="M61" s="35"/>
      <c r="N61" s="35"/>
      <c r="O61" s="35"/>
    </row>
    <row r="62" spans="1:23" x14ac:dyDescent="0.2">
      <c r="F62" s="142" t="s">
        <v>82</v>
      </c>
      <c r="G62" s="142"/>
      <c r="H62" s="142"/>
      <c r="I62" s="142"/>
      <c r="J62" s="142"/>
      <c r="M62" s="35"/>
      <c r="N62" s="35"/>
      <c r="P62" s="35" t="s">
        <v>3</v>
      </c>
    </row>
    <row r="63" spans="1:23" x14ac:dyDescent="0.2">
      <c r="F63">
        <v>2019</v>
      </c>
      <c r="G63" s="35">
        <f>ROUND((E16),4)</f>
        <v>1760409769.9770999</v>
      </c>
      <c r="H63" s="35">
        <f t="shared" ref="H63:O64" si="37">ROUND((H59+H72),4)</f>
        <v>668485027.34019995</v>
      </c>
      <c r="I63" s="35">
        <f t="shared" si="37"/>
        <v>235639382.6794</v>
      </c>
      <c r="J63" s="35">
        <f t="shared" si="37"/>
        <v>587247545.18570006</v>
      </c>
      <c r="K63" s="35">
        <f t="shared" si="37"/>
        <v>13352839.684599999</v>
      </c>
      <c r="L63" s="35">
        <f t="shared" ref="L63" si="38">ROUND((L59+L72),4)</f>
        <v>209986862.70140001</v>
      </c>
      <c r="M63" s="35">
        <f t="shared" si="37"/>
        <v>34219938.542199999</v>
      </c>
      <c r="N63" s="35">
        <f t="shared" si="37"/>
        <v>7386896.2983999997</v>
      </c>
      <c r="O63" s="35">
        <f t="shared" si="37"/>
        <v>4091277.5452000001</v>
      </c>
      <c r="P63" s="47">
        <f>ROUND((SUM(H63:O63)),4)</f>
        <v>1760409769.9770999</v>
      </c>
    </row>
    <row r="64" spans="1:23" ht="12" customHeight="1" x14ac:dyDescent="0.2">
      <c r="F64">
        <v>2020</v>
      </c>
      <c r="G64" s="35">
        <f>ROUND((E17),4)</f>
        <v>1765071704.5272</v>
      </c>
      <c r="H64" s="35">
        <f t="shared" si="37"/>
        <v>680218894.70940006</v>
      </c>
      <c r="I64" s="35">
        <f t="shared" si="37"/>
        <v>239179770.28029999</v>
      </c>
      <c r="J64" s="35">
        <f t="shared" si="37"/>
        <v>575456744.04229999</v>
      </c>
      <c r="K64" s="35">
        <f t="shared" si="37"/>
        <v>12395896.2084</v>
      </c>
      <c r="L64" s="35">
        <f t="shared" ref="L64" si="39">ROUND((L60+L73),4)</f>
        <v>211246783.87819999</v>
      </c>
      <c r="M64" s="35">
        <f t="shared" si="37"/>
        <v>35092546.975000001</v>
      </c>
      <c r="N64" s="35">
        <f t="shared" si="37"/>
        <v>7307481.5936000003</v>
      </c>
      <c r="O64" s="35">
        <f t="shared" si="37"/>
        <v>4173586.84</v>
      </c>
      <c r="P64" s="47">
        <f>ROUND((SUM(H64:O64)),4)</f>
        <v>1765071704.5272</v>
      </c>
    </row>
    <row r="65" spans="2:17" ht="13.5" thickBot="1" x14ac:dyDescent="0.25">
      <c r="F65" s="10"/>
      <c r="G65" s="10"/>
      <c r="H65" s="35"/>
      <c r="I65" s="35"/>
      <c r="J65" s="35"/>
      <c r="K65" s="35"/>
      <c r="L65" s="35"/>
      <c r="M65" s="35"/>
      <c r="N65" s="35"/>
      <c r="O65" s="35"/>
      <c r="P65" s="35"/>
    </row>
    <row r="66" spans="2:17" ht="13.5" thickBot="1" x14ac:dyDescent="0.25">
      <c r="B66"/>
      <c r="C66"/>
      <c r="F66" s="10"/>
      <c r="G66" s="10"/>
      <c r="H66" s="197" t="s">
        <v>53</v>
      </c>
      <c r="I66" s="198"/>
      <c r="J66" s="198"/>
      <c r="K66" s="198"/>
      <c r="L66" s="198"/>
      <c r="M66" s="198"/>
      <c r="N66" s="198"/>
      <c r="O66" s="199"/>
      <c r="P66" s="35"/>
    </row>
    <row r="67" spans="2:17" x14ac:dyDescent="0.2">
      <c r="F67" s="48" t="s">
        <v>54</v>
      </c>
      <c r="G67" s="35"/>
      <c r="H67" s="62">
        <f>(100%+J67)/2</f>
        <v>0.82000000000000006</v>
      </c>
      <c r="I67" s="62">
        <f>H67</f>
        <v>0.82000000000000006</v>
      </c>
      <c r="J67" s="62">
        <v>0.64</v>
      </c>
      <c r="K67" s="62">
        <v>0.64</v>
      </c>
      <c r="L67" s="53"/>
      <c r="M67" s="53"/>
      <c r="N67" s="53"/>
      <c r="O67" s="53"/>
      <c r="P67" s="35" t="s">
        <v>55</v>
      </c>
    </row>
    <row r="68" spans="2:17" x14ac:dyDescent="0.2">
      <c r="F68">
        <v>2019</v>
      </c>
      <c r="G68" s="47">
        <f>ROUND((G63-G59),4)</f>
        <v>-36390311.522100002</v>
      </c>
      <c r="H68" s="47">
        <f t="shared" ref="H68:O68" si="40">ROUND((H59*H$67),4)</f>
        <v>562716244.44980001</v>
      </c>
      <c r="I68" s="47">
        <f t="shared" si="40"/>
        <v>198356138.19710001</v>
      </c>
      <c r="J68" s="47">
        <f>ROUND((J59*J$67),4)</f>
        <v>383584018.1462</v>
      </c>
      <c r="K68" s="47">
        <f t="shared" si="40"/>
        <v>8721936.6720000003</v>
      </c>
      <c r="L68" s="47">
        <v>0</v>
      </c>
      <c r="M68" s="47">
        <f t="shared" si="40"/>
        <v>0</v>
      </c>
      <c r="N68" s="47">
        <f t="shared" si="40"/>
        <v>0</v>
      </c>
      <c r="O68" s="47">
        <f t="shared" si="40"/>
        <v>0</v>
      </c>
      <c r="P68" s="47">
        <f>ROUND((SUM(H68:O68)),4)</f>
        <v>1153378337.4651</v>
      </c>
    </row>
    <row r="69" spans="2:17" x14ac:dyDescent="0.2">
      <c r="F69">
        <v>2020</v>
      </c>
      <c r="G69" s="47">
        <f>ROUND((G64-G60),4)</f>
        <v>-23181387.0414</v>
      </c>
      <c r="H69" s="47">
        <f t="shared" ref="H69:O69" si="41">ROUND((H60*H67),4)</f>
        <v>567172816.2184</v>
      </c>
      <c r="I69" s="47">
        <f t="shared" si="41"/>
        <v>199430308.31310001</v>
      </c>
      <c r="J69" s="47">
        <f t="shared" si="41"/>
        <v>373115268.53890002</v>
      </c>
      <c r="K69" s="47">
        <f t="shared" si="41"/>
        <v>8037264.6431999998</v>
      </c>
      <c r="L69" s="47">
        <v>0</v>
      </c>
      <c r="M69" s="47">
        <f t="shared" si="41"/>
        <v>0</v>
      </c>
      <c r="N69" s="47">
        <f t="shared" si="41"/>
        <v>0</v>
      </c>
      <c r="O69" s="47">
        <f t="shared" si="41"/>
        <v>0</v>
      </c>
      <c r="P69" s="47">
        <f>ROUND((SUM(H69:O69)),4)</f>
        <v>1147755657.7135999</v>
      </c>
    </row>
    <row r="70" spans="2:17" x14ac:dyDescent="0.2">
      <c r="F70" s="10"/>
      <c r="G70" s="35"/>
      <c r="H70" s="47"/>
      <c r="I70" s="47"/>
      <c r="J70" s="47"/>
      <c r="K70" s="47"/>
      <c r="L70" s="47"/>
      <c r="M70" s="47"/>
      <c r="N70" s="47"/>
      <c r="O70" s="49"/>
      <c r="P70" s="35"/>
    </row>
    <row r="71" spans="2:17" x14ac:dyDescent="0.2">
      <c r="F71" s="123" t="s">
        <v>56</v>
      </c>
      <c r="G71" s="10"/>
      <c r="H71" s="10"/>
      <c r="I71" s="47"/>
      <c r="J71" s="47"/>
      <c r="K71" s="47"/>
      <c r="L71" s="47"/>
      <c r="M71" s="47"/>
      <c r="N71" s="47"/>
      <c r="O71" s="49"/>
      <c r="P71" s="35"/>
    </row>
    <row r="72" spans="2:17" x14ac:dyDescent="0.2">
      <c r="F72">
        <v>2019</v>
      </c>
      <c r="H72" s="47">
        <f>ROUND((H68/$P$68*$G$68),4)</f>
        <v>-17754295.159600001</v>
      </c>
      <c r="I72" s="47">
        <f>ROUND((I68/$P$68*$G$68),4)</f>
        <v>-6258346.8293000003</v>
      </c>
      <c r="J72" s="47">
        <f>ROUND((J68/$P$68*$G$68),4)</f>
        <v>-12102483.1678</v>
      </c>
      <c r="K72" s="47">
        <f>ROUND((K68/$P$68*$G$68),4)</f>
        <v>-275186.36540000001</v>
      </c>
      <c r="L72" s="47">
        <v>0</v>
      </c>
      <c r="M72" s="47">
        <f t="shared" ref="M72:O72" si="42">ROUND((M68/$P$68*$H$68),4)</f>
        <v>0</v>
      </c>
      <c r="N72" s="47">
        <f t="shared" si="42"/>
        <v>0</v>
      </c>
      <c r="O72" s="47">
        <f t="shared" si="42"/>
        <v>0</v>
      </c>
      <c r="P72" s="47">
        <f>ROUND((SUM(H72:O72)),4)</f>
        <v>-36390311.522100002</v>
      </c>
    </row>
    <row r="73" spans="2:17" x14ac:dyDescent="0.2">
      <c r="F73">
        <v>2020</v>
      </c>
      <c r="H73" s="47">
        <f>ROUND((H69/$P$69*$G$69),4)</f>
        <v>-11455271.410599999</v>
      </c>
      <c r="I73" s="47">
        <f>ROUND((I69/$P$69*$G$69),4)</f>
        <v>-4027922.7845000001</v>
      </c>
      <c r="J73" s="47">
        <f>ROUND((J69/$P$69*$G$69),4)</f>
        <v>-7535863.0497000003</v>
      </c>
      <c r="K73" s="47">
        <f>ROUND((K69/$P$69*$G$69),4)</f>
        <v>-162329.7966</v>
      </c>
      <c r="L73" s="47">
        <v>0</v>
      </c>
      <c r="M73" s="47">
        <f t="shared" ref="M73:O73" si="43">ROUND((M69/$P$69*$H$69),4)</f>
        <v>0</v>
      </c>
      <c r="N73" s="47">
        <f t="shared" si="43"/>
        <v>0</v>
      </c>
      <c r="O73" s="47">
        <f t="shared" si="43"/>
        <v>0</v>
      </c>
      <c r="P73" s="47">
        <f>ROUND((SUM(H73:O73)),4)</f>
        <v>-23181387.0414</v>
      </c>
    </row>
    <row r="74" spans="2:17" x14ac:dyDescent="0.2">
      <c r="F74" s="10"/>
      <c r="G74" s="10"/>
    </row>
    <row r="75" spans="2:17" x14ac:dyDescent="0.2">
      <c r="I75" s="173" t="s">
        <v>172</v>
      </c>
      <c r="J75" s="1">
        <f>ROUND((J64+K64),4)</f>
        <v>587852640.2507</v>
      </c>
    </row>
    <row r="76" spans="2:17" ht="13.5" thickBot="1" x14ac:dyDescent="0.25"/>
    <row r="77" spans="2:17" ht="13.5" thickBot="1" x14ac:dyDescent="0.25">
      <c r="F77" t="s">
        <v>90</v>
      </c>
      <c r="H77" s="200" t="s">
        <v>171</v>
      </c>
      <c r="I77" s="201"/>
      <c r="J77" s="201"/>
      <c r="K77" s="201"/>
      <c r="L77" s="201"/>
      <c r="M77" s="201"/>
      <c r="N77" s="201"/>
      <c r="O77" s="202"/>
    </row>
    <row r="78" spans="2:17" x14ac:dyDescent="0.2">
      <c r="F78"/>
      <c r="H78" s="62">
        <v>0.05</v>
      </c>
      <c r="I78" s="62">
        <v>0.25</v>
      </c>
      <c r="J78" s="62">
        <v>0.7</v>
      </c>
      <c r="K78" s="171"/>
      <c r="L78" s="171"/>
      <c r="M78" s="172"/>
    </row>
    <row r="79" spans="2:17" x14ac:dyDescent="0.2">
      <c r="F79">
        <v>2019</v>
      </c>
      <c r="G79" s="47">
        <f>ROUND((CDM!T48*-1),4)</f>
        <v>-10277361.111199999</v>
      </c>
      <c r="H79" s="47">
        <f>ROUND((G79*H78),4)</f>
        <v>-513868.05560000002</v>
      </c>
      <c r="I79" s="47">
        <f>ROUND((G79*I78),4)</f>
        <v>-2569340.2777999998</v>
      </c>
      <c r="J79" s="47">
        <f>ROUND((G79*J78),4)</f>
        <v>-7194152.7778000003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f>ROUND((SUM(H79:O79)),4)</f>
        <v>-10277361.111199999</v>
      </c>
      <c r="Q79" s="35"/>
    </row>
    <row r="80" spans="2:17" x14ac:dyDescent="0.2">
      <c r="F80">
        <v>2020</v>
      </c>
      <c r="G80" s="47">
        <f>ROUND((CDM!U48*-1),4)</f>
        <v>-23491111.114500001</v>
      </c>
      <c r="H80" s="47">
        <f>ROUND((G80*H78),4)</f>
        <v>-1174555.5556999999</v>
      </c>
      <c r="I80" s="47">
        <f>ROUND((G80*I78),4)</f>
        <v>-5872777.7785999998</v>
      </c>
      <c r="J80" s="47">
        <f>ROUND((G80*J78),4)</f>
        <v>-16443777.780200001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f>ROUND((SUM(H80:O80)),4)</f>
        <v>-23491111.114500001</v>
      </c>
      <c r="Q80" s="35"/>
    </row>
    <row r="81" spans="6:17" x14ac:dyDescent="0.2">
      <c r="F81" s="10"/>
    </row>
    <row r="82" spans="6:17" x14ac:dyDescent="0.2">
      <c r="F82" s="41" t="s">
        <v>173</v>
      </c>
      <c r="G82" s="41"/>
      <c r="H82" s="41"/>
      <c r="I82" s="41"/>
      <c r="J82" s="35"/>
      <c r="K82" s="35"/>
      <c r="L82" s="35"/>
      <c r="P82" s="35" t="s">
        <v>3</v>
      </c>
    </row>
    <row r="83" spans="6:17" x14ac:dyDescent="0.2">
      <c r="F83">
        <v>2019</v>
      </c>
      <c r="G83" s="144">
        <f t="shared" ref="G83:O83" si="44">ROUND((G63+G79),4)</f>
        <v>1750132408.8659</v>
      </c>
      <c r="H83" s="47">
        <f t="shared" si="44"/>
        <v>667971159.28460002</v>
      </c>
      <c r="I83" s="47">
        <f t="shared" si="44"/>
        <v>233070042.4016</v>
      </c>
      <c r="J83" s="47">
        <f t="shared" si="44"/>
        <v>580053392.40789998</v>
      </c>
      <c r="K83" s="47">
        <f t="shared" si="44"/>
        <v>13352839.684599999</v>
      </c>
      <c r="L83" s="47">
        <f t="shared" si="44"/>
        <v>209986862.70140001</v>
      </c>
      <c r="M83" s="47">
        <f t="shared" si="44"/>
        <v>34219938.542199999</v>
      </c>
      <c r="N83" s="47">
        <f t="shared" si="44"/>
        <v>7386896.2983999997</v>
      </c>
      <c r="O83" s="47">
        <f t="shared" si="44"/>
        <v>4091277.5452000001</v>
      </c>
      <c r="P83" s="47">
        <f>ROUND((SUM(H83:O83)),4)</f>
        <v>1750132408.8659</v>
      </c>
      <c r="Q83" s="29">
        <f>P83-G83</f>
        <v>0</v>
      </c>
    </row>
    <row r="84" spans="6:17" x14ac:dyDescent="0.2">
      <c r="F84">
        <v>2020</v>
      </c>
      <c r="G84" s="144">
        <f t="shared" ref="G84:O84" si="45">ROUND((G64+G80),4)</f>
        <v>1741580593.4126999</v>
      </c>
      <c r="H84" s="47">
        <f t="shared" si="45"/>
        <v>679044339.15369999</v>
      </c>
      <c r="I84" s="47">
        <f t="shared" si="45"/>
        <v>233306992.50170001</v>
      </c>
      <c r="J84" s="47">
        <f t="shared" si="45"/>
        <v>559012966.26209998</v>
      </c>
      <c r="K84" s="47">
        <f t="shared" si="45"/>
        <v>12395896.2084</v>
      </c>
      <c r="L84" s="47">
        <f t="shared" si="45"/>
        <v>211246783.87819999</v>
      </c>
      <c r="M84" s="47">
        <f t="shared" si="45"/>
        <v>35092546.975000001</v>
      </c>
      <c r="N84" s="47">
        <f t="shared" si="45"/>
        <v>7307481.5936000003</v>
      </c>
      <c r="O84" s="47">
        <f t="shared" si="45"/>
        <v>4173586.84</v>
      </c>
      <c r="P84" s="47">
        <f>ROUND((SUM(H84:O84)),4)</f>
        <v>1741580593.4126999</v>
      </c>
      <c r="Q84" s="29">
        <f>P84-G84</f>
        <v>0</v>
      </c>
    </row>
    <row r="86" spans="6:17" x14ac:dyDescent="0.2">
      <c r="I86" s="173" t="s">
        <v>172</v>
      </c>
      <c r="J86" s="1">
        <f>ROUND((J84+K84),4)</f>
        <v>571408862.47049999</v>
      </c>
      <c r="P86" s="174">
        <f>ROUND((+ED!C14),4)</f>
        <v>19053029.030000001</v>
      </c>
    </row>
    <row r="87" spans="6:17" x14ac:dyDescent="0.2">
      <c r="H87" s="43"/>
      <c r="I87" s="178" t="s">
        <v>179</v>
      </c>
      <c r="J87" s="1">
        <f>ROUND((J84+L84),4)</f>
        <v>770259750.14030004</v>
      </c>
      <c r="K87" s="43"/>
      <c r="L87" s="43"/>
      <c r="M87" s="43"/>
      <c r="P87" s="47">
        <f>ROUND((P84+P86),4)</f>
        <v>1760633622.4426999</v>
      </c>
    </row>
    <row r="88" spans="6:17" x14ac:dyDescent="0.2">
      <c r="H88" s="47"/>
      <c r="I88" s="178" t="s">
        <v>3</v>
      </c>
      <c r="J88" s="1">
        <f>ROUND((J84+K84+L84),4)</f>
        <v>782655646.34870005</v>
      </c>
      <c r="K88" s="47"/>
      <c r="L88" s="47"/>
      <c r="M88" s="47"/>
      <c r="N88" s="47"/>
      <c r="O88" s="47"/>
      <c r="P88" s="175"/>
    </row>
    <row r="89" spans="6:17" x14ac:dyDescent="0.2">
      <c r="H89" s="47"/>
      <c r="I89" s="47"/>
      <c r="J89" s="47"/>
      <c r="K89" s="47"/>
      <c r="L89" s="47"/>
      <c r="M89" s="47"/>
      <c r="N89" s="47"/>
      <c r="O89" s="47"/>
      <c r="P89" s="176"/>
    </row>
    <row r="90" spans="6:17" x14ac:dyDescent="0.2">
      <c r="H90" s="47"/>
      <c r="I90" s="47"/>
      <c r="J90" s="47"/>
      <c r="K90" s="47"/>
      <c r="L90" s="47"/>
      <c r="M90" s="47"/>
      <c r="N90" s="47"/>
    </row>
    <row r="91" spans="6:17" x14ac:dyDescent="0.2">
      <c r="H91" s="47"/>
      <c r="I91" s="47"/>
      <c r="J91" s="47"/>
      <c r="K91" s="47"/>
      <c r="L91" s="47"/>
      <c r="M91" s="47"/>
      <c r="N91" s="47"/>
    </row>
  </sheetData>
  <mergeCells count="4">
    <mergeCell ref="G5:N5"/>
    <mergeCell ref="H66:O66"/>
    <mergeCell ref="H77:O77"/>
    <mergeCell ref="Q5:X5"/>
  </mergeCells>
  <pageMargins left="0.61" right="0.48" top="0.54" bottom="0.75" header="0.3" footer="0.3"/>
  <pageSetup scale="3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83441-7FF7-4074-A2F9-65407CE3EF7F}">
  <dimension ref="A1:H5"/>
  <sheetViews>
    <sheetView tabSelected="1" workbookViewId="0">
      <selection sqref="A1:H5"/>
    </sheetView>
  </sheetViews>
  <sheetFormatPr defaultRowHeight="12.75" x14ac:dyDescent="0.2"/>
  <cols>
    <col min="1" max="1" width="53.28515625" bestFit="1" customWidth="1"/>
    <col min="2" max="2" width="12.5703125" customWidth="1"/>
    <col min="3" max="3" width="10.85546875" customWidth="1"/>
    <col min="4" max="4" width="10.28515625" customWidth="1"/>
    <col min="5" max="5" width="7.140625" bestFit="1" customWidth="1"/>
    <col min="6" max="6" width="9.42578125" customWidth="1"/>
    <col min="7" max="7" width="7.140625" bestFit="1" customWidth="1"/>
    <col min="8" max="8" width="11" customWidth="1"/>
  </cols>
  <sheetData>
    <row r="1" spans="1:8" ht="15" x14ac:dyDescent="0.2">
      <c r="A1" s="206" t="s">
        <v>187</v>
      </c>
      <c r="B1" s="207"/>
      <c r="C1" s="207"/>
      <c r="D1" s="207"/>
      <c r="E1" s="207"/>
      <c r="F1" s="207"/>
      <c r="G1" s="207"/>
      <c r="H1" s="208"/>
    </row>
    <row r="2" spans="1:8" ht="30" x14ac:dyDescent="0.2">
      <c r="A2" s="169" t="s">
        <v>182</v>
      </c>
      <c r="B2" s="189" t="s">
        <v>41</v>
      </c>
      <c r="C2" s="189" t="s">
        <v>42</v>
      </c>
      <c r="D2" s="189" t="s">
        <v>43</v>
      </c>
      <c r="E2" s="189" t="s">
        <v>186</v>
      </c>
      <c r="F2" s="189" t="s">
        <v>37</v>
      </c>
      <c r="G2" s="189" t="s">
        <v>46</v>
      </c>
      <c r="H2" s="190" t="s">
        <v>3</v>
      </c>
    </row>
    <row r="3" spans="1:8" ht="15" x14ac:dyDescent="0.2">
      <c r="A3" s="191" t="s">
        <v>183</v>
      </c>
      <c r="B3" s="191"/>
      <c r="C3" s="191"/>
      <c r="D3" s="191"/>
      <c r="E3" s="191"/>
      <c r="F3" s="191"/>
      <c r="G3" s="191"/>
      <c r="H3" s="191"/>
    </row>
    <row r="4" spans="1:8" ht="14.25" x14ac:dyDescent="0.2">
      <c r="A4" s="192" t="s">
        <v>184</v>
      </c>
      <c r="B4" s="193">
        <f>ROUND((Energy!H83/1000000),1)</f>
        <v>668</v>
      </c>
      <c r="C4" s="193">
        <f>ROUND((Energy!I83/1000000),1)</f>
        <v>233.1</v>
      </c>
      <c r="D4" s="193">
        <f>ROUND(((Energy!J83+Energy!K83+Energy!L83)/1000000),1)</f>
        <v>803.4</v>
      </c>
      <c r="E4" s="193">
        <f>ROUND((Energy!M83/1000000),1)</f>
        <v>34.200000000000003</v>
      </c>
      <c r="F4" s="193">
        <f>ROUND((Energy!N83/1000000),1)</f>
        <v>7.4</v>
      </c>
      <c r="G4" s="193">
        <f>ROUND((Energy!O83/1000000),1)</f>
        <v>4.0999999999999996</v>
      </c>
      <c r="H4" s="193">
        <f>ROUND((SUM(B4:G4)),1)</f>
        <v>1750.2</v>
      </c>
    </row>
    <row r="5" spans="1:8" ht="14.25" x14ac:dyDescent="0.2">
      <c r="A5" s="192" t="s">
        <v>185</v>
      </c>
      <c r="B5" s="193">
        <f>ROUND((Energy!H84/1000000),1)</f>
        <v>679</v>
      </c>
      <c r="C5" s="193">
        <f>ROUND((Energy!I84/1000000),1)</f>
        <v>233.3</v>
      </c>
      <c r="D5" s="193">
        <f>ROUND(((Energy!J84+Energy!K84+Energy!L84)/1000000),1)</f>
        <v>782.7</v>
      </c>
      <c r="E5" s="193">
        <f>ROUND((Energy!M84/1000000),1)</f>
        <v>35.1</v>
      </c>
      <c r="F5" s="193">
        <f>ROUND((Energy!N84/1000000),1)</f>
        <v>7.3</v>
      </c>
      <c r="G5" s="193">
        <f>ROUND((Energy!O84/1000000),1)</f>
        <v>4.2</v>
      </c>
      <c r="H5" s="193">
        <f>ROUND((SUM(B5:G5)),1)</f>
        <v>1741.6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88"/>
  <sheetViews>
    <sheetView topLeftCell="A4" workbookViewId="0">
      <selection sqref="A1:L34"/>
    </sheetView>
  </sheetViews>
  <sheetFormatPr defaultRowHeight="12.75" x14ac:dyDescent="0.2"/>
  <cols>
    <col min="1" max="1" width="9" customWidth="1"/>
    <col min="2" max="12" width="10.7109375" style="1" customWidth="1"/>
    <col min="13" max="13" width="10.7109375" style="1" bestFit="1" customWidth="1"/>
    <col min="14" max="14" width="7.5703125" style="1" bestFit="1" customWidth="1"/>
    <col min="15" max="15" width="9.140625" style="1"/>
  </cols>
  <sheetData>
    <row r="1" spans="1:14" x14ac:dyDescent="0.2">
      <c r="A1" s="209" t="s">
        <v>58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4" ht="25.5" x14ac:dyDescent="0.2">
      <c r="B2" s="34" t="s">
        <v>41</v>
      </c>
      <c r="C2" s="34" t="s">
        <v>42</v>
      </c>
      <c r="D2" s="34" t="s">
        <v>43</v>
      </c>
      <c r="E2" s="34" t="s">
        <v>83</v>
      </c>
      <c r="F2" s="34" t="s">
        <v>158</v>
      </c>
      <c r="G2" s="34" t="s">
        <v>44</v>
      </c>
      <c r="H2" s="34" t="s">
        <v>45</v>
      </c>
      <c r="I2" s="34" t="s">
        <v>46</v>
      </c>
      <c r="J2" s="33" t="s">
        <v>59</v>
      </c>
      <c r="K2" s="34" t="s">
        <v>60</v>
      </c>
      <c r="L2" s="34" t="s">
        <v>3</v>
      </c>
    </row>
    <row r="3" spans="1:14" x14ac:dyDescent="0.2">
      <c r="A3" s="50">
        <v>2008</v>
      </c>
      <c r="B3" s="37">
        <v>75154</v>
      </c>
      <c r="C3" s="37">
        <v>7265</v>
      </c>
      <c r="D3" s="37">
        <v>1014</v>
      </c>
      <c r="E3" s="37"/>
      <c r="F3" s="37"/>
      <c r="G3" s="37">
        <v>4</v>
      </c>
      <c r="H3" s="37">
        <v>1522</v>
      </c>
      <c r="I3" s="37">
        <v>820</v>
      </c>
      <c r="J3" s="1">
        <f t="shared" ref="J3:J13" si="0">ROUND((SUM(B3:I3)),0)</f>
        <v>85779</v>
      </c>
      <c r="K3" s="1">
        <v>1</v>
      </c>
      <c r="L3" s="1">
        <f t="shared" ref="L3:L13" si="1">ROUND((J3+K3),0)</f>
        <v>85780</v>
      </c>
      <c r="M3"/>
    </row>
    <row r="4" spans="1:14" x14ac:dyDescent="0.2">
      <c r="A4" s="50">
        <v>2009</v>
      </c>
      <c r="B4" s="1">
        <v>76255</v>
      </c>
      <c r="C4" s="1">
        <v>7370</v>
      </c>
      <c r="D4" s="1">
        <v>1005</v>
      </c>
      <c r="G4" s="1">
        <v>3</v>
      </c>
      <c r="H4" s="1">
        <v>1551</v>
      </c>
      <c r="I4" s="1">
        <v>817</v>
      </c>
      <c r="J4" s="1">
        <f t="shared" si="0"/>
        <v>87001</v>
      </c>
      <c r="K4" s="1">
        <v>1</v>
      </c>
      <c r="L4" s="1">
        <f t="shared" si="1"/>
        <v>87002</v>
      </c>
      <c r="M4"/>
    </row>
    <row r="5" spans="1:14" x14ac:dyDescent="0.2">
      <c r="A5" s="50">
        <v>2010</v>
      </c>
      <c r="B5" s="37">
        <v>77506</v>
      </c>
      <c r="C5" s="37">
        <v>7448</v>
      </c>
      <c r="D5" s="37">
        <v>989</v>
      </c>
      <c r="E5" s="37"/>
      <c r="F5" s="37"/>
      <c r="G5" s="37">
        <v>1</v>
      </c>
      <c r="H5" s="37">
        <v>1574</v>
      </c>
      <c r="I5" s="37">
        <v>811</v>
      </c>
      <c r="J5" s="1">
        <f t="shared" si="0"/>
        <v>88329</v>
      </c>
      <c r="K5" s="1">
        <v>1</v>
      </c>
      <c r="L5" s="1">
        <f t="shared" si="1"/>
        <v>88330</v>
      </c>
    </row>
    <row r="6" spans="1:14" x14ac:dyDescent="0.2">
      <c r="A6" s="50">
        <v>2011</v>
      </c>
      <c r="B6" s="37">
        <v>78761</v>
      </c>
      <c r="C6" s="37">
        <v>7538</v>
      </c>
      <c r="D6" s="37">
        <v>975</v>
      </c>
      <c r="E6" s="37"/>
      <c r="F6" s="37"/>
      <c r="G6" s="37">
        <v>2</v>
      </c>
      <c r="H6" s="37">
        <v>1568</v>
      </c>
      <c r="I6" s="37">
        <f>+(818+864)/2</f>
        <v>841</v>
      </c>
      <c r="J6" s="1">
        <f t="shared" si="0"/>
        <v>89685</v>
      </c>
      <c r="K6" s="1">
        <v>1</v>
      </c>
      <c r="L6" s="1">
        <f t="shared" si="1"/>
        <v>89686</v>
      </c>
    </row>
    <row r="7" spans="1:14" x14ac:dyDescent="0.2">
      <c r="A7" s="50">
        <v>2012</v>
      </c>
      <c r="B7" s="1">
        <v>79997</v>
      </c>
      <c r="C7" s="1">
        <v>7645</v>
      </c>
      <c r="D7" s="1">
        <f>952-E7-F7</f>
        <v>947</v>
      </c>
      <c r="E7" s="1">
        <v>4</v>
      </c>
      <c r="F7" s="1">
        <v>1</v>
      </c>
      <c r="G7" s="1">
        <v>2</v>
      </c>
      <c r="H7" s="1">
        <v>1573</v>
      </c>
      <c r="I7" s="1">
        <f>(865+868+871+871)/4</f>
        <v>868.75</v>
      </c>
      <c r="J7" s="1">
        <f t="shared" si="0"/>
        <v>91038</v>
      </c>
      <c r="K7" s="1">
        <v>1</v>
      </c>
      <c r="L7" s="1">
        <f t="shared" si="1"/>
        <v>91039</v>
      </c>
    </row>
    <row r="8" spans="1:14" x14ac:dyDescent="0.2">
      <c r="A8" s="50">
        <v>2013</v>
      </c>
      <c r="B8" s="1">
        <v>80893</v>
      </c>
      <c r="C8" s="1">
        <v>7687</v>
      </c>
      <c r="D8" s="1">
        <f>950-E8-F8</f>
        <v>945</v>
      </c>
      <c r="E8" s="1">
        <v>4</v>
      </c>
      <c r="F8" s="1">
        <v>1</v>
      </c>
      <c r="G8" s="1">
        <v>3</v>
      </c>
      <c r="H8" s="1">
        <v>1551</v>
      </c>
      <c r="I8" s="1">
        <v>843.5</v>
      </c>
      <c r="J8" s="1">
        <f t="shared" si="0"/>
        <v>91928</v>
      </c>
      <c r="K8" s="1">
        <v>1</v>
      </c>
      <c r="L8" s="1">
        <f t="shared" si="1"/>
        <v>91929</v>
      </c>
    </row>
    <row r="9" spans="1:14" x14ac:dyDescent="0.2">
      <c r="A9" s="50">
        <v>2014</v>
      </c>
      <c r="B9" s="1">
        <v>81868</v>
      </c>
      <c r="C9" s="1">
        <v>7744</v>
      </c>
      <c r="D9" s="1">
        <f>944-E9-F9</f>
        <v>939</v>
      </c>
      <c r="E9" s="1">
        <v>4</v>
      </c>
      <c r="F9" s="1">
        <v>1</v>
      </c>
      <c r="G9" s="1">
        <v>2</v>
      </c>
      <c r="H9" s="1">
        <v>1616</v>
      </c>
      <c r="I9" s="1">
        <v>876.75</v>
      </c>
      <c r="J9" s="1">
        <f t="shared" si="0"/>
        <v>93051</v>
      </c>
      <c r="K9" s="1">
        <v>1</v>
      </c>
      <c r="L9" s="1">
        <f t="shared" si="1"/>
        <v>93052</v>
      </c>
      <c r="N9" s="51"/>
    </row>
    <row r="10" spans="1:14" x14ac:dyDescent="0.2">
      <c r="A10" s="50">
        <v>2015</v>
      </c>
      <c r="B10" s="1">
        <v>83106</v>
      </c>
      <c r="C10" s="1">
        <v>7796</v>
      </c>
      <c r="D10" s="1">
        <f>939-E10-F10</f>
        <v>934</v>
      </c>
      <c r="E10" s="1">
        <v>4</v>
      </c>
      <c r="F10" s="1">
        <v>1</v>
      </c>
      <c r="G10" s="1">
        <v>1</v>
      </c>
      <c r="H10" s="1">
        <v>1637</v>
      </c>
      <c r="I10" s="1">
        <v>891</v>
      </c>
      <c r="J10" s="1">
        <f t="shared" si="0"/>
        <v>94370</v>
      </c>
      <c r="K10" s="1">
        <v>1</v>
      </c>
      <c r="L10" s="1">
        <f t="shared" si="1"/>
        <v>94371</v>
      </c>
      <c r="N10" s="51"/>
    </row>
    <row r="11" spans="1:14" x14ac:dyDescent="0.2">
      <c r="A11" s="50">
        <v>2016</v>
      </c>
      <c r="B11" s="1">
        <v>84530</v>
      </c>
      <c r="C11" s="1">
        <v>7845</v>
      </c>
      <c r="D11" s="1">
        <f>940-E11-F11</f>
        <v>935</v>
      </c>
      <c r="E11" s="1">
        <v>4</v>
      </c>
      <c r="F11" s="1">
        <v>1</v>
      </c>
      <c r="G11" s="1">
        <v>1</v>
      </c>
      <c r="H11" s="1">
        <v>1653</v>
      </c>
      <c r="I11" s="1">
        <v>866.33333333333337</v>
      </c>
      <c r="J11" s="1">
        <f t="shared" si="0"/>
        <v>95835</v>
      </c>
      <c r="K11" s="1">
        <v>1</v>
      </c>
      <c r="L11" s="1">
        <f t="shared" si="1"/>
        <v>95836</v>
      </c>
      <c r="N11" s="51"/>
    </row>
    <row r="12" spans="1:14" x14ac:dyDescent="0.2">
      <c r="A12" s="50">
        <v>2017</v>
      </c>
      <c r="B12" s="1">
        <v>86064</v>
      </c>
      <c r="C12" s="1">
        <v>7936</v>
      </c>
      <c r="D12" s="1">
        <f>936-E12-F12</f>
        <v>905</v>
      </c>
      <c r="E12" s="1">
        <v>4</v>
      </c>
      <c r="F12" s="1">
        <v>27</v>
      </c>
      <c r="G12" s="1">
        <v>1</v>
      </c>
      <c r="H12" s="1">
        <v>1696</v>
      </c>
      <c r="I12" s="1">
        <v>886.08333333333337</v>
      </c>
      <c r="J12" s="1">
        <f t="shared" si="0"/>
        <v>97519</v>
      </c>
      <c r="K12" s="1">
        <v>1</v>
      </c>
      <c r="L12" s="1">
        <f t="shared" si="1"/>
        <v>97520</v>
      </c>
      <c r="N12" s="51"/>
    </row>
    <row r="13" spans="1:14" x14ac:dyDescent="0.2">
      <c r="A13" s="50">
        <v>2018</v>
      </c>
      <c r="B13" s="37">
        <v>87395</v>
      </c>
      <c r="C13" s="37">
        <v>7983</v>
      </c>
      <c r="D13" s="37">
        <f>950-E13-F13</f>
        <v>911</v>
      </c>
      <c r="E13" s="37">
        <v>5</v>
      </c>
      <c r="F13" s="37">
        <v>34</v>
      </c>
      <c r="G13" s="37">
        <v>1</v>
      </c>
      <c r="H13" s="37">
        <v>1666</v>
      </c>
      <c r="I13" s="37">
        <v>931</v>
      </c>
      <c r="J13" s="37">
        <f t="shared" si="0"/>
        <v>98926</v>
      </c>
      <c r="K13" s="37">
        <v>1</v>
      </c>
      <c r="L13" s="37">
        <f t="shared" si="1"/>
        <v>98927</v>
      </c>
      <c r="N13" s="51"/>
    </row>
    <row r="14" spans="1:14" x14ac:dyDescent="0.2">
      <c r="A14" s="60">
        <v>2019</v>
      </c>
      <c r="B14" s="59">
        <f>ROUND((B13*B31),0)</f>
        <v>88619</v>
      </c>
      <c r="C14" s="59">
        <f t="shared" ref="C14:I14" si="2">ROUND((C13*C31),0)</f>
        <v>8059</v>
      </c>
      <c r="D14" s="59">
        <f>ROUND((D13*D31),0)</f>
        <v>905</v>
      </c>
      <c r="E14" s="59">
        <f t="shared" ref="E14:F14" si="3">ROUND((E13*E31),0)</f>
        <v>5</v>
      </c>
      <c r="F14" s="59">
        <f t="shared" si="3"/>
        <v>34</v>
      </c>
      <c r="G14" s="59">
        <f>ROUND((G13*G31),0)</f>
        <v>1</v>
      </c>
      <c r="H14" s="59">
        <f>ROUND((H13*H31),0)</f>
        <v>1681</v>
      </c>
      <c r="I14" s="59">
        <f t="shared" si="2"/>
        <v>943</v>
      </c>
      <c r="J14" s="59">
        <f>ROUND((SUM(B14:I14)),0)</f>
        <v>100247</v>
      </c>
      <c r="K14" s="59">
        <v>1</v>
      </c>
      <c r="L14" s="59">
        <f>ROUND((J14+K14),0)</f>
        <v>100248</v>
      </c>
      <c r="N14" s="51"/>
    </row>
    <row r="15" spans="1:14" x14ac:dyDescent="0.2">
      <c r="A15" s="60">
        <v>2020</v>
      </c>
      <c r="B15" s="59">
        <f t="shared" ref="B15:I15" si="4">ROUND((B14*B31),0)</f>
        <v>89860</v>
      </c>
      <c r="C15" s="59">
        <f t="shared" si="4"/>
        <v>8136</v>
      </c>
      <c r="D15" s="59">
        <f>ROUND((D14*D31),0)</f>
        <v>899</v>
      </c>
      <c r="E15" s="59">
        <f t="shared" ref="E15:F15" si="5">ROUND((E14*E31),0)</f>
        <v>5</v>
      </c>
      <c r="F15" s="59">
        <f t="shared" si="5"/>
        <v>34</v>
      </c>
      <c r="G15" s="59">
        <f>ROUND((G14*G31),0)</f>
        <v>1</v>
      </c>
      <c r="H15" s="59">
        <f t="shared" si="4"/>
        <v>1696</v>
      </c>
      <c r="I15" s="59">
        <f t="shared" si="4"/>
        <v>955</v>
      </c>
      <c r="J15" s="59">
        <f>ROUND((SUM(B15:I15)),0)</f>
        <v>101586</v>
      </c>
      <c r="K15" s="59">
        <v>1</v>
      </c>
      <c r="L15" s="59">
        <f>ROUND((J15+K15),0)</f>
        <v>101587</v>
      </c>
      <c r="N15" s="51"/>
    </row>
    <row r="16" spans="1:14" x14ac:dyDescent="0.2">
      <c r="A16" s="41"/>
      <c r="M16" s="143"/>
    </row>
    <row r="17" spans="1:19" x14ac:dyDescent="0.2">
      <c r="A17" s="41" t="s">
        <v>61</v>
      </c>
      <c r="B17" s="40"/>
      <c r="C17" s="40"/>
      <c r="D17" s="40"/>
      <c r="E17" s="40"/>
      <c r="F17" s="40"/>
      <c r="G17" s="40"/>
      <c r="H17" s="40"/>
      <c r="I17" s="40"/>
    </row>
    <row r="18" spans="1:19" x14ac:dyDescent="0.2">
      <c r="A18" s="50">
        <v>2009</v>
      </c>
      <c r="B18" s="36">
        <f t="shared" ref="B18:I18" si="6">ROUND((B4/B3),4)</f>
        <v>1.0145999999999999</v>
      </c>
      <c r="C18" s="36">
        <f t="shared" si="6"/>
        <v>1.0145</v>
      </c>
      <c r="D18" s="36">
        <f t="shared" si="6"/>
        <v>0.99109999999999998</v>
      </c>
      <c r="E18" s="36"/>
      <c r="F18" s="36"/>
      <c r="G18" s="36">
        <f t="shared" si="6"/>
        <v>0.75</v>
      </c>
      <c r="H18" s="36">
        <f t="shared" si="6"/>
        <v>1.0190999999999999</v>
      </c>
      <c r="I18" s="36">
        <f t="shared" si="6"/>
        <v>0.99629999999999996</v>
      </c>
      <c r="K18" s="36">
        <f t="shared" ref="K18:K27" si="7">K4/K3</f>
        <v>1</v>
      </c>
      <c r="L18" s="43"/>
      <c r="M18" s="43"/>
      <c r="N18" s="43"/>
      <c r="O18" s="43"/>
      <c r="P18" s="43"/>
      <c r="Q18" s="43"/>
      <c r="R18" s="43"/>
      <c r="S18" s="43"/>
    </row>
    <row r="19" spans="1:19" x14ac:dyDescent="0.2">
      <c r="A19" s="50">
        <v>2010</v>
      </c>
      <c r="B19" s="36">
        <f t="shared" ref="B19:I19" si="8">ROUND((B5/B4),4)</f>
        <v>1.0164</v>
      </c>
      <c r="C19" s="36">
        <f t="shared" si="8"/>
        <v>1.0105999999999999</v>
      </c>
      <c r="D19" s="36">
        <f t="shared" si="8"/>
        <v>0.98409999999999997</v>
      </c>
      <c r="E19" s="36"/>
      <c r="F19" s="36"/>
      <c r="G19" s="36">
        <f t="shared" si="8"/>
        <v>0.33329999999999999</v>
      </c>
      <c r="H19" s="36">
        <f t="shared" si="8"/>
        <v>1.0147999999999999</v>
      </c>
      <c r="I19" s="36">
        <f t="shared" si="8"/>
        <v>0.99270000000000003</v>
      </c>
      <c r="K19" s="36">
        <f t="shared" si="7"/>
        <v>1</v>
      </c>
      <c r="L19" s="43"/>
      <c r="M19" s="43"/>
      <c r="N19" s="43"/>
      <c r="O19" s="43"/>
      <c r="P19" s="43"/>
      <c r="Q19" s="43"/>
      <c r="R19" s="43"/>
      <c r="S19" s="43"/>
    </row>
    <row r="20" spans="1:19" x14ac:dyDescent="0.2">
      <c r="A20" s="50">
        <v>2011</v>
      </c>
      <c r="B20" s="36">
        <f t="shared" ref="B20:I20" si="9">ROUND((B6/B5),4)</f>
        <v>1.0162</v>
      </c>
      <c r="C20" s="36">
        <f t="shared" si="9"/>
        <v>1.0121</v>
      </c>
      <c r="D20" s="36">
        <f t="shared" si="9"/>
        <v>0.98580000000000001</v>
      </c>
      <c r="E20" s="36"/>
      <c r="F20" s="36"/>
      <c r="G20" s="36">
        <f t="shared" si="9"/>
        <v>2</v>
      </c>
      <c r="H20" s="36">
        <f t="shared" si="9"/>
        <v>0.99619999999999997</v>
      </c>
      <c r="I20" s="36">
        <f t="shared" si="9"/>
        <v>1.0369999999999999</v>
      </c>
      <c r="K20" s="36">
        <f t="shared" si="7"/>
        <v>1</v>
      </c>
      <c r="L20" s="43"/>
      <c r="M20" s="43"/>
      <c r="N20" s="43"/>
      <c r="O20" s="43"/>
      <c r="P20" s="43"/>
      <c r="Q20" s="43"/>
      <c r="R20" s="43"/>
      <c r="S20" s="43"/>
    </row>
    <row r="21" spans="1:19" x14ac:dyDescent="0.2">
      <c r="A21" s="50">
        <v>2012</v>
      </c>
      <c r="B21" s="36">
        <f t="shared" ref="B21:I21" si="10">ROUND((B7/B6),4)</f>
        <v>1.0157</v>
      </c>
      <c r="C21" s="36">
        <f t="shared" si="10"/>
        <v>1.0142</v>
      </c>
      <c r="D21" s="36">
        <f t="shared" si="10"/>
        <v>0.97130000000000005</v>
      </c>
      <c r="E21" s="36"/>
      <c r="F21" s="36"/>
      <c r="G21" s="36">
        <f t="shared" ref="G21:G27" si="11">ROUND((G7/G6),4)</f>
        <v>1</v>
      </c>
      <c r="H21" s="36">
        <f t="shared" si="10"/>
        <v>1.0032000000000001</v>
      </c>
      <c r="I21" s="36">
        <f t="shared" si="10"/>
        <v>1.0329999999999999</v>
      </c>
      <c r="K21" s="36">
        <f t="shared" si="7"/>
        <v>1</v>
      </c>
      <c r="L21" s="43"/>
      <c r="M21" s="43"/>
      <c r="N21" s="43"/>
      <c r="O21" s="43"/>
      <c r="P21" s="43"/>
      <c r="Q21" s="43"/>
      <c r="R21" s="43"/>
      <c r="S21" s="43"/>
    </row>
    <row r="22" spans="1:19" x14ac:dyDescent="0.2">
      <c r="A22" s="50">
        <v>2013</v>
      </c>
      <c r="B22" s="36">
        <f t="shared" ref="B22:I22" si="12">ROUND((B8/B7),4)</f>
        <v>1.0112000000000001</v>
      </c>
      <c r="C22" s="36">
        <f t="shared" si="12"/>
        <v>1.0055000000000001</v>
      </c>
      <c r="D22" s="36">
        <f t="shared" si="12"/>
        <v>0.99790000000000001</v>
      </c>
      <c r="E22" s="36">
        <f t="shared" ref="E22" si="13">ROUND((E8/E7),4)</f>
        <v>1</v>
      </c>
      <c r="F22" s="36">
        <f t="shared" ref="F22:F27" si="14">ROUND((F8/F7),4)</f>
        <v>1</v>
      </c>
      <c r="G22" s="36">
        <f t="shared" si="11"/>
        <v>1.5</v>
      </c>
      <c r="H22" s="36">
        <f t="shared" si="12"/>
        <v>0.98599999999999999</v>
      </c>
      <c r="I22" s="36">
        <f t="shared" si="12"/>
        <v>0.97089999999999999</v>
      </c>
      <c r="K22" s="36">
        <f t="shared" si="7"/>
        <v>1</v>
      </c>
      <c r="L22" s="43"/>
      <c r="M22" s="43"/>
      <c r="N22" s="43"/>
      <c r="O22" s="43"/>
      <c r="P22" s="43"/>
      <c r="Q22" s="43"/>
      <c r="R22" s="43"/>
      <c r="S22" s="43"/>
    </row>
    <row r="23" spans="1:19" x14ac:dyDescent="0.2">
      <c r="A23" s="50">
        <v>2014</v>
      </c>
      <c r="B23" s="36">
        <f t="shared" ref="B23:I23" si="15">ROUND((B9/B8),4)</f>
        <v>1.0121</v>
      </c>
      <c r="C23" s="36">
        <f t="shared" si="15"/>
        <v>1.0074000000000001</v>
      </c>
      <c r="D23" s="36">
        <f t="shared" si="15"/>
        <v>0.99370000000000003</v>
      </c>
      <c r="E23" s="36">
        <f t="shared" ref="E23" si="16">ROUND((E9/E8),4)</f>
        <v>1</v>
      </c>
      <c r="F23" s="36">
        <f t="shared" si="14"/>
        <v>1</v>
      </c>
      <c r="G23" s="36">
        <f t="shared" si="11"/>
        <v>0.66669999999999996</v>
      </c>
      <c r="H23" s="36">
        <f t="shared" si="15"/>
        <v>1.0419</v>
      </c>
      <c r="I23" s="36">
        <f t="shared" si="15"/>
        <v>1.0394000000000001</v>
      </c>
      <c r="K23" s="36">
        <f t="shared" si="7"/>
        <v>1</v>
      </c>
      <c r="L23" s="43"/>
      <c r="M23" s="43"/>
      <c r="N23" s="43"/>
      <c r="O23" s="43"/>
      <c r="P23" s="43"/>
      <c r="Q23" s="43"/>
      <c r="R23" s="43"/>
      <c r="S23" s="43"/>
    </row>
    <row r="24" spans="1:19" x14ac:dyDescent="0.2">
      <c r="A24" s="50">
        <v>2015</v>
      </c>
      <c r="B24" s="36">
        <f t="shared" ref="B24:I24" si="17">ROUND((B10/B9),4)</f>
        <v>1.0150999999999999</v>
      </c>
      <c r="C24" s="36">
        <f t="shared" si="17"/>
        <v>1.0066999999999999</v>
      </c>
      <c r="D24" s="36">
        <f t="shared" si="17"/>
        <v>0.99470000000000003</v>
      </c>
      <c r="E24" s="36">
        <f t="shared" ref="E24" si="18">ROUND((E10/E9),4)</f>
        <v>1</v>
      </c>
      <c r="F24" s="36">
        <f t="shared" si="14"/>
        <v>1</v>
      </c>
      <c r="G24" s="36">
        <f t="shared" si="11"/>
        <v>0.5</v>
      </c>
      <c r="H24" s="36">
        <f t="shared" si="17"/>
        <v>1.0129999999999999</v>
      </c>
      <c r="I24" s="36">
        <f t="shared" si="17"/>
        <v>1.0163</v>
      </c>
      <c r="K24" s="36">
        <f t="shared" si="7"/>
        <v>1</v>
      </c>
      <c r="L24" s="43"/>
      <c r="M24" s="43"/>
      <c r="N24" s="43"/>
      <c r="O24" s="43"/>
      <c r="P24" s="43"/>
      <c r="Q24" s="43"/>
      <c r="R24" s="43"/>
      <c r="S24" s="43"/>
    </row>
    <row r="25" spans="1:19" x14ac:dyDescent="0.2">
      <c r="A25" s="50">
        <v>2016</v>
      </c>
      <c r="B25" s="36">
        <f t="shared" ref="B25:I25" si="19">ROUND((B11/B10),4)</f>
        <v>1.0170999999999999</v>
      </c>
      <c r="C25" s="36">
        <f t="shared" si="19"/>
        <v>1.0063</v>
      </c>
      <c r="D25" s="36">
        <f t="shared" si="19"/>
        <v>1.0011000000000001</v>
      </c>
      <c r="E25" s="36">
        <f t="shared" ref="E25" si="20">ROUND((E11/E10),4)</f>
        <v>1</v>
      </c>
      <c r="F25" s="36">
        <f t="shared" si="14"/>
        <v>1</v>
      </c>
      <c r="G25" s="36">
        <f t="shared" si="11"/>
        <v>1</v>
      </c>
      <c r="H25" s="36">
        <f t="shared" si="19"/>
        <v>1.0098</v>
      </c>
      <c r="I25" s="36">
        <f t="shared" si="19"/>
        <v>0.97230000000000005</v>
      </c>
      <c r="K25" s="36">
        <f t="shared" si="7"/>
        <v>1</v>
      </c>
      <c r="L25" s="43"/>
      <c r="M25" s="43"/>
      <c r="N25" s="43"/>
      <c r="O25" s="43"/>
      <c r="P25" s="43"/>
      <c r="Q25" s="43"/>
      <c r="R25" s="43"/>
      <c r="S25" s="43"/>
    </row>
    <row r="26" spans="1:19" x14ac:dyDescent="0.2">
      <c r="A26" s="50">
        <v>2017</v>
      </c>
      <c r="B26" s="36">
        <f t="shared" ref="B26:I26" si="21">ROUND((B12/B11),4)</f>
        <v>1.0181</v>
      </c>
      <c r="C26" s="36">
        <f t="shared" si="21"/>
        <v>1.0116000000000001</v>
      </c>
      <c r="D26" s="36">
        <f t="shared" si="21"/>
        <v>0.96789999999999998</v>
      </c>
      <c r="E26" s="36">
        <f t="shared" ref="E26" si="22">ROUND((E12/E11),4)</f>
        <v>1</v>
      </c>
      <c r="F26" s="149">
        <f t="shared" si="14"/>
        <v>27</v>
      </c>
      <c r="G26" s="36">
        <f t="shared" si="11"/>
        <v>1</v>
      </c>
      <c r="H26" s="36">
        <f t="shared" si="21"/>
        <v>1.026</v>
      </c>
      <c r="I26" s="36">
        <f t="shared" si="21"/>
        <v>1.0227999999999999</v>
      </c>
      <c r="K26" s="36">
        <f t="shared" si="7"/>
        <v>1</v>
      </c>
      <c r="L26" s="43"/>
      <c r="M26" s="43"/>
      <c r="N26" s="43"/>
      <c r="O26" s="43"/>
      <c r="P26" s="43"/>
      <c r="Q26" s="43"/>
      <c r="R26" s="43"/>
      <c r="S26" s="43"/>
    </row>
    <row r="27" spans="1:19" x14ac:dyDescent="0.2">
      <c r="A27" s="50">
        <v>2018</v>
      </c>
      <c r="B27" s="36">
        <f t="shared" ref="B27:I27" si="23">ROUND((B13/B12),4)</f>
        <v>1.0155000000000001</v>
      </c>
      <c r="C27" s="36">
        <f t="shared" si="23"/>
        <v>1.0059</v>
      </c>
      <c r="D27" s="36">
        <f t="shared" si="23"/>
        <v>1.0065999999999999</v>
      </c>
      <c r="E27" s="36">
        <f t="shared" ref="E27" si="24">ROUND((E13/E12),4)</f>
        <v>1.25</v>
      </c>
      <c r="F27" s="36">
        <f t="shared" si="14"/>
        <v>1.2593000000000001</v>
      </c>
      <c r="G27" s="36">
        <f t="shared" si="11"/>
        <v>1</v>
      </c>
      <c r="H27" s="36">
        <f t="shared" si="23"/>
        <v>0.98229999999999995</v>
      </c>
      <c r="I27" s="36">
        <f t="shared" si="23"/>
        <v>1.0507</v>
      </c>
      <c r="K27" s="36">
        <f t="shared" si="7"/>
        <v>1</v>
      </c>
      <c r="L27" s="43"/>
      <c r="M27" s="43"/>
      <c r="N27" s="43"/>
      <c r="O27" s="43"/>
      <c r="P27" s="43"/>
      <c r="Q27" s="43"/>
      <c r="R27" s="43"/>
      <c r="S27" s="43"/>
    </row>
    <row r="28" spans="1:19" x14ac:dyDescent="0.2">
      <c r="A28" s="50"/>
      <c r="B28" s="36"/>
      <c r="C28" s="36"/>
      <c r="D28" s="36"/>
      <c r="E28" s="36"/>
      <c r="F28" s="36"/>
      <c r="G28" s="36"/>
      <c r="H28" s="36"/>
      <c r="I28" s="36"/>
      <c r="K28" s="36"/>
      <c r="L28" s="43"/>
      <c r="M28" s="43"/>
      <c r="N28" s="43"/>
      <c r="O28" s="43"/>
      <c r="P28" s="43"/>
      <c r="Q28" s="43"/>
      <c r="R28" s="43"/>
      <c r="S28" s="43"/>
    </row>
    <row r="29" spans="1:19" x14ac:dyDescent="0.2">
      <c r="A29" s="50"/>
      <c r="B29" s="36"/>
      <c r="C29" s="36"/>
      <c r="D29" s="36"/>
      <c r="E29" s="36"/>
      <c r="F29" s="36"/>
      <c r="G29" s="36"/>
      <c r="H29" s="36"/>
      <c r="I29" s="36"/>
      <c r="K29" s="36"/>
      <c r="L29" s="43"/>
      <c r="M29" s="43"/>
      <c r="N29" s="43"/>
      <c r="O29" s="43"/>
      <c r="P29" s="43"/>
      <c r="Q29" s="43"/>
      <c r="R29" s="43"/>
      <c r="S29" s="43"/>
    </row>
    <row r="31" spans="1:19" x14ac:dyDescent="0.2">
      <c r="A31" s="50" t="s">
        <v>62</v>
      </c>
      <c r="B31" s="61">
        <v>1.014</v>
      </c>
      <c r="C31" s="61">
        <f t="shared" ref="C31:I31" si="25">C33</f>
        <v>1.0095000000000001</v>
      </c>
      <c r="D31" s="61">
        <f t="shared" si="25"/>
        <v>0.99360000000000004</v>
      </c>
      <c r="E31" s="61">
        <v>1</v>
      </c>
      <c r="F31" s="61">
        <v>1</v>
      </c>
      <c r="G31" s="61">
        <f>G33</f>
        <v>0.87050000000000005</v>
      </c>
      <c r="H31" s="61">
        <f t="shared" si="25"/>
        <v>1.0091000000000001</v>
      </c>
      <c r="I31" s="61">
        <f t="shared" si="25"/>
        <v>1.0127999999999999</v>
      </c>
      <c r="J31" s="17"/>
      <c r="K31" s="61">
        <f>K33</f>
        <v>1</v>
      </c>
    </row>
    <row r="32" spans="1:19" x14ac:dyDescent="0.2">
      <c r="A32" s="50"/>
      <c r="B32" s="38"/>
      <c r="C32" s="38"/>
      <c r="D32" s="38"/>
      <c r="E32" s="38"/>
      <c r="F32" s="38"/>
      <c r="G32" s="38"/>
      <c r="H32" s="38"/>
      <c r="I32" s="38"/>
      <c r="K32" s="38"/>
    </row>
    <row r="33" spans="1:11" x14ac:dyDescent="0.2">
      <c r="A33" s="50" t="s">
        <v>51</v>
      </c>
      <c r="B33" s="38">
        <f t="shared" ref="B33:I33" si="26">ROUND((GEOMEAN(B18:B27)),4)</f>
        <v>1.0152000000000001</v>
      </c>
      <c r="C33" s="38">
        <f t="shared" si="26"/>
        <v>1.0095000000000001</v>
      </c>
      <c r="D33" s="38">
        <f>ROUND((GEOMEAN(D22:D27)),4)</f>
        <v>0.99360000000000004</v>
      </c>
      <c r="E33" s="38">
        <f>ROUND((GEOMEAN(E22:E27)),4)</f>
        <v>1.0379</v>
      </c>
      <c r="F33" s="38">
        <f>ROUND((GEOMEAN(F22:F27)),4)</f>
        <v>1.7999000000000001</v>
      </c>
      <c r="G33" s="38">
        <f>ROUND((GEOMEAN(G18:G27)),4)</f>
        <v>0.87050000000000005</v>
      </c>
      <c r="H33" s="38">
        <f t="shared" si="26"/>
        <v>1.0091000000000001</v>
      </c>
      <c r="I33" s="38">
        <f t="shared" si="26"/>
        <v>1.0127999999999999</v>
      </c>
      <c r="K33" s="38">
        <f>GEOMEAN(K18:K27)</f>
        <v>1</v>
      </c>
    </row>
    <row r="34" spans="1:11" x14ac:dyDescent="0.2">
      <c r="A34" s="50"/>
      <c r="B34" s="38"/>
      <c r="C34" s="38"/>
      <c r="D34" s="38"/>
      <c r="E34" s="38"/>
      <c r="F34" s="38"/>
      <c r="G34" s="38"/>
      <c r="H34" s="38"/>
      <c r="I34" s="38"/>
    </row>
    <row r="35" spans="1:11" x14ac:dyDescent="0.2">
      <c r="A35" s="50"/>
      <c r="B35" s="38"/>
      <c r="C35" s="38"/>
      <c r="D35" s="38"/>
      <c r="E35" s="38"/>
      <c r="F35" s="38"/>
      <c r="G35" s="38"/>
      <c r="H35" s="38"/>
      <c r="I35" s="38"/>
    </row>
    <row r="36" spans="1:11" x14ac:dyDescent="0.2">
      <c r="A36" s="50"/>
      <c r="B36" s="38"/>
      <c r="C36" s="38"/>
      <c r="D36" s="38"/>
      <c r="E36" s="38"/>
      <c r="F36" s="38"/>
      <c r="G36" s="38"/>
      <c r="H36" s="38"/>
      <c r="I36" s="38"/>
    </row>
    <row r="37" spans="1:11" x14ac:dyDescent="0.2">
      <c r="A37" s="50"/>
      <c r="B37" s="38"/>
      <c r="C37" s="38"/>
      <c r="D37" s="38"/>
      <c r="E37" s="38"/>
      <c r="F37" s="38"/>
      <c r="G37" s="38"/>
      <c r="H37" s="38"/>
      <c r="I37" s="38"/>
    </row>
    <row r="38" spans="1:11" x14ac:dyDescent="0.2">
      <c r="A38" s="50"/>
      <c r="B38" s="38"/>
      <c r="C38" s="38"/>
      <c r="D38" s="38"/>
      <c r="E38" s="38"/>
      <c r="F38" s="38"/>
      <c r="G38" s="38"/>
      <c r="H38" s="38"/>
      <c r="I38" s="38"/>
    </row>
    <row r="39" spans="1:11" x14ac:dyDescent="0.2">
      <c r="A39" s="50"/>
      <c r="B39" s="38"/>
      <c r="C39" s="38"/>
      <c r="D39" s="38"/>
      <c r="E39" s="38"/>
      <c r="F39" s="38"/>
      <c r="G39" s="38"/>
      <c r="H39" s="38"/>
      <c r="I39" s="38"/>
    </row>
    <row r="40" spans="1:11" x14ac:dyDescent="0.2">
      <c r="A40" s="50"/>
      <c r="B40" s="38"/>
      <c r="C40" s="38"/>
      <c r="D40" s="38"/>
      <c r="E40" s="38"/>
      <c r="F40" s="38"/>
      <c r="G40" s="38"/>
      <c r="H40" s="38"/>
      <c r="I40" s="38"/>
    </row>
    <row r="41" spans="1:11" x14ac:dyDescent="0.2">
      <c r="A41" s="50"/>
      <c r="B41" s="38"/>
      <c r="C41" s="38"/>
      <c r="D41" s="38"/>
      <c r="E41" s="38"/>
      <c r="F41" s="38"/>
      <c r="G41" s="38"/>
      <c r="H41" s="38"/>
      <c r="I41" s="38"/>
    </row>
    <row r="42" spans="1:11" x14ac:dyDescent="0.2">
      <c r="B42" s="38"/>
      <c r="C42" s="38"/>
      <c r="D42" s="38"/>
      <c r="E42" s="38"/>
      <c r="F42" s="38"/>
      <c r="G42" s="38"/>
      <c r="H42" s="38"/>
      <c r="I42" s="38"/>
    </row>
    <row r="43" spans="1:11" x14ac:dyDescent="0.2">
      <c r="B43" s="38"/>
      <c r="C43" s="38"/>
      <c r="D43" s="38"/>
      <c r="E43" s="38"/>
      <c r="F43" s="38"/>
      <c r="G43" s="38"/>
      <c r="H43" s="38"/>
      <c r="I43" s="38"/>
    </row>
    <row r="44" spans="1:11" x14ac:dyDescent="0.2">
      <c r="B44" s="38"/>
      <c r="C44" s="38"/>
      <c r="D44" s="38"/>
      <c r="E44" s="38"/>
      <c r="F44" s="38"/>
      <c r="G44" s="38"/>
      <c r="H44" s="38"/>
      <c r="I44" s="38"/>
    </row>
    <row r="45" spans="1:11" x14ac:dyDescent="0.2">
      <c r="B45" s="38"/>
      <c r="C45" s="38"/>
      <c r="D45" s="38"/>
      <c r="E45" s="38"/>
      <c r="F45" s="38"/>
      <c r="G45" s="38"/>
      <c r="H45" s="38"/>
      <c r="I45" s="38"/>
    </row>
    <row r="46" spans="1:11" x14ac:dyDescent="0.2">
      <c r="B46" s="38"/>
      <c r="C46" s="38"/>
      <c r="D46" s="38"/>
      <c r="E46" s="38"/>
      <c r="F46" s="38"/>
      <c r="G46" s="38"/>
      <c r="H46" s="38"/>
      <c r="I46" s="38"/>
    </row>
    <row r="47" spans="1:11" x14ac:dyDescent="0.2">
      <c r="B47" s="38"/>
      <c r="C47" s="38"/>
      <c r="D47" s="38"/>
      <c r="E47" s="38"/>
      <c r="F47" s="38"/>
      <c r="G47" s="38"/>
      <c r="H47" s="38"/>
      <c r="I47" s="38"/>
    </row>
    <row r="48" spans="1:11" x14ac:dyDescent="0.2">
      <c r="B48" s="38"/>
      <c r="C48" s="38"/>
      <c r="D48" s="38"/>
      <c r="E48" s="38"/>
      <c r="F48" s="38"/>
      <c r="G48" s="38"/>
      <c r="H48" s="38"/>
      <c r="I48" s="38"/>
    </row>
    <row r="49" spans="2:9" x14ac:dyDescent="0.2">
      <c r="B49" s="38"/>
      <c r="C49" s="38"/>
      <c r="D49" s="38"/>
      <c r="E49" s="38"/>
      <c r="F49" s="38"/>
      <c r="G49" s="38"/>
      <c r="H49" s="38"/>
      <c r="I49" s="38"/>
    </row>
    <row r="50" spans="2:9" x14ac:dyDescent="0.2">
      <c r="B50" s="38"/>
      <c r="C50" s="38"/>
      <c r="D50" s="38"/>
      <c r="E50" s="38"/>
      <c r="F50" s="38"/>
      <c r="G50" s="38"/>
      <c r="H50" s="38"/>
      <c r="I50" s="38"/>
    </row>
    <row r="51" spans="2:9" x14ac:dyDescent="0.2">
      <c r="B51" s="38"/>
      <c r="C51" s="38"/>
      <c r="D51" s="38"/>
      <c r="E51" s="38"/>
      <c r="F51" s="38"/>
      <c r="G51" s="38"/>
      <c r="H51" s="38"/>
      <c r="I51" s="38"/>
    </row>
    <row r="52" spans="2:9" x14ac:dyDescent="0.2">
      <c r="B52" s="38"/>
      <c r="C52" s="38"/>
      <c r="D52" s="38"/>
      <c r="E52" s="38"/>
      <c r="F52" s="38"/>
      <c r="G52" s="38"/>
      <c r="H52" s="38"/>
      <c r="I52" s="38"/>
    </row>
    <row r="53" spans="2:9" x14ac:dyDescent="0.2">
      <c r="B53" s="38"/>
      <c r="C53" s="38"/>
      <c r="D53" s="38"/>
      <c r="E53" s="38"/>
      <c r="F53" s="38"/>
      <c r="G53" s="38"/>
      <c r="H53" s="38"/>
      <c r="I53" s="38"/>
    </row>
    <row r="54" spans="2:9" x14ac:dyDescent="0.2">
      <c r="B54" s="38"/>
      <c r="C54" s="38"/>
      <c r="D54" s="38"/>
      <c r="E54" s="38"/>
      <c r="F54" s="38"/>
      <c r="G54" s="38"/>
      <c r="H54" s="38"/>
      <c r="I54" s="38"/>
    </row>
    <row r="55" spans="2:9" x14ac:dyDescent="0.2">
      <c r="B55" s="38"/>
      <c r="C55" s="38"/>
      <c r="D55" s="38"/>
      <c r="E55" s="38"/>
      <c r="F55" s="38"/>
      <c r="G55" s="38"/>
      <c r="H55" s="38"/>
      <c r="I55" s="38"/>
    </row>
    <row r="56" spans="2:9" x14ac:dyDescent="0.2">
      <c r="B56" s="38"/>
      <c r="C56" s="38"/>
      <c r="D56" s="38"/>
      <c r="E56" s="38"/>
      <c r="F56" s="38"/>
      <c r="G56" s="38"/>
      <c r="H56" s="38"/>
      <c r="I56" s="38"/>
    </row>
    <row r="57" spans="2:9" x14ac:dyDescent="0.2">
      <c r="B57" s="38"/>
      <c r="C57" s="38"/>
      <c r="D57" s="38"/>
      <c r="E57" s="38"/>
      <c r="F57" s="38"/>
      <c r="G57" s="38"/>
      <c r="H57" s="38"/>
      <c r="I57" s="38"/>
    </row>
    <row r="58" spans="2:9" x14ac:dyDescent="0.2">
      <c r="B58" s="38"/>
      <c r="C58" s="38"/>
      <c r="D58" s="38"/>
      <c r="E58" s="38"/>
      <c r="F58" s="38"/>
      <c r="G58" s="38"/>
      <c r="H58" s="38"/>
      <c r="I58" s="38"/>
    </row>
    <row r="59" spans="2:9" x14ac:dyDescent="0.2">
      <c r="B59" s="38"/>
      <c r="C59" s="38"/>
      <c r="D59" s="38"/>
      <c r="E59" s="38"/>
      <c r="F59" s="38"/>
      <c r="G59" s="38"/>
      <c r="H59" s="38"/>
      <c r="I59" s="38"/>
    </row>
    <row r="60" spans="2:9" x14ac:dyDescent="0.2">
      <c r="B60" s="38"/>
      <c r="C60" s="38"/>
      <c r="H60" s="38"/>
      <c r="I60" s="38"/>
    </row>
    <row r="66" spans="2:9" x14ac:dyDescent="0.2">
      <c r="D66" s="52"/>
      <c r="E66" s="52"/>
      <c r="F66" s="52"/>
      <c r="G66" s="52"/>
    </row>
    <row r="67" spans="2:9" x14ac:dyDescent="0.2">
      <c r="B67" s="52"/>
      <c r="C67" s="52"/>
      <c r="D67" s="52"/>
      <c r="E67" s="52"/>
      <c r="F67" s="52"/>
      <c r="G67" s="52"/>
      <c r="H67" s="52"/>
      <c r="I67" s="52"/>
    </row>
    <row r="68" spans="2:9" x14ac:dyDescent="0.2">
      <c r="B68" s="52"/>
      <c r="C68" s="52"/>
      <c r="H68" s="52"/>
      <c r="I68" s="52"/>
    </row>
    <row r="86" spans="2:9" x14ac:dyDescent="0.2">
      <c r="D86" s="53"/>
      <c r="E86" s="53"/>
      <c r="F86" s="53"/>
      <c r="G86" s="53"/>
    </row>
    <row r="87" spans="2:9" x14ac:dyDescent="0.2">
      <c r="B87" s="53"/>
      <c r="C87" s="53"/>
      <c r="D87" s="53"/>
      <c r="E87" s="53"/>
      <c r="F87" s="53"/>
      <c r="G87" s="53"/>
      <c r="H87" s="53"/>
      <c r="I87" s="53"/>
    </row>
    <row r="88" spans="2:9" x14ac:dyDescent="0.2">
      <c r="B88" s="53"/>
      <c r="C88" s="53"/>
      <c r="H88" s="53"/>
      <c r="I88" s="53"/>
    </row>
  </sheetData>
  <mergeCells count="1">
    <mergeCell ref="A1:L1"/>
  </mergeCells>
  <pageMargins left="0.7" right="0.7" top="0.75" bottom="0.75" header="0.3" footer="0.3"/>
  <pageSetup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zoomScaleNormal="100" workbookViewId="0">
      <selection sqref="A1:D21"/>
    </sheetView>
  </sheetViews>
  <sheetFormatPr defaultRowHeight="12.75" x14ac:dyDescent="0.2"/>
  <cols>
    <col min="1" max="1" width="15.42578125" bestFit="1" customWidth="1"/>
    <col min="2" max="2" width="13.42578125" customWidth="1"/>
    <col min="3" max="3" width="17.140625" customWidth="1"/>
    <col min="4" max="4" width="15.42578125" customWidth="1"/>
  </cols>
  <sheetData>
    <row r="1" spans="1:4" ht="14.25" x14ac:dyDescent="0.2">
      <c r="A1" s="210" t="s">
        <v>127</v>
      </c>
      <c r="B1" s="210"/>
      <c r="C1" s="210"/>
      <c r="D1" s="210"/>
    </row>
    <row r="2" spans="1:4" ht="15" x14ac:dyDescent="0.25">
      <c r="A2" s="129" t="s">
        <v>128</v>
      </c>
      <c r="B2" s="129" t="s">
        <v>65</v>
      </c>
      <c r="C2" s="130" t="s">
        <v>64</v>
      </c>
      <c r="D2" s="130" t="s">
        <v>129</v>
      </c>
    </row>
    <row r="3" spans="1:4" ht="14.25" x14ac:dyDescent="0.2">
      <c r="A3" s="131">
        <v>2009</v>
      </c>
      <c r="B3" s="132">
        <v>49918.169999999991</v>
      </c>
      <c r="C3" s="132">
        <v>22622441.550000001</v>
      </c>
      <c r="D3" s="132">
        <f>ROUND((C3/12),2)</f>
        <v>1885203.46</v>
      </c>
    </row>
    <row r="4" spans="1:4" ht="14.25" x14ac:dyDescent="0.2">
      <c r="A4" s="131">
        <v>2010</v>
      </c>
      <c r="B4" s="132">
        <v>53143.520000000004</v>
      </c>
      <c r="C4" s="132">
        <v>24190281.489999998</v>
      </c>
      <c r="D4" s="132">
        <f t="shared" ref="D4:D14" si="0">ROUND((C4/12),2)</f>
        <v>2015856.79</v>
      </c>
    </row>
    <row r="5" spans="1:4" ht="14.25" x14ac:dyDescent="0.2">
      <c r="A5" s="131">
        <v>2011</v>
      </c>
      <c r="B5" s="132">
        <v>49138.899999999994</v>
      </c>
      <c r="C5" s="132">
        <v>21309995.489999998</v>
      </c>
      <c r="D5" s="132">
        <f t="shared" si="0"/>
        <v>1775832.96</v>
      </c>
    </row>
    <row r="6" spans="1:4" ht="14.25" x14ac:dyDescent="0.2">
      <c r="A6" s="131">
        <v>2012</v>
      </c>
      <c r="B6" s="132">
        <v>37866.879999999997</v>
      </c>
      <c r="C6" s="132">
        <v>17590423.550000001</v>
      </c>
      <c r="D6" s="132">
        <f t="shared" si="0"/>
        <v>1465868.63</v>
      </c>
    </row>
    <row r="7" spans="1:4" ht="14.25" x14ac:dyDescent="0.2">
      <c r="A7" s="131">
        <v>2013</v>
      </c>
      <c r="B7" s="132">
        <v>32780.5</v>
      </c>
      <c r="C7" s="132">
        <v>15021820.6</v>
      </c>
      <c r="D7" s="132">
        <f t="shared" si="0"/>
        <v>1251818.3799999999</v>
      </c>
    </row>
    <row r="8" spans="1:4" ht="14.25" x14ac:dyDescent="0.2">
      <c r="A8" s="131">
        <v>2014</v>
      </c>
      <c r="B8" s="132">
        <v>32611.380000000005</v>
      </c>
      <c r="C8" s="132">
        <v>14039293.18</v>
      </c>
      <c r="D8" s="132">
        <f t="shared" si="0"/>
        <v>1169941.1000000001</v>
      </c>
    </row>
    <row r="9" spans="1:4" ht="14.25" x14ac:dyDescent="0.2">
      <c r="A9" s="131">
        <v>2015</v>
      </c>
      <c r="B9" s="132">
        <v>49708.520000000004</v>
      </c>
      <c r="C9" s="132">
        <v>23075916.899999999</v>
      </c>
      <c r="D9" s="132">
        <f t="shared" si="0"/>
        <v>1922993.08</v>
      </c>
    </row>
    <row r="10" spans="1:4" ht="14.25" x14ac:dyDescent="0.2">
      <c r="A10" s="131">
        <v>2016</v>
      </c>
      <c r="B10" s="132">
        <v>49930.489999999991</v>
      </c>
      <c r="C10" s="132">
        <v>19564437.330000002</v>
      </c>
      <c r="D10" s="132">
        <f t="shared" si="0"/>
        <v>1630369.78</v>
      </c>
    </row>
    <row r="11" spans="1:4" ht="14.25" x14ac:dyDescent="0.2">
      <c r="A11" s="131">
        <v>2017</v>
      </c>
      <c r="B11" s="132">
        <v>44998.2</v>
      </c>
      <c r="C11" s="132">
        <v>20383811.499999996</v>
      </c>
      <c r="D11" s="132">
        <f t="shared" si="0"/>
        <v>1698650.96</v>
      </c>
    </row>
    <row r="12" spans="1:4" ht="14.25" x14ac:dyDescent="0.2">
      <c r="A12" s="131">
        <v>2018</v>
      </c>
      <c r="B12" s="132">
        <v>33065.300000000003</v>
      </c>
      <c r="C12" s="132">
        <v>12731868.73</v>
      </c>
      <c r="D12" s="132">
        <f t="shared" si="0"/>
        <v>1060989.06</v>
      </c>
    </row>
    <row r="13" spans="1:4" ht="14.25" x14ac:dyDescent="0.2">
      <c r="A13" s="131" t="s">
        <v>133</v>
      </c>
      <c r="B13" s="132">
        <f>ROUND((AVERAGE(B3:B12)),2)</f>
        <v>43316.19</v>
      </c>
      <c r="C13" s="132">
        <f>ROUND((AVERAGE(C3:C12)),2)</f>
        <v>19053029.030000001</v>
      </c>
      <c r="D13" s="132">
        <f t="shared" si="0"/>
        <v>1587752.42</v>
      </c>
    </row>
    <row r="14" spans="1:4" ht="14.25" x14ac:dyDescent="0.2">
      <c r="A14" s="131" t="s">
        <v>134</v>
      </c>
      <c r="B14" s="132">
        <f>ROUND((AVERAGE(B3:B12)),2)</f>
        <v>43316.19</v>
      </c>
      <c r="C14" s="132">
        <f>ROUND((AVERAGE(C3:C12)),2)</f>
        <v>19053029.030000001</v>
      </c>
      <c r="D14" s="132">
        <f t="shared" si="0"/>
        <v>1587752.42</v>
      </c>
    </row>
    <row r="15" spans="1:4" ht="14.25" x14ac:dyDescent="0.2">
      <c r="A15" s="131"/>
      <c r="B15" s="132"/>
      <c r="C15" s="132"/>
      <c r="D15" s="132"/>
    </row>
    <row r="16" spans="1:4" ht="14.25" x14ac:dyDescent="0.2">
      <c r="A16" s="131"/>
      <c r="B16" s="131"/>
      <c r="C16" s="133"/>
      <c r="D16" s="134"/>
    </row>
    <row r="17" spans="1:4" ht="14.25" x14ac:dyDescent="0.2">
      <c r="A17" s="131"/>
      <c r="B17" s="131"/>
      <c r="C17" s="133"/>
      <c r="D17" s="134"/>
    </row>
    <row r="18" spans="1:4" ht="15" x14ac:dyDescent="0.25">
      <c r="A18" s="129" t="s">
        <v>130</v>
      </c>
      <c r="B18" s="130" t="s">
        <v>131</v>
      </c>
      <c r="C18" s="130" t="s">
        <v>132</v>
      </c>
      <c r="D18" s="134"/>
    </row>
    <row r="19" spans="1:4" ht="14.25" x14ac:dyDescent="0.2">
      <c r="A19" s="135">
        <v>244192680</v>
      </c>
      <c r="B19" s="136">
        <v>37347</v>
      </c>
      <c r="C19" s="136">
        <v>38359</v>
      </c>
      <c r="D19" s="134"/>
    </row>
    <row r="20" spans="1:4" ht="14.25" x14ac:dyDescent="0.2">
      <c r="A20" s="135">
        <v>1000023320</v>
      </c>
      <c r="B20" s="136">
        <v>38360</v>
      </c>
      <c r="C20" s="136">
        <v>40908</v>
      </c>
      <c r="D20" s="134"/>
    </row>
    <row r="21" spans="1:4" ht="14.25" x14ac:dyDescent="0.2">
      <c r="A21" s="135">
        <v>1000023650</v>
      </c>
      <c r="B21" s="136">
        <v>40909</v>
      </c>
      <c r="C21" s="136">
        <v>41274</v>
      </c>
      <c r="D21" s="134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6"/>
  <sheetViews>
    <sheetView workbookViewId="0">
      <selection activeCell="H27" sqref="H27"/>
    </sheetView>
  </sheetViews>
  <sheetFormatPr defaultRowHeight="12.75" x14ac:dyDescent="0.2"/>
  <cols>
    <col min="1" max="1" width="11" customWidth="1"/>
    <col min="2" max="8" width="12.7109375" style="1" customWidth="1"/>
    <col min="9" max="9" width="12.7109375" customWidth="1"/>
    <col min="10" max="10" width="10.7109375" bestFit="1" customWidth="1"/>
    <col min="12" max="12" width="9.140625" bestFit="1" customWidth="1"/>
  </cols>
  <sheetData>
    <row r="1" spans="1:13" x14ac:dyDescent="0.2">
      <c r="A1" s="118" t="s">
        <v>63</v>
      </c>
      <c r="B1" s="118"/>
      <c r="C1" s="118"/>
      <c r="D1" s="118"/>
      <c r="E1" s="118"/>
      <c r="F1" s="118"/>
    </row>
    <row r="2" spans="1:13" ht="42" customHeight="1" x14ac:dyDescent="0.2">
      <c r="B2" s="54" t="s">
        <v>43</v>
      </c>
      <c r="C2" s="54" t="s">
        <v>156</v>
      </c>
      <c r="D2" s="54" t="s">
        <v>159</v>
      </c>
      <c r="E2" s="54" t="s">
        <v>44</v>
      </c>
      <c r="F2" s="54" t="s">
        <v>45</v>
      </c>
      <c r="G2" s="54" t="s">
        <v>3</v>
      </c>
      <c r="H2" s="54" t="s">
        <v>154</v>
      </c>
      <c r="I2" s="54" t="s">
        <v>155</v>
      </c>
      <c r="J2" s="54"/>
    </row>
    <row r="3" spans="1:13" x14ac:dyDescent="0.2">
      <c r="A3" s="55">
        <v>2009</v>
      </c>
      <c r="B3" s="108">
        <v>2169096</v>
      </c>
      <c r="C3" s="108"/>
      <c r="D3" s="108"/>
      <c r="E3" s="108">
        <v>171311</v>
      </c>
      <c r="F3" s="108">
        <v>44226</v>
      </c>
      <c r="G3" s="108">
        <f t="shared" ref="G3:G12" si="0">SUM(B3:F3)</f>
        <v>2384633</v>
      </c>
      <c r="H3" s="108">
        <v>1029080.11</v>
      </c>
      <c r="I3" s="108">
        <v>171310.71</v>
      </c>
      <c r="J3" s="51">
        <f>(H3+C3)/B3</f>
        <v>0.47442810737745122</v>
      </c>
    </row>
    <row r="4" spans="1:13" x14ac:dyDescent="0.2">
      <c r="A4" s="55">
        <v>2010</v>
      </c>
      <c r="B4" s="108">
        <v>2260312</v>
      </c>
      <c r="C4" s="108"/>
      <c r="D4" s="108"/>
      <c r="E4" s="108">
        <v>95621</v>
      </c>
      <c r="F4" s="108">
        <v>44895</v>
      </c>
      <c r="G4" s="108">
        <f t="shared" si="0"/>
        <v>2400828</v>
      </c>
      <c r="H4" s="108">
        <v>1114073.81</v>
      </c>
      <c r="I4" s="108">
        <v>95621.02</v>
      </c>
      <c r="J4" s="51">
        <f t="shared" ref="J4:J12" si="1">(H4+C4)/B4</f>
        <v>0.49288496897773409</v>
      </c>
    </row>
    <row r="5" spans="1:13" x14ac:dyDescent="0.2">
      <c r="A5" s="55">
        <v>2011</v>
      </c>
      <c r="B5" s="108">
        <v>2244883</v>
      </c>
      <c r="C5" s="108"/>
      <c r="D5" s="108"/>
      <c r="E5" s="108">
        <v>105771</v>
      </c>
      <c r="F5" s="108">
        <v>44252</v>
      </c>
      <c r="G5" s="108">
        <f t="shared" si="0"/>
        <v>2394906</v>
      </c>
      <c r="H5" s="108">
        <v>1109674.6200000001</v>
      </c>
      <c r="I5" s="108">
        <v>105771.07</v>
      </c>
      <c r="J5" s="51">
        <f t="shared" si="1"/>
        <v>0.49431289737594347</v>
      </c>
    </row>
    <row r="6" spans="1:13" x14ac:dyDescent="0.2">
      <c r="A6" s="55">
        <v>2012</v>
      </c>
      <c r="B6" s="108">
        <f>2227931-C6-D6</f>
        <v>2191041.8129999996</v>
      </c>
      <c r="C6" s="108">
        <v>4890.768</v>
      </c>
      <c r="D6" s="108">
        <v>31998.419000000002</v>
      </c>
      <c r="E6" s="108">
        <v>136790</v>
      </c>
      <c r="F6" s="108">
        <v>44229</v>
      </c>
      <c r="G6" s="108">
        <f t="shared" si="0"/>
        <v>2408950</v>
      </c>
      <c r="H6" s="108">
        <v>1090918.6399999999</v>
      </c>
      <c r="I6" s="108">
        <v>136790.35999999999</v>
      </c>
      <c r="J6" s="51">
        <f t="shared" si="1"/>
        <v>0.50013167320600105</v>
      </c>
    </row>
    <row r="7" spans="1:13" x14ac:dyDescent="0.2">
      <c r="A7" s="55">
        <v>2013</v>
      </c>
      <c r="B7" s="108">
        <f>2225335.99-C7-D7</f>
        <v>2172493.1097000004</v>
      </c>
      <c r="C7" s="108">
        <v>36056.200400000002</v>
      </c>
      <c r="D7" s="108">
        <v>16786.679899999999</v>
      </c>
      <c r="E7" s="108">
        <v>181960.6</v>
      </c>
      <c r="F7" s="108">
        <v>44582.02</v>
      </c>
      <c r="G7" s="108">
        <f t="shared" si="0"/>
        <v>2451878.6100000003</v>
      </c>
      <c r="H7" s="108">
        <v>1097384.2276999999</v>
      </c>
      <c r="I7" s="108">
        <v>181960.59980000003</v>
      </c>
      <c r="J7" s="51">
        <f t="shared" si="1"/>
        <v>0.5217233707390293</v>
      </c>
    </row>
    <row r="8" spans="1:13" x14ac:dyDescent="0.2">
      <c r="A8" s="55">
        <v>2014</v>
      </c>
      <c r="B8" s="108">
        <f>2159270.96-C8-D8</f>
        <v>2072802.4709999999</v>
      </c>
      <c r="C8" s="108">
        <v>31006.339600000003</v>
      </c>
      <c r="D8" s="108">
        <v>55462.149399999995</v>
      </c>
      <c r="E8" s="108">
        <v>126219.41</v>
      </c>
      <c r="F8" s="108">
        <v>44711.85</v>
      </c>
      <c r="G8" s="108">
        <f t="shared" si="0"/>
        <v>2330202.2200000002</v>
      </c>
      <c r="H8" s="108">
        <v>1057011.3</v>
      </c>
      <c r="I8" s="108">
        <v>126219.41179999997</v>
      </c>
      <c r="J8" s="51">
        <f t="shared" si="1"/>
        <v>0.52490174766874842</v>
      </c>
    </row>
    <row r="9" spans="1:13" x14ac:dyDescent="0.2">
      <c r="A9" s="55">
        <v>2015</v>
      </c>
      <c r="B9" s="108">
        <f>2147080.08-C9-D9</f>
        <v>2063302.6587</v>
      </c>
      <c r="C9" s="108">
        <v>30561.897200000003</v>
      </c>
      <c r="D9" s="108">
        <v>53215.524099999995</v>
      </c>
      <c r="E9" s="108">
        <v>62997.91</v>
      </c>
      <c r="F9" s="108">
        <v>45213.11</v>
      </c>
      <c r="G9" s="108">
        <f t="shared" si="0"/>
        <v>2255291.1</v>
      </c>
      <c r="H9" s="108">
        <v>1071480.1832999999</v>
      </c>
      <c r="I9" s="108">
        <v>74090.267500000002</v>
      </c>
      <c r="J9" s="51">
        <f t="shared" si="1"/>
        <v>0.53411557235832297</v>
      </c>
    </row>
    <row r="10" spans="1:13" x14ac:dyDescent="0.2">
      <c r="A10" s="55">
        <v>2016</v>
      </c>
      <c r="B10" s="108">
        <f>2170742.11-C10-D10</f>
        <v>2088279.5105999999</v>
      </c>
      <c r="C10" s="108">
        <v>31132.920500000004</v>
      </c>
      <c r="D10" s="108">
        <v>51329.678899999992</v>
      </c>
      <c r="E10" s="108">
        <v>62931.33</v>
      </c>
      <c r="F10" s="108">
        <v>45218.23</v>
      </c>
      <c r="G10" s="108">
        <f t="shared" si="0"/>
        <v>2278891.67</v>
      </c>
      <c r="H10" s="108">
        <v>1072433.5667000001</v>
      </c>
      <c r="I10" s="108">
        <v>62478.332399999992</v>
      </c>
      <c r="J10" s="51">
        <f t="shared" si="1"/>
        <v>0.52845726905730439</v>
      </c>
    </row>
    <row r="11" spans="1:13" x14ac:dyDescent="0.2">
      <c r="A11" s="55">
        <v>2017</v>
      </c>
      <c r="B11" s="108">
        <f>2109153.15-C11-D11</f>
        <v>1832120.3498</v>
      </c>
      <c r="C11" s="108">
        <v>30205.531800000008</v>
      </c>
      <c r="D11" s="108">
        <v>246827.2684</v>
      </c>
      <c r="E11" s="108">
        <v>58806.46</v>
      </c>
      <c r="F11" s="108">
        <v>42035.72</v>
      </c>
      <c r="G11" s="108">
        <f t="shared" si="0"/>
        <v>2209995.33</v>
      </c>
      <c r="H11" s="108">
        <v>1056503.9194999998</v>
      </c>
      <c r="I11" s="108">
        <v>58119.461999999992</v>
      </c>
      <c r="J11" s="51">
        <f t="shared" si="1"/>
        <v>0.59314304948287289</v>
      </c>
    </row>
    <row r="12" spans="1:13" x14ac:dyDescent="0.2">
      <c r="A12" s="55">
        <v>2018</v>
      </c>
      <c r="B12" s="108">
        <f>2202763.0515-C12-D12</f>
        <v>1663598.9622000002</v>
      </c>
      <c r="C12" s="108">
        <v>34080.072999999997</v>
      </c>
      <c r="D12" s="108">
        <v>505084.01630000002</v>
      </c>
      <c r="E12" s="108">
        <v>69010.508700000006</v>
      </c>
      <c r="F12" s="108">
        <v>20808.9388</v>
      </c>
      <c r="G12" s="108">
        <f t="shared" si="0"/>
        <v>2292582.4990000003</v>
      </c>
      <c r="H12" s="108">
        <v>1081229.5778000001</v>
      </c>
      <c r="I12" s="108">
        <v>68264.508699999991</v>
      </c>
      <c r="J12" s="51">
        <f t="shared" si="1"/>
        <v>0.67041978033280125</v>
      </c>
    </row>
    <row r="13" spans="1:13" x14ac:dyDescent="0.2">
      <c r="A13" s="55">
        <v>2019</v>
      </c>
      <c r="B13" s="109">
        <f>ROUND((Energy!J83*Load!B31),4)</f>
        <v>1541070.38</v>
      </c>
      <c r="C13" s="109">
        <f>+C12</f>
        <v>34080.072999999997</v>
      </c>
      <c r="D13" s="109">
        <f>ROUND((Energy!L63*Load!D31),4)</f>
        <v>499673.06400000001</v>
      </c>
      <c r="E13" s="109">
        <f>ROUND((Energy!M63*Load!E31),4)</f>
        <v>68382.8269</v>
      </c>
      <c r="F13" s="109">
        <f>ROUND((Energy!N63*Load!F31),4)</f>
        <v>20613.041099999999</v>
      </c>
      <c r="G13" s="109">
        <f>ROUND((SUM(B13:F13)),4)</f>
        <v>2163819.3849999998</v>
      </c>
      <c r="H13" s="109">
        <f>ROUND(((B13+C13+D13)*J13),4)</f>
        <v>1106818.4304</v>
      </c>
      <c r="I13" s="109">
        <f>ROUND((E13),4)</f>
        <v>68382.8269</v>
      </c>
      <c r="J13" s="51">
        <f>AVERAGE(J3:J12)</f>
        <v>0.53345184365762077</v>
      </c>
      <c r="L13" s="74">
        <f>ROUND((B14+C14),4)</f>
        <v>1519250.8100999999</v>
      </c>
      <c r="M13" s="48" t="s">
        <v>177</v>
      </c>
    </row>
    <row r="14" spans="1:13" x14ac:dyDescent="0.2">
      <c r="A14" s="55">
        <v>2020</v>
      </c>
      <c r="B14" s="109">
        <f>ROUND((Energy!J84*Load!B31),4)</f>
        <v>1485170.7371</v>
      </c>
      <c r="C14" s="109">
        <f>+C13</f>
        <v>34080.072999999997</v>
      </c>
      <c r="D14" s="109">
        <f>ROUND((Energy!L64*Load!D31),4)</f>
        <v>502671.10230000003</v>
      </c>
      <c r="E14" s="109">
        <f>ROUND((Energy!M64*Load!E31),4)</f>
        <v>70126.589000000007</v>
      </c>
      <c r="F14" s="109">
        <f>ROUND((Energy!N64*Load!F31),4)</f>
        <v>20391.435300000001</v>
      </c>
      <c r="G14" s="109">
        <f>ROUND((SUM(B14:F14)),4)</f>
        <v>2112439.9367</v>
      </c>
      <c r="H14" s="109">
        <f>ROUND(((B14+C14+D14)*J13),4)</f>
        <v>1078597.9719</v>
      </c>
      <c r="I14" s="109">
        <f>ROUND((E14),4)</f>
        <v>70126.589000000007</v>
      </c>
      <c r="J14" s="51">
        <f>AVERAGE(J4:J13)</f>
        <v>0.53935421728563782</v>
      </c>
      <c r="L14" s="74">
        <f>ROUND((B14+C14+D14),4)</f>
        <v>2021921.9124</v>
      </c>
      <c r="M14" s="48" t="s">
        <v>178</v>
      </c>
    </row>
    <row r="15" spans="1:13" x14ac:dyDescent="0.2">
      <c r="A15" s="41"/>
      <c r="E15" s="56"/>
      <c r="G15" s="37">
        <f>ROUND((ED!B14),4)</f>
        <v>43316.19</v>
      </c>
      <c r="I15" s="1"/>
      <c r="L15" s="118"/>
    </row>
    <row r="16" spans="1:13" x14ac:dyDescent="0.2">
      <c r="A16" s="41" t="s">
        <v>66</v>
      </c>
      <c r="B16" s="40"/>
      <c r="E16" s="40"/>
      <c r="F16" s="40"/>
      <c r="G16" s="37">
        <f>ROUND((G14+G15),4)</f>
        <v>2155756.1266999999</v>
      </c>
      <c r="I16" s="1"/>
    </row>
    <row r="17" spans="1:12" x14ac:dyDescent="0.2">
      <c r="A17" s="10">
        <v>2009</v>
      </c>
      <c r="B17" s="56">
        <f>+B3/Energy!I6</f>
        <v>2.642274511612796E-3</v>
      </c>
      <c r="C17" s="56"/>
      <c r="D17" s="56"/>
      <c r="E17" s="56">
        <f>+E3/Energy!L6</f>
        <v>2.1461523606441978E-3</v>
      </c>
      <c r="F17" s="56">
        <f>+F3/Energy!M6</f>
        <v>2.7778555929640725E-3</v>
      </c>
      <c r="H17" s="56"/>
      <c r="I17" s="56"/>
      <c r="L17" s="179">
        <f>(B3+C3+D3)/(Energy!I6+Energy!J6+Energy!K6)</f>
        <v>2.642274511612796E-3</v>
      </c>
    </row>
    <row r="18" spans="1:12" x14ac:dyDescent="0.2">
      <c r="A18" s="10">
        <v>2010</v>
      </c>
      <c r="B18" s="56">
        <f>+B4/Energy!I7</f>
        <v>2.5776612434298585E-3</v>
      </c>
      <c r="C18" s="56"/>
      <c r="D18" s="56"/>
      <c r="E18" s="56">
        <f>+E4/Energy!L7</f>
        <v>2.0535557089132192E-3</v>
      </c>
      <c r="F18" s="56">
        <f>+F4/Energy!M7</f>
        <v>2.7997924804664663E-3</v>
      </c>
      <c r="H18" s="56"/>
      <c r="I18" s="56"/>
      <c r="J18" s="147"/>
      <c r="L18" s="179">
        <f>(B4+C4+D4)/(Energy!I7+Energy!J7+Energy!K7)</f>
        <v>2.5776612434298585E-3</v>
      </c>
    </row>
    <row r="19" spans="1:12" x14ac:dyDescent="0.2">
      <c r="A19" s="10">
        <v>2011</v>
      </c>
      <c r="B19" s="56">
        <f>+B5/Energy!I8</f>
        <v>2.576611271021607E-3</v>
      </c>
      <c r="C19" s="56"/>
      <c r="D19" s="56"/>
      <c r="E19" s="56">
        <f>+E5/Energy!L8</f>
        <v>1.8882530047298353E-3</v>
      </c>
      <c r="F19" s="56">
        <f>+F5/Energy!M8</f>
        <v>2.7906006475918867E-3</v>
      </c>
      <c r="H19" s="56"/>
      <c r="I19" s="56"/>
      <c r="L19" s="179">
        <f>(B5+C5+D5)/(Energy!I8+Energy!J8+Energy!K8)</f>
        <v>2.576611271021607E-3</v>
      </c>
    </row>
    <row r="20" spans="1:12" x14ac:dyDescent="0.2">
      <c r="A20" s="10">
        <v>2012</v>
      </c>
      <c r="B20" s="56">
        <f>+B6/Energy!I9</f>
        <v>2.6217520613837516E-3</v>
      </c>
      <c r="C20" s="56">
        <f>+C6/Energy!J9</f>
        <v>1.9262127734185591E-3</v>
      </c>
      <c r="D20" s="56">
        <f>+D6/Energy!K9</f>
        <v>2.5531764360811021E-3</v>
      </c>
      <c r="E20" s="56">
        <f>+E6/Energy!L9</f>
        <v>1.9722772135614469E-3</v>
      </c>
      <c r="F20" s="56">
        <f>+F6/Energy!M9</f>
        <v>2.7741083968947596E-3</v>
      </c>
      <c r="H20" s="56"/>
      <c r="I20" s="56"/>
      <c r="L20" s="179">
        <f>(B6+C6+D6)/(Energy!I9+Energy!J9+Energy!K9)</f>
        <v>2.6186661485402361E-3</v>
      </c>
    </row>
    <row r="21" spans="1:12" x14ac:dyDescent="0.2">
      <c r="A21" s="10">
        <v>2013</v>
      </c>
      <c r="B21" s="56">
        <f>+B7/Energy!I10</f>
        <v>2.7163213752015298E-3</v>
      </c>
      <c r="C21" s="56">
        <f>+C7/Energy!J10</f>
        <v>2.0242948661780644E-3</v>
      </c>
      <c r="D21" s="56">
        <f>+D7/Energy!K10</f>
        <v>2.8171819151831998E-3</v>
      </c>
      <c r="E21" s="56">
        <f>+E7/Energy!L10</f>
        <v>2.0559207695721965E-3</v>
      </c>
      <c r="F21" s="56">
        <f>+F7/Energy!M10</f>
        <v>2.7893495256385578E-3</v>
      </c>
      <c r="H21" s="56"/>
      <c r="I21" s="56"/>
      <c r="L21" s="179">
        <f>(B7+C7+D7)/(Energy!I10+Energy!J10+Energy!K10)</f>
        <v>2.7020842138757968E-3</v>
      </c>
    </row>
    <row r="22" spans="1:12" x14ac:dyDescent="0.2">
      <c r="A22" s="10">
        <v>2014</v>
      </c>
      <c r="B22" s="56">
        <f>+B8/Energy!I11</f>
        <v>2.5999150247194573E-3</v>
      </c>
      <c r="C22" s="56">
        <f>+C8/Energy!J11</f>
        <v>1.8158619202389486E-3</v>
      </c>
      <c r="D22" s="56">
        <f>+D8/Energy!K11</f>
        <v>2.108505959605044E-3</v>
      </c>
      <c r="E22" s="56">
        <f>+E8/Energy!L11</f>
        <v>1.9894958958666118E-3</v>
      </c>
      <c r="F22" s="56">
        <f>+F8/Energy!M11</f>
        <v>2.7876519225899336E-3</v>
      </c>
      <c r="H22" s="56"/>
      <c r="I22" s="56"/>
      <c r="L22" s="179">
        <f>(B8+C8+D8)/(Energy!I11+Energy!J11+Energy!K11)</f>
        <v>2.5686126363474305E-3</v>
      </c>
    </row>
    <row r="23" spans="1:12" x14ac:dyDescent="0.2">
      <c r="A23" s="10">
        <v>2015</v>
      </c>
      <c r="B23" s="56">
        <f>+B9/Energy!I12</f>
        <v>2.6082893530812112E-3</v>
      </c>
      <c r="C23" s="56">
        <f>+C9/Energy!J12</f>
        <v>1.8311096625228391E-3</v>
      </c>
      <c r="D23" s="56">
        <f>+D9/Energy!K12</f>
        <v>2.1169931261300957E-3</v>
      </c>
      <c r="E23" s="56">
        <f>+E9/Energy!L12</f>
        <v>1.7612232786520065E-3</v>
      </c>
      <c r="F23" s="56">
        <f>+F9/Energy!M12</f>
        <v>2.7903443598840576E-3</v>
      </c>
      <c r="H23" s="56"/>
      <c r="I23" s="56"/>
      <c r="L23" s="179">
        <f>(B9+C9+D9)/(Energy!I12+Energy!J12+Energy!K12)</f>
        <v>2.5778874033724271E-3</v>
      </c>
    </row>
    <row r="24" spans="1:12" x14ac:dyDescent="0.2">
      <c r="A24" s="10">
        <v>2016</v>
      </c>
      <c r="B24" s="56">
        <f>+B10/Energy!I13</f>
        <v>2.6479121991745676E-3</v>
      </c>
      <c r="C24" s="56">
        <f>+C10/Energy!J13</f>
        <v>1.848520896800277E-3</v>
      </c>
      <c r="D24" s="56">
        <f>+D10/Energy!K13</f>
        <v>2.3932636526091781E-3</v>
      </c>
      <c r="E24" s="56">
        <f>+E10/Energy!L13</f>
        <v>2.1770599579231131E-3</v>
      </c>
      <c r="F24" s="56">
        <f>+F10/Energy!M13</f>
        <v>2.780802461097606E-3</v>
      </c>
      <c r="H24" s="56"/>
      <c r="I24" s="56"/>
      <c r="L24" s="179">
        <f>(B10+C10+D10)/(Energy!I13+Energy!J13+Energy!K13)</f>
        <v>2.6250266522482336E-3</v>
      </c>
    </row>
    <row r="25" spans="1:12" x14ac:dyDescent="0.2">
      <c r="A25" s="10">
        <v>2017</v>
      </c>
      <c r="B25" s="56">
        <f>+B11/Energy!I14</f>
        <v>2.668164984847953E-3</v>
      </c>
      <c r="C25" s="56">
        <f>+C11/Energy!J14</f>
        <v>1.9323253125546459E-3</v>
      </c>
      <c r="D25" s="56">
        <f>+D11/Energy!K14</f>
        <v>2.4215774376700038E-3</v>
      </c>
      <c r="E25" s="56">
        <f>+E11/Energy!L14</f>
        <v>1.8712895476136534E-3</v>
      </c>
      <c r="F25" s="56">
        <f>+F11/Energy!M14</f>
        <v>2.8274245737568309E-3</v>
      </c>
      <c r="H25" s="56"/>
      <c r="I25" s="56"/>
      <c r="L25" s="179">
        <f>(B11+C11+D11)/(Energy!I14+Energy!J14+Energy!K14)</f>
        <v>2.62260940792649E-3</v>
      </c>
    </row>
    <row r="26" spans="1:12" x14ac:dyDescent="0.2">
      <c r="A26" s="10">
        <v>2018</v>
      </c>
      <c r="B26" s="56">
        <f>+B12/Energy!I15</f>
        <v>2.7000370125014606E-3</v>
      </c>
      <c r="C26" s="56">
        <f>+C12/Energy!J15</f>
        <v>2.3044267125499765E-3</v>
      </c>
      <c r="D26" s="56">
        <f>+D12/Energy!K15</f>
        <v>2.4197443300065283E-3</v>
      </c>
      <c r="E26" s="56">
        <f>+E12/Energy!L15</f>
        <v>2.0681006362609005E-3</v>
      </c>
      <c r="F26" s="56">
        <f>+F12/Energy!M15</f>
        <v>2.7869440477267904E-3</v>
      </c>
      <c r="H26" s="56"/>
      <c r="I26" s="56"/>
      <c r="L26" s="179">
        <f>(B12+C12+D12)/(Energy!I15+Energy!J15+Energy!K15)</f>
        <v>2.6233902795674922E-3</v>
      </c>
    </row>
    <row r="27" spans="1:12" x14ac:dyDescent="0.2">
      <c r="A27" s="10">
        <v>2019</v>
      </c>
      <c r="B27" s="56"/>
      <c r="C27" s="56"/>
      <c r="D27" s="56"/>
      <c r="E27" s="56"/>
      <c r="F27" s="56"/>
      <c r="H27" s="56"/>
      <c r="I27" s="56"/>
    </row>
    <row r="28" spans="1:12" x14ac:dyDescent="0.2">
      <c r="A28" s="10">
        <v>2020</v>
      </c>
      <c r="B28" s="56"/>
      <c r="C28" s="56"/>
      <c r="D28" s="56"/>
      <c r="E28" s="56"/>
      <c r="F28" s="56"/>
      <c r="H28" s="56"/>
      <c r="I28" s="56"/>
    </row>
    <row r="29" spans="1:12" x14ac:dyDescent="0.2">
      <c r="A29" s="10">
        <v>2021</v>
      </c>
      <c r="B29" s="56"/>
      <c r="C29" s="56"/>
      <c r="D29" s="56"/>
      <c r="E29" s="56"/>
      <c r="F29" s="56"/>
      <c r="H29" s="56"/>
      <c r="I29" s="56"/>
    </row>
    <row r="30" spans="1:12" x14ac:dyDescent="0.2">
      <c r="A30" s="10">
        <v>2022</v>
      </c>
      <c r="B30" s="56"/>
      <c r="C30" s="56"/>
      <c r="D30" s="56"/>
      <c r="E30" s="56"/>
      <c r="F30" s="56"/>
      <c r="H30" s="56"/>
      <c r="I30" s="56"/>
    </row>
    <row r="31" spans="1:12" x14ac:dyDescent="0.2">
      <c r="A31" s="10" t="s">
        <v>49</v>
      </c>
      <c r="B31" s="56">
        <f>AVERAGE(B21:B26)</f>
        <v>2.65677332492103E-3</v>
      </c>
      <c r="C31" s="56">
        <f>AVERAGE(C21:C26)</f>
        <v>1.9594232284741251E-3</v>
      </c>
      <c r="D31" s="56">
        <f>AVERAGE(D21:D26)</f>
        <v>2.3795444035340082E-3</v>
      </c>
      <c r="E31" s="56">
        <f>AVERAGE(E17:E26)</f>
        <v>1.9983328373737183E-3</v>
      </c>
      <c r="F31" s="56">
        <f>AVERAGE(F17:F26)</f>
        <v>2.7904874008610964E-3</v>
      </c>
      <c r="H31" s="56"/>
      <c r="I31" s="56"/>
      <c r="L31" s="56">
        <f>AVERAGE(L21:L26)</f>
        <v>2.6199350988896446E-3</v>
      </c>
    </row>
    <row r="32" spans="1:12" x14ac:dyDescent="0.2">
      <c r="C32" s="56"/>
    </row>
    <row r="35" spans="2:5" x14ac:dyDescent="0.2">
      <c r="B35" s="53"/>
      <c r="C35" s="53"/>
      <c r="D35" s="53"/>
      <c r="E35" s="53"/>
    </row>
    <row r="36" spans="2:5" x14ac:dyDescent="0.2">
      <c r="B36" s="53"/>
      <c r="C36" s="53"/>
      <c r="D36" s="53"/>
      <c r="E36" s="53"/>
    </row>
  </sheetData>
  <pageMargins left="0.46" right="0.4" top="0.75" bottom="0.75" header="0.3" footer="0.3"/>
  <pageSetup scale="6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93A39-EE06-4EF6-B58D-51F14B810DFB}">
  <sheetPr>
    <pageSetUpPr fitToPage="1"/>
  </sheetPr>
  <dimension ref="A1:N92"/>
  <sheetViews>
    <sheetView workbookViewId="0">
      <selection activeCell="F18" sqref="F18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7109375" customWidth="1"/>
    <col min="6" max="6" width="12.7109375" customWidth="1"/>
    <col min="7" max="7" width="12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6" max="256" width="31.42578125" bestFit="1" customWidth="1"/>
    <col min="257" max="257" width="12.7109375" customWidth="1"/>
    <col min="258" max="258" width="11.7109375" customWidth="1"/>
    <col min="259" max="259" width="12.7109375" customWidth="1"/>
    <col min="260" max="260" width="10" customWidth="1"/>
    <col min="261" max="261" width="12.7109375" customWidth="1"/>
    <col min="512" max="512" width="31.42578125" bestFit="1" customWidth="1"/>
    <col min="513" max="513" width="12.7109375" customWidth="1"/>
    <col min="514" max="514" width="11.7109375" customWidth="1"/>
    <col min="515" max="515" width="12.7109375" customWidth="1"/>
    <col min="516" max="516" width="10" customWidth="1"/>
    <col min="517" max="517" width="12.7109375" customWidth="1"/>
    <col min="768" max="768" width="31.42578125" bestFit="1" customWidth="1"/>
    <col min="769" max="769" width="12.7109375" customWidth="1"/>
    <col min="770" max="770" width="11.7109375" customWidth="1"/>
    <col min="771" max="771" width="12.7109375" customWidth="1"/>
    <col min="772" max="772" width="10" customWidth="1"/>
    <col min="773" max="773" width="12.7109375" customWidth="1"/>
    <col min="1024" max="1024" width="31.42578125" bestFit="1" customWidth="1"/>
    <col min="1025" max="1025" width="12.7109375" customWidth="1"/>
    <col min="1026" max="1026" width="11.7109375" customWidth="1"/>
    <col min="1027" max="1027" width="12.7109375" customWidth="1"/>
    <col min="1028" max="1028" width="10" customWidth="1"/>
    <col min="1029" max="1029" width="12.7109375" customWidth="1"/>
    <col min="1280" max="1280" width="31.42578125" bestFit="1" customWidth="1"/>
    <col min="1281" max="1281" width="12.7109375" customWidth="1"/>
    <col min="1282" max="1282" width="11.7109375" customWidth="1"/>
    <col min="1283" max="1283" width="12.7109375" customWidth="1"/>
    <col min="1284" max="1284" width="10" customWidth="1"/>
    <col min="1285" max="1285" width="12.7109375" customWidth="1"/>
    <col min="1536" max="1536" width="31.42578125" bestFit="1" customWidth="1"/>
    <col min="1537" max="1537" width="12.7109375" customWidth="1"/>
    <col min="1538" max="1538" width="11.7109375" customWidth="1"/>
    <col min="1539" max="1539" width="12.7109375" customWidth="1"/>
    <col min="1540" max="1540" width="10" customWidth="1"/>
    <col min="1541" max="1541" width="12.7109375" customWidth="1"/>
    <col min="1792" max="1792" width="31.42578125" bestFit="1" customWidth="1"/>
    <col min="1793" max="1793" width="12.7109375" customWidth="1"/>
    <col min="1794" max="1794" width="11.7109375" customWidth="1"/>
    <col min="1795" max="1795" width="12.7109375" customWidth="1"/>
    <col min="1796" max="1796" width="10" customWidth="1"/>
    <col min="1797" max="1797" width="12.7109375" customWidth="1"/>
    <col min="2048" max="2048" width="31.42578125" bestFit="1" customWidth="1"/>
    <col min="2049" max="2049" width="12.7109375" customWidth="1"/>
    <col min="2050" max="2050" width="11.7109375" customWidth="1"/>
    <col min="2051" max="2051" width="12.7109375" customWidth="1"/>
    <col min="2052" max="2052" width="10" customWidth="1"/>
    <col min="2053" max="2053" width="12.7109375" customWidth="1"/>
    <col min="2304" max="2304" width="31.42578125" bestFit="1" customWidth="1"/>
    <col min="2305" max="2305" width="12.7109375" customWidth="1"/>
    <col min="2306" max="2306" width="11.7109375" customWidth="1"/>
    <col min="2307" max="2307" width="12.7109375" customWidth="1"/>
    <col min="2308" max="2308" width="10" customWidth="1"/>
    <col min="2309" max="2309" width="12.7109375" customWidth="1"/>
    <col min="2560" max="2560" width="31.42578125" bestFit="1" customWidth="1"/>
    <col min="2561" max="2561" width="12.7109375" customWidth="1"/>
    <col min="2562" max="2562" width="11.7109375" customWidth="1"/>
    <col min="2563" max="2563" width="12.7109375" customWidth="1"/>
    <col min="2564" max="2564" width="10" customWidth="1"/>
    <col min="2565" max="2565" width="12.7109375" customWidth="1"/>
    <col min="2816" max="2816" width="31.42578125" bestFit="1" customWidth="1"/>
    <col min="2817" max="2817" width="12.7109375" customWidth="1"/>
    <col min="2818" max="2818" width="11.7109375" customWidth="1"/>
    <col min="2819" max="2819" width="12.7109375" customWidth="1"/>
    <col min="2820" max="2820" width="10" customWidth="1"/>
    <col min="2821" max="2821" width="12.7109375" customWidth="1"/>
    <col min="3072" max="3072" width="31.42578125" bestFit="1" customWidth="1"/>
    <col min="3073" max="3073" width="12.7109375" customWidth="1"/>
    <col min="3074" max="3074" width="11.7109375" customWidth="1"/>
    <col min="3075" max="3075" width="12.7109375" customWidth="1"/>
    <col min="3076" max="3076" width="10" customWidth="1"/>
    <col min="3077" max="3077" width="12.7109375" customWidth="1"/>
    <col min="3328" max="3328" width="31.42578125" bestFit="1" customWidth="1"/>
    <col min="3329" max="3329" width="12.7109375" customWidth="1"/>
    <col min="3330" max="3330" width="11.7109375" customWidth="1"/>
    <col min="3331" max="3331" width="12.7109375" customWidth="1"/>
    <col min="3332" max="3332" width="10" customWidth="1"/>
    <col min="3333" max="3333" width="12.7109375" customWidth="1"/>
    <col min="3584" max="3584" width="31.42578125" bestFit="1" customWidth="1"/>
    <col min="3585" max="3585" width="12.7109375" customWidth="1"/>
    <col min="3586" max="3586" width="11.7109375" customWidth="1"/>
    <col min="3587" max="3587" width="12.7109375" customWidth="1"/>
    <col min="3588" max="3588" width="10" customWidth="1"/>
    <col min="3589" max="3589" width="12.7109375" customWidth="1"/>
    <col min="3840" max="3840" width="31.42578125" bestFit="1" customWidth="1"/>
    <col min="3841" max="3841" width="12.7109375" customWidth="1"/>
    <col min="3842" max="3842" width="11.7109375" customWidth="1"/>
    <col min="3843" max="3843" width="12.7109375" customWidth="1"/>
    <col min="3844" max="3844" width="10" customWidth="1"/>
    <col min="3845" max="3845" width="12.7109375" customWidth="1"/>
    <col min="4096" max="4096" width="31.42578125" bestFit="1" customWidth="1"/>
    <col min="4097" max="4097" width="12.7109375" customWidth="1"/>
    <col min="4098" max="4098" width="11.7109375" customWidth="1"/>
    <col min="4099" max="4099" width="12.7109375" customWidth="1"/>
    <col min="4100" max="4100" width="10" customWidth="1"/>
    <col min="4101" max="4101" width="12.7109375" customWidth="1"/>
    <col min="4352" max="4352" width="31.42578125" bestFit="1" customWidth="1"/>
    <col min="4353" max="4353" width="12.7109375" customWidth="1"/>
    <col min="4354" max="4354" width="11.7109375" customWidth="1"/>
    <col min="4355" max="4355" width="12.7109375" customWidth="1"/>
    <col min="4356" max="4356" width="10" customWidth="1"/>
    <col min="4357" max="4357" width="12.7109375" customWidth="1"/>
    <col min="4608" max="4608" width="31.42578125" bestFit="1" customWidth="1"/>
    <col min="4609" max="4609" width="12.7109375" customWidth="1"/>
    <col min="4610" max="4610" width="11.7109375" customWidth="1"/>
    <col min="4611" max="4611" width="12.7109375" customWidth="1"/>
    <col min="4612" max="4612" width="10" customWidth="1"/>
    <col min="4613" max="4613" width="12.7109375" customWidth="1"/>
    <col min="4864" max="4864" width="31.42578125" bestFit="1" customWidth="1"/>
    <col min="4865" max="4865" width="12.7109375" customWidth="1"/>
    <col min="4866" max="4866" width="11.7109375" customWidth="1"/>
    <col min="4867" max="4867" width="12.7109375" customWidth="1"/>
    <col min="4868" max="4868" width="10" customWidth="1"/>
    <col min="4869" max="4869" width="12.7109375" customWidth="1"/>
    <col min="5120" max="5120" width="31.42578125" bestFit="1" customWidth="1"/>
    <col min="5121" max="5121" width="12.7109375" customWidth="1"/>
    <col min="5122" max="5122" width="11.7109375" customWidth="1"/>
    <col min="5123" max="5123" width="12.7109375" customWidth="1"/>
    <col min="5124" max="5124" width="10" customWidth="1"/>
    <col min="5125" max="5125" width="12.7109375" customWidth="1"/>
    <col min="5376" max="5376" width="31.42578125" bestFit="1" customWidth="1"/>
    <col min="5377" max="5377" width="12.7109375" customWidth="1"/>
    <col min="5378" max="5378" width="11.7109375" customWidth="1"/>
    <col min="5379" max="5379" width="12.7109375" customWidth="1"/>
    <col min="5380" max="5380" width="10" customWidth="1"/>
    <col min="5381" max="5381" width="12.7109375" customWidth="1"/>
    <col min="5632" max="5632" width="31.42578125" bestFit="1" customWidth="1"/>
    <col min="5633" max="5633" width="12.7109375" customWidth="1"/>
    <col min="5634" max="5634" width="11.7109375" customWidth="1"/>
    <col min="5635" max="5635" width="12.7109375" customWidth="1"/>
    <col min="5636" max="5636" width="10" customWidth="1"/>
    <col min="5637" max="5637" width="12.7109375" customWidth="1"/>
    <col min="5888" max="5888" width="31.42578125" bestFit="1" customWidth="1"/>
    <col min="5889" max="5889" width="12.7109375" customWidth="1"/>
    <col min="5890" max="5890" width="11.7109375" customWidth="1"/>
    <col min="5891" max="5891" width="12.7109375" customWidth="1"/>
    <col min="5892" max="5892" width="10" customWidth="1"/>
    <col min="5893" max="5893" width="12.7109375" customWidth="1"/>
    <col min="6144" max="6144" width="31.42578125" bestFit="1" customWidth="1"/>
    <col min="6145" max="6145" width="12.7109375" customWidth="1"/>
    <col min="6146" max="6146" width="11.7109375" customWidth="1"/>
    <col min="6147" max="6147" width="12.7109375" customWidth="1"/>
    <col min="6148" max="6148" width="10" customWidth="1"/>
    <col min="6149" max="6149" width="12.7109375" customWidth="1"/>
    <col min="6400" max="6400" width="31.42578125" bestFit="1" customWidth="1"/>
    <col min="6401" max="6401" width="12.7109375" customWidth="1"/>
    <col min="6402" max="6402" width="11.7109375" customWidth="1"/>
    <col min="6403" max="6403" width="12.7109375" customWidth="1"/>
    <col min="6404" max="6404" width="10" customWidth="1"/>
    <col min="6405" max="6405" width="12.7109375" customWidth="1"/>
    <col min="6656" max="6656" width="31.42578125" bestFit="1" customWidth="1"/>
    <col min="6657" max="6657" width="12.7109375" customWidth="1"/>
    <col min="6658" max="6658" width="11.7109375" customWidth="1"/>
    <col min="6659" max="6659" width="12.7109375" customWidth="1"/>
    <col min="6660" max="6660" width="10" customWidth="1"/>
    <col min="6661" max="6661" width="12.7109375" customWidth="1"/>
    <col min="6912" max="6912" width="31.42578125" bestFit="1" customWidth="1"/>
    <col min="6913" max="6913" width="12.7109375" customWidth="1"/>
    <col min="6914" max="6914" width="11.7109375" customWidth="1"/>
    <col min="6915" max="6915" width="12.7109375" customWidth="1"/>
    <col min="6916" max="6916" width="10" customWidth="1"/>
    <col min="6917" max="6917" width="12.7109375" customWidth="1"/>
    <col min="7168" max="7168" width="31.42578125" bestFit="1" customWidth="1"/>
    <col min="7169" max="7169" width="12.7109375" customWidth="1"/>
    <col min="7170" max="7170" width="11.7109375" customWidth="1"/>
    <col min="7171" max="7171" width="12.7109375" customWidth="1"/>
    <col min="7172" max="7172" width="10" customWidth="1"/>
    <col min="7173" max="7173" width="12.7109375" customWidth="1"/>
    <col min="7424" max="7424" width="31.42578125" bestFit="1" customWidth="1"/>
    <col min="7425" max="7425" width="12.7109375" customWidth="1"/>
    <col min="7426" max="7426" width="11.7109375" customWidth="1"/>
    <col min="7427" max="7427" width="12.7109375" customWidth="1"/>
    <col min="7428" max="7428" width="10" customWidth="1"/>
    <col min="7429" max="7429" width="12.7109375" customWidth="1"/>
    <col min="7680" max="7680" width="31.42578125" bestFit="1" customWidth="1"/>
    <col min="7681" max="7681" width="12.7109375" customWidth="1"/>
    <col min="7682" max="7682" width="11.7109375" customWidth="1"/>
    <col min="7683" max="7683" width="12.7109375" customWidth="1"/>
    <col min="7684" max="7684" width="10" customWidth="1"/>
    <col min="7685" max="7685" width="12.7109375" customWidth="1"/>
    <col min="7936" max="7936" width="31.42578125" bestFit="1" customWidth="1"/>
    <col min="7937" max="7937" width="12.7109375" customWidth="1"/>
    <col min="7938" max="7938" width="11.7109375" customWidth="1"/>
    <col min="7939" max="7939" width="12.7109375" customWidth="1"/>
    <col min="7940" max="7940" width="10" customWidth="1"/>
    <col min="7941" max="7941" width="12.7109375" customWidth="1"/>
    <col min="8192" max="8192" width="31.42578125" bestFit="1" customWidth="1"/>
    <col min="8193" max="8193" width="12.7109375" customWidth="1"/>
    <col min="8194" max="8194" width="11.7109375" customWidth="1"/>
    <col min="8195" max="8195" width="12.7109375" customWidth="1"/>
    <col min="8196" max="8196" width="10" customWidth="1"/>
    <col min="8197" max="8197" width="12.7109375" customWidth="1"/>
    <col min="8448" max="8448" width="31.42578125" bestFit="1" customWidth="1"/>
    <col min="8449" max="8449" width="12.7109375" customWidth="1"/>
    <col min="8450" max="8450" width="11.7109375" customWidth="1"/>
    <col min="8451" max="8451" width="12.7109375" customWidth="1"/>
    <col min="8452" max="8452" width="10" customWidth="1"/>
    <col min="8453" max="8453" width="12.7109375" customWidth="1"/>
    <col min="8704" max="8704" width="31.42578125" bestFit="1" customWidth="1"/>
    <col min="8705" max="8705" width="12.7109375" customWidth="1"/>
    <col min="8706" max="8706" width="11.7109375" customWidth="1"/>
    <col min="8707" max="8707" width="12.7109375" customWidth="1"/>
    <col min="8708" max="8708" width="10" customWidth="1"/>
    <col min="8709" max="8709" width="12.7109375" customWidth="1"/>
    <col min="8960" max="8960" width="31.42578125" bestFit="1" customWidth="1"/>
    <col min="8961" max="8961" width="12.7109375" customWidth="1"/>
    <col min="8962" max="8962" width="11.7109375" customWidth="1"/>
    <col min="8963" max="8963" width="12.7109375" customWidth="1"/>
    <col min="8964" max="8964" width="10" customWidth="1"/>
    <col min="8965" max="8965" width="12.7109375" customWidth="1"/>
    <col min="9216" max="9216" width="31.42578125" bestFit="1" customWidth="1"/>
    <col min="9217" max="9217" width="12.7109375" customWidth="1"/>
    <col min="9218" max="9218" width="11.7109375" customWidth="1"/>
    <col min="9219" max="9219" width="12.7109375" customWidth="1"/>
    <col min="9220" max="9220" width="10" customWidth="1"/>
    <col min="9221" max="9221" width="12.7109375" customWidth="1"/>
    <col min="9472" max="9472" width="31.42578125" bestFit="1" customWidth="1"/>
    <col min="9473" max="9473" width="12.7109375" customWidth="1"/>
    <col min="9474" max="9474" width="11.7109375" customWidth="1"/>
    <col min="9475" max="9475" width="12.7109375" customWidth="1"/>
    <col min="9476" max="9476" width="10" customWidth="1"/>
    <col min="9477" max="9477" width="12.7109375" customWidth="1"/>
    <col min="9728" max="9728" width="31.42578125" bestFit="1" customWidth="1"/>
    <col min="9729" max="9729" width="12.7109375" customWidth="1"/>
    <col min="9730" max="9730" width="11.7109375" customWidth="1"/>
    <col min="9731" max="9731" width="12.7109375" customWidth="1"/>
    <col min="9732" max="9732" width="10" customWidth="1"/>
    <col min="9733" max="9733" width="12.7109375" customWidth="1"/>
    <col min="9984" max="9984" width="31.42578125" bestFit="1" customWidth="1"/>
    <col min="9985" max="9985" width="12.7109375" customWidth="1"/>
    <col min="9986" max="9986" width="11.7109375" customWidth="1"/>
    <col min="9987" max="9987" width="12.7109375" customWidth="1"/>
    <col min="9988" max="9988" width="10" customWidth="1"/>
    <col min="9989" max="9989" width="12.7109375" customWidth="1"/>
    <col min="10240" max="10240" width="31.42578125" bestFit="1" customWidth="1"/>
    <col min="10241" max="10241" width="12.7109375" customWidth="1"/>
    <col min="10242" max="10242" width="11.7109375" customWidth="1"/>
    <col min="10243" max="10243" width="12.7109375" customWidth="1"/>
    <col min="10244" max="10244" width="10" customWidth="1"/>
    <col min="10245" max="10245" width="12.7109375" customWidth="1"/>
    <col min="10496" max="10496" width="31.42578125" bestFit="1" customWidth="1"/>
    <col min="10497" max="10497" width="12.7109375" customWidth="1"/>
    <col min="10498" max="10498" width="11.7109375" customWidth="1"/>
    <col min="10499" max="10499" width="12.7109375" customWidth="1"/>
    <col min="10500" max="10500" width="10" customWidth="1"/>
    <col min="10501" max="10501" width="12.7109375" customWidth="1"/>
    <col min="10752" max="10752" width="31.42578125" bestFit="1" customWidth="1"/>
    <col min="10753" max="10753" width="12.7109375" customWidth="1"/>
    <col min="10754" max="10754" width="11.7109375" customWidth="1"/>
    <col min="10755" max="10755" width="12.7109375" customWidth="1"/>
    <col min="10756" max="10756" width="10" customWidth="1"/>
    <col min="10757" max="10757" width="12.7109375" customWidth="1"/>
    <col min="11008" max="11008" width="31.42578125" bestFit="1" customWidth="1"/>
    <col min="11009" max="11009" width="12.7109375" customWidth="1"/>
    <col min="11010" max="11010" width="11.7109375" customWidth="1"/>
    <col min="11011" max="11011" width="12.7109375" customWidth="1"/>
    <col min="11012" max="11012" width="10" customWidth="1"/>
    <col min="11013" max="11013" width="12.7109375" customWidth="1"/>
    <col min="11264" max="11264" width="31.42578125" bestFit="1" customWidth="1"/>
    <col min="11265" max="11265" width="12.7109375" customWidth="1"/>
    <col min="11266" max="11266" width="11.7109375" customWidth="1"/>
    <col min="11267" max="11267" width="12.7109375" customWidth="1"/>
    <col min="11268" max="11268" width="10" customWidth="1"/>
    <col min="11269" max="11269" width="12.7109375" customWidth="1"/>
    <col min="11520" max="11520" width="31.42578125" bestFit="1" customWidth="1"/>
    <col min="11521" max="11521" width="12.7109375" customWidth="1"/>
    <col min="11522" max="11522" width="11.7109375" customWidth="1"/>
    <col min="11523" max="11523" width="12.7109375" customWidth="1"/>
    <col min="11524" max="11524" width="10" customWidth="1"/>
    <col min="11525" max="11525" width="12.7109375" customWidth="1"/>
    <col min="11776" max="11776" width="31.42578125" bestFit="1" customWidth="1"/>
    <col min="11777" max="11777" width="12.7109375" customWidth="1"/>
    <col min="11778" max="11778" width="11.7109375" customWidth="1"/>
    <col min="11779" max="11779" width="12.7109375" customWidth="1"/>
    <col min="11780" max="11780" width="10" customWidth="1"/>
    <col min="11781" max="11781" width="12.7109375" customWidth="1"/>
    <col min="12032" max="12032" width="31.42578125" bestFit="1" customWidth="1"/>
    <col min="12033" max="12033" width="12.7109375" customWidth="1"/>
    <col min="12034" max="12034" width="11.7109375" customWidth="1"/>
    <col min="12035" max="12035" width="12.7109375" customWidth="1"/>
    <col min="12036" max="12036" width="10" customWidth="1"/>
    <col min="12037" max="12037" width="12.7109375" customWidth="1"/>
    <col min="12288" max="12288" width="31.42578125" bestFit="1" customWidth="1"/>
    <col min="12289" max="12289" width="12.7109375" customWidth="1"/>
    <col min="12290" max="12290" width="11.7109375" customWidth="1"/>
    <col min="12291" max="12291" width="12.7109375" customWidth="1"/>
    <col min="12292" max="12292" width="10" customWidth="1"/>
    <col min="12293" max="12293" width="12.7109375" customWidth="1"/>
    <col min="12544" max="12544" width="31.42578125" bestFit="1" customWidth="1"/>
    <col min="12545" max="12545" width="12.7109375" customWidth="1"/>
    <col min="12546" max="12546" width="11.7109375" customWidth="1"/>
    <col min="12547" max="12547" width="12.7109375" customWidth="1"/>
    <col min="12548" max="12548" width="10" customWidth="1"/>
    <col min="12549" max="12549" width="12.7109375" customWidth="1"/>
    <col min="12800" max="12800" width="31.42578125" bestFit="1" customWidth="1"/>
    <col min="12801" max="12801" width="12.7109375" customWidth="1"/>
    <col min="12802" max="12802" width="11.7109375" customWidth="1"/>
    <col min="12803" max="12803" width="12.7109375" customWidth="1"/>
    <col min="12804" max="12804" width="10" customWidth="1"/>
    <col min="12805" max="12805" width="12.7109375" customWidth="1"/>
    <col min="13056" max="13056" width="31.42578125" bestFit="1" customWidth="1"/>
    <col min="13057" max="13057" width="12.7109375" customWidth="1"/>
    <col min="13058" max="13058" width="11.7109375" customWidth="1"/>
    <col min="13059" max="13059" width="12.7109375" customWidth="1"/>
    <col min="13060" max="13060" width="10" customWidth="1"/>
    <col min="13061" max="13061" width="12.7109375" customWidth="1"/>
    <col min="13312" max="13312" width="31.42578125" bestFit="1" customWidth="1"/>
    <col min="13313" max="13313" width="12.7109375" customWidth="1"/>
    <col min="13314" max="13314" width="11.7109375" customWidth="1"/>
    <col min="13315" max="13315" width="12.7109375" customWidth="1"/>
    <col min="13316" max="13316" width="10" customWidth="1"/>
    <col min="13317" max="13317" width="12.7109375" customWidth="1"/>
    <col min="13568" max="13568" width="31.42578125" bestFit="1" customWidth="1"/>
    <col min="13569" max="13569" width="12.7109375" customWidth="1"/>
    <col min="13570" max="13570" width="11.7109375" customWidth="1"/>
    <col min="13571" max="13571" width="12.7109375" customWidth="1"/>
    <col min="13572" max="13572" width="10" customWidth="1"/>
    <col min="13573" max="13573" width="12.7109375" customWidth="1"/>
    <col min="13824" max="13824" width="31.42578125" bestFit="1" customWidth="1"/>
    <col min="13825" max="13825" width="12.7109375" customWidth="1"/>
    <col min="13826" max="13826" width="11.7109375" customWidth="1"/>
    <col min="13827" max="13827" width="12.7109375" customWidth="1"/>
    <col min="13828" max="13828" width="10" customWidth="1"/>
    <col min="13829" max="13829" width="12.7109375" customWidth="1"/>
    <col min="14080" max="14080" width="31.42578125" bestFit="1" customWidth="1"/>
    <col min="14081" max="14081" width="12.7109375" customWidth="1"/>
    <col min="14082" max="14082" width="11.7109375" customWidth="1"/>
    <col min="14083" max="14083" width="12.7109375" customWidth="1"/>
    <col min="14084" max="14084" width="10" customWidth="1"/>
    <col min="14085" max="14085" width="12.7109375" customWidth="1"/>
    <col min="14336" max="14336" width="31.42578125" bestFit="1" customWidth="1"/>
    <col min="14337" max="14337" width="12.7109375" customWidth="1"/>
    <col min="14338" max="14338" width="11.7109375" customWidth="1"/>
    <col min="14339" max="14339" width="12.7109375" customWidth="1"/>
    <col min="14340" max="14340" width="10" customWidth="1"/>
    <col min="14341" max="14341" width="12.7109375" customWidth="1"/>
    <col min="14592" max="14592" width="31.42578125" bestFit="1" customWidth="1"/>
    <col min="14593" max="14593" width="12.7109375" customWidth="1"/>
    <col min="14594" max="14594" width="11.7109375" customWidth="1"/>
    <col min="14595" max="14595" width="12.7109375" customWidth="1"/>
    <col min="14596" max="14596" width="10" customWidth="1"/>
    <col min="14597" max="14597" width="12.7109375" customWidth="1"/>
    <col min="14848" max="14848" width="31.42578125" bestFit="1" customWidth="1"/>
    <col min="14849" max="14849" width="12.7109375" customWidth="1"/>
    <col min="14850" max="14850" width="11.7109375" customWidth="1"/>
    <col min="14851" max="14851" width="12.7109375" customWidth="1"/>
    <col min="14852" max="14852" width="10" customWidth="1"/>
    <col min="14853" max="14853" width="12.7109375" customWidth="1"/>
    <col min="15104" max="15104" width="31.42578125" bestFit="1" customWidth="1"/>
    <col min="15105" max="15105" width="12.7109375" customWidth="1"/>
    <col min="15106" max="15106" width="11.7109375" customWidth="1"/>
    <col min="15107" max="15107" width="12.7109375" customWidth="1"/>
    <col min="15108" max="15108" width="10" customWidth="1"/>
    <col min="15109" max="15109" width="12.7109375" customWidth="1"/>
    <col min="15360" max="15360" width="31.42578125" bestFit="1" customWidth="1"/>
    <col min="15361" max="15361" width="12.7109375" customWidth="1"/>
    <col min="15362" max="15362" width="11.7109375" customWidth="1"/>
    <col min="15363" max="15363" width="12.7109375" customWidth="1"/>
    <col min="15364" max="15364" width="10" customWidth="1"/>
    <col min="15365" max="15365" width="12.7109375" customWidth="1"/>
    <col min="15616" max="15616" width="31.42578125" bestFit="1" customWidth="1"/>
    <col min="15617" max="15617" width="12.7109375" customWidth="1"/>
    <col min="15618" max="15618" width="11.7109375" customWidth="1"/>
    <col min="15619" max="15619" width="12.7109375" customWidth="1"/>
    <col min="15620" max="15620" width="10" customWidth="1"/>
    <col min="15621" max="15621" width="12.7109375" customWidth="1"/>
    <col min="15872" max="15872" width="31.42578125" bestFit="1" customWidth="1"/>
    <col min="15873" max="15873" width="12.7109375" customWidth="1"/>
    <col min="15874" max="15874" width="11.7109375" customWidth="1"/>
    <col min="15875" max="15875" width="12.7109375" customWidth="1"/>
    <col min="15876" max="15876" width="10" customWidth="1"/>
    <col min="15877" max="15877" width="12.7109375" customWidth="1"/>
    <col min="16128" max="16128" width="31.42578125" bestFit="1" customWidth="1"/>
    <col min="16129" max="16129" width="12.7109375" customWidth="1"/>
    <col min="16130" max="16130" width="11.7109375" customWidth="1"/>
    <col min="16131" max="16131" width="12.7109375" customWidth="1"/>
    <col min="16132" max="16132" width="10" customWidth="1"/>
    <col min="16133" max="16133" width="12.7109375" customWidth="1"/>
  </cols>
  <sheetData>
    <row r="1" spans="1:14" x14ac:dyDescent="0.2">
      <c r="A1" s="63" t="s">
        <v>86</v>
      </c>
      <c r="B1" s="64" t="s">
        <v>64</v>
      </c>
      <c r="C1" s="64" t="s">
        <v>65</v>
      </c>
      <c r="D1" s="64" t="s">
        <v>163</v>
      </c>
      <c r="F1" s="64"/>
      <c r="G1" s="64"/>
    </row>
    <row r="2" spans="1:14" x14ac:dyDescent="0.2">
      <c r="A2" s="65" t="s">
        <v>41</v>
      </c>
      <c r="B2" s="66">
        <f>ROUND((Energy!$H$83),4)</f>
        <v>667971159.28460002</v>
      </c>
      <c r="C2" s="67"/>
      <c r="D2" s="107">
        <v>0.98092866786078092</v>
      </c>
    </row>
    <row r="3" spans="1:14" x14ac:dyDescent="0.2">
      <c r="A3" s="65" t="s">
        <v>42</v>
      </c>
      <c r="B3" s="66">
        <f>ROUND((Energy!$I$83),4)</f>
        <v>233070042.4016</v>
      </c>
      <c r="C3" s="67"/>
      <c r="D3" s="107">
        <v>0.84741264163513119</v>
      </c>
      <c r="F3" s="3"/>
      <c r="G3" s="57"/>
      <c r="H3" s="113"/>
    </row>
    <row r="4" spans="1:14" x14ac:dyDescent="0.2">
      <c r="A4" s="65" t="s">
        <v>43</v>
      </c>
      <c r="B4" s="66">
        <f>ROUND((Energy!$J$83),4)</f>
        <v>580053392.40789998</v>
      </c>
      <c r="C4" s="69">
        <f>ROUND((Load!$B$13),4)</f>
        <v>1541070.38</v>
      </c>
      <c r="D4" s="107">
        <v>0.14686416109839648</v>
      </c>
      <c r="E4" s="119"/>
      <c r="F4" s="118"/>
      <c r="G4" s="74"/>
    </row>
    <row r="5" spans="1:14" x14ac:dyDescent="0.2">
      <c r="A5" s="71" t="s">
        <v>161</v>
      </c>
      <c r="B5" s="66">
        <f>ROUND((Energy!$K$83),4)</f>
        <v>13352839.684599999</v>
      </c>
      <c r="C5" s="69">
        <f>ROUND((Load!$C$13),4)</f>
        <v>34080.072999999997</v>
      </c>
      <c r="D5" s="107">
        <v>0</v>
      </c>
      <c r="E5" s="119"/>
      <c r="F5" s="118" t="s">
        <v>180</v>
      </c>
      <c r="G5" s="182"/>
    </row>
    <row r="6" spans="1:14" x14ac:dyDescent="0.2">
      <c r="A6" s="71" t="s">
        <v>162</v>
      </c>
      <c r="B6" s="66">
        <f>ROUND((Energy!$L$83),4)</f>
        <v>209986862.70140001</v>
      </c>
      <c r="C6" s="69">
        <f>ROUND((Load!$D$13),4)</f>
        <v>499673.06400000001</v>
      </c>
      <c r="D6" s="107">
        <v>0</v>
      </c>
      <c r="E6" s="119"/>
      <c r="F6" s="118">
        <f>ROUND((B6*1.0351),4)</f>
        <v>217357401.58219999</v>
      </c>
      <c r="G6" s="182"/>
    </row>
    <row r="7" spans="1:14" x14ac:dyDescent="0.2">
      <c r="A7" s="65" t="s">
        <v>44</v>
      </c>
      <c r="B7" s="66">
        <f>ROUND((Energy!$M$83),4)</f>
        <v>34219938.542199999</v>
      </c>
      <c r="C7" s="69">
        <f>ROUND((Load!$E$13),4)</f>
        <v>68382.8269</v>
      </c>
      <c r="D7" s="107">
        <v>0</v>
      </c>
      <c r="E7" s="119"/>
      <c r="F7" s="118"/>
      <c r="G7" s="182"/>
      <c r="K7" s="70"/>
    </row>
    <row r="8" spans="1:14" x14ac:dyDescent="0.2">
      <c r="A8" s="65" t="s">
        <v>45</v>
      </c>
      <c r="B8" s="66">
        <f>ROUND((Energy!$N$83),4)</f>
        <v>7386896.2983999997</v>
      </c>
      <c r="C8" s="69">
        <f>ROUND((Load!$F$13),4)</f>
        <v>20613.041099999999</v>
      </c>
      <c r="D8" s="107">
        <v>1.270590326270077E-2</v>
      </c>
      <c r="F8" s="64"/>
      <c r="G8" s="145"/>
    </row>
    <row r="9" spans="1:14" x14ac:dyDescent="0.2">
      <c r="A9" s="65" t="s">
        <v>46</v>
      </c>
      <c r="B9" s="66">
        <f>ROUND((Energy!$O$83),4)</f>
        <v>4091277.5452000001</v>
      </c>
      <c r="C9" s="67"/>
      <c r="D9" s="107">
        <v>1</v>
      </c>
      <c r="F9" s="183"/>
      <c r="G9" s="145" t="s">
        <v>94</v>
      </c>
      <c r="I9" s="110"/>
    </row>
    <row r="10" spans="1:14" x14ac:dyDescent="0.2">
      <c r="A10" s="71" t="s">
        <v>60</v>
      </c>
      <c r="B10" s="66">
        <f>ROUND((ED!$C$13),4)</f>
        <v>19053029.030000001</v>
      </c>
      <c r="C10" s="69">
        <f>ROUND((ED!$B$13),4)</f>
        <v>43316.19</v>
      </c>
      <c r="D10" s="68">
        <v>0</v>
      </c>
      <c r="F10" s="183"/>
      <c r="G10" s="145" t="s">
        <v>95</v>
      </c>
      <c r="I10" s="110"/>
    </row>
    <row r="11" spans="1:14" x14ac:dyDescent="0.2">
      <c r="A11" s="72" t="s">
        <v>67</v>
      </c>
      <c r="B11" s="73">
        <f>ROUND((SUM(B2:B10)),4)</f>
        <v>1769185437.8959</v>
      </c>
      <c r="C11" s="73">
        <f>ROUND((SUM(C2:C10)),4)</f>
        <v>2207135.5750000002</v>
      </c>
      <c r="D11" s="73"/>
      <c r="F11" s="183"/>
      <c r="G11" s="145"/>
      <c r="I11" s="110"/>
    </row>
    <row r="12" spans="1:14" x14ac:dyDescent="0.2">
      <c r="B12" s="74"/>
      <c r="C12" s="74"/>
    </row>
    <row r="13" spans="1:14" x14ac:dyDescent="0.2">
      <c r="J13" s="148"/>
      <c r="K13" s="48"/>
    </row>
    <row r="14" spans="1:14" x14ac:dyDescent="0.2">
      <c r="A14" s="63" t="s">
        <v>164</v>
      </c>
      <c r="B14" s="216" t="s">
        <v>87</v>
      </c>
      <c r="C14" s="216" t="s">
        <v>165</v>
      </c>
      <c r="D14" s="75"/>
      <c r="E14" s="76"/>
      <c r="F14" s="77"/>
    </row>
    <row r="15" spans="1:14" x14ac:dyDescent="0.2">
      <c r="A15" s="78" t="s">
        <v>68</v>
      </c>
      <c r="B15" s="217"/>
      <c r="C15" s="218"/>
      <c r="D15" s="219">
        <v>2019</v>
      </c>
      <c r="E15" s="220"/>
      <c r="F15" s="221"/>
    </row>
    <row r="16" spans="1:14" x14ac:dyDescent="0.2">
      <c r="A16" s="65" t="str">
        <f>A2</f>
        <v xml:space="preserve">Residential </v>
      </c>
      <c r="B16" s="66">
        <f>+B2</f>
        <v>667971159.28460002</v>
      </c>
      <c r="C16" s="97">
        <v>1.0350999999999999</v>
      </c>
      <c r="D16" s="66">
        <f t="shared" ref="D16:D22" si="0">ROUND((B16*C16),4)</f>
        <v>691416946.97549999</v>
      </c>
      <c r="E16" s="98">
        <v>9.4299999999999995E-2</v>
      </c>
      <c r="F16" s="80">
        <f t="shared" ref="F16:F22" si="1">ROUND((D16*E16),2)</f>
        <v>65200618.100000001</v>
      </c>
      <c r="G16" s="116"/>
      <c r="H16" s="48"/>
      <c r="J16" s="111"/>
      <c r="L16" s="115"/>
      <c r="N16" s="115"/>
    </row>
    <row r="17" spans="1:14" x14ac:dyDescent="0.2">
      <c r="A17" s="65" t="str">
        <f>A3</f>
        <v>GS&lt;50 kW</v>
      </c>
      <c r="B17" s="66">
        <f>+B3</f>
        <v>233070042.4016</v>
      </c>
      <c r="C17" s="79">
        <f t="shared" ref="C17:C22" si="2">$C$16</f>
        <v>1.0350999999999999</v>
      </c>
      <c r="D17" s="66">
        <f t="shared" si="0"/>
        <v>241250800.8899</v>
      </c>
      <c r="E17" s="112">
        <f t="shared" ref="E17" si="3">E16</f>
        <v>9.4299999999999995E-2</v>
      </c>
      <c r="F17" s="80">
        <f t="shared" si="1"/>
        <v>22749950.52</v>
      </c>
      <c r="H17" s="114"/>
      <c r="J17" s="111"/>
      <c r="L17" s="115"/>
      <c r="N17" s="115"/>
    </row>
    <row r="18" spans="1:14" x14ac:dyDescent="0.2">
      <c r="A18" s="65" t="str">
        <f>A4</f>
        <v>GS&gt;50 kW</v>
      </c>
      <c r="B18" s="66">
        <f>+B4+B6</f>
        <v>790040255.10930002</v>
      </c>
      <c r="C18" s="79">
        <f t="shared" si="2"/>
        <v>1.0350999999999999</v>
      </c>
      <c r="D18" s="66">
        <f t="shared" si="0"/>
        <v>817770668.06359994</v>
      </c>
      <c r="E18" s="112">
        <v>9.1252511815409318E-2</v>
      </c>
      <c r="F18" s="80">
        <v>74116024.609999999</v>
      </c>
      <c r="H18" t="s">
        <v>93</v>
      </c>
      <c r="J18" s="111"/>
      <c r="L18" s="115"/>
      <c r="N18" s="115"/>
    </row>
    <row r="19" spans="1:14" x14ac:dyDescent="0.2">
      <c r="A19" s="65" t="str">
        <f>A7</f>
        <v>Large User</v>
      </c>
      <c r="B19" s="66">
        <f>+B7</f>
        <v>34219938.542199999</v>
      </c>
      <c r="C19" s="97">
        <v>1.0053000000000001</v>
      </c>
      <c r="D19" s="66">
        <f t="shared" si="0"/>
        <v>34401304.216499999</v>
      </c>
      <c r="E19" s="112">
        <v>2.4730598048260801E-2</v>
      </c>
      <c r="F19" s="80">
        <v>851796.87</v>
      </c>
      <c r="J19" s="110"/>
      <c r="L19" s="115"/>
      <c r="N19" s="115"/>
    </row>
    <row r="20" spans="1:14" x14ac:dyDescent="0.2">
      <c r="A20" s="65" t="str">
        <f>A8</f>
        <v xml:space="preserve">Streetlights </v>
      </c>
      <c r="B20" s="66">
        <f>+B8</f>
        <v>7386896.2983999997</v>
      </c>
      <c r="C20" s="79">
        <f t="shared" si="2"/>
        <v>1.0350999999999999</v>
      </c>
      <c r="D20" s="66">
        <f t="shared" si="0"/>
        <v>7646176.3585000001</v>
      </c>
      <c r="E20" s="112">
        <f>+E16</f>
        <v>9.4299999999999995E-2</v>
      </c>
      <c r="F20" s="80">
        <f t="shared" si="1"/>
        <v>721034.43</v>
      </c>
      <c r="L20" s="115"/>
      <c r="N20" s="115"/>
    </row>
    <row r="21" spans="1:14" x14ac:dyDescent="0.2">
      <c r="A21" s="65" t="str">
        <f>A9</f>
        <v>USL</v>
      </c>
      <c r="B21" s="66">
        <f>B9*D9</f>
        <v>4091277.5452000001</v>
      </c>
      <c r="C21" s="79">
        <f t="shared" si="2"/>
        <v>1.0350999999999999</v>
      </c>
      <c r="D21" s="66">
        <f t="shared" si="0"/>
        <v>4234881.3870000001</v>
      </c>
      <c r="E21" s="112">
        <f>+E16</f>
        <v>9.4299999999999995E-2</v>
      </c>
      <c r="F21" s="80">
        <f t="shared" si="1"/>
        <v>399349.31</v>
      </c>
      <c r="N21" s="115"/>
    </row>
    <row r="22" spans="1:14" x14ac:dyDescent="0.2">
      <c r="A22" s="65" t="str">
        <f>A10</f>
        <v>Embedded Distributor</v>
      </c>
      <c r="B22" s="66">
        <f>B10*D10</f>
        <v>0</v>
      </c>
      <c r="C22" s="79">
        <f t="shared" si="2"/>
        <v>1.0350999999999999</v>
      </c>
      <c r="D22" s="66">
        <f t="shared" si="0"/>
        <v>0</v>
      </c>
      <c r="E22" s="112">
        <f>+E16</f>
        <v>9.4299999999999995E-2</v>
      </c>
      <c r="F22" s="80">
        <f t="shared" si="1"/>
        <v>0</v>
      </c>
      <c r="L22" s="115"/>
      <c r="N22" s="115"/>
    </row>
    <row r="23" spans="1:14" x14ac:dyDescent="0.2">
      <c r="A23" s="72" t="s">
        <v>67</v>
      </c>
      <c r="B23" s="73">
        <f>SUM(B16:B21)</f>
        <v>1736779569.1813002</v>
      </c>
      <c r="C23" s="78"/>
      <c r="D23" s="73">
        <f>SUM(D16:D21)</f>
        <v>1796720777.891</v>
      </c>
      <c r="E23" s="81"/>
      <c r="F23" s="82">
        <f>ROUND((SUM(F16:F21)),2)</f>
        <v>164038773.84</v>
      </c>
      <c r="L23" s="115"/>
    </row>
    <row r="24" spans="1:14" x14ac:dyDescent="0.2">
      <c r="A24" s="83"/>
      <c r="B24" s="84"/>
      <c r="C24" s="41"/>
      <c r="D24" s="84"/>
      <c r="E24" s="85"/>
      <c r="F24" s="86"/>
      <c r="L24" s="115"/>
    </row>
    <row r="25" spans="1:14" x14ac:dyDescent="0.2">
      <c r="A25" s="87" t="s">
        <v>70</v>
      </c>
      <c r="B25" s="88"/>
      <c r="C25" s="89" t="s">
        <v>71</v>
      </c>
      <c r="D25" s="90"/>
      <c r="E25" s="91"/>
      <c r="F25" s="88"/>
    </row>
    <row r="26" spans="1:14" x14ac:dyDescent="0.2">
      <c r="A26" s="78" t="s">
        <v>69</v>
      </c>
      <c r="B26" s="93"/>
      <c r="C26" s="92" t="s">
        <v>72</v>
      </c>
      <c r="D26" s="211">
        <f>$D$15</f>
        <v>2019</v>
      </c>
      <c r="E26" s="212"/>
      <c r="F26" s="215"/>
    </row>
    <row r="27" spans="1:14" x14ac:dyDescent="0.2">
      <c r="A27" s="65" t="str">
        <f>+A16</f>
        <v xml:space="preserve">Residential </v>
      </c>
      <c r="B27" s="66"/>
      <c r="C27" s="79" t="s">
        <v>64</v>
      </c>
      <c r="D27" s="66">
        <f>D16</f>
        <v>691416946.97549999</v>
      </c>
      <c r="E27" s="94">
        <v>5.8999999999999999E-3</v>
      </c>
      <c r="F27" s="80">
        <f t="shared" ref="F27:F33" si="4">ROUND((D27*E27),2)</f>
        <v>4079359.99</v>
      </c>
      <c r="H27" s="48"/>
    </row>
    <row r="28" spans="1:14" x14ac:dyDescent="0.2">
      <c r="A28" s="65" t="str">
        <f t="shared" ref="A28:A32" si="5">+A17</f>
        <v>GS&lt;50 kW</v>
      </c>
      <c r="B28" s="66"/>
      <c r="C28" s="79" t="s">
        <v>64</v>
      </c>
      <c r="D28" s="66">
        <f>D17</f>
        <v>241250800.8899</v>
      </c>
      <c r="E28" s="94">
        <v>5.1000000000000004E-3</v>
      </c>
      <c r="F28" s="80">
        <f t="shared" si="4"/>
        <v>1230379.08</v>
      </c>
    </row>
    <row r="29" spans="1:14" x14ac:dyDescent="0.2">
      <c r="A29" s="65" t="str">
        <f t="shared" si="5"/>
        <v>GS&gt;50 kW</v>
      </c>
      <c r="B29" s="66"/>
      <c r="C29" s="79" t="s">
        <v>65</v>
      </c>
      <c r="D29" s="66">
        <f>+C4+C5+C6</f>
        <v>2074823.517</v>
      </c>
      <c r="E29" s="94">
        <v>2.7204999999999999</v>
      </c>
      <c r="F29" s="80">
        <f t="shared" si="4"/>
        <v>5644557.3799999999</v>
      </c>
      <c r="H29" s="48" t="s">
        <v>92</v>
      </c>
    </row>
    <row r="30" spans="1:14" x14ac:dyDescent="0.2">
      <c r="A30" s="65" t="str">
        <f t="shared" si="5"/>
        <v>Large User</v>
      </c>
      <c r="B30" s="66"/>
      <c r="C30" s="79" t="s">
        <v>65</v>
      </c>
      <c r="D30" s="66">
        <f>C7</f>
        <v>68382.8269</v>
      </c>
      <c r="E30" s="94">
        <v>2.5569000000000002</v>
      </c>
      <c r="F30" s="80">
        <f t="shared" si="4"/>
        <v>174848.05</v>
      </c>
    </row>
    <row r="31" spans="1:14" x14ac:dyDescent="0.2">
      <c r="A31" s="65" t="str">
        <f t="shared" si="5"/>
        <v xml:space="preserve">Streetlights </v>
      </c>
      <c r="B31" s="66"/>
      <c r="C31" s="79" t="s">
        <v>65</v>
      </c>
      <c r="D31" s="66">
        <f>C8</f>
        <v>20613.041099999999</v>
      </c>
      <c r="E31" s="94">
        <v>1.6543000000000001</v>
      </c>
      <c r="F31" s="80">
        <f t="shared" si="4"/>
        <v>34100.15</v>
      </c>
    </row>
    <row r="32" spans="1:14" x14ac:dyDescent="0.2">
      <c r="A32" s="65" t="str">
        <f t="shared" si="5"/>
        <v>USL</v>
      </c>
      <c r="B32" s="66"/>
      <c r="C32" s="79" t="s">
        <v>64</v>
      </c>
      <c r="D32" s="66">
        <f>D21</f>
        <v>4234881.3870000001</v>
      </c>
      <c r="E32" s="94">
        <v>5.1000000000000004E-3</v>
      </c>
      <c r="F32" s="80">
        <f t="shared" si="4"/>
        <v>21597.9</v>
      </c>
    </row>
    <row r="33" spans="1:8" x14ac:dyDescent="0.2">
      <c r="A33" s="95" t="str">
        <f>+A22</f>
        <v>Embedded Distributor</v>
      </c>
      <c r="B33" s="96"/>
      <c r="C33" s="97" t="s">
        <v>65</v>
      </c>
      <c r="D33" s="96">
        <f>+C10</f>
        <v>43316.19</v>
      </c>
      <c r="E33" s="98">
        <v>2.5649999999999999</v>
      </c>
      <c r="F33" s="99">
        <f t="shared" si="4"/>
        <v>111106.03</v>
      </c>
    </row>
    <row r="34" spans="1:8" x14ac:dyDescent="0.2">
      <c r="A34" s="72" t="s">
        <v>67</v>
      </c>
      <c r="B34" s="73"/>
      <c r="C34" s="78"/>
      <c r="D34" s="73"/>
      <c r="E34" s="81"/>
      <c r="F34" s="82">
        <f>ROUND((SUM(F27:F33)),2)</f>
        <v>11295948.58</v>
      </c>
    </row>
    <row r="36" spans="1:8" x14ac:dyDescent="0.2">
      <c r="A36" s="87" t="s">
        <v>73</v>
      </c>
      <c r="B36" s="88"/>
      <c r="C36" s="100" t="s">
        <v>71</v>
      </c>
      <c r="D36" s="90"/>
      <c r="E36" s="91"/>
      <c r="F36" s="88"/>
    </row>
    <row r="37" spans="1:8" x14ac:dyDescent="0.2">
      <c r="A37" s="78" t="s">
        <v>69</v>
      </c>
      <c r="B37" s="93"/>
      <c r="C37" s="101" t="s">
        <v>72</v>
      </c>
      <c r="D37" s="211">
        <f>$D$15</f>
        <v>2019</v>
      </c>
      <c r="E37" s="212"/>
      <c r="F37" s="215"/>
    </row>
    <row r="38" spans="1:8" x14ac:dyDescent="0.2">
      <c r="A38" s="65" t="str">
        <f>+A16</f>
        <v xml:space="preserve">Residential </v>
      </c>
      <c r="B38" s="66"/>
      <c r="C38" s="79" t="str">
        <f t="shared" ref="C38:D43" si="6">C27</f>
        <v>kWh</v>
      </c>
      <c r="D38" s="66">
        <f t="shared" si="6"/>
        <v>691416946.97549999</v>
      </c>
      <c r="E38" s="94">
        <v>1.6999999999999999E-3</v>
      </c>
      <c r="F38" s="80">
        <f t="shared" ref="F38:F44" si="7">ROUND((D38*E38),2)</f>
        <v>1175408.81</v>
      </c>
    </row>
    <row r="39" spans="1:8" x14ac:dyDescent="0.2">
      <c r="A39" s="65" t="str">
        <f t="shared" ref="A39:A44" si="8">+A17</f>
        <v>GS&lt;50 kW</v>
      </c>
      <c r="B39" s="66"/>
      <c r="C39" s="79" t="str">
        <f t="shared" si="6"/>
        <v>kWh</v>
      </c>
      <c r="D39" s="66">
        <f t="shared" si="6"/>
        <v>241250800.8899</v>
      </c>
      <c r="E39" s="94">
        <v>1.5E-3</v>
      </c>
      <c r="F39" s="80">
        <f t="shared" si="7"/>
        <v>361876.2</v>
      </c>
    </row>
    <row r="40" spans="1:8" x14ac:dyDescent="0.2">
      <c r="A40" s="65" t="str">
        <f t="shared" si="8"/>
        <v>GS&gt;50 kW</v>
      </c>
      <c r="B40" s="66"/>
      <c r="C40" s="79" t="str">
        <f t="shared" si="6"/>
        <v>kW</v>
      </c>
      <c r="D40" s="66">
        <f>D29</f>
        <v>2074823.517</v>
      </c>
      <c r="E40" s="94">
        <v>0.84489999999999998</v>
      </c>
      <c r="F40" s="80">
        <f t="shared" si="7"/>
        <v>1753018.39</v>
      </c>
      <c r="H40" s="48" t="s">
        <v>92</v>
      </c>
    </row>
    <row r="41" spans="1:8" x14ac:dyDescent="0.2">
      <c r="A41" s="65" t="str">
        <f t="shared" si="8"/>
        <v>Large User</v>
      </c>
      <c r="B41" s="66"/>
      <c r="C41" s="79" t="str">
        <f t="shared" si="6"/>
        <v>kW</v>
      </c>
      <c r="D41" s="66">
        <f t="shared" si="6"/>
        <v>68382.8269</v>
      </c>
      <c r="E41" s="94">
        <v>0.79430000000000001</v>
      </c>
      <c r="F41" s="80">
        <f t="shared" si="7"/>
        <v>54316.480000000003</v>
      </c>
    </row>
    <row r="42" spans="1:8" x14ac:dyDescent="0.2">
      <c r="A42" s="65" t="str">
        <f t="shared" si="8"/>
        <v xml:space="preserve">Streetlights </v>
      </c>
      <c r="B42" s="66"/>
      <c r="C42" s="79" t="str">
        <f t="shared" si="6"/>
        <v>kW</v>
      </c>
      <c r="D42" s="66">
        <f t="shared" si="6"/>
        <v>20613.041099999999</v>
      </c>
      <c r="E42" s="94">
        <v>0.51429999999999998</v>
      </c>
      <c r="F42" s="80">
        <f t="shared" si="7"/>
        <v>10601.29</v>
      </c>
    </row>
    <row r="43" spans="1:8" x14ac:dyDescent="0.2">
      <c r="A43" s="65" t="str">
        <f t="shared" si="8"/>
        <v>USL</v>
      </c>
      <c r="B43" s="66"/>
      <c r="C43" s="79" t="str">
        <f t="shared" si="6"/>
        <v>kWh</v>
      </c>
      <c r="D43" s="66">
        <f t="shared" si="6"/>
        <v>4234881.3870000001</v>
      </c>
      <c r="E43" s="94">
        <v>1.5E-3</v>
      </c>
      <c r="F43" s="80">
        <f t="shared" si="7"/>
        <v>6352.32</v>
      </c>
    </row>
    <row r="44" spans="1:8" x14ac:dyDescent="0.2">
      <c r="A44" s="95" t="str">
        <f t="shared" si="8"/>
        <v>Embedded Distributor</v>
      </c>
      <c r="B44" s="96"/>
      <c r="C44" s="97" t="s">
        <v>65</v>
      </c>
      <c r="D44" s="96">
        <f>D33</f>
        <v>43316.19</v>
      </c>
      <c r="E44" s="98">
        <v>0.79700000000000004</v>
      </c>
      <c r="F44" s="99">
        <f t="shared" si="7"/>
        <v>34523</v>
      </c>
    </row>
    <row r="45" spans="1:8" x14ac:dyDescent="0.2">
      <c r="A45" s="72" t="s">
        <v>67</v>
      </c>
      <c r="B45" s="73"/>
      <c r="C45" s="78"/>
      <c r="D45" s="73"/>
      <c r="E45" s="81"/>
      <c r="F45" s="82">
        <f>ROUND((SUM(F38:F44)),2)</f>
        <v>3396096.49</v>
      </c>
    </row>
    <row r="47" spans="1:8" x14ac:dyDescent="0.2">
      <c r="A47" s="87" t="s">
        <v>74</v>
      </c>
      <c r="B47" s="88"/>
      <c r="C47" s="89" t="s">
        <v>71</v>
      </c>
      <c r="D47" s="90"/>
      <c r="E47" s="91"/>
      <c r="F47" s="88"/>
    </row>
    <row r="48" spans="1:8" x14ac:dyDescent="0.2">
      <c r="A48" s="78" t="s">
        <v>69</v>
      </c>
      <c r="B48" s="93"/>
      <c r="C48" s="92" t="s">
        <v>72</v>
      </c>
      <c r="D48" s="211">
        <f>$D$15</f>
        <v>2019</v>
      </c>
      <c r="E48" s="212"/>
      <c r="F48" s="213"/>
    </row>
    <row r="49" spans="1:12" x14ac:dyDescent="0.2">
      <c r="A49" s="65" t="str">
        <f>+A16</f>
        <v xml:space="preserve">Residential </v>
      </c>
      <c r="B49" s="66"/>
      <c r="C49" s="79" t="s">
        <v>64</v>
      </c>
      <c r="D49" s="66">
        <f>+D16</f>
        <v>691416946.97549999</v>
      </c>
      <c r="E49" s="94">
        <v>3.0000000000000001E-3</v>
      </c>
      <c r="F49" s="80">
        <f t="shared" ref="F49:F55" si="9">ROUND((D49*E49),2)</f>
        <v>2074250.84</v>
      </c>
      <c r="L49" s="115"/>
    </row>
    <row r="50" spans="1:12" x14ac:dyDescent="0.2">
      <c r="A50" s="65" t="str">
        <f t="shared" ref="A50:A55" si="10">+A17</f>
        <v>GS&lt;50 kW</v>
      </c>
      <c r="B50" s="66"/>
      <c r="C50" s="79" t="s">
        <v>64</v>
      </c>
      <c r="D50" s="66">
        <f t="shared" ref="D50:D55" si="11">+D17</f>
        <v>241250800.8899</v>
      </c>
      <c r="E50" s="94">
        <f>+E49</f>
        <v>3.0000000000000001E-3</v>
      </c>
      <c r="F50" s="80">
        <f t="shared" si="9"/>
        <v>723752.4</v>
      </c>
      <c r="L50" s="115"/>
    </row>
    <row r="51" spans="1:12" x14ac:dyDescent="0.2">
      <c r="A51" s="65" t="str">
        <f t="shared" si="10"/>
        <v>GS&gt;50 kW</v>
      </c>
      <c r="B51" s="66"/>
      <c r="C51" s="79" t="s">
        <v>64</v>
      </c>
      <c r="D51" s="66">
        <f t="shared" si="11"/>
        <v>817770668.06359994</v>
      </c>
      <c r="E51" s="94">
        <f>+E49</f>
        <v>3.0000000000000001E-3</v>
      </c>
      <c r="F51" s="80">
        <f t="shared" si="9"/>
        <v>2453312</v>
      </c>
      <c r="H51" s="48" t="s">
        <v>93</v>
      </c>
      <c r="L51" s="115"/>
    </row>
    <row r="52" spans="1:12" x14ac:dyDescent="0.2">
      <c r="A52" s="65" t="str">
        <f t="shared" si="10"/>
        <v>Large User</v>
      </c>
      <c r="B52" s="66"/>
      <c r="C52" s="79" t="s">
        <v>64</v>
      </c>
      <c r="D52" s="66">
        <f t="shared" si="11"/>
        <v>34401304.216499999</v>
      </c>
      <c r="E52" s="94">
        <f>+E49</f>
        <v>3.0000000000000001E-3</v>
      </c>
      <c r="F52" s="80">
        <f t="shared" si="9"/>
        <v>103203.91</v>
      </c>
      <c r="L52" s="115"/>
    </row>
    <row r="53" spans="1:12" x14ac:dyDescent="0.2">
      <c r="A53" s="65" t="str">
        <f t="shared" si="10"/>
        <v xml:space="preserve">Streetlights </v>
      </c>
      <c r="B53" s="66"/>
      <c r="C53" s="79" t="s">
        <v>64</v>
      </c>
      <c r="D53" s="66">
        <f t="shared" si="11"/>
        <v>7646176.3585000001</v>
      </c>
      <c r="E53" s="94">
        <f>+E49</f>
        <v>3.0000000000000001E-3</v>
      </c>
      <c r="F53" s="80">
        <f t="shared" si="9"/>
        <v>22938.53</v>
      </c>
      <c r="L53" s="115"/>
    </row>
    <row r="54" spans="1:12" x14ac:dyDescent="0.2">
      <c r="A54" s="65" t="str">
        <f t="shared" si="10"/>
        <v>USL</v>
      </c>
      <c r="B54" s="66"/>
      <c r="C54" s="79" t="s">
        <v>64</v>
      </c>
      <c r="D54" s="66">
        <f t="shared" si="11"/>
        <v>4234881.3870000001</v>
      </c>
      <c r="E54" s="94">
        <f>+E49</f>
        <v>3.0000000000000001E-3</v>
      </c>
      <c r="F54" s="80">
        <f t="shared" si="9"/>
        <v>12704.64</v>
      </c>
      <c r="L54" s="115"/>
    </row>
    <row r="55" spans="1:12" x14ac:dyDescent="0.2">
      <c r="A55" s="71" t="str">
        <f t="shared" si="10"/>
        <v>Embedded Distributor</v>
      </c>
      <c r="B55" s="66"/>
      <c r="C55" s="79" t="s">
        <v>64</v>
      </c>
      <c r="D55" s="66">
        <f t="shared" si="11"/>
        <v>0</v>
      </c>
      <c r="E55" s="94">
        <f>+E49</f>
        <v>3.0000000000000001E-3</v>
      </c>
      <c r="F55" s="80">
        <f t="shared" si="9"/>
        <v>0</v>
      </c>
      <c r="L55" s="115"/>
    </row>
    <row r="56" spans="1:12" x14ac:dyDescent="0.2">
      <c r="A56" s="72" t="s">
        <v>67</v>
      </c>
      <c r="B56" s="73"/>
      <c r="C56" s="78"/>
      <c r="D56" s="73">
        <f>SUM(D49:D55)</f>
        <v>1796720777.891</v>
      </c>
      <c r="E56" s="81"/>
      <c r="F56" s="82">
        <f>ROUND((SUM(F49:F55)),2)</f>
        <v>5390162.3200000003</v>
      </c>
    </row>
    <row r="58" spans="1:12" x14ac:dyDescent="0.2">
      <c r="A58" s="87" t="s">
        <v>84</v>
      </c>
      <c r="B58" s="88"/>
      <c r="C58" s="89" t="s">
        <v>71</v>
      </c>
      <c r="D58" s="90"/>
      <c r="E58" s="91"/>
      <c r="F58" s="88"/>
    </row>
    <row r="59" spans="1:12" x14ac:dyDescent="0.2">
      <c r="A59" s="78" t="s">
        <v>69</v>
      </c>
      <c r="B59" s="93"/>
      <c r="C59" s="92" t="s">
        <v>72</v>
      </c>
      <c r="D59" s="211">
        <f>$D$15</f>
        <v>2019</v>
      </c>
      <c r="E59" s="212"/>
      <c r="F59" s="213"/>
    </row>
    <row r="60" spans="1:12" x14ac:dyDescent="0.2">
      <c r="A60" s="65" t="str">
        <f>+A16</f>
        <v xml:space="preserve">Residential </v>
      </c>
      <c r="B60" s="66"/>
      <c r="C60" s="79" t="s">
        <v>64</v>
      </c>
      <c r="D60" s="66">
        <f>+D49</f>
        <v>691416946.97549999</v>
      </c>
      <c r="E60" s="94">
        <v>4.0000000000000002E-4</v>
      </c>
      <c r="F60" s="80">
        <f t="shared" ref="F60:F66" si="12">ROUND((D60*E60),2)</f>
        <v>276566.78000000003</v>
      </c>
    </row>
    <row r="61" spans="1:12" x14ac:dyDescent="0.2">
      <c r="A61" s="65" t="str">
        <f t="shared" ref="A61:A66" si="13">+A17</f>
        <v>GS&lt;50 kW</v>
      </c>
      <c r="B61" s="66"/>
      <c r="C61" s="79" t="s">
        <v>64</v>
      </c>
      <c r="D61" s="66">
        <f>+D50</f>
        <v>241250800.8899</v>
      </c>
      <c r="E61" s="94">
        <f>+E60</f>
        <v>4.0000000000000002E-4</v>
      </c>
      <c r="F61" s="80">
        <f t="shared" si="12"/>
        <v>96500.32</v>
      </c>
    </row>
    <row r="62" spans="1:12" x14ac:dyDescent="0.2">
      <c r="A62" s="65" t="str">
        <f t="shared" si="13"/>
        <v>GS&gt;50 kW</v>
      </c>
      <c r="B62" s="66"/>
      <c r="C62" s="79" t="s">
        <v>64</v>
      </c>
      <c r="D62" s="66">
        <f>+D51-F6</f>
        <v>600413266.48140001</v>
      </c>
      <c r="E62" s="94">
        <f>+E60</f>
        <v>4.0000000000000002E-4</v>
      </c>
      <c r="F62" s="80">
        <f t="shared" si="12"/>
        <v>240165.31</v>
      </c>
      <c r="H62" s="48" t="s">
        <v>93</v>
      </c>
    </row>
    <row r="63" spans="1:12" x14ac:dyDescent="0.2">
      <c r="A63" s="65" t="str">
        <f t="shared" si="13"/>
        <v>Large User</v>
      </c>
      <c r="B63" s="66"/>
      <c r="C63" s="79" t="s">
        <v>64</v>
      </c>
      <c r="D63" s="66">
        <v>0</v>
      </c>
      <c r="E63" s="94">
        <f>+E60</f>
        <v>4.0000000000000002E-4</v>
      </c>
      <c r="F63" s="80">
        <f t="shared" si="12"/>
        <v>0</v>
      </c>
      <c r="H63" t="s">
        <v>175</v>
      </c>
    </row>
    <row r="64" spans="1:12" x14ac:dyDescent="0.2">
      <c r="A64" s="65" t="str">
        <f t="shared" si="13"/>
        <v xml:space="preserve">Streetlights </v>
      </c>
      <c r="B64" s="66"/>
      <c r="C64" s="79" t="s">
        <v>64</v>
      </c>
      <c r="D64" s="66">
        <f>+D53</f>
        <v>7646176.3585000001</v>
      </c>
      <c r="E64" s="94">
        <f>+E60</f>
        <v>4.0000000000000002E-4</v>
      </c>
      <c r="F64" s="80">
        <f t="shared" si="12"/>
        <v>3058.47</v>
      </c>
    </row>
    <row r="65" spans="1:8" x14ac:dyDescent="0.2">
      <c r="A65" s="65" t="str">
        <f t="shared" si="13"/>
        <v>USL</v>
      </c>
      <c r="B65" s="66"/>
      <c r="C65" s="79" t="s">
        <v>64</v>
      </c>
      <c r="D65" s="66">
        <f>+D54</f>
        <v>4234881.3870000001</v>
      </c>
      <c r="E65" s="94">
        <f>+E60</f>
        <v>4.0000000000000002E-4</v>
      </c>
      <c r="F65" s="80">
        <f t="shared" si="12"/>
        <v>1693.95</v>
      </c>
    </row>
    <row r="66" spans="1:8" x14ac:dyDescent="0.2">
      <c r="A66" s="71" t="str">
        <f t="shared" si="13"/>
        <v>Embedded Distributor</v>
      </c>
      <c r="B66" s="66"/>
      <c r="C66" s="79" t="s">
        <v>64</v>
      </c>
      <c r="D66" s="66">
        <f>+D55</f>
        <v>0</v>
      </c>
      <c r="E66" s="94">
        <f>+E60</f>
        <v>4.0000000000000002E-4</v>
      </c>
      <c r="F66" s="80">
        <f t="shared" si="12"/>
        <v>0</v>
      </c>
    </row>
    <row r="67" spans="1:8" x14ac:dyDescent="0.2">
      <c r="A67" s="72" t="s">
        <v>67</v>
      </c>
      <c r="B67" s="73"/>
      <c r="C67" s="78"/>
      <c r="D67" s="73">
        <f>SUM(D60:D66)</f>
        <v>1544962072.0922999</v>
      </c>
      <c r="E67" s="81"/>
      <c r="F67" s="82">
        <f>ROUND((SUM(F60:F66)),2)</f>
        <v>617984.82999999996</v>
      </c>
    </row>
    <row r="69" spans="1:8" x14ac:dyDescent="0.2">
      <c r="A69" s="87" t="s">
        <v>75</v>
      </c>
      <c r="B69" s="88"/>
      <c r="C69" s="89" t="s">
        <v>71</v>
      </c>
      <c r="D69" s="90"/>
      <c r="E69" s="91"/>
      <c r="F69" s="88"/>
    </row>
    <row r="70" spans="1:8" x14ac:dyDescent="0.2">
      <c r="A70" s="78" t="s">
        <v>69</v>
      </c>
      <c r="B70" s="93"/>
      <c r="C70" s="92" t="s">
        <v>72</v>
      </c>
      <c r="D70" s="214">
        <f>$D$15</f>
        <v>2019</v>
      </c>
      <c r="E70" s="212"/>
      <c r="F70" s="215"/>
    </row>
    <row r="71" spans="1:8" x14ac:dyDescent="0.2">
      <c r="A71" s="65" t="str">
        <f>+A16</f>
        <v xml:space="preserve">Residential </v>
      </c>
      <c r="B71" s="66"/>
      <c r="C71" s="79" t="s">
        <v>64</v>
      </c>
      <c r="D71" s="66">
        <f t="shared" ref="D71:D77" si="14">D49</f>
        <v>691416946.97549999</v>
      </c>
      <c r="E71" s="94">
        <v>5.0000000000000001E-4</v>
      </c>
      <c r="F71" s="80">
        <f t="shared" ref="F71:F77" si="15">ROUND((D71*E71),2)</f>
        <v>345708.47</v>
      </c>
    </row>
    <row r="72" spans="1:8" x14ac:dyDescent="0.2">
      <c r="A72" s="65" t="str">
        <f t="shared" ref="A72:A77" si="16">+A17</f>
        <v>GS&lt;50 kW</v>
      </c>
      <c r="B72" s="66"/>
      <c r="C72" s="79" t="s">
        <v>64</v>
      </c>
      <c r="D72" s="66">
        <f t="shared" si="14"/>
        <v>241250800.8899</v>
      </c>
      <c r="E72" s="94">
        <f>+E71</f>
        <v>5.0000000000000001E-4</v>
      </c>
      <c r="F72" s="80">
        <f t="shared" si="15"/>
        <v>120625.4</v>
      </c>
      <c r="H72" s="48"/>
    </row>
    <row r="73" spans="1:8" x14ac:dyDescent="0.2">
      <c r="A73" s="65" t="str">
        <f t="shared" si="16"/>
        <v>GS&gt;50 kW</v>
      </c>
      <c r="B73" s="66"/>
      <c r="C73" s="79" t="s">
        <v>64</v>
      </c>
      <c r="D73" s="66">
        <f t="shared" si="14"/>
        <v>817770668.06359994</v>
      </c>
      <c r="E73" s="94">
        <f>+E71</f>
        <v>5.0000000000000001E-4</v>
      </c>
      <c r="F73" s="80">
        <f t="shared" si="15"/>
        <v>408885.33</v>
      </c>
      <c r="H73" s="48" t="s">
        <v>93</v>
      </c>
    </row>
    <row r="74" spans="1:8" x14ac:dyDescent="0.2">
      <c r="A74" s="65" t="str">
        <f t="shared" si="16"/>
        <v>Large User</v>
      </c>
      <c r="B74" s="66"/>
      <c r="C74" s="79" t="s">
        <v>64</v>
      </c>
      <c r="D74" s="66">
        <f t="shared" si="14"/>
        <v>34401304.216499999</v>
      </c>
      <c r="E74" s="94">
        <f>+E71</f>
        <v>5.0000000000000001E-4</v>
      </c>
      <c r="F74" s="80">
        <f t="shared" si="15"/>
        <v>17200.650000000001</v>
      </c>
    </row>
    <row r="75" spans="1:8" x14ac:dyDescent="0.2">
      <c r="A75" s="65" t="str">
        <f t="shared" si="16"/>
        <v xml:space="preserve">Streetlights </v>
      </c>
      <c r="B75" s="66"/>
      <c r="C75" s="79" t="s">
        <v>64</v>
      </c>
      <c r="D75" s="66">
        <f t="shared" si="14"/>
        <v>7646176.3585000001</v>
      </c>
      <c r="E75" s="94">
        <f>+E71</f>
        <v>5.0000000000000001E-4</v>
      </c>
      <c r="F75" s="80">
        <f t="shared" si="15"/>
        <v>3823.09</v>
      </c>
    </row>
    <row r="76" spans="1:8" x14ac:dyDescent="0.2">
      <c r="A76" s="65" t="str">
        <f t="shared" si="16"/>
        <v>USL</v>
      </c>
      <c r="B76" s="66"/>
      <c r="C76" s="79" t="s">
        <v>64</v>
      </c>
      <c r="D76" s="66">
        <f t="shared" si="14"/>
        <v>4234881.3870000001</v>
      </c>
      <c r="E76" s="94">
        <f>+E71</f>
        <v>5.0000000000000001E-4</v>
      </c>
      <c r="F76" s="80">
        <f t="shared" si="15"/>
        <v>2117.44</v>
      </c>
    </row>
    <row r="77" spans="1:8" x14ac:dyDescent="0.2">
      <c r="A77" s="71" t="str">
        <f t="shared" si="16"/>
        <v>Embedded Distributor</v>
      </c>
      <c r="B77" s="66"/>
      <c r="C77" s="79" t="s">
        <v>64</v>
      </c>
      <c r="D77" s="66">
        <f t="shared" si="14"/>
        <v>0</v>
      </c>
      <c r="E77" s="94">
        <f>+E71</f>
        <v>5.0000000000000001E-4</v>
      </c>
      <c r="F77" s="80">
        <f t="shared" si="15"/>
        <v>0</v>
      </c>
    </row>
    <row r="78" spans="1:8" x14ac:dyDescent="0.2">
      <c r="A78" s="72" t="s">
        <v>67</v>
      </c>
      <c r="B78" s="73"/>
      <c r="C78" s="78"/>
      <c r="D78" s="73">
        <f>SUM(D71:D77)</f>
        <v>1796720777.891</v>
      </c>
      <c r="E78" s="81"/>
      <c r="F78" s="82">
        <f>ROUND((SUM(F71:F77)),2)</f>
        <v>898360.38</v>
      </c>
    </row>
    <row r="80" spans="1:8" x14ac:dyDescent="0.2">
      <c r="A80" s="87" t="s">
        <v>76</v>
      </c>
      <c r="B80" s="88"/>
      <c r="C80" s="100"/>
      <c r="D80" s="90"/>
      <c r="E80" s="91"/>
      <c r="F80" s="88"/>
    </row>
    <row r="81" spans="1:6" x14ac:dyDescent="0.2">
      <c r="A81" s="78" t="s">
        <v>69</v>
      </c>
      <c r="B81" s="93"/>
      <c r="C81" s="101"/>
      <c r="D81" s="214">
        <f>$D$15</f>
        <v>2019</v>
      </c>
      <c r="E81" s="212"/>
      <c r="F81" s="215"/>
    </row>
    <row r="82" spans="1:6" x14ac:dyDescent="0.2">
      <c r="A82" s="65" t="str">
        <f>+A16</f>
        <v xml:space="preserve">Residential </v>
      </c>
      <c r="B82" s="66"/>
      <c r="C82" s="79"/>
      <c r="D82" s="66">
        <f>ROUND((Customer!B14*12),0)</f>
        <v>1063428</v>
      </c>
      <c r="E82" s="94">
        <v>0.56999999999999995</v>
      </c>
      <c r="F82" s="80">
        <f>ROUND((D82*E82),2)</f>
        <v>606153.96</v>
      </c>
    </row>
    <row r="83" spans="1:6" x14ac:dyDescent="0.2">
      <c r="A83" s="65" t="str">
        <f>A17</f>
        <v>GS&lt;50 kW</v>
      </c>
      <c r="B83" s="66"/>
      <c r="C83" s="79"/>
      <c r="D83" s="66">
        <f>ROUND((Customer!C14*12),0)</f>
        <v>96708</v>
      </c>
      <c r="E83" s="94">
        <f>+E82</f>
        <v>0.56999999999999995</v>
      </c>
      <c r="F83" s="80">
        <f>ROUND((D83*E83),2)</f>
        <v>55123.56</v>
      </c>
    </row>
    <row r="84" spans="1:6" x14ac:dyDescent="0.2">
      <c r="A84" s="72" t="s">
        <v>67</v>
      </c>
      <c r="B84" s="73"/>
      <c r="C84" s="78"/>
      <c r="D84" s="73">
        <f>SUM(D82:D83)</f>
        <v>1160136</v>
      </c>
      <c r="E84" s="81"/>
      <c r="F84" s="82">
        <f>ROUND((SUM(F82:F83)),2)</f>
        <v>661277.52</v>
      </c>
    </row>
    <row r="85" spans="1:6" x14ac:dyDescent="0.2">
      <c r="A85" s="102"/>
      <c r="B85" s="103">
        <f>$D$15</f>
        <v>2019</v>
      </c>
    </row>
    <row r="86" spans="1:6" x14ac:dyDescent="0.2">
      <c r="A86" s="104" t="s">
        <v>77</v>
      </c>
      <c r="B86" s="105">
        <f>F23</f>
        <v>164038773.84</v>
      </c>
    </row>
    <row r="87" spans="1:6" x14ac:dyDescent="0.2">
      <c r="A87" s="104" t="s">
        <v>78</v>
      </c>
      <c r="B87" s="105">
        <f>F56+F67</f>
        <v>6008147.1500000004</v>
      </c>
    </row>
    <row r="88" spans="1:6" x14ac:dyDescent="0.2">
      <c r="A88" s="104" t="s">
        <v>79</v>
      </c>
      <c r="B88" s="105">
        <f>F34</f>
        <v>11295948.58</v>
      </c>
    </row>
    <row r="89" spans="1:6" x14ac:dyDescent="0.2">
      <c r="A89" s="104" t="s">
        <v>80</v>
      </c>
      <c r="B89" s="105">
        <f>F45</f>
        <v>3396096.49</v>
      </c>
    </row>
    <row r="90" spans="1:6" x14ac:dyDescent="0.2">
      <c r="A90" s="104" t="s">
        <v>167</v>
      </c>
      <c r="B90" s="105">
        <f>F78</f>
        <v>898360.38</v>
      </c>
    </row>
    <row r="91" spans="1:6" x14ac:dyDescent="0.2">
      <c r="A91" s="106" t="s">
        <v>81</v>
      </c>
      <c r="B91" s="105">
        <f>+F84</f>
        <v>661277.52</v>
      </c>
    </row>
    <row r="92" spans="1:6" x14ac:dyDescent="0.2">
      <c r="A92" s="75" t="s">
        <v>67</v>
      </c>
      <c r="B92" s="82">
        <f>SUM(B86:B91)</f>
        <v>186298603.96000004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49" bottom="0.44" header="0.3" footer="0.3"/>
  <pageSetup scale="61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B1C2-4CBB-4925-B9C1-0153DB9E2E70}">
  <sheetPr>
    <pageSetUpPr fitToPage="1"/>
  </sheetPr>
  <dimension ref="A1:N92"/>
  <sheetViews>
    <sheetView topLeftCell="A61" workbookViewId="0">
      <selection sqref="A1:F92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28515625" customWidth="1"/>
    <col min="6" max="6" width="12.7109375" customWidth="1"/>
    <col min="7" max="7" width="12.28515625" bestFit="1" customWidth="1"/>
    <col min="8" max="8" width="11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4" x14ac:dyDescent="0.2">
      <c r="A1" s="63" t="s">
        <v>88</v>
      </c>
      <c r="B1" s="64" t="s">
        <v>64</v>
      </c>
      <c r="C1" s="64" t="s">
        <v>65</v>
      </c>
      <c r="D1" s="64" t="s">
        <v>163</v>
      </c>
      <c r="F1" s="64"/>
      <c r="G1" s="64"/>
    </row>
    <row r="2" spans="1:14" x14ac:dyDescent="0.2">
      <c r="A2" s="65" t="s">
        <v>41</v>
      </c>
      <c r="B2" s="66">
        <f>ROUND((Energy!$H$84),4)</f>
        <v>679044339.15369999</v>
      </c>
      <c r="C2" s="67"/>
      <c r="D2" s="107">
        <v>0.98092866786078092</v>
      </c>
    </row>
    <row r="3" spans="1:14" x14ac:dyDescent="0.2">
      <c r="A3" s="65" t="s">
        <v>42</v>
      </c>
      <c r="B3" s="66">
        <f>ROUND((Energy!$I$84),4)</f>
        <v>233306992.50170001</v>
      </c>
      <c r="C3" s="67"/>
      <c r="D3" s="107">
        <v>0.84741264163513119</v>
      </c>
      <c r="F3" s="3"/>
      <c r="G3" s="57"/>
      <c r="H3" s="113"/>
    </row>
    <row r="4" spans="1:14" x14ac:dyDescent="0.2">
      <c r="A4" s="65" t="s">
        <v>43</v>
      </c>
      <c r="B4" s="66">
        <f>ROUND((Energy!$J$84),4)</f>
        <v>559012966.26209998</v>
      </c>
      <c r="C4" s="69">
        <f>ROUND((Load!$B$14),4)</f>
        <v>1485170.7371</v>
      </c>
      <c r="D4" s="107">
        <v>0.14686416109839648</v>
      </c>
      <c r="E4" s="119"/>
      <c r="F4" s="74"/>
      <c r="G4" s="74"/>
    </row>
    <row r="5" spans="1:14" x14ac:dyDescent="0.2">
      <c r="A5" s="71" t="s">
        <v>161</v>
      </c>
      <c r="B5" s="66">
        <f>ROUND((Energy!$K$84),4)</f>
        <v>12395896.2084</v>
      </c>
      <c r="C5" s="69">
        <f>ROUND((Load!$C$14),4)</f>
        <v>34080.072999999997</v>
      </c>
      <c r="D5" s="107">
        <v>0</v>
      </c>
      <c r="E5" s="119"/>
      <c r="F5" s="74" t="s">
        <v>180</v>
      </c>
      <c r="G5" s="74"/>
    </row>
    <row r="6" spans="1:14" x14ac:dyDescent="0.2">
      <c r="A6" s="71" t="s">
        <v>162</v>
      </c>
      <c r="B6" s="66">
        <f>ROUND((Energy!$L$84),4)</f>
        <v>211246783.87819999</v>
      </c>
      <c r="C6" s="69">
        <f>ROUND((Load!$D$14),4)</f>
        <v>502671.10230000003</v>
      </c>
      <c r="D6" s="107">
        <v>0</v>
      </c>
      <c r="E6" s="119"/>
      <c r="F6" s="74">
        <f>ROUND((B6*1.0322),4)</f>
        <v>218048930.31909999</v>
      </c>
      <c r="G6" s="74"/>
    </row>
    <row r="7" spans="1:14" x14ac:dyDescent="0.2">
      <c r="A7" s="65" t="s">
        <v>44</v>
      </c>
      <c r="B7" s="66">
        <f>ROUND((Energy!$M$84),4)</f>
        <v>35092546.975000001</v>
      </c>
      <c r="C7" s="69">
        <f>ROUND((Load!$E$14),4)</f>
        <v>70126.589000000007</v>
      </c>
      <c r="D7" s="107">
        <v>0</v>
      </c>
      <c r="E7" s="119"/>
      <c r="F7" s="74"/>
      <c r="G7" s="74"/>
      <c r="K7" s="70"/>
    </row>
    <row r="8" spans="1:14" x14ac:dyDescent="0.2">
      <c r="A8" s="65" t="s">
        <v>45</v>
      </c>
      <c r="B8" s="66">
        <f>ROUND((Energy!$N$84),4)</f>
        <v>7307481.5936000003</v>
      </c>
      <c r="C8" s="69">
        <f>ROUND((Load!$F$14),4)</f>
        <v>20391.435300000001</v>
      </c>
      <c r="D8" s="107">
        <v>1.270590326270077E-2</v>
      </c>
      <c r="F8" s="64"/>
    </row>
    <row r="9" spans="1:14" x14ac:dyDescent="0.2">
      <c r="A9" s="65" t="s">
        <v>46</v>
      </c>
      <c r="B9" s="66">
        <f>ROUND((Energy!$O$84),4)</f>
        <v>4173586.84</v>
      </c>
      <c r="C9" s="67"/>
      <c r="D9" s="107">
        <v>1</v>
      </c>
      <c r="F9" s="115"/>
      <c r="G9" s="48"/>
    </row>
    <row r="10" spans="1:14" x14ac:dyDescent="0.2">
      <c r="A10" s="71" t="s">
        <v>60</v>
      </c>
      <c r="B10" s="66">
        <f>ROUND((ED!C14),4)</f>
        <v>19053029.030000001</v>
      </c>
      <c r="C10" s="69">
        <f>ROUND((ED!$B$14),4)</f>
        <v>43316.19</v>
      </c>
      <c r="D10" s="68">
        <v>0</v>
      </c>
      <c r="F10" s="115"/>
      <c r="G10" s="48"/>
    </row>
    <row r="11" spans="1:14" x14ac:dyDescent="0.2">
      <c r="A11" s="72" t="s">
        <v>67</v>
      </c>
      <c r="B11" s="73">
        <f>ROUND((SUM(B2:B10)),4)</f>
        <v>1760633622.4426999</v>
      </c>
      <c r="C11" s="73">
        <f>ROUND((SUM(C2:C10)),4)</f>
        <v>2155756.1266999999</v>
      </c>
      <c r="D11" s="73"/>
      <c r="F11" s="115"/>
      <c r="G11" s="48"/>
    </row>
    <row r="12" spans="1:14" x14ac:dyDescent="0.2">
      <c r="B12" s="74"/>
      <c r="C12" s="74"/>
    </row>
    <row r="14" spans="1:14" x14ac:dyDescent="0.2">
      <c r="A14" s="63" t="s">
        <v>164</v>
      </c>
      <c r="B14" s="216" t="s">
        <v>89</v>
      </c>
      <c r="C14" s="216" t="s">
        <v>166</v>
      </c>
      <c r="D14" s="75"/>
      <c r="E14" s="76"/>
      <c r="F14" s="77"/>
    </row>
    <row r="15" spans="1:14" x14ac:dyDescent="0.2">
      <c r="A15" s="78" t="s">
        <v>68</v>
      </c>
      <c r="B15" s="217"/>
      <c r="C15" s="218"/>
      <c r="D15" s="219">
        <v>2020</v>
      </c>
      <c r="E15" s="220"/>
      <c r="F15" s="221"/>
    </row>
    <row r="16" spans="1:14" x14ac:dyDescent="0.2">
      <c r="A16" s="65" t="str">
        <f>A2</f>
        <v xml:space="preserve">Residential </v>
      </c>
      <c r="B16" s="66">
        <f>+B2</f>
        <v>679044339.15369999</v>
      </c>
      <c r="C16" s="97">
        <v>1.0348999999999999</v>
      </c>
      <c r="D16" s="66">
        <f>ROUND((B16*C16),4)</f>
        <v>702742986.59019995</v>
      </c>
      <c r="E16" s="98">
        <v>9.4299999999999995E-2</v>
      </c>
      <c r="F16" s="80">
        <f>ROUND((D16*E16),2)</f>
        <v>66268663.640000001</v>
      </c>
      <c r="G16" s="115"/>
      <c r="H16" s="115"/>
      <c r="J16" s="111"/>
      <c r="L16" s="115"/>
      <c r="N16" s="115"/>
    </row>
    <row r="17" spans="1:14" x14ac:dyDescent="0.2">
      <c r="A17" s="65" t="str">
        <f>A3</f>
        <v>GS&lt;50 kW</v>
      </c>
      <c r="B17" s="66">
        <f>+B3</f>
        <v>233306992.50170001</v>
      </c>
      <c r="C17" s="79">
        <f t="shared" ref="C17:C22" si="0">$C$16</f>
        <v>1.0348999999999999</v>
      </c>
      <c r="D17" s="66">
        <f t="shared" ref="D17:D22" si="1">ROUND((B17*C17),4)</f>
        <v>241449406.53999999</v>
      </c>
      <c r="E17" s="112">
        <f t="shared" ref="E17" si="2">E16</f>
        <v>9.4299999999999995E-2</v>
      </c>
      <c r="F17" s="80">
        <f t="shared" ref="F17:F22" si="3">ROUND((D17*E17),2)</f>
        <v>22768679.039999999</v>
      </c>
      <c r="J17" s="111"/>
      <c r="L17" s="115"/>
      <c r="N17" s="115"/>
    </row>
    <row r="18" spans="1:14" x14ac:dyDescent="0.2">
      <c r="A18" s="65" t="str">
        <f>A4</f>
        <v>GS&gt;50 kW</v>
      </c>
      <c r="B18" s="66">
        <f>+B4+B6</f>
        <v>770259750.14030004</v>
      </c>
      <c r="C18" s="79">
        <f t="shared" si="0"/>
        <v>1.0348999999999999</v>
      </c>
      <c r="D18" s="66">
        <f t="shared" si="1"/>
        <v>797141815.42019999</v>
      </c>
      <c r="E18" s="112">
        <v>9.1260462545496357E-2</v>
      </c>
      <c r="F18" s="80">
        <f>ROUND((D18*E18),2)</f>
        <v>72747530.790000007</v>
      </c>
      <c r="J18" s="111"/>
      <c r="L18" s="115"/>
      <c r="N18" s="115"/>
    </row>
    <row r="19" spans="1:14" x14ac:dyDescent="0.2">
      <c r="A19" s="65" t="str">
        <f t="shared" ref="A19:A22" si="4">A7</f>
        <v>Large User</v>
      </c>
      <c r="B19" s="66">
        <f>+B7</f>
        <v>35092546.975000001</v>
      </c>
      <c r="C19" s="97">
        <v>1.0053000000000001</v>
      </c>
      <c r="D19" s="66">
        <f t="shared" si="1"/>
        <v>35278537.473999999</v>
      </c>
      <c r="E19" s="112">
        <v>2.4730598048260801E-2</v>
      </c>
      <c r="F19" s="80">
        <f t="shared" si="3"/>
        <v>872459.33</v>
      </c>
      <c r="J19" s="110"/>
      <c r="L19" s="115"/>
      <c r="N19" s="115"/>
    </row>
    <row r="20" spans="1:14" x14ac:dyDescent="0.2">
      <c r="A20" s="65" t="str">
        <f t="shared" si="4"/>
        <v xml:space="preserve">Streetlights </v>
      </c>
      <c r="B20" s="66">
        <f>+B8</f>
        <v>7307481.5936000003</v>
      </c>
      <c r="C20" s="79">
        <f t="shared" si="0"/>
        <v>1.0348999999999999</v>
      </c>
      <c r="D20" s="66">
        <f t="shared" si="1"/>
        <v>7562512.7012</v>
      </c>
      <c r="E20" s="112">
        <f>+E16</f>
        <v>9.4299999999999995E-2</v>
      </c>
      <c r="F20" s="80">
        <f t="shared" si="3"/>
        <v>713144.95</v>
      </c>
      <c r="L20" s="115"/>
      <c r="N20" s="115"/>
    </row>
    <row r="21" spans="1:14" x14ac:dyDescent="0.2">
      <c r="A21" s="65" t="str">
        <f t="shared" si="4"/>
        <v>USL</v>
      </c>
      <c r="B21" s="66">
        <f t="shared" ref="B21:B22" si="5">B9*D9</f>
        <v>4173586.84</v>
      </c>
      <c r="C21" s="79">
        <f t="shared" si="0"/>
        <v>1.0348999999999999</v>
      </c>
      <c r="D21" s="66">
        <f t="shared" si="1"/>
        <v>4319245.0207000002</v>
      </c>
      <c r="E21" s="112">
        <f>E16</f>
        <v>9.4299999999999995E-2</v>
      </c>
      <c r="F21" s="80">
        <f t="shared" si="3"/>
        <v>407304.81</v>
      </c>
      <c r="L21" s="115"/>
      <c r="N21" s="115"/>
    </row>
    <row r="22" spans="1:14" x14ac:dyDescent="0.2">
      <c r="A22" s="65" t="str">
        <f t="shared" si="4"/>
        <v>Embedded Distributor</v>
      </c>
      <c r="B22" s="66">
        <f t="shared" si="5"/>
        <v>0</v>
      </c>
      <c r="C22" s="79">
        <f t="shared" si="0"/>
        <v>1.0348999999999999</v>
      </c>
      <c r="D22" s="66">
        <f t="shared" si="1"/>
        <v>0</v>
      </c>
      <c r="E22" s="112">
        <f>E16</f>
        <v>9.4299999999999995E-2</v>
      </c>
      <c r="F22" s="80">
        <f t="shared" si="3"/>
        <v>0</v>
      </c>
      <c r="L22" s="115"/>
      <c r="N22" s="115"/>
    </row>
    <row r="23" spans="1:14" x14ac:dyDescent="0.2">
      <c r="A23" s="72" t="s">
        <v>67</v>
      </c>
      <c r="B23" s="73">
        <f>SUM(B16:B21)</f>
        <v>1729184697.2042999</v>
      </c>
      <c r="C23" s="78"/>
      <c r="D23" s="73">
        <f>ROUND((SUM(D16:D21)),4)</f>
        <v>1788494503.7463</v>
      </c>
      <c r="E23" s="81"/>
      <c r="F23" s="82">
        <f>ROUND((SUM(F16:F21)),2)</f>
        <v>163777782.56</v>
      </c>
      <c r="L23" s="115"/>
    </row>
    <row r="24" spans="1:14" x14ac:dyDescent="0.2">
      <c r="D24" s="70"/>
    </row>
    <row r="25" spans="1:14" x14ac:dyDescent="0.2">
      <c r="A25" s="87" t="s">
        <v>70</v>
      </c>
      <c r="B25" s="88"/>
      <c r="C25" s="89" t="s">
        <v>71</v>
      </c>
      <c r="D25" s="90"/>
      <c r="E25" s="91"/>
      <c r="F25" s="88"/>
    </row>
    <row r="26" spans="1:14" x14ac:dyDescent="0.2">
      <c r="A26" s="78" t="s">
        <v>69</v>
      </c>
      <c r="B26" s="93"/>
      <c r="C26" s="92" t="s">
        <v>72</v>
      </c>
      <c r="D26" s="211">
        <f>$D$15</f>
        <v>2020</v>
      </c>
      <c r="E26" s="212"/>
      <c r="F26" s="215"/>
    </row>
    <row r="27" spans="1:14" x14ac:dyDescent="0.2">
      <c r="A27" s="65" t="str">
        <f>+A16</f>
        <v xml:space="preserve">Residential </v>
      </c>
      <c r="B27" s="66"/>
      <c r="C27" s="79" t="s">
        <v>64</v>
      </c>
      <c r="D27" s="66">
        <f>D16</f>
        <v>702742986.59019995</v>
      </c>
      <c r="E27" s="94">
        <f>ROUND((0.00613697927588184),4)</f>
        <v>6.1000000000000004E-3</v>
      </c>
      <c r="F27" s="80">
        <f t="shared" ref="F27:F33" si="6">ROUND((D27*E27),2)</f>
        <v>4286732.22</v>
      </c>
      <c r="H27" s="48"/>
    </row>
    <row r="28" spans="1:14" x14ac:dyDescent="0.2">
      <c r="A28" s="65" t="str">
        <f t="shared" ref="A28:A33" si="7">+A17</f>
        <v>GS&lt;50 kW</v>
      </c>
      <c r="B28" s="66"/>
      <c r="C28" s="79" t="s">
        <v>64</v>
      </c>
      <c r="D28" s="66">
        <f>D17</f>
        <v>241449406.53999999</v>
      </c>
      <c r="E28" s="94">
        <f>ROUND((0.00530484651196029),4)</f>
        <v>5.3E-3</v>
      </c>
      <c r="F28" s="80">
        <f t="shared" si="6"/>
        <v>1279681.8500000001</v>
      </c>
    </row>
    <row r="29" spans="1:14" x14ac:dyDescent="0.2">
      <c r="A29" s="65" t="str">
        <f t="shared" si="7"/>
        <v>GS&gt;50 kW</v>
      </c>
      <c r="B29" s="66"/>
      <c r="C29" s="79" t="s">
        <v>65</v>
      </c>
      <c r="D29" s="66">
        <f>+C4+C5+C6</f>
        <v>2021921.9124000003</v>
      </c>
      <c r="E29" s="94">
        <f>ROUND((2.8297715456094),4)</f>
        <v>2.8298000000000001</v>
      </c>
      <c r="F29" s="80">
        <f t="shared" si="6"/>
        <v>5721634.6299999999</v>
      </c>
      <c r="H29" s="48" t="s">
        <v>92</v>
      </c>
    </row>
    <row r="30" spans="1:14" x14ac:dyDescent="0.2">
      <c r="A30" s="65" t="str">
        <f t="shared" si="7"/>
        <v>Large User</v>
      </c>
      <c r="B30" s="66"/>
      <c r="C30" s="79" t="s">
        <v>65</v>
      </c>
      <c r="D30" s="66">
        <f>C7</f>
        <v>70126.589000000007</v>
      </c>
      <c r="E30" s="94">
        <f>ROUND((2.65960031905633),4)</f>
        <v>2.6596000000000002</v>
      </c>
      <c r="F30" s="80">
        <f t="shared" si="6"/>
        <v>186508.68</v>
      </c>
    </row>
    <row r="31" spans="1:14" x14ac:dyDescent="0.2">
      <c r="A31" s="65" t="str">
        <f t="shared" si="7"/>
        <v xml:space="preserve">Streetlights </v>
      </c>
      <c r="B31" s="66"/>
      <c r="C31" s="79" t="s">
        <v>65</v>
      </c>
      <c r="D31" s="66">
        <f>C8</f>
        <v>20391.435300000001</v>
      </c>
      <c r="E31" s="94">
        <f>ROUND((1.72074654260113),4)</f>
        <v>1.7206999999999999</v>
      </c>
      <c r="F31" s="80">
        <f t="shared" si="6"/>
        <v>35087.54</v>
      </c>
    </row>
    <row r="32" spans="1:14" x14ac:dyDescent="0.2">
      <c r="A32" s="65" t="str">
        <f t="shared" si="7"/>
        <v>USL</v>
      </c>
      <c r="B32" s="66"/>
      <c r="C32" s="79" t="s">
        <v>64</v>
      </c>
      <c r="D32" s="66">
        <f>D21</f>
        <v>4319245.0207000002</v>
      </c>
      <c r="E32" s="94">
        <f>ROUND((0.00530484641458397),4)</f>
        <v>5.3E-3</v>
      </c>
      <c r="F32" s="80">
        <f t="shared" si="6"/>
        <v>22892</v>
      </c>
    </row>
    <row r="33" spans="1:8" x14ac:dyDescent="0.2">
      <c r="A33" s="95" t="str">
        <f t="shared" si="7"/>
        <v>Embedded Distributor</v>
      </c>
      <c r="B33" s="96"/>
      <c r="C33" s="97" t="s">
        <v>65</v>
      </c>
      <c r="D33" s="96">
        <f>+C10</f>
        <v>43316.19</v>
      </c>
      <c r="E33" s="98">
        <f>ROUND((2.66802546395928),4)</f>
        <v>2.6680000000000001</v>
      </c>
      <c r="F33" s="99">
        <f t="shared" si="6"/>
        <v>115567.59</v>
      </c>
    </row>
    <row r="34" spans="1:8" x14ac:dyDescent="0.2">
      <c r="A34" s="72" t="s">
        <v>67</v>
      </c>
      <c r="B34" s="73"/>
      <c r="C34" s="78"/>
      <c r="D34" s="73"/>
      <c r="E34" s="81"/>
      <c r="F34" s="82">
        <f>ROUND((SUM(F27:F33)),2)</f>
        <v>11648104.51</v>
      </c>
    </row>
    <row r="36" spans="1:8" x14ac:dyDescent="0.2">
      <c r="A36" s="87" t="s">
        <v>73</v>
      </c>
      <c r="B36" s="88"/>
      <c r="C36" s="100" t="s">
        <v>71</v>
      </c>
      <c r="D36" s="90"/>
      <c r="E36" s="91"/>
      <c r="F36" s="88"/>
    </row>
    <row r="37" spans="1:8" x14ac:dyDescent="0.2">
      <c r="A37" s="78" t="s">
        <v>69</v>
      </c>
      <c r="B37" s="93"/>
      <c r="C37" s="101" t="s">
        <v>72</v>
      </c>
      <c r="D37" s="211">
        <f>$D$15</f>
        <v>2020</v>
      </c>
      <c r="E37" s="212"/>
      <c r="F37" s="215"/>
    </row>
    <row r="38" spans="1:8" x14ac:dyDescent="0.2">
      <c r="A38" s="65" t="str">
        <f>+A16</f>
        <v xml:space="preserve">Residential </v>
      </c>
      <c r="B38" s="66"/>
      <c r="C38" s="79" t="str">
        <f t="shared" ref="C38:D43" si="8">C27</f>
        <v>kWh</v>
      </c>
      <c r="D38" s="66">
        <f t="shared" si="8"/>
        <v>702742986.59019995</v>
      </c>
      <c r="E38" s="112">
        <f>ROUND((0.00170039331487917),4)</f>
        <v>1.6999999999999999E-3</v>
      </c>
      <c r="F38" s="80">
        <f t="shared" ref="F38:F44" si="9">ROUND((D38*E38),2)</f>
        <v>1194663.08</v>
      </c>
    </row>
    <row r="39" spans="1:8" x14ac:dyDescent="0.2">
      <c r="A39" s="65" t="str">
        <f t="shared" ref="A39:A44" si="10">+A17</f>
        <v>GS&lt;50 kW</v>
      </c>
      <c r="B39" s="66"/>
      <c r="C39" s="79" t="str">
        <f t="shared" si="8"/>
        <v>kWh</v>
      </c>
      <c r="D39" s="66">
        <f t="shared" si="8"/>
        <v>241449406.53999999</v>
      </c>
      <c r="E39" s="94">
        <f>ROUND((0.00150034702396375),4)</f>
        <v>1.5E-3</v>
      </c>
      <c r="F39" s="80">
        <f t="shared" si="9"/>
        <v>362174.11</v>
      </c>
    </row>
    <row r="40" spans="1:8" x14ac:dyDescent="0.2">
      <c r="A40" s="65" t="str">
        <f t="shared" si="10"/>
        <v>GS&gt;50 kW</v>
      </c>
      <c r="B40" s="66"/>
      <c r="C40" s="79" t="str">
        <f t="shared" si="8"/>
        <v>kW</v>
      </c>
      <c r="D40" s="66">
        <f>D29</f>
        <v>2021921.9124000003</v>
      </c>
      <c r="E40" s="94">
        <f>ROUND((0.845095477484139),4)</f>
        <v>0.84509999999999996</v>
      </c>
      <c r="F40" s="80">
        <f t="shared" si="9"/>
        <v>1708726.21</v>
      </c>
      <c r="H40" s="48" t="s">
        <v>92</v>
      </c>
    </row>
    <row r="41" spans="1:8" x14ac:dyDescent="0.2">
      <c r="A41" s="65" t="str">
        <f t="shared" si="10"/>
        <v>Large User</v>
      </c>
      <c r="B41" s="66"/>
      <c r="C41" s="79" t="str">
        <f t="shared" si="8"/>
        <v>kW</v>
      </c>
      <c r="D41" s="66">
        <f t="shared" si="8"/>
        <v>70126.589000000007</v>
      </c>
      <c r="E41" s="94">
        <f>ROUND((0.794483802559181),4)</f>
        <v>0.79449999999999998</v>
      </c>
      <c r="F41" s="80">
        <f t="shared" si="9"/>
        <v>55715.57</v>
      </c>
    </row>
    <row r="42" spans="1:8" x14ac:dyDescent="0.2">
      <c r="A42" s="65" t="str">
        <f t="shared" si="10"/>
        <v xml:space="preserve">Streetlights </v>
      </c>
      <c r="B42" s="66"/>
      <c r="C42" s="79" t="str">
        <f t="shared" si="8"/>
        <v>kW</v>
      </c>
      <c r="D42" s="66">
        <f t="shared" si="8"/>
        <v>20391.435300000001</v>
      </c>
      <c r="E42" s="94">
        <f>ROUND((0.514418792183765),4)</f>
        <v>0.51439999999999997</v>
      </c>
      <c r="F42" s="80">
        <f t="shared" si="9"/>
        <v>10489.35</v>
      </c>
    </row>
    <row r="43" spans="1:8" x14ac:dyDescent="0.2">
      <c r="A43" s="65" t="str">
        <f t="shared" si="10"/>
        <v>USL</v>
      </c>
      <c r="B43" s="66"/>
      <c r="C43" s="79" t="str">
        <f t="shared" si="8"/>
        <v>kWh</v>
      </c>
      <c r="D43" s="66">
        <f t="shared" si="8"/>
        <v>4319245.0207000002</v>
      </c>
      <c r="E43" s="94">
        <f>ROUND((0.00150034784128535),4)</f>
        <v>1.5E-3</v>
      </c>
      <c r="F43" s="80">
        <f t="shared" si="9"/>
        <v>6478.87</v>
      </c>
    </row>
    <row r="44" spans="1:8" x14ac:dyDescent="0.2">
      <c r="A44" s="95" t="str">
        <f t="shared" si="10"/>
        <v>Embedded Distributor</v>
      </c>
      <c r="B44" s="96"/>
      <c r="C44" s="97" t="s">
        <v>65</v>
      </c>
      <c r="D44" s="96">
        <f>D33</f>
        <v>43316.19</v>
      </c>
      <c r="E44" s="98">
        <f>ROUND((0.797184170658885),4)</f>
        <v>0.79720000000000002</v>
      </c>
      <c r="F44" s="99">
        <f t="shared" si="9"/>
        <v>34531.67</v>
      </c>
    </row>
    <row r="45" spans="1:8" x14ac:dyDescent="0.2">
      <c r="A45" s="72" t="s">
        <v>67</v>
      </c>
      <c r="B45" s="73"/>
      <c r="C45" s="78"/>
      <c r="D45" s="73"/>
      <c r="E45" s="81"/>
      <c r="F45" s="82">
        <f>ROUND((SUM(F38:F44)),2)</f>
        <v>3372778.86</v>
      </c>
    </row>
    <row r="47" spans="1:8" x14ac:dyDescent="0.2">
      <c r="A47" s="87" t="s">
        <v>74</v>
      </c>
      <c r="B47" s="88"/>
      <c r="C47" s="89" t="s">
        <v>71</v>
      </c>
      <c r="D47" s="90"/>
      <c r="E47" s="91"/>
      <c r="F47" s="88"/>
    </row>
    <row r="48" spans="1:8" x14ac:dyDescent="0.2">
      <c r="A48" s="78" t="s">
        <v>69</v>
      </c>
      <c r="B48" s="93"/>
      <c r="C48" s="92" t="s">
        <v>72</v>
      </c>
      <c r="D48" s="211">
        <f>$D$15</f>
        <v>2020</v>
      </c>
      <c r="E48" s="212"/>
      <c r="F48" s="213"/>
    </row>
    <row r="49" spans="1:12" x14ac:dyDescent="0.2">
      <c r="A49" s="65" t="str">
        <f>+A16</f>
        <v xml:space="preserve">Residential </v>
      </c>
      <c r="B49" s="66"/>
      <c r="C49" s="79" t="s">
        <v>64</v>
      </c>
      <c r="D49" s="66">
        <f>D16</f>
        <v>702742986.59019995</v>
      </c>
      <c r="E49" s="94">
        <v>3.0000000000000001E-3</v>
      </c>
      <c r="F49" s="80">
        <f t="shared" ref="F49:F55" si="11">ROUND((D49*E49),2)</f>
        <v>2108228.96</v>
      </c>
      <c r="L49" s="115"/>
    </row>
    <row r="50" spans="1:12" x14ac:dyDescent="0.2">
      <c r="A50" s="65" t="str">
        <f t="shared" ref="A50:A55" si="12">+A17</f>
        <v>GS&lt;50 kW</v>
      </c>
      <c r="B50" s="66"/>
      <c r="C50" s="79" t="s">
        <v>64</v>
      </c>
      <c r="D50" s="66">
        <f>D17</f>
        <v>241449406.53999999</v>
      </c>
      <c r="E50" s="94">
        <f>+E49</f>
        <v>3.0000000000000001E-3</v>
      </c>
      <c r="F50" s="80">
        <f t="shared" si="11"/>
        <v>724348.22</v>
      </c>
      <c r="L50" s="115"/>
    </row>
    <row r="51" spans="1:12" x14ac:dyDescent="0.2">
      <c r="A51" s="65" t="str">
        <f t="shared" si="12"/>
        <v>GS&gt;50 kW</v>
      </c>
      <c r="B51" s="66"/>
      <c r="C51" s="79" t="s">
        <v>64</v>
      </c>
      <c r="D51" s="66">
        <f>+D18</f>
        <v>797141815.42019999</v>
      </c>
      <c r="E51" s="94">
        <f>+E49</f>
        <v>3.0000000000000001E-3</v>
      </c>
      <c r="F51" s="80">
        <f t="shared" si="11"/>
        <v>2391425.4500000002</v>
      </c>
      <c r="H51" s="48" t="s">
        <v>93</v>
      </c>
      <c r="L51" s="115"/>
    </row>
    <row r="52" spans="1:12" x14ac:dyDescent="0.2">
      <c r="A52" s="65" t="str">
        <f t="shared" si="12"/>
        <v>Large User</v>
      </c>
      <c r="B52" s="66"/>
      <c r="C52" s="79" t="s">
        <v>64</v>
      </c>
      <c r="D52" s="66">
        <f>D19</f>
        <v>35278537.473999999</v>
      </c>
      <c r="E52" s="94">
        <f>+E49</f>
        <v>3.0000000000000001E-3</v>
      </c>
      <c r="F52" s="80">
        <f t="shared" si="11"/>
        <v>105835.61</v>
      </c>
      <c r="L52" s="115"/>
    </row>
    <row r="53" spans="1:12" x14ac:dyDescent="0.2">
      <c r="A53" s="65" t="str">
        <f t="shared" si="12"/>
        <v xml:space="preserve">Streetlights </v>
      </c>
      <c r="B53" s="66"/>
      <c r="C53" s="79" t="s">
        <v>64</v>
      </c>
      <c r="D53" s="66">
        <f>D20</f>
        <v>7562512.7012</v>
      </c>
      <c r="E53" s="94">
        <f>+E49</f>
        <v>3.0000000000000001E-3</v>
      </c>
      <c r="F53" s="80">
        <f t="shared" si="11"/>
        <v>22687.54</v>
      </c>
      <c r="L53" s="115"/>
    </row>
    <row r="54" spans="1:12" x14ac:dyDescent="0.2">
      <c r="A54" s="65" t="str">
        <f t="shared" si="12"/>
        <v>USL</v>
      </c>
      <c r="B54" s="66"/>
      <c r="C54" s="79" t="s">
        <v>64</v>
      </c>
      <c r="D54" s="66">
        <f>D21</f>
        <v>4319245.0207000002</v>
      </c>
      <c r="E54" s="94">
        <f>+E49</f>
        <v>3.0000000000000001E-3</v>
      </c>
      <c r="F54" s="80">
        <f t="shared" si="11"/>
        <v>12957.74</v>
      </c>
      <c r="L54" s="115"/>
    </row>
    <row r="55" spans="1:12" x14ac:dyDescent="0.2">
      <c r="A55" s="71" t="str">
        <f t="shared" si="12"/>
        <v>Embedded Distributor</v>
      </c>
      <c r="B55" s="66"/>
      <c r="C55" s="79" t="s">
        <v>64</v>
      </c>
      <c r="D55" s="66">
        <f>D22</f>
        <v>0</v>
      </c>
      <c r="E55" s="94">
        <f>+E49</f>
        <v>3.0000000000000001E-3</v>
      </c>
      <c r="F55" s="80">
        <f t="shared" si="11"/>
        <v>0</v>
      </c>
    </row>
    <row r="56" spans="1:12" x14ac:dyDescent="0.2">
      <c r="A56" s="72" t="s">
        <v>67</v>
      </c>
      <c r="B56" s="73"/>
      <c r="C56" s="78"/>
      <c r="D56" s="73">
        <f>SUM(D49:D55)</f>
        <v>1788494503.7462997</v>
      </c>
      <c r="E56" s="81"/>
      <c r="F56" s="82">
        <f>SUM(F49:F55)</f>
        <v>5365483.5200000005</v>
      </c>
    </row>
    <row r="58" spans="1:12" x14ac:dyDescent="0.2">
      <c r="A58" s="87" t="s">
        <v>84</v>
      </c>
      <c r="B58" s="88"/>
      <c r="C58" s="89" t="s">
        <v>71</v>
      </c>
      <c r="D58" s="90"/>
      <c r="E58" s="91"/>
      <c r="F58" s="88"/>
    </row>
    <row r="59" spans="1:12" x14ac:dyDescent="0.2">
      <c r="A59" s="78" t="s">
        <v>69</v>
      </c>
      <c r="B59" s="93"/>
      <c r="C59" s="92" t="s">
        <v>72</v>
      </c>
      <c r="D59" s="211">
        <f>$D$15</f>
        <v>2020</v>
      </c>
      <c r="E59" s="212"/>
      <c r="F59" s="213"/>
    </row>
    <row r="60" spans="1:12" x14ac:dyDescent="0.2">
      <c r="A60" s="65" t="str">
        <f>+A16</f>
        <v xml:space="preserve">Residential </v>
      </c>
      <c r="B60" s="66"/>
      <c r="C60" s="79" t="s">
        <v>64</v>
      </c>
      <c r="D60" s="66">
        <f>+D49</f>
        <v>702742986.59019995</v>
      </c>
      <c r="E60" s="94">
        <v>4.0000000000000002E-4</v>
      </c>
      <c r="F60" s="80">
        <f t="shared" ref="F60:F66" si="13">ROUND((D60*E60),2)</f>
        <v>281097.19</v>
      </c>
    </row>
    <row r="61" spans="1:12" x14ac:dyDescent="0.2">
      <c r="A61" s="65" t="str">
        <f t="shared" ref="A61:A66" si="14">+A17</f>
        <v>GS&lt;50 kW</v>
      </c>
      <c r="B61" s="66"/>
      <c r="C61" s="79" t="s">
        <v>64</v>
      </c>
      <c r="D61" s="66">
        <f>+D50</f>
        <v>241449406.53999999</v>
      </c>
      <c r="E61" s="94">
        <f>+E60</f>
        <v>4.0000000000000002E-4</v>
      </c>
      <c r="F61" s="80">
        <f t="shared" si="13"/>
        <v>96579.76</v>
      </c>
    </row>
    <row r="62" spans="1:12" x14ac:dyDescent="0.2">
      <c r="A62" s="65" t="str">
        <f t="shared" si="14"/>
        <v>GS&gt;50 kW</v>
      </c>
      <c r="B62" s="66"/>
      <c r="C62" s="79" t="s">
        <v>64</v>
      </c>
      <c r="D62" s="66">
        <f>+D51-F6</f>
        <v>579092885.10109997</v>
      </c>
      <c r="E62" s="94">
        <f>+E60</f>
        <v>4.0000000000000002E-4</v>
      </c>
      <c r="F62" s="80">
        <f t="shared" si="13"/>
        <v>231637.15</v>
      </c>
      <c r="H62" s="48" t="s">
        <v>93</v>
      </c>
    </row>
    <row r="63" spans="1:12" x14ac:dyDescent="0.2">
      <c r="A63" s="65" t="str">
        <f t="shared" si="14"/>
        <v>Large User</v>
      </c>
      <c r="B63" s="66"/>
      <c r="C63" s="79" t="s">
        <v>64</v>
      </c>
      <c r="D63" s="66">
        <v>0</v>
      </c>
      <c r="E63" s="94">
        <f>+E60</f>
        <v>4.0000000000000002E-4</v>
      </c>
      <c r="F63" s="80">
        <f t="shared" si="13"/>
        <v>0</v>
      </c>
      <c r="H63" t="s">
        <v>175</v>
      </c>
    </row>
    <row r="64" spans="1:12" x14ac:dyDescent="0.2">
      <c r="A64" s="65" t="str">
        <f t="shared" si="14"/>
        <v xml:space="preserve">Streetlights </v>
      </c>
      <c r="B64" s="66"/>
      <c r="C64" s="79" t="s">
        <v>64</v>
      </c>
      <c r="D64" s="66">
        <f>+D53</f>
        <v>7562512.7012</v>
      </c>
      <c r="E64" s="94">
        <f>+E60</f>
        <v>4.0000000000000002E-4</v>
      </c>
      <c r="F64" s="80">
        <f t="shared" si="13"/>
        <v>3025.01</v>
      </c>
    </row>
    <row r="65" spans="1:8" x14ac:dyDescent="0.2">
      <c r="A65" s="65" t="str">
        <f t="shared" si="14"/>
        <v>USL</v>
      </c>
      <c r="B65" s="66"/>
      <c r="C65" s="79" t="s">
        <v>64</v>
      </c>
      <c r="D65" s="66">
        <f>+D54</f>
        <v>4319245.0207000002</v>
      </c>
      <c r="E65" s="94">
        <f>+E60</f>
        <v>4.0000000000000002E-4</v>
      </c>
      <c r="F65" s="80">
        <f t="shared" si="13"/>
        <v>1727.7</v>
      </c>
    </row>
    <row r="66" spans="1:8" x14ac:dyDescent="0.2">
      <c r="A66" s="71" t="str">
        <f t="shared" si="14"/>
        <v>Embedded Distributor</v>
      </c>
      <c r="B66" s="66"/>
      <c r="C66" s="79" t="s">
        <v>64</v>
      </c>
      <c r="D66" s="66">
        <f>+D55</f>
        <v>0</v>
      </c>
      <c r="E66" s="94">
        <f>+E60</f>
        <v>4.0000000000000002E-4</v>
      </c>
      <c r="F66" s="80">
        <f t="shared" si="13"/>
        <v>0</v>
      </c>
    </row>
    <row r="67" spans="1:8" x14ac:dyDescent="0.2">
      <c r="A67" s="72" t="s">
        <v>67</v>
      </c>
      <c r="B67" s="73"/>
      <c r="C67" s="78"/>
      <c r="D67" s="73">
        <f>SUM(D60:D66)</f>
        <v>1535167035.9531999</v>
      </c>
      <c r="E67" s="81"/>
      <c r="F67" s="82">
        <f>SUM(F60:F66)</f>
        <v>614066.80999999994</v>
      </c>
    </row>
    <row r="69" spans="1:8" x14ac:dyDescent="0.2">
      <c r="A69" s="87" t="s">
        <v>75</v>
      </c>
      <c r="B69" s="88"/>
      <c r="C69" s="89" t="s">
        <v>71</v>
      </c>
      <c r="D69" s="90"/>
      <c r="E69" s="91"/>
      <c r="F69" s="88"/>
    </row>
    <row r="70" spans="1:8" x14ac:dyDescent="0.2">
      <c r="A70" s="78" t="s">
        <v>69</v>
      </c>
      <c r="B70" s="93"/>
      <c r="C70" s="92" t="s">
        <v>72</v>
      </c>
      <c r="D70" s="214">
        <f>$D$15</f>
        <v>2020</v>
      </c>
      <c r="E70" s="212"/>
      <c r="F70" s="215"/>
    </row>
    <row r="71" spans="1:8" x14ac:dyDescent="0.2">
      <c r="A71" s="65" t="str">
        <f>+A16</f>
        <v xml:space="preserve">Residential </v>
      </c>
      <c r="B71" s="66"/>
      <c r="C71" s="79" t="s">
        <v>64</v>
      </c>
      <c r="D71" s="66">
        <f t="shared" ref="D71:D77" si="15">D49</f>
        <v>702742986.59019995</v>
      </c>
      <c r="E71" s="94">
        <v>5.0000000000000001E-4</v>
      </c>
      <c r="F71" s="80">
        <f t="shared" ref="F71:F77" si="16">ROUND((D71*E71),2)</f>
        <v>351371.49</v>
      </c>
    </row>
    <row r="72" spans="1:8" x14ac:dyDescent="0.2">
      <c r="A72" s="65" t="str">
        <f t="shared" ref="A72:A77" si="17">+A17</f>
        <v>GS&lt;50 kW</v>
      </c>
      <c r="B72" s="66"/>
      <c r="C72" s="79" t="s">
        <v>64</v>
      </c>
      <c r="D72" s="66">
        <f t="shared" si="15"/>
        <v>241449406.53999999</v>
      </c>
      <c r="E72" s="94">
        <f>+E71</f>
        <v>5.0000000000000001E-4</v>
      </c>
      <c r="F72" s="80">
        <f t="shared" si="16"/>
        <v>120724.7</v>
      </c>
      <c r="H72" s="48"/>
    </row>
    <row r="73" spans="1:8" x14ac:dyDescent="0.2">
      <c r="A73" s="65" t="str">
        <f t="shared" si="17"/>
        <v>GS&gt;50 kW</v>
      </c>
      <c r="B73" s="66"/>
      <c r="C73" s="79" t="s">
        <v>64</v>
      </c>
      <c r="D73" s="66">
        <f t="shared" si="15"/>
        <v>797141815.42019999</v>
      </c>
      <c r="E73" s="94">
        <f>+E71</f>
        <v>5.0000000000000001E-4</v>
      </c>
      <c r="F73" s="80">
        <f t="shared" si="16"/>
        <v>398570.91</v>
      </c>
      <c r="H73" s="48" t="s">
        <v>93</v>
      </c>
    </row>
    <row r="74" spans="1:8" x14ac:dyDescent="0.2">
      <c r="A74" s="65" t="str">
        <f t="shared" si="17"/>
        <v>Large User</v>
      </c>
      <c r="B74" s="66"/>
      <c r="C74" s="79" t="s">
        <v>64</v>
      </c>
      <c r="D74" s="66">
        <f t="shared" si="15"/>
        <v>35278537.473999999</v>
      </c>
      <c r="E74" s="94">
        <f>+E71</f>
        <v>5.0000000000000001E-4</v>
      </c>
      <c r="F74" s="80">
        <f t="shared" si="16"/>
        <v>17639.27</v>
      </c>
    </row>
    <row r="75" spans="1:8" x14ac:dyDescent="0.2">
      <c r="A75" s="65" t="str">
        <f t="shared" si="17"/>
        <v xml:space="preserve">Streetlights </v>
      </c>
      <c r="B75" s="66"/>
      <c r="C75" s="79" t="s">
        <v>64</v>
      </c>
      <c r="D75" s="66">
        <f t="shared" si="15"/>
        <v>7562512.7012</v>
      </c>
      <c r="E75" s="94">
        <f>+E71</f>
        <v>5.0000000000000001E-4</v>
      </c>
      <c r="F75" s="80">
        <f t="shared" si="16"/>
        <v>3781.26</v>
      </c>
    </row>
    <row r="76" spans="1:8" x14ac:dyDescent="0.2">
      <c r="A76" s="65" t="str">
        <f t="shared" si="17"/>
        <v>USL</v>
      </c>
      <c r="B76" s="66"/>
      <c r="C76" s="79" t="s">
        <v>64</v>
      </c>
      <c r="D76" s="66">
        <f t="shared" si="15"/>
        <v>4319245.0207000002</v>
      </c>
      <c r="E76" s="94">
        <f>+E71</f>
        <v>5.0000000000000001E-4</v>
      </c>
      <c r="F76" s="80">
        <f t="shared" si="16"/>
        <v>2159.62</v>
      </c>
    </row>
    <row r="77" spans="1:8" x14ac:dyDescent="0.2">
      <c r="A77" s="71" t="str">
        <f t="shared" si="17"/>
        <v>Embedded Distributor</v>
      </c>
      <c r="B77" s="66"/>
      <c r="C77" s="79" t="s">
        <v>64</v>
      </c>
      <c r="D77" s="66">
        <f t="shared" si="15"/>
        <v>0</v>
      </c>
      <c r="E77" s="94">
        <f>+E71</f>
        <v>5.0000000000000001E-4</v>
      </c>
      <c r="F77" s="80">
        <f t="shared" si="16"/>
        <v>0</v>
      </c>
    </row>
    <row r="78" spans="1:8" x14ac:dyDescent="0.2">
      <c r="A78" s="72" t="s">
        <v>67</v>
      </c>
      <c r="B78" s="73"/>
      <c r="C78" s="78"/>
      <c r="D78" s="73">
        <f>SUM(D71:D77)</f>
        <v>1788494503.7462997</v>
      </c>
      <c r="E78" s="81"/>
      <c r="F78" s="82">
        <f>SUM(F71:F77)</f>
        <v>894247.25</v>
      </c>
    </row>
    <row r="80" spans="1:8" x14ac:dyDescent="0.2">
      <c r="A80" s="87" t="s">
        <v>76</v>
      </c>
      <c r="B80" s="88"/>
      <c r="C80" s="100"/>
      <c r="D80" s="90"/>
      <c r="E80" s="91"/>
      <c r="F80" s="88"/>
    </row>
    <row r="81" spans="1:6" x14ac:dyDescent="0.2">
      <c r="A81" s="78" t="s">
        <v>69</v>
      </c>
      <c r="B81" s="93"/>
      <c r="C81" s="101"/>
      <c r="D81" s="214">
        <f>$D$15</f>
        <v>2020</v>
      </c>
      <c r="E81" s="212"/>
      <c r="F81" s="215"/>
    </row>
    <row r="82" spans="1:6" x14ac:dyDescent="0.2">
      <c r="A82" s="65" t="str">
        <f>+A16</f>
        <v xml:space="preserve">Residential </v>
      </c>
      <c r="B82" s="66"/>
      <c r="C82" s="79"/>
      <c r="D82" s="66">
        <f>ROUND((Customer!B15*12),0)</f>
        <v>1078320</v>
      </c>
      <c r="E82" s="94">
        <v>0.56999999999999995</v>
      </c>
      <c r="F82" s="80">
        <f>ROUND((D82*E82),2)</f>
        <v>614642.4</v>
      </c>
    </row>
    <row r="83" spans="1:6" x14ac:dyDescent="0.2">
      <c r="A83" s="65" t="str">
        <f>+A17</f>
        <v>GS&lt;50 kW</v>
      </c>
      <c r="B83" s="66"/>
      <c r="C83" s="79"/>
      <c r="D83" s="66">
        <f>ROUND((Customer!C15*12),0)</f>
        <v>97632</v>
      </c>
      <c r="E83" s="94">
        <f>+E82</f>
        <v>0.56999999999999995</v>
      </c>
      <c r="F83" s="80">
        <f>ROUND((D83*E83),2)</f>
        <v>55650.239999999998</v>
      </c>
    </row>
    <row r="84" spans="1:6" x14ac:dyDescent="0.2">
      <c r="A84" s="72" t="s">
        <v>67</v>
      </c>
      <c r="B84" s="73"/>
      <c r="C84" s="78"/>
      <c r="D84" s="73">
        <f>SUM(D82:D83)</f>
        <v>1175952</v>
      </c>
      <c r="E84" s="81"/>
      <c r="F84" s="82">
        <f>SUM(F82:F83)</f>
        <v>670292.64</v>
      </c>
    </row>
    <row r="85" spans="1:6" x14ac:dyDescent="0.2">
      <c r="A85" s="102"/>
      <c r="B85" s="103">
        <f>$D$15</f>
        <v>2020</v>
      </c>
    </row>
    <row r="86" spans="1:6" x14ac:dyDescent="0.2">
      <c r="A86" s="104" t="s">
        <v>77</v>
      </c>
      <c r="B86" s="105">
        <f>F23</f>
        <v>163777782.56</v>
      </c>
      <c r="E86" s="115"/>
    </row>
    <row r="87" spans="1:6" x14ac:dyDescent="0.2">
      <c r="A87" s="104" t="s">
        <v>78</v>
      </c>
      <c r="B87" s="105">
        <f>F56+F67</f>
        <v>5979550.3300000001</v>
      </c>
      <c r="E87" s="177"/>
    </row>
    <row r="88" spans="1:6" x14ac:dyDescent="0.2">
      <c r="A88" s="104" t="s">
        <v>79</v>
      </c>
      <c r="B88" s="105">
        <f>F34</f>
        <v>11648104.51</v>
      </c>
    </row>
    <row r="89" spans="1:6" x14ac:dyDescent="0.2">
      <c r="A89" s="104" t="s">
        <v>80</v>
      </c>
      <c r="B89" s="105">
        <f>F45</f>
        <v>3372778.86</v>
      </c>
    </row>
    <row r="90" spans="1:6" x14ac:dyDescent="0.2">
      <c r="A90" s="104" t="s">
        <v>167</v>
      </c>
      <c r="B90" s="105">
        <f>F78</f>
        <v>894247.25</v>
      </c>
      <c r="C90" s="115">
        <f>+B87+B90</f>
        <v>6873797.5800000001</v>
      </c>
    </row>
    <row r="91" spans="1:6" x14ac:dyDescent="0.2">
      <c r="A91" s="106" t="s">
        <v>81</v>
      </c>
      <c r="B91" s="105">
        <f>+F84</f>
        <v>670292.64</v>
      </c>
    </row>
    <row r="92" spans="1:6" x14ac:dyDescent="0.2">
      <c r="A92" s="75" t="s">
        <v>67</v>
      </c>
      <c r="B92" s="82">
        <f>SUM(B86:B91)</f>
        <v>186342756.15000001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51" bottom="0.43" header="0.3" footer="0.18"/>
  <pageSetup scale="63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5"/>
  <sheetViews>
    <sheetView topLeftCell="B7" workbookViewId="0">
      <selection activeCell="H77" sqref="H77"/>
    </sheetView>
  </sheetViews>
  <sheetFormatPr defaultRowHeight="12.75" x14ac:dyDescent="0.2"/>
  <cols>
    <col min="1" max="1" width="32.85546875" customWidth="1"/>
    <col min="2" max="2" width="13.5703125" style="10" bestFit="1" customWidth="1"/>
    <col min="3" max="9" width="12.7109375" style="10" bestFit="1" customWidth="1"/>
    <col min="10" max="10" width="13.5703125" style="10" bestFit="1" customWidth="1"/>
    <col min="11" max="13" width="12.7109375" style="10" bestFit="1" customWidth="1"/>
    <col min="15" max="16" width="12.7109375" bestFit="1" customWidth="1"/>
  </cols>
  <sheetData>
    <row r="1" spans="1:16" ht="15.75" x14ac:dyDescent="0.25">
      <c r="A1" s="222" t="s">
        <v>116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3" spans="1:16" ht="38.25" x14ac:dyDescent="0.2">
      <c r="B3" s="127" t="s">
        <v>117</v>
      </c>
      <c r="C3" s="127" t="s">
        <v>118</v>
      </c>
      <c r="D3" s="127" t="s">
        <v>119</v>
      </c>
      <c r="E3" s="127" t="s">
        <v>120</v>
      </c>
      <c r="F3" s="127" t="s">
        <v>121</v>
      </c>
      <c r="G3" s="127" t="s">
        <v>122</v>
      </c>
      <c r="H3" s="127" t="s">
        <v>123</v>
      </c>
      <c r="I3" s="127" t="s">
        <v>124</v>
      </c>
      <c r="J3" s="127" t="s">
        <v>125</v>
      </c>
      <c r="K3" s="127" t="s">
        <v>126</v>
      </c>
      <c r="L3" s="120" t="s">
        <v>104</v>
      </c>
      <c r="M3" s="120" t="s">
        <v>105</v>
      </c>
    </row>
    <row r="4" spans="1:16" x14ac:dyDescent="0.2">
      <c r="A4" s="41" t="s">
        <v>97</v>
      </c>
      <c r="B4" s="121">
        <f>+Power!F149</f>
        <v>1783525545.6735001</v>
      </c>
      <c r="C4" s="121">
        <f>+Power!F150</f>
        <v>1847282693.8638999</v>
      </c>
      <c r="D4" s="121">
        <f>+Power!F151</f>
        <v>1851601106.1615</v>
      </c>
      <c r="E4" s="121">
        <f>+Power!F152</f>
        <v>1841751486.6217</v>
      </c>
      <c r="F4" s="121">
        <f>+Power!F153</f>
        <v>1826077452.0487001</v>
      </c>
      <c r="G4" s="121">
        <f>+Power!F154</f>
        <v>1813646737.4347999</v>
      </c>
      <c r="H4" s="121">
        <f>+Power!F155</f>
        <v>1801989952.4038</v>
      </c>
      <c r="I4" s="121">
        <f>+Power!F156</f>
        <v>1811690675.5150001</v>
      </c>
      <c r="J4" s="121">
        <f>+Power!F157</f>
        <v>1757808741.7091</v>
      </c>
      <c r="K4" s="121">
        <f>+Power!F158</f>
        <v>1857049843.3989</v>
      </c>
    </row>
    <row r="5" spans="1:16" x14ac:dyDescent="0.2">
      <c r="A5" s="41" t="s">
        <v>98</v>
      </c>
      <c r="B5" s="121">
        <f>+Power!L149</f>
        <v>1789169849.1176</v>
      </c>
      <c r="C5" s="121">
        <f>+Power!L150</f>
        <v>1828679648.8020999</v>
      </c>
      <c r="D5" s="121">
        <f>+Power!L151</f>
        <v>1825112534.0495</v>
      </c>
      <c r="E5" s="121">
        <f>+Power!L152</f>
        <v>1824188727.9921999</v>
      </c>
      <c r="F5" s="121">
        <f>+Power!L153</f>
        <v>1823031590.7330999</v>
      </c>
      <c r="G5" s="121">
        <f>+Power!L154</f>
        <v>1806278223.493</v>
      </c>
      <c r="H5" s="121">
        <f>+Power!L155</f>
        <v>1813043706.5452001</v>
      </c>
      <c r="I5" s="121">
        <f>+Power!L156</f>
        <v>1837556585.8353</v>
      </c>
      <c r="J5" s="121">
        <f>+Power!L157</f>
        <v>1791494737.5852001</v>
      </c>
      <c r="K5" s="121">
        <f>+Power!L158</f>
        <v>1853868630.6779001</v>
      </c>
      <c r="L5" s="121">
        <f>+Power!L159</f>
        <v>1817094964.5704</v>
      </c>
      <c r="M5" s="121">
        <f>+Power!L160</f>
        <v>1821907013.4130001</v>
      </c>
    </row>
    <row r="6" spans="1:16" x14ac:dyDescent="0.2">
      <c r="A6" s="41" t="s">
        <v>96</v>
      </c>
      <c r="B6" s="128">
        <f>ROUND(((B5-B4)/B4),4)</f>
        <v>3.2000000000000002E-3</v>
      </c>
      <c r="C6" s="128">
        <f t="shared" ref="C6:K6" si="0">ROUND(((C5-C4)/C4),4)</f>
        <v>-1.01E-2</v>
      </c>
      <c r="D6" s="128">
        <f t="shared" si="0"/>
        <v>-1.43E-2</v>
      </c>
      <c r="E6" s="128">
        <f t="shared" si="0"/>
        <v>-9.4999999999999998E-3</v>
      </c>
      <c r="F6" s="128">
        <f t="shared" si="0"/>
        <v>-1.6999999999999999E-3</v>
      </c>
      <c r="G6" s="128">
        <f t="shared" si="0"/>
        <v>-4.1000000000000003E-3</v>
      </c>
      <c r="H6" s="128">
        <f t="shared" si="0"/>
        <v>6.1000000000000004E-3</v>
      </c>
      <c r="I6" s="128">
        <f t="shared" si="0"/>
        <v>1.43E-2</v>
      </c>
      <c r="J6" s="128">
        <f t="shared" si="0"/>
        <v>1.9199999999999998E-2</v>
      </c>
      <c r="K6" s="128">
        <f t="shared" si="0"/>
        <v>-1.6999999999999999E-3</v>
      </c>
      <c r="L6" s="122"/>
      <c r="M6" s="122"/>
      <c r="N6" s="123"/>
    </row>
    <row r="7" spans="1:16" x14ac:dyDescent="0.2">
      <c r="B7"/>
      <c r="C7"/>
      <c r="D7"/>
      <c r="E7"/>
      <c r="F7"/>
      <c r="G7"/>
      <c r="H7"/>
      <c r="I7"/>
      <c r="J7"/>
      <c r="L7"/>
      <c r="M7"/>
    </row>
    <row r="8" spans="1:16" x14ac:dyDescent="0.2">
      <c r="A8" s="41" t="s">
        <v>106</v>
      </c>
      <c r="B8" s="121">
        <f>+Energy!E6</f>
        <v>1777401233</v>
      </c>
      <c r="C8" s="121">
        <f>+Energy!E7</f>
        <v>1829500492</v>
      </c>
      <c r="D8" s="121">
        <f>+Energy!E8</f>
        <v>1833881352</v>
      </c>
      <c r="E8" s="121">
        <f>+Energy!E9</f>
        <v>1825234090</v>
      </c>
      <c r="F8" s="121">
        <f>+Energy!E10</f>
        <v>1813262316.5969999</v>
      </c>
      <c r="G8" s="121">
        <f>+Energy!E11</f>
        <v>1803531650.6849</v>
      </c>
      <c r="H8" s="121">
        <f>+Energy!E12</f>
        <v>1762488283.8699999</v>
      </c>
      <c r="I8" s="121">
        <f>+Energy!E13</f>
        <v>1765790195.1571</v>
      </c>
      <c r="J8" s="121">
        <f>+Energy!E14</f>
        <v>1709004939.8992</v>
      </c>
      <c r="K8" s="121">
        <f>+Energy!E15</f>
        <v>1805957382.2454</v>
      </c>
      <c r="L8" s="121">
        <f>+Energy!E16</f>
        <v>1760409769.9770999</v>
      </c>
      <c r="M8" s="121">
        <f>+Energy!E17</f>
        <v>1765071704.5272</v>
      </c>
      <c r="N8" s="123"/>
      <c r="O8" s="74"/>
      <c r="P8" s="74"/>
    </row>
    <row r="9" spans="1:16" x14ac:dyDescent="0.2">
      <c r="A9" s="41"/>
      <c r="F9" s="124"/>
      <c r="G9" s="124"/>
      <c r="H9" s="124"/>
      <c r="I9" s="124"/>
    </row>
    <row r="10" spans="1:16" ht="15.75" x14ac:dyDescent="0.25">
      <c r="A10" s="125" t="s">
        <v>107</v>
      </c>
    </row>
    <row r="11" spans="1:16" x14ac:dyDescent="0.2">
      <c r="A11" s="126" t="s">
        <v>41</v>
      </c>
    </row>
    <row r="12" spans="1:16" x14ac:dyDescent="0.2">
      <c r="A12" t="s">
        <v>99</v>
      </c>
      <c r="B12" s="1">
        <f>+Customer!B4</f>
        <v>76255</v>
      </c>
      <c r="C12" s="1">
        <f>+Customer!B5</f>
        <v>77506</v>
      </c>
      <c r="D12" s="1">
        <f>+Customer!B6</f>
        <v>78761</v>
      </c>
      <c r="E12" s="1">
        <f>+Customer!B7</f>
        <v>79997</v>
      </c>
      <c r="F12" s="1">
        <f>+Customer!B8</f>
        <v>80893</v>
      </c>
      <c r="G12" s="1">
        <f>+Customer!B9</f>
        <v>81868</v>
      </c>
      <c r="H12" s="1">
        <f>+Customer!B10</f>
        <v>83106</v>
      </c>
      <c r="I12" s="1">
        <f>+Customer!B11</f>
        <v>84530</v>
      </c>
      <c r="J12" s="1">
        <f>+Customer!B12</f>
        <v>86064</v>
      </c>
      <c r="K12" s="1">
        <f>+Customer!B13</f>
        <v>87395</v>
      </c>
      <c r="L12" s="1">
        <f>+Customer!B14</f>
        <v>88619</v>
      </c>
      <c r="M12" s="1">
        <f>+Customer!B15</f>
        <v>89860</v>
      </c>
    </row>
    <row r="13" spans="1:16" x14ac:dyDescent="0.2">
      <c r="A13" t="s">
        <v>100</v>
      </c>
      <c r="B13" s="1">
        <f>+Energy!G6</f>
        <v>626869704</v>
      </c>
      <c r="C13" s="1">
        <f>+Energy!G7</f>
        <v>650651967</v>
      </c>
      <c r="D13" s="1">
        <f>+Energy!G8</f>
        <v>647280211</v>
      </c>
      <c r="E13" s="1">
        <f>+Energy!G9</f>
        <v>644467300</v>
      </c>
      <c r="F13" s="1">
        <f>+Energy!G10</f>
        <v>640344406.68604648</v>
      </c>
      <c r="G13" s="1">
        <f>+Energy!G11</f>
        <v>637186639.75172198</v>
      </c>
      <c r="H13" s="1">
        <f>+Energy!G12</f>
        <v>635723826.94000006</v>
      </c>
      <c r="I13" s="1">
        <f>+Energy!G13</f>
        <v>650672519.71179998</v>
      </c>
      <c r="J13" s="1">
        <f>+Energy!G14</f>
        <v>621996671.49440002</v>
      </c>
      <c r="K13" s="1">
        <f>+Energy!G15</f>
        <v>680846102.83019996</v>
      </c>
      <c r="L13" s="1">
        <f>+Energy!H83</f>
        <v>667971159.28460002</v>
      </c>
      <c r="M13" s="1">
        <f>+Energy!H84</f>
        <v>679044339.15369999</v>
      </c>
      <c r="O13" s="48"/>
    </row>
    <row r="14" spans="1:16" x14ac:dyDescent="0.2">
      <c r="J14" s="123"/>
      <c r="L14" s="122"/>
      <c r="M14" s="122"/>
    </row>
    <row r="15" spans="1:16" x14ac:dyDescent="0.2">
      <c r="A15" s="126" t="s">
        <v>42</v>
      </c>
    </row>
    <row r="16" spans="1:16" x14ac:dyDescent="0.2">
      <c r="A16" t="s">
        <v>99</v>
      </c>
      <c r="B16" s="1">
        <f>+Customer!C4</f>
        <v>7370</v>
      </c>
      <c r="C16" s="1">
        <f>+Customer!C5</f>
        <v>7448</v>
      </c>
      <c r="D16" s="1">
        <f>+Customer!C6</f>
        <v>7538</v>
      </c>
      <c r="E16" s="1">
        <f>+Customer!C7</f>
        <v>7645</v>
      </c>
      <c r="F16" s="1">
        <f>+Customer!C8</f>
        <v>7687</v>
      </c>
      <c r="G16" s="1">
        <f>+Customer!C9</f>
        <v>7744</v>
      </c>
      <c r="H16" s="1">
        <f>+Customer!C10</f>
        <v>7796</v>
      </c>
      <c r="I16" s="1">
        <f>+Customer!C11</f>
        <v>7845</v>
      </c>
      <c r="J16" s="1">
        <f>+Customer!C12</f>
        <v>7936</v>
      </c>
      <c r="K16" s="1">
        <f>+Customer!C13</f>
        <v>7983</v>
      </c>
      <c r="L16" s="1">
        <f>+Customer!C14</f>
        <v>8059</v>
      </c>
      <c r="M16" s="1">
        <f>+Customer!C15</f>
        <v>8136</v>
      </c>
    </row>
    <row r="17" spans="1:13" x14ac:dyDescent="0.2">
      <c r="A17" t="s">
        <v>100</v>
      </c>
      <c r="B17" s="1">
        <f>+Energy!H6</f>
        <v>230572826</v>
      </c>
      <c r="C17" s="1">
        <f>+Energy!H7</f>
        <v>236095929</v>
      </c>
      <c r="D17" s="1">
        <f>+Energy!H8</f>
        <v>240155523</v>
      </c>
      <c r="E17" s="1">
        <f>+Energy!H9</f>
        <v>240981970</v>
      </c>
      <c r="F17" s="1">
        <f>+Energy!H10</f>
        <v>241162381.78294572</v>
      </c>
      <c r="G17" s="1">
        <f>+Energy!H11</f>
        <v>242185854.43488768</v>
      </c>
      <c r="H17" s="1">
        <f>+Energy!H12</f>
        <v>237964967.00999999</v>
      </c>
      <c r="I17" s="1">
        <f>+Energy!H13</f>
        <v>239091360.5415</v>
      </c>
      <c r="J17" s="1">
        <f>+Energy!H14</f>
        <v>232588463.34630001</v>
      </c>
      <c r="K17" s="1">
        <f>+Energy!H15</f>
        <v>240602996.91260001</v>
      </c>
      <c r="L17" s="1">
        <f>+Energy!I83</f>
        <v>233070042.4016</v>
      </c>
      <c r="M17" s="1">
        <f>+Energy!I84</f>
        <v>233306992.50170001</v>
      </c>
    </row>
    <row r="18" spans="1:13" x14ac:dyDescent="0.2">
      <c r="J18" s="123"/>
      <c r="L18" s="122"/>
      <c r="M18" s="122"/>
    </row>
    <row r="19" spans="1:13" x14ac:dyDescent="0.2">
      <c r="A19" s="126" t="s">
        <v>43</v>
      </c>
      <c r="L19" s="1"/>
      <c r="M19" s="1"/>
    </row>
    <row r="20" spans="1:13" x14ac:dyDescent="0.2">
      <c r="A20" t="s">
        <v>99</v>
      </c>
      <c r="B20" s="1">
        <f>+Customer!D4+Customer!E4+Customer!F4</f>
        <v>1005</v>
      </c>
      <c r="C20" s="1">
        <f>+Customer!D5+Customer!E5+Customer!F5</f>
        <v>989</v>
      </c>
      <c r="D20" s="1">
        <f>+Customer!D6+Customer!E6+Customer!F6</f>
        <v>975</v>
      </c>
      <c r="E20" s="1">
        <f>+Customer!D7+Customer!E7+Customer!F7</f>
        <v>952</v>
      </c>
      <c r="F20" s="1">
        <f>+Customer!D8+Customer!E8+Customer!F8</f>
        <v>950</v>
      </c>
      <c r="G20" s="1">
        <f>+Customer!D9+Customer!E9+Customer!F9</f>
        <v>944</v>
      </c>
      <c r="H20" s="1">
        <f>+Customer!D10+Customer!E10+Customer!F10</f>
        <v>939</v>
      </c>
      <c r="I20" s="1">
        <f>+Customer!D11+Customer!E11+Customer!F11</f>
        <v>940</v>
      </c>
      <c r="J20" s="1">
        <f>+Customer!D12+Customer!E12+Customer!F12</f>
        <v>936</v>
      </c>
      <c r="K20" s="1">
        <f>+Customer!D13+Customer!E13+Customer!F13</f>
        <v>950</v>
      </c>
      <c r="L20" s="1">
        <f>+Customer!D14+Customer!E14+Customer!F14</f>
        <v>944</v>
      </c>
      <c r="M20" s="1">
        <f>+Customer!D15+Customer!E15+Customer!F15</f>
        <v>938</v>
      </c>
    </row>
    <row r="21" spans="1:13" x14ac:dyDescent="0.2">
      <c r="A21" t="s">
        <v>100</v>
      </c>
      <c r="B21" s="1">
        <f>+Energy!$I6+Energy!$J6+Energy!$K6</f>
        <v>820920003</v>
      </c>
      <c r="C21" s="1">
        <f>+Energy!$I7+Energy!$J7+Energy!$K7</f>
        <v>876884814</v>
      </c>
      <c r="D21" s="1">
        <f>+Energy!$I8+Energy!$J8+Energy!$K8</f>
        <v>871254048</v>
      </c>
      <c r="E21" s="1">
        <f>+Energy!$I9+Energy!$J9+Energy!$K9</f>
        <v>850788483</v>
      </c>
      <c r="F21" s="1">
        <f>+Energy!$I10+Energy!$J10+Energy!$K10</f>
        <v>823562781.12</v>
      </c>
      <c r="G21" s="1">
        <f>+Energy!I11+Energy!J11+Energy!K11</f>
        <v>840637054.20000005</v>
      </c>
      <c r="H21" s="1">
        <f>+Energy!I12+Energy!J12+Energy!K12</f>
        <v>832883576.37</v>
      </c>
      <c r="I21" s="1">
        <f>+Energy!I13+Energy!J13+Energy!K13</f>
        <v>826940979.11000001</v>
      </c>
      <c r="J21" s="1">
        <f>+Energy!I14+Energy!J14+Energy!K14</f>
        <v>804219318.22000003</v>
      </c>
      <c r="K21" s="1">
        <f>+Energy!I15+Energy!J15+Energy!K15</f>
        <v>839662732.86000001</v>
      </c>
      <c r="L21" s="1">
        <f>+Energy!J83+Energy!K83+Energy!L83</f>
        <v>803393094.79390001</v>
      </c>
      <c r="M21" s="1">
        <f>+Energy!J84+Energy!K84+Energy!L84</f>
        <v>782655646.34870005</v>
      </c>
    </row>
    <row r="22" spans="1:13" x14ac:dyDescent="0.2">
      <c r="A22" t="s">
        <v>101</v>
      </c>
      <c r="B22" s="1">
        <f>+Load!B3+Load!C3+Load!D3</f>
        <v>2169096</v>
      </c>
      <c r="C22" s="1">
        <f>+Load!B4+Load!C4+Load!D4</f>
        <v>2260312</v>
      </c>
      <c r="D22" s="1">
        <f>+Load!B5+Load!C5+Load!D5</f>
        <v>2244883</v>
      </c>
      <c r="E22" s="1">
        <f>+Load!B6+Load!C6+Load!D6</f>
        <v>2227931</v>
      </c>
      <c r="F22" s="1">
        <f>+Load!B7+Load!C7+Load!D7</f>
        <v>2225335.9900000002</v>
      </c>
      <c r="G22" s="1">
        <f>+Load!B8+Load!C8+Load!D8</f>
        <v>2159270.96</v>
      </c>
      <c r="H22" s="1">
        <f>+Load!B9+Load!C9+Load!D9</f>
        <v>2147080.08</v>
      </c>
      <c r="I22" s="1">
        <f>+Load!B10+Load!C10+Load!D10</f>
        <v>2170742.11</v>
      </c>
      <c r="J22" s="1">
        <f>+Load!B11+Load!C11+Load!D11</f>
        <v>2109153.15</v>
      </c>
      <c r="K22" s="1">
        <f>+Load!B12+Load!C12+Load!D12</f>
        <v>2202763.0515000001</v>
      </c>
      <c r="L22" s="1">
        <f>+Load!B13+Load!C13+Load!D13</f>
        <v>2074823.517</v>
      </c>
      <c r="M22" s="1">
        <f>+Load!B14+Load!C14+Load!D14</f>
        <v>2021921.9124000003</v>
      </c>
    </row>
    <row r="23" spans="1:13" x14ac:dyDescent="0.2">
      <c r="J23" s="123"/>
      <c r="L23" s="122"/>
      <c r="M23" s="122"/>
    </row>
    <row r="24" spans="1:13" x14ac:dyDescent="0.2">
      <c r="A24" s="126" t="s">
        <v>44</v>
      </c>
      <c r="L24" s="1"/>
      <c r="M24" s="1"/>
    </row>
    <row r="25" spans="1:13" x14ac:dyDescent="0.2">
      <c r="A25" t="s">
        <v>99</v>
      </c>
      <c r="B25" s="1">
        <f>+Customer!G4</f>
        <v>3</v>
      </c>
      <c r="C25" s="1">
        <f>+Customer!G5</f>
        <v>1</v>
      </c>
      <c r="D25" s="1">
        <f>+Customer!G6</f>
        <v>2</v>
      </c>
      <c r="E25" s="1">
        <f>+Customer!G7</f>
        <v>2</v>
      </c>
      <c r="F25" s="1">
        <f>+Customer!G8</f>
        <v>3</v>
      </c>
      <c r="G25" s="1">
        <f>+Customer!G9</f>
        <v>2</v>
      </c>
      <c r="H25" s="1">
        <f>+Customer!G10</f>
        <v>1</v>
      </c>
      <c r="I25" s="1">
        <f>+Customer!G11</f>
        <v>1</v>
      </c>
      <c r="J25" s="1">
        <f>+Customer!G12</f>
        <v>1</v>
      </c>
      <c r="K25" s="1">
        <f>+Customer!G13</f>
        <v>1</v>
      </c>
      <c r="L25" s="1">
        <f>+Customer!G14</f>
        <v>1</v>
      </c>
      <c r="M25" s="1">
        <f>+Customer!G15</f>
        <v>1</v>
      </c>
    </row>
    <row r="26" spans="1:13" x14ac:dyDescent="0.2">
      <c r="A26" t="s">
        <v>100</v>
      </c>
      <c r="B26" s="1">
        <f>+Energy!L6</f>
        <v>79822385</v>
      </c>
      <c r="C26" s="1">
        <f>+Energy!L7</f>
        <v>46563626</v>
      </c>
      <c r="D26" s="1">
        <f>+Energy!L8</f>
        <v>56015269</v>
      </c>
      <c r="E26" s="1">
        <f>+Energy!L9</f>
        <v>69356376</v>
      </c>
      <c r="F26" s="1">
        <f>+Energy!L10</f>
        <v>88505648.025465026</v>
      </c>
      <c r="G26" s="1">
        <f>+Energy!L11</f>
        <v>63442910.469046049</v>
      </c>
      <c r="H26" s="1">
        <f>+Energy!L12</f>
        <v>35769405.710000001</v>
      </c>
      <c r="I26" s="1">
        <f>+Energy!L13</f>
        <v>28906567.2128</v>
      </c>
      <c r="J26" s="1">
        <f>+Energy!L14</f>
        <v>31425633.769499999</v>
      </c>
      <c r="K26" s="1">
        <f>+Energy!L15</f>
        <v>33369028.32</v>
      </c>
      <c r="L26" s="37">
        <f>+Energy!M83</f>
        <v>34219938.542199999</v>
      </c>
      <c r="M26" s="37">
        <f>+Energy!M84</f>
        <v>35092546.975000001</v>
      </c>
    </row>
    <row r="27" spans="1:13" x14ac:dyDescent="0.2">
      <c r="A27" t="s">
        <v>101</v>
      </c>
      <c r="B27" s="1">
        <f>+Load!E3</f>
        <v>171311</v>
      </c>
      <c r="C27" s="1">
        <f>+Load!E4</f>
        <v>95621</v>
      </c>
      <c r="D27" s="1">
        <f>+Load!E5</f>
        <v>105771</v>
      </c>
      <c r="E27" s="1">
        <f>+Load!E6</f>
        <v>136790</v>
      </c>
      <c r="F27" s="1">
        <f>+Load!E7</f>
        <v>181960.6</v>
      </c>
      <c r="G27" s="1">
        <f>+Load!E8</f>
        <v>126219.41</v>
      </c>
      <c r="H27" s="1">
        <f>+Load!E9</f>
        <v>62997.91</v>
      </c>
      <c r="I27" s="1">
        <f>+Load!E10</f>
        <v>62931.33</v>
      </c>
      <c r="J27" s="1">
        <f>+Load!E11</f>
        <v>58806.46</v>
      </c>
      <c r="K27" s="1">
        <f>+Load!E12</f>
        <v>69010.508700000006</v>
      </c>
      <c r="L27" s="1">
        <f>+Load!E13</f>
        <v>68382.8269</v>
      </c>
      <c r="M27" s="1">
        <f>+Load!E14</f>
        <v>70126.589000000007</v>
      </c>
    </row>
    <row r="28" spans="1:13" x14ac:dyDescent="0.2">
      <c r="J28" s="123"/>
      <c r="L28" s="122"/>
      <c r="M28" s="122"/>
    </row>
    <row r="29" spans="1:13" x14ac:dyDescent="0.2">
      <c r="A29" s="126" t="s">
        <v>45</v>
      </c>
      <c r="L29" s="1"/>
      <c r="M29" s="1"/>
    </row>
    <row r="30" spans="1:13" x14ac:dyDescent="0.2">
      <c r="A30" t="s">
        <v>108</v>
      </c>
      <c r="B30" s="1">
        <f>+Customer!H4</f>
        <v>1551</v>
      </c>
      <c r="C30" s="1">
        <f>+Customer!H5</f>
        <v>1574</v>
      </c>
      <c r="D30" s="1">
        <f>+Customer!H6</f>
        <v>1568</v>
      </c>
      <c r="E30" s="1">
        <f>+Customer!H7</f>
        <v>1573</v>
      </c>
      <c r="F30" s="1">
        <f>+Customer!H8</f>
        <v>1551</v>
      </c>
      <c r="G30" s="1">
        <f>+Customer!H9</f>
        <v>1616</v>
      </c>
      <c r="H30" s="1">
        <f>+Customer!H10</f>
        <v>1637</v>
      </c>
      <c r="I30" s="1">
        <f>+Customer!H11</f>
        <v>1653</v>
      </c>
      <c r="J30" s="1">
        <f>+Customer!H12</f>
        <v>1696</v>
      </c>
      <c r="K30" s="1">
        <f>+Customer!H13</f>
        <v>1666</v>
      </c>
      <c r="L30" s="1">
        <f>+Customer!H14</f>
        <v>1681</v>
      </c>
      <c r="M30" s="1">
        <f>+Customer!H15</f>
        <v>1696</v>
      </c>
    </row>
    <row r="31" spans="1:13" x14ac:dyDescent="0.2">
      <c r="A31" t="s">
        <v>100</v>
      </c>
      <c r="B31" s="1">
        <f>+Energy!M6</f>
        <v>15920914</v>
      </c>
      <c r="C31" s="1">
        <f>+Energy!M7</f>
        <v>16035117</v>
      </c>
      <c r="D31" s="1">
        <f>+Energy!M8</f>
        <v>15857518</v>
      </c>
      <c r="E31" s="1">
        <f>+Energy!M9</f>
        <v>15943501</v>
      </c>
      <c r="F31" s="1">
        <f>+Energy!M10</f>
        <v>15982944.980620153</v>
      </c>
      <c r="G31" s="1">
        <f>+Energy!M11</f>
        <v>16039251.399241911</v>
      </c>
      <c r="H31" s="1">
        <f>+Energy!M12</f>
        <v>16203415.84</v>
      </c>
      <c r="I31" s="1">
        <f>+Energy!M13</f>
        <v>16260856.581</v>
      </c>
      <c r="J31" s="1">
        <f>+Energy!M14</f>
        <v>14867141.069</v>
      </c>
      <c r="K31" s="1">
        <f>+Energy!M15</f>
        <v>7466579.3225999996</v>
      </c>
      <c r="L31" s="141">
        <f>+Energy!N83</f>
        <v>7386896.2983999997</v>
      </c>
      <c r="M31" s="141">
        <f>+Energy!N84</f>
        <v>7307481.5936000003</v>
      </c>
    </row>
    <row r="32" spans="1:13" x14ac:dyDescent="0.2">
      <c r="A32" t="s">
        <v>101</v>
      </c>
      <c r="B32" s="1">
        <f>+Load!F3</f>
        <v>44226</v>
      </c>
      <c r="C32" s="1">
        <f>+Load!F4</f>
        <v>44895</v>
      </c>
      <c r="D32" s="1">
        <f>+Load!F5</f>
        <v>44252</v>
      </c>
      <c r="E32" s="1">
        <f>+Load!F6</f>
        <v>44229</v>
      </c>
      <c r="F32" s="1">
        <f>+Load!F7</f>
        <v>44582.02</v>
      </c>
      <c r="G32" s="1">
        <f>+Load!F8</f>
        <v>44711.85</v>
      </c>
      <c r="H32" s="1">
        <f>+Load!F9</f>
        <v>45213.11</v>
      </c>
      <c r="I32" s="1">
        <f>+Load!F10</f>
        <v>45218.23</v>
      </c>
      <c r="J32" s="1">
        <f>+Load!F11</f>
        <v>42035.72</v>
      </c>
      <c r="K32" s="1">
        <f>+Load!F12</f>
        <v>20808.9388</v>
      </c>
      <c r="L32" s="1">
        <f>+Load!F13</f>
        <v>20613.041099999999</v>
      </c>
      <c r="M32" s="1">
        <f>+Load!F14</f>
        <v>20391.435300000001</v>
      </c>
    </row>
    <row r="34" spans="1:13" x14ac:dyDescent="0.2">
      <c r="A34" s="126" t="s">
        <v>46</v>
      </c>
      <c r="L34" s="1"/>
      <c r="M34" s="1"/>
    </row>
    <row r="35" spans="1:13" x14ac:dyDescent="0.2">
      <c r="A35" t="s">
        <v>108</v>
      </c>
      <c r="B35" s="1">
        <f>+Customer!I4</f>
        <v>817</v>
      </c>
      <c r="C35" s="1">
        <f>+Customer!I5</f>
        <v>811</v>
      </c>
      <c r="D35" s="1">
        <f>+Customer!I6</f>
        <v>841</v>
      </c>
      <c r="E35" s="1">
        <f>+Customer!I7</f>
        <v>868.75</v>
      </c>
      <c r="F35" s="1">
        <f>+Customer!I8</f>
        <v>843.5</v>
      </c>
      <c r="G35" s="1">
        <f>+Customer!I9</f>
        <v>876.75</v>
      </c>
      <c r="H35" s="1">
        <f>+Customer!I10</f>
        <v>891</v>
      </c>
      <c r="I35" s="1">
        <f>+Customer!I11</f>
        <v>866.33333333333337</v>
      </c>
      <c r="J35" s="1">
        <f>+Customer!I12</f>
        <v>886.08333333333337</v>
      </c>
      <c r="K35" s="1">
        <f>+Customer!I13</f>
        <v>931</v>
      </c>
      <c r="L35" s="1">
        <f>+Customer!I14</f>
        <v>943</v>
      </c>
      <c r="M35" s="1">
        <f>+Customer!I15</f>
        <v>955</v>
      </c>
    </row>
    <row r="36" spans="1:13" x14ac:dyDescent="0.2">
      <c r="A36" t="s">
        <v>100</v>
      </c>
      <c r="B36" s="1">
        <f>+Energy!N6</f>
        <v>3295401</v>
      </c>
      <c r="C36" s="1">
        <f>+Energy!N7</f>
        <v>3269039</v>
      </c>
      <c r="D36" s="1">
        <f>+Energy!N8</f>
        <v>3318783</v>
      </c>
      <c r="E36" s="1">
        <f>+Energy!N9</f>
        <v>3696460</v>
      </c>
      <c r="F36" s="1">
        <f>+Energy!N10</f>
        <v>3704154.0019379845</v>
      </c>
      <c r="G36" s="1">
        <f>+Energy!N11</f>
        <v>4039940.43</v>
      </c>
      <c r="H36" s="1">
        <f>+Energy!N12</f>
        <v>3943092</v>
      </c>
      <c r="I36" s="1">
        <f>+Energy!N13</f>
        <v>3917912</v>
      </c>
      <c r="J36" s="1">
        <f>+Energy!N14</f>
        <v>3907712</v>
      </c>
      <c r="K36" s="1">
        <f>+Energy!N15</f>
        <v>4009942</v>
      </c>
      <c r="L36" s="1">
        <f>+Energy!O83</f>
        <v>4091277.5452000001</v>
      </c>
      <c r="M36" s="1">
        <f>+Energy!O84</f>
        <v>4173586.84</v>
      </c>
    </row>
    <row r="37" spans="1:13" x14ac:dyDescent="0.2">
      <c r="L37" s="1"/>
      <c r="M37" s="1"/>
    </row>
    <row r="38" spans="1:13" x14ac:dyDescent="0.2">
      <c r="A38" s="126" t="s">
        <v>60</v>
      </c>
      <c r="K38"/>
      <c r="L38" s="1"/>
      <c r="M38" s="1"/>
    </row>
    <row r="39" spans="1:13" x14ac:dyDescent="0.2">
      <c r="A39" t="s">
        <v>99</v>
      </c>
      <c r="B39" s="1">
        <v>1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1</v>
      </c>
    </row>
    <row r="40" spans="1:13" x14ac:dyDescent="0.2">
      <c r="A40" t="s">
        <v>100</v>
      </c>
      <c r="B40" s="1">
        <f>+ED!C3</f>
        <v>22622441.550000001</v>
      </c>
      <c r="C40" s="1">
        <f>+ED!C4</f>
        <v>24190281.489999998</v>
      </c>
      <c r="D40" s="1">
        <f>+ED!C5</f>
        <v>21309995.489999998</v>
      </c>
      <c r="E40" s="1">
        <f>+ED!C6</f>
        <v>17590423.550000001</v>
      </c>
      <c r="F40" s="1">
        <f>+ED!C7</f>
        <v>15021820.6</v>
      </c>
      <c r="G40" s="1">
        <f>+ED!C8</f>
        <v>14039293.18</v>
      </c>
      <c r="H40" s="1">
        <f>+ED!C9</f>
        <v>23075916.899999999</v>
      </c>
      <c r="I40" s="1">
        <f>+ED!C10</f>
        <v>19564437.330000002</v>
      </c>
      <c r="J40" s="1">
        <f>+ED!C11</f>
        <v>20383811.499999996</v>
      </c>
      <c r="K40" s="1">
        <f>+ED!C12</f>
        <v>12731868.73</v>
      </c>
      <c r="L40" s="1">
        <f>+ED!C13</f>
        <v>19053029.030000001</v>
      </c>
      <c r="M40" s="1">
        <f>+ED!C14</f>
        <v>19053029.030000001</v>
      </c>
    </row>
    <row r="41" spans="1:13" x14ac:dyDescent="0.2">
      <c r="A41" t="s">
        <v>101</v>
      </c>
      <c r="B41" s="1">
        <f>+ED!B3</f>
        <v>49918.169999999991</v>
      </c>
      <c r="C41" s="1">
        <f>+ED!B4</f>
        <v>53143.520000000004</v>
      </c>
      <c r="D41" s="1">
        <f>+ED!B5</f>
        <v>49138.899999999994</v>
      </c>
      <c r="E41" s="1">
        <f>+ED!B6</f>
        <v>37866.879999999997</v>
      </c>
      <c r="F41" s="1">
        <f>+ED!B7</f>
        <v>32780.5</v>
      </c>
      <c r="G41" s="1">
        <f>+ED!B8</f>
        <v>32611.380000000005</v>
      </c>
      <c r="H41" s="1">
        <f>+ED!B9</f>
        <v>49708.520000000004</v>
      </c>
      <c r="I41" s="1">
        <f>+ED!B10</f>
        <v>49930.489999999991</v>
      </c>
      <c r="J41" s="1">
        <f>+ED!B11</f>
        <v>44998.2</v>
      </c>
      <c r="K41" s="1">
        <f>+ED!B12</f>
        <v>33065.300000000003</v>
      </c>
      <c r="L41" s="1">
        <f>+ED!B13</f>
        <v>43316.19</v>
      </c>
      <c r="M41" s="1">
        <f>+ED!B14</f>
        <v>43316.19</v>
      </c>
    </row>
    <row r="42" spans="1:13" x14ac:dyDescent="0.2">
      <c r="B42" s="1"/>
      <c r="C42" s="1"/>
      <c r="D42" s="1"/>
      <c r="E42" s="1"/>
      <c r="F42" s="1"/>
      <c r="G42" s="1"/>
      <c r="H42" s="1"/>
      <c r="I42" s="1"/>
      <c r="J42" s="1"/>
      <c r="K42"/>
      <c r="L42" s="1"/>
      <c r="M42" s="1"/>
    </row>
    <row r="43" spans="1:13" x14ac:dyDescent="0.2">
      <c r="A43" s="126" t="s">
        <v>109</v>
      </c>
      <c r="B43" s="1"/>
      <c r="C43" s="1"/>
      <c r="D43" s="1"/>
      <c r="E43" s="1"/>
      <c r="F43" s="1"/>
      <c r="G43" s="1"/>
      <c r="H43" s="1"/>
      <c r="J43" s="1"/>
    </row>
    <row r="44" spans="1:13" x14ac:dyDescent="0.2">
      <c r="A44" t="s">
        <v>102</v>
      </c>
      <c r="B44" s="1">
        <f>ROUND((SUM(B12+B16+B20+B25+B30+B35)),0)</f>
        <v>87001</v>
      </c>
      <c r="C44" s="1">
        <f t="shared" ref="C44:M44" si="1">ROUND((SUM(C12+C16+C20+C25+C30+C35)),0)</f>
        <v>88329</v>
      </c>
      <c r="D44" s="1">
        <f t="shared" si="1"/>
        <v>89685</v>
      </c>
      <c r="E44" s="1">
        <f t="shared" si="1"/>
        <v>91038</v>
      </c>
      <c r="F44" s="1">
        <f t="shared" si="1"/>
        <v>91928</v>
      </c>
      <c r="G44" s="1">
        <f t="shared" si="1"/>
        <v>93051</v>
      </c>
      <c r="H44" s="1">
        <f t="shared" si="1"/>
        <v>94370</v>
      </c>
      <c r="I44" s="1">
        <f t="shared" si="1"/>
        <v>95835</v>
      </c>
      <c r="J44" s="1">
        <f t="shared" si="1"/>
        <v>97519</v>
      </c>
      <c r="K44" s="1">
        <f t="shared" si="1"/>
        <v>98926</v>
      </c>
      <c r="L44" s="1">
        <f t="shared" si="1"/>
        <v>100247</v>
      </c>
      <c r="M44" s="1">
        <f t="shared" si="1"/>
        <v>101586</v>
      </c>
    </row>
    <row r="45" spans="1:13" x14ac:dyDescent="0.2">
      <c r="A45" t="s">
        <v>100</v>
      </c>
      <c r="B45" s="1">
        <f>ROUND((SUM(B13+B17+B21+B26+B31+B36)),4)</f>
        <v>1777401233</v>
      </c>
      <c r="C45" s="1">
        <f t="shared" ref="C45:M45" si="2">ROUND((SUM(C13+C17+C21+C26+C31+C36)),4)</f>
        <v>1829500492</v>
      </c>
      <c r="D45" s="1">
        <f t="shared" si="2"/>
        <v>1833881352</v>
      </c>
      <c r="E45" s="1">
        <f t="shared" si="2"/>
        <v>1825234090</v>
      </c>
      <c r="F45" s="1">
        <f t="shared" si="2"/>
        <v>1813262316.5969999</v>
      </c>
      <c r="G45" s="1">
        <f t="shared" si="2"/>
        <v>1803531650.6849</v>
      </c>
      <c r="H45" s="1">
        <f t="shared" si="2"/>
        <v>1762488283.8699999</v>
      </c>
      <c r="I45" s="1">
        <f t="shared" si="2"/>
        <v>1765790195.1571</v>
      </c>
      <c r="J45" s="1">
        <f t="shared" si="2"/>
        <v>1709004939.8992</v>
      </c>
      <c r="K45" s="1">
        <f t="shared" si="2"/>
        <v>1805957382.2454</v>
      </c>
      <c r="L45" s="1">
        <f t="shared" si="2"/>
        <v>1750132408.8659</v>
      </c>
      <c r="M45" s="1">
        <f t="shared" si="2"/>
        <v>1741580593.4126999</v>
      </c>
    </row>
    <row r="46" spans="1:13" x14ac:dyDescent="0.2">
      <c r="A46" t="s">
        <v>103</v>
      </c>
      <c r="B46" s="1">
        <f>ROUND((SUM(B22+B27+B32)),2)</f>
        <v>2384633</v>
      </c>
      <c r="C46" s="1">
        <f t="shared" ref="C46:M46" si="3">ROUND((SUM(C22+C27+C32)),2)</f>
        <v>2400828</v>
      </c>
      <c r="D46" s="1">
        <f t="shared" si="3"/>
        <v>2394906</v>
      </c>
      <c r="E46" s="1">
        <f t="shared" si="3"/>
        <v>2408950</v>
      </c>
      <c r="F46" s="1">
        <f t="shared" si="3"/>
        <v>2451878.61</v>
      </c>
      <c r="G46" s="1">
        <f t="shared" si="3"/>
        <v>2330202.2200000002</v>
      </c>
      <c r="H46" s="1">
        <f t="shared" si="3"/>
        <v>2255291.1</v>
      </c>
      <c r="I46" s="1">
        <f t="shared" si="3"/>
        <v>2278891.67</v>
      </c>
      <c r="J46" s="1">
        <f t="shared" si="3"/>
        <v>2209995.33</v>
      </c>
      <c r="K46" s="1">
        <f t="shared" si="3"/>
        <v>2292582.5</v>
      </c>
      <c r="L46" s="1">
        <f t="shared" si="3"/>
        <v>2163819.39</v>
      </c>
      <c r="M46" s="1">
        <f t="shared" si="3"/>
        <v>2112439.94</v>
      </c>
    </row>
    <row r="47" spans="1:13" x14ac:dyDescent="0.2">
      <c r="B47" s="1"/>
      <c r="C47" s="1"/>
      <c r="D47" s="1"/>
      <c r="E47" s="1"/>
      <c r="F47" s="1"/>
      <c r="G47" s="1"/>
      <c r="H47" s="1"/>
      <c r="I47" s="1"/>
      <c r="J47" s="1"/>
      <c r="K47"/>
      <c r="L47" s="1"/>
      <c r="M47" s="1"/>
    </row>
    <row r="48" spans="1:13" x14ac:dyDescent="0.2">
      <c r="A48" s="126" t="s">
        <v>110</v>
      </c>
      <c r="B48" s="1"/>
      <c r="C48" s="1"/>
      <c r="D48" s="1"/>
      <c r="E48" s="1"/>
      <c r="F48" s="1"/>
      <c r="G48" s="1"/>
      <c r="H48" s="1"/>
      <c r="J48" s="1"/>
    </row>
    <row r="49" spans="1:13" x14ac:dyDescent="0.2">
      <c r="A49" t="s">
        <v>102</v>
      </c>
      <c r="B49" s="1">
        <f>ROUND((SUM(B12+B16+B20+B25+B30+B35+B39)),0)</f>
        <v>87002</v>
      </c>
      <c r="C49" s="1">
        <f t="shared" ref="C49:M49" si="4">ROUND((SUM(C12+C16+C20+C25+C30+C35+C39)),0)</f>
        <v>88330</v>
      </c>
      <c r="D49" s="1">
        <f t="shared" si="4"/>
        <v>89686</v>
      </c>
      <c r="E49" s="1">
        <f t="shared" si="4"/>
        <v>91039</v>
      </c>
      <c r="F49" s="1">
        <f t="shared" si="4"/>
        <v>91929</v>
      </c>
      <c r="G49" s="1">
        <f t="shared" si="4"/>
        <v>93052</v>
      </c>
      <c r="H49" s="1">
        <f t="shared" si="4"/>
        <v>94371</v>
      </c>
      <c r="I49" s="1">
        <f t="shared" si="4"/>
        <v>95836</v>
      </c>
      <c r="J49" s="1">
        <f t="shared" si="4"/>
        <v>97520</v>
      </c>
      <c r="K49" s="1">
        <f t="shared" si="4"/>
        <v>98927</v>
      </c>
      <c r="L49" s="1">
        <f t="shared" si="4"/>
        <v>100248</v>
      </c>
      <c r="M49" s="1">
        <f t="shared" si="4"/>
        <v>101587</v>
      </c>
    </row>
    <row r="50" spans="1:13" x14ac:dyDescent="0.2">
      <c r="A50" t="s">
        <v>100</v>
      </c>
      <c r="B50" s="1">
        <f>ROUND((SUM(B13+B17+B21+B26+B31+B36+B40)),4)</f>
        <v>1800023674.55</v>
      </c>
      <c r="C50" s="1">
        <f t="shared" ref="C50:M50" si="5">ROUND((SUM(C13+C17+C21+C26+C31+C36+C40)),4)</f>
        <v>1853690773.49</v>
      </c>
      <c r="D50" s="1">
        <f t="shared" si="5"/>
        <v>1855191347.49</v>
      </c>
      <c r="E50" s="1">
        <f t="shared" si="5"/>
        <v>1842824513.55</v>
      </c>
      <c r="F50" s="1">
        <f t="shared" si="5"/>
        <v>1828284137.197</v>
      </c>
      <c r="G50" s="1">
        <f t="shared" si="5"/>
        <v>1817570943.8649001</v>
      </c>
      <c r="H50" s="1">
        <f t="shared" si="5"/>
        <v>1785564200.77</v>
      </c>
      <c r="I50" s="1">
        <f t="shared" si="5"/>
        <v>1785354632.4870999</v>
      </c>
      <c r="J50" s="1">
        <f t="shared" si="5"/>
        <v>1729388751.3992</v>
      </c>
      <c r="K50" s="1">
        <f t="shared" si="5"/>
        <v>1818689250.9754</v>
      </c>
      <c r="L50" s="1">
        <f t="shared" si="5"/>
        <v>1769185437.8959</v>
      </c>
      <c r="M50" s="1">
        <f t="shared" si="5"/>
        <v>1760633622.4426999</v>
      </c>
    </row>
    <row r="51" spans="1:13" x14ac:dyDescent="0.2">
      <c r="A51" t="s">
        <v>103</v>
      </c>
      <c r="B51" s="1">
        <f>ROUND((SUM(B22+B27+B32+B41)),2)</f>
        <v>2434551.17</v>
      </c>
      <c r="C51" s="1">
        <f t="shared" ref="C51:M51" si="6">ROUND((SUM(C22+C27+C32+C41)),2)</f>
        <v>2453971.52</v>
      </c>
      <c r="D51" s="1">
        <f t="shared" si="6"/>
        <v>2444044.9</v>
      </c>
      <c r="E51" s="1">
        <f t="shared" si="6"/>
        <v>2446816.88</v>
      </c>
      <c r="F51" s="1">
        <f t="shared" si="6"/>
        <v>2484659.11</v>
      </c>
      <c r="G51" s="1">
        <f t="shared" si="6"/>
        <v>2362813.6</v>
      </c>
      <c r="H51" s="1">
        <f t="shared" si="6"/>
        <v>2304999.62</v>
      </c>
      <c r="I51" s="1">
        <f t="shared" si="6"/>
        <v>2328822.16</v>
      </c>
      <c r="J51" s="1">
        <f t="shared" si="6"/>
        <v>2254993.5299999998</v>
      </c>
      <c r="K51" s="1">
        <f t="shared" si="6"/>
        <v>2325647.7999999998</v>
      </c>
      <c r="L51" s="1">
        <f t="shared" si="6"/>
        <v>2207135.58</v>
      </c>
      <c r="M51" s="1">
        <f t="shared" si="6"/>
        <v>2155756.13</v>
      </c>
    </row>
    <row r="53" spans="1:13" x14ac:dyDescent="0.2">
      <c r="A53" s="126" t="s">
        <v>111</v>
      </c>
      <c r="L53" s="1"/>
      <c r="M53" s="1"/>
    </row>
    <row r="54" spans="1:13" x14ac:dyDescent="0.2">
      <c r="A54" t="s">
        <v>102</v>
      </c>
      <c r="B54" s="1">
        <f>ROUND((Customer!J4),0)</f>
        <v>87001</v>
      </c>
      <c r="C54" s="1">
        <f>ROUND((Customer!J5),0)</f>
        <v>88329</v>
      </c>
      <c r="D54" s="1">
        <f>ROUND((Customer!J6),0)</f>
        <v>89685</v>
      </c>
      <c r="E54" s="1">
        <f>ROUND((Customer!J7),0)</f>
        <v>91038</v>
      </c>
      <c r="F54" s="1">
        <f>ROUND((Customer!J8),0)</f>
        <v>91928</v>
      </c>
      <c r="G54" s="1">
        <f>ROUND((Customer!J9),0)</f>
        <v>93051</v>
      </c>
      <c r="H54" s="1">
        <f>ROUND((Customer!J10),0)</f>
        <v>94370</v>
      </c>
      <c r="I54" s="1">
        <f>ROUND((Customer!J11),0)</f>
        <v>95835</v>
      </c>
      <c r="J54" s="1">
        <f>ROUND((Customer!J12),0)</f>
        <v>97519</v>
      </c>
      <c r="K54" s="1">
        <f>ROUND((Customer!J13),0)</f>
        <v>98926</v>
      </c>
      <c r="L54" s="1">
        <f>ROUND((Customer!J14),0)</f>
        <v>100247</v>
      </c>
      <c r="M54" s="1">
        <f>ROUND((Customer!J15),0)</f>
        <v>101586</v>
      </c>
    </row>
    <row r="55" spans="1:13" x14ac:dyDescent="0.2">
      <c r="A55" t="s">
        <v>100</v>
      </c>
      <c r="B55" s="1">
        <f>ROUND((Energy!O6),4)</f>
        <v>1777401233</v>
      </c>
      <c r="C55" s="1">
        <f>ROUND((Energy!O7),4)</f>
        <v>1829500492</v>
      </c>
      <c r="D55" s="1">
        <f>ROUND((Energy!O8),4)</f>
        <v>1833881352</v>
      </c>
      <c r="E55" s="1">
        <f>ROUND((Energy!O9),4)</f>
        <v>1825234090</v>
      </c>
      <c r="F55" s="1">
        <f>ROUND((Energy!O10),4)</f>
        <v>1813262316.5969999</v>
      </c>
      <c r="G55" s="1">
        <f>ROUND((Energy!O11),4)</f>
        <v>1803531650.6849</v>
      </c>
      <c r="H55" s="1">
        <f>ROUND((Energy!O12),4)</f>
        <v>1762488283.8699999</v>
      </c>
      <c r="I55" s="1">
        <f>ROUND((Energy!O13),4)</f>
        <v>1765790195.1571</v>
      </c>
      <c r="J55" s="1">
        <f>ROUND((Energy!O14),4)</f>
        <v>1709004939.8992</v>
      </c>
      <c r="K55" s="1">
        <f>ROUND((Energy!O15),4)</f>
        <v>1805957382.2454</v>
      </c>
      <c r="L55" s="1">
        <f>ROUND((Energy!P63),4)</f>
        <v>1760409769.9770999</v>
      </c>
      <c r="M55" s="1">
        <f>ROUND((Energy!P64),0)</f>
        <v>1765071705</v>
      </c>
    </row>
    <row r="56" spans="1:13" x14ac:dyDescent="0.2">
      <c r="A56" t="s">
        <v>103</v>
      </c>
      <c r="B56" s="1">
        <f>ROUND((Load!G3),2)</f>
        <v>2384633</v>
      </c>
      <c r="C56" s="1">
        <f>ROUND((Load!G4),2)</f>
        <v>2400828</v>
      </c>
      <c r="D56" s="1">
        <f>ROUND((Load!G5),2)</f>
        <v>2394906</v>
      </c>
      <c r="E56" s="1">
        <f>ROUND((Load!G6),2)</f>
        <v>2408950</v>
      </c>
      <c r="F56" s="1">
        <f>ROUND((Load!G7),2)</f>
        <v>2451878.61</v>
      </c>
      <c r="G56" s="1">
        <f>ROUND((Load!G8),2)</f>
        <v>2330202.2200000002</v>
      </c>
      <c r="H56" s="1">
        <f>ROUND((Load!G9),2)</f>
        <v>2255291.1</v>
      </c>
      <c r="I56" s="1">
        <f>ROUND((Load!G10),2)</f>
        <v>2278891.67</v>
      </c>
      <c r="J56" s="1">
        <f>ROUND((Load!G11),2)</f>
        <v>2209995.33</v>
      </c>
      <c r="K56" s="1">
        <f>ROUND((Load!G12),2)</f>
        <v>2292582.5</v>
      </c>
      <c r="L56" s="1">
        <f>ROUND((Load!G13),2)</f>
        <v>2163819.39</v>
      </c>
      <c r="M56" s="1">
        <f>ROUND((Load!G14),2)</f>
        <v>2112439.94</v>
      </c>
    </row>
    <row r="58" spans="1:13" x14ac:dyDescent="0.2">
      <c r="A58" s="126" t="s">
        <v>112</v>
      </c>
      <c r="L58" s="1"/>
      <c r="M58" s="1"/>
    </row>
    <row r="59" spans="1:13" x14ac:dyDescent="0.2">
      <c r="A59" t="s">
        <v>102</v>
      </c>
      <c r="B59" s="1">
        <f>ROUND((Customer!L4),0)</f>
        <v>87002</v>
      </c>
      <c r="C59" s="1">
        <f>ROUND((Customer!L5),0)</f>
        <v>88330</v>
      </c>
      <c r="D59" s="1">
        <f>ROUND((Customer!L6),0)</f>
        <v>89686</v>
      </c>
      <c r="E59" s="1">
        <f>ROUND((Customer!L7),0)</f>
        <v>91039</v>
      </c>
      <c r="F59" s="1">
        <f>ROUND((Customer!L8),0)</f>
        <v>91929</v>
      </c>
      <c r="G59" s="1">
        <f>ROUND((Customer!L9),0)</f>
        <v>93052</v>
      </c>
      <c r="H59" s="1">
        <f>ROUND((Customer!L10),0)</f>
        <v>94371</v>
      </c>
      <c r="I59" s="1">
        <f>ROUND((Customer!L11),0)</f>
        <v>95836</v>
      </c>
      <c r="J59" s="1">
        <f>ROUND((Customer!L12),0)</f>
        <v>97520</v>
      </c>
      <c r="K59" s="1">
        <f>ROUND((Customer!L13),0)</f>
        <v>98927</v>
      </c>
      <c r="L59" s="1">
        <f>ROUND((Customer!L14),0)</f>
        <v>100248</v>
      </c>
      <c r="M59" s="1">
        <f>ROUND((Customer!L15),0)</f>
        <v>101587</v>
      </c>
    </row>
    <row r="60" spans="1:13" x14ac:dyDescent="0.2">
      <c r="A60" t="s">
        <v>100</v>
      </c>
      <c r="B60" s="1">
        <f>ROUND((Energy!O6+ED!C3),4)</f>
        <v>1800023674.55</v>
      </c>
      <c r="C60" s="1">
        <f>ROUND((Energy!O7+ED!C4),4)</f>
        <v>1853690773.49</v>
      </c>
      <c r="D60" s="1">
        <f>ROUND((Energy!O8+ED!C5),4)</f>
        <v>1855191347.49</v>
      </c>
      <c r="E60" s="1">
        <f>ROUND((Energy!O9+ED!C6),4)</f>
        <v>1842824513.55</v>
      </c>
      <c r="F60" s="1">
        <f>ROUND((Energy!O10+ED!C7),4)</f>
        <v>1828284137.197</v>
      </c>
      <c r="G60" s="1">
        <f>ROUND((Energy!O11+ED!C8),4)</f>
        <v>1817570943.8649001</v>
      </c>
      <c r="H60" s="1">
        <f>ROUND((Energy!O12+ED!C9),4)</f>
        <v>1785564200.77</v>
      </c>
      <c r="I60" s="1">
        <f>ROUND((Energy!O13+ED!C10),4)</f>
        <v>1785354632.4870999</v>
      </c>
      <c r="J60" s="1">
        <f>ROUND((Energy!O14+ED!C11),4)</f>
        <v>1729388751.3992</v>
      </c>
      <c r="K60" s="1">
        <f>ROUND((Energy!O15+ED!C12),4)</f>
        <v>1818689250.9754</v>
      </c>
      <c r="L60" s="1">
        <f>ROUND((Energy!P83+ED!C13),4)</f>
        <v>1769185437.8959</v>
      </c>
      <c r="M60" s="1">
        <f>ROUND((Energy!P84+ED!C13),4)</f>
        <v>1760633622.4426999</v>
      </c>
    </row>
    <row r="61" spans="1:13" x14ac:dyDescent="0.2">
      <c r="A61" t="s">
        <v>103</v>
      </c>
      <c r="B61" s="1">
        <f>ROUND((Load!G3+ED!B3),2)</f>
        <v>2434551.17</v>
      </c>
      <c r="C61" s="1">
        <f>ROUND((Load!G4+ED!B4),2)</f>
        <v>2453971.52</v>
      </c>
      <c r="D61" s="1">
        <f>ROUND((Load!G5+ED!B5),2)</f>
        <v>2444044.9</v>
      </c>
      <c r="E61" s="1">
        <f>ROUND((Load!G6+ED!B6),2)</f>
        <v>2446816.88</v>
      </c>
      <c r="F61" s="1">
        <f>ROUND((Load!G7+ED!B7),2)</f>
        <v>2484659.11</v>
      </c>
      <c r="G61" s="1">
        <f>ROUND((Load!G8+ED!B8),2)</f>
        <v>2362813.6</v>
      </c>
      <c r="H61" s="1">
        <f>ROUND((Load!G9+ED!B9),2)</f>
        <v>2304999.62</v>
      </c>
      <c r="I61" s="1">
        <f>ROUND((Load!G10+ED!B10),2)</f>
        <v>2328822.16</v>
      </c>
      <c r="J61" s="1">
        <f>ROUND((Load!G11+ED!B11),2)</f>
        <v>2254993.5299999998</v>
      </c>
      <c r="K61" s="1">
        <f>ROUND((Load!G12+ED!B12),2)</f>
        <v>2325647.7999999998</v>
      </c>
      <c r="L61" s="1">
        <f>ROUND((Load!G13+ED!B13),2)</f>
        <v>2207135.58</v>
      </c>
      <c r="M61" s="1">
        <f>ROUND((Load!G14+ED!B14),2)</f>
        <v>2155756.13</v>
      </c>
    </row>
    <row r="63" spans="1:13" x14ac:dyDescent="0.2">
      <c r="A63" s="126" t="s">
        <v>113</v>
      </c>
      <c r="B63" s="1"/>
      <c r="C63" s="1"/>
      <c r="D63" s="1"/>
      <c r="E63" s="1"/>
      <c r="F63" s="1"/>
      <c r="G63" s="1"/>
      <c r="H63" s="1"/>
      <c r="I63" s="1"/>
      <c r="J63" s="1"/>
      <c r="L63" s="1"/>
      <c r="M63" s="1"/>
    </row>
    <row r="64" spans="1:13" x14ac:dyDescent="0.2">
      <c r="A64" t="s">
        <v>102</v>
      </c>
      <c r="B64" s="29">
        <f>ROUND((B49-B59),0)</f>
        <v>0</v>
      </c>
      <c r="C64" s="29">
        <f t="shared" ref="C64:M64" si="7">ROUND((C49-C59),0)</f>
        <v>0</v>
      </c>
      <c r="D64" s="29">
        <f t="shared" si="7"/>
        <v>0</v>
      </c>
      <c r="E64" s="29">
        <f t="shared" si="7"/>
        <v>0</v>
      </c>
      <c r="F64" s="29">
        <f t="shared" si="7"/>
        <v>0</v>
      </c>
      <c r="G64" s="29">
        <f t="shared" si="7"/>
        <v>0</v>
      </c>
      <c r="H64" s="29">
        <f t="shared" si="7"/>
        <v>0</v>
      </c>
      <c r="I64" s="29">
        <f t="shared" si="7"/>
        <v>0</v>
      </c>
      <c r="J64" s="29">
        <f t="shared" si="7"/>
        <v>0</v>
      </c>
      <c r="K64" s="29">
        <f t="shared" si="7"/>
        <v>0</v>
      </c>
      <c r="L64" s="29">
        <f t="shared" si="7"/>
        <v>0</v>
      </c>
      <c r="M64" s="29">
        <f t="shared" si="7"/>
        <v>0</v>
      </c>
    </row>
    <row r="65" spans="1:16" x14ac:dyDescent="0.2">
      <c r="A65" t="s">
        <v>100</v>
      </c>
      <c r="B65" s="29">
        <f>ROUND((B50-B60),4)</f>
        <v>0</v>
      </c>
      <c r="C65" s="29">
        <f t="shared" ref="C65:M65" si="8">ROUND((C50-C60),4)</f>
        <v>0</v>
      </c>
      <c r="D65" s="29">
        <f t="shared" si="8"/>
        <v>0</v>
      </c>
      <c r="E65" s="29">
        <f t="shared" si="8"/>
        <v>0</v>
      </c>
      <c r="F65" s="29">
        <f t="shared" si="8"/>
        <v>0</v>
      </c>
      <c r="G65" s="29">
        <f t="shared" si="8"/>
        <v>0</v>
      </c>
      <c r="H65" s="29">
        <f t="shared" si="8"/>
        <v>0</v>
      </c>
      <c r="I65" s="29">
        <f t="shared" si="8"/>
        <v>0</v>
      </c>
      <c r="J65" s="29">
        <f t="shared" si="8"/>
        <v>0</v>
      </c>
      <c r="K65" s="29">
        <f t="shared" si="8"/>
        <v>0</v>
      </c>
      <c r="L65" s="29">
        <f t="shared" si="8"/>
        <v>0</v>
      </c>
      <c r="M65" s="29">
        <f t="shared" si="8"/>
        <v>0</v>
      </c>
    </row>
    <row r="66" spans="1:16" x14ac:dyDescent="0.2">
      <c r="A66" t="s">
        <v>103</v>
      </c>
      <c r="B66" s="29">
        <f>ROUND((B51-B61),2)</f>
        <v>0</v>
      </c>
      <c r="C66" s="29">
        <f t="shared" ref="C66:M66" si="9">ROUND((C51-C61),2)</f>
        <v>0</v>
      </c>
      <c r="D66" s="29">
        <f t="shared" si="9"/>
        <v>0</v>
      </c>
      <c r="E66" s="29">
        <f t="shared" si="9"/>
        <v>0</v>
      </c>
      <c r="F66" s="29">
        <f t="shared" si="9"/>
        <v>0</v>
      </c>
      <c r="G66" s="29">
        <f t="shared" si="9"/>
        <v>0</v>
      </c>
      <c r="H66" s="29">
        <f t="shared" si="9"/>
        <v>0</v>
      </c>
      <c r="I66" s="29">
        <f t="shared" si="9"/>
        <v>0</v>
      </c>
      <c r="J66" s="29">
        <f t="shared" si="9"/>
        <v>0</v>
      </c>
      <c r="K66" s="29">
        <f t="shared" si="9"/>
        <v>0</v>
      </c>
      <c r="L66" s="29">
        <f t="shared" si="9"/>
        <v>0</v>
      </c>
      <c r="M66" s="29">
        <f t="shared" si="9"/>
        <v>0</v>
      </c>
    </row>
    <row r="69" spans="1:16" x14ac:dyDescent="0.2">
      <c r="B69" s="120">
        <v>2009</v>
      </c>
      <c r="C69" s="120">
        <v>2010</v>
      </c>
      <c r="D69" s="120">
        <v>2011</v>
      </c>
      <c r="E69" s="64">
        <v>2012</v>
      </c>
      <c r="F69" s="120">
        <v>2013</v>
      </c>
      <c r="G69" s="120">
        <v>2014</v>
      </c>
      <c r="H69" s="120">
        <v>2015</v>
      </c>
      <c r="I69" s="64">
        <v>2016</v>
      </c>
      <c r="J69" s="120">
        <v>2017</v>
      </c>
      <c r="K69" s="120">
        <v>2018</v>
      </c>
      <c r="L69" s="120">
        <v>2019</v>
      </c>
      <c r="M69" s="64">
        <v>2020</v>
      </c>
      <c r="P69" s="10"/>
    </row>
    <row r="70" spans="1:16" x14ac:dyDescent="0.2">
      <c r="A70" t="s">
        <v>114</v>
      </c>
      <c r="B70" s="54">
        <f t="shared" ref="B70:E71" si="10">B4/1000000</f>
        <v>1783.5255456735001</v>
      </c>
      <c r="C70" s="54">
        <f t="shared" si="10"/>
        <v>1847.2826938639</v>
      </c>
      <c r="D70" s="54">
        <f t="shared" si="10"/>
        <v>1851.6011061615</v>
      </c>
      <c r="E70" s="54">
        <f t="shared" si="10"/>
        <v>1841.7514866217</v>
      </c>
      <c r="F70" s="54">
        <f t="shared" ref="F70:J71" si="11">F4/1000000</f>
        <v>1826.0774520487</v>
      </c>
      <c r="G70" s="54">
        <f t="shared" si="11"/>
        <v>1813.6467374347999</v>
      </c>
      <c r="H70" s="54">
        <f t="shared" si="11"/>
        <v>1801.9899524038001</v>
      </c>
      <c r="I70" s="54">
        <f t="shared" si="11"/>
        <v>1811.6906755150001</v>
      </c>
      <c r="J70" s="54">
        <f t="shared" si="11"/>
        <v>1757.8087417091001</v>
      </c>
      <c r="K70" s="54">
        <f>K4/1000000</f>
        <v>1857.0498433989001</v>
      </c>
      <c r="L70" s="54"/>
      <c r="M70" s="54"/>
      <c r="P70" s="10"/>
    </row>
    <row r="71" spans="1:16" x14ac:dyDescent="0.2">
      <c r="A71" t="s">
        <v>115</v>
      </c>
      <c r="B71" s="54">
        <f t="shared" si="10"/>
        <v>1789.1698491176001</v>
      </c>
      <c r="C71" s="54">
        <f t="shared" si="10"/>
        <v>1828.6796488021</v>
      </c>
      <c r="D71" s="54">
        <f t="shared" si="10"/>
        <v>1825.1125340495</v>
      </c>
      <c r="E71" s="54">
        <f t="shared" si="10"/>
        <v>1824.1887279921998</v>
      </c>
      <c r="F71" s="54">
        <f t="shared" si="11"/>
        <v>1823.0315907330998</v>
      </c>
      <c r="G71" s="54">
        <f t="shared" si="11"/>
        <v>1806.278223493</v>
      </c>
      <c r="H71" s="54">
        <f t="shared" si="11"/>
        <v>1813.0437065452002</v>
      </c>
      <c r="I71" s="54">
        <f t="shared" si="11"/>
        <v>1837.5565858353</v>
      </c>
      <c r="J71" s="54">
        <f t="shared" si="11"/>
        <v>1791.4947375852</v>
      </c>
      <c r="K71" s="54">
        <f>K5/1000000</f>
        <v>1853.8686306779</v>
      </c>
      <c r="L71" s="54">
        <f>L5/1000000</f>
        <v>1817.0949645704</v>
      </c>
      <c r="M71" s="54">
        <f>M5/1000000</f>
        <v>1821.9070134130002</v>
      </c>
      <c r="P71" s="10"/>
    </row>
    <row r="75" spans="1:16" x14ac:dyDescent="0.2">
      <c r="B75"/>
    </row>
  </sheetData>
  <mergeCells count="1">
    <mergeCell ref="A1:M1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hibit xmlns="2b77ee51-2d1b-440f-b1c5-6bf38323b71d">
      <Value>3 Load Forecast (Other Revenue)</Value>
    </Exhibit>
    <j60eba9998ef4b3ea7f9121ad0384271 xmlns="2b77ee51-2d1b-440f-b1c5-6bf38323b7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2018</TermName>
          <TermId xmlns="http://schemas.microsoft.com/office/infopath/2007/PartnerControls">4e588e09-a878-4501-9337-f75ecb97c25f</TermId>
        </TermInfo>
      </Terms>
    </j60eba9998ef4b3ea7f9121ad0384271>
    <TaxCatchAll xmlns="d0012f55-c530-43d5-97ec-29547c6a9aa9">
      <Value>1</Value>
    </TaxCatchAll>
    <Topic xmlns="2b77ee51-2d1b-440f-b1c5-6bf38323b71d">Load Forecast</Topic>
    <Category xmlns="2b77ee51-2d1b-440f-b1c5-6bf38323b71d">Application</Category>
    <SharedWithUsers xmlns="badf76cf-6749-4566-8a2a-e6e61410397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C226CA00A7BB499AB0E598C7FD0619" ma:contentTypeVersion="7" ma:contentTypeDescription="Create a new document." ma:contentTypeScope="" ma:versionID="6dcc8b88ad0bd60ba4241a12272f3cc1">
  <xsd:schema xmlns:xsd="http://www.w3.org/2001/XMLSchema" xmlns:xs="http://www.w3.org/2001/XMLSchema" xmlns:p="http://schemas.microsoft.com/office/2006/metadata/properties" xmlns:ns2="2b77ee51-2d1b-440f-b1c5-6bf38323b71d" xmlns:ns3="d0012f55-c530-43d5-97ec-29547c6a9aa9" xmlns:ns4="badf76cf-6749-4566-8a2a-e6e614103977" targetNamespace="http://schemas.microsoft.com/office/2006/metadata/properties" ma:root="true" ma:fieldsID="390f98acc2d9348b55a843101a170aec" ns2:_="" ns3:_="" ns4:_="">
    <xsd:import namespace="2b77ee51-2d1b-440f-b1c5-6bf38323b71d"/>
    <xsd:import namespace="d0012f55-c530-43d5-97ec-29547c6a9aa9"/>
    <xsd:import namespace="badf76cf-6749-4566-8a2a-e6e614103977"/>
    <xsd:element name="properties">
      <xsd:complexType>
        <xsd:sequence>
          <xsd:element name="documentManagement">
            <xsd:complexType>
              <xsd:all>
                <xsd:element ref="ns2:j60eba9998ef4b3ea7f9121ad0384271" minOccurs="0"/>
                <xsd:element ref="ns3:TaxCatchAll" minOccurs="0"/>
                <xsd:element ref="ns2:Exhibit" minOccurs="0"/>
                <xsd:element ref="ns2:Category"/>
                <xsd:element ref="ns4:SharedWithUsers" minOccurs="0"/>
                <xsd:element ref="ns2:Topi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7ee51-2d1b-440f-b1c5-6bf38323b71d" elementFormDefault="qualified">
    <xsd:import namespace="http://schemas.microsoft.com/office/2006/documentManagement/types"/>
    <xsd:import namespace="http://schemas.microsoft.com/office/infopath/2007/PartnerControls"/>
    <xsd:element name="j60eba9998ef4b3ea7f9121ad0384271" ma:index="9" ma:taxonomy="true" ma:internalName="j60eba9998ef4b3ea7f9121ad0384271" ma:taxonomyFieldName="Year" ma:displayName="Year" ma:default="1;#2018|4e588e09-a878-4501-9337-f75ecb97c25f" ma:fieldId="{360eba99-98ef-4b3e-a7f9-121ad0384271}" ma:sspId="34860b03-dfb1-4905-81d3-8bcae4ca1e22" ma:termSetId="fa81990e-a904-40e7-8371-c1d97e8641a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xhibit" ma:index="11" nillable="true" ma:displayName="Exhibit" ma:default="1 Administration" ma:internalName="Exhibit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"/>
                    <xsd:enumeration value="1 Administration"/>
                    <xsd:enumeration value="2 Rate Base"/>
                    <xsd:enumeration value="3 Load Forecast (Other Revenue)"/>
                    <xsd:enumeration value="4 Expenses (OM&amp;A)"/>
                    <xsd:enumeration value="5 Debt"/>
                    <xsd:enumeration value="6 Revenue Requirement"/>
                    <xsd:enumeration value="7 Cost Allocation"/>
                    <xsd:enumeration value="8 Rate Design"/>
                    <xsd:enumeration value="9 Deferral &amp; Variance Accounts"/>
                  </xsd:restriction>
                </xsd:simpleType>
              </xsd:element>
            </xsd:sequence>
          </xsd:extension>
        </xsd:complexContent>
      </xsd:complexType>
    </xsd:element>
    <xsd:element name="Category" ma:index="12" ma:displayName="Category" ma:default="Application" ma:format="Dropdown" ma:internalName="Category">
      <xsd:simpleType>
        <xsd:restriction base="dms:Choice">
          <xsd:enumeration value="Application"/>
          <xsd:enumeration value="Interrogatories"/>
          <xsd:enumeration value="Master Application"/>
          <xsd:enumeration value="OEB Correspondence"/>
          <xsd:enumeration value="Reference Document"/>
          <xsd:enumeration value="Report"/>
          <xsd:enumeration value="Sample"/>
          <xsd:enumeration value="Settlement"/>
          <xsd:enumeration value="Source"/>
          <xsd:enumeration value="Submissions"/>
          <xsd:enumeration value="Technical"/>
          <xsd:enumeration value="Working Model"/>
        </xsd:restriction>
      </xsd:simpleType>
    </xsd:element>
    <xsd:element name="Topic" ma:index="14" ma:displayName="Topic" ma:default="N/A" ma:format="Dropdown" ma:internalName="Topic">
      <xsd:simpleType>
        <xsd:restriction base="dms:Choice">
          <xsd:enumeration value="Benchmarking"/>
          <xsd:enumeration value="Business Plan"/>
          <xsd:enumeration value="Customer Engagement"/>
          <xsd:enumeration value="Reliability"/>
          <xsd:enumeration value="DSP"/>
          <xsd:enumeration value="Governance"/>
          <xsd:enumeration value="Load Forecast"/>
          <xsd:enumeration value="Other Revenue"/>
          <xsd:enumeration value="Human Resources"/>
          <xsd:enumeration value="Programs"/>
          <xsd:enumeration value="Depreciation"/>
          <xsd:enumeration value="CDM"/>
          <xsd:enumeration value="Bill Impacts"/>
          <xsd:enumeration value="N/A"/>
          <xsd:enumeration value="Rate Base"/>
          <xsd:enumeration value="PILs"/>
          <xsd:enumeration value="Rates"/>
          <xsd:enumeration value="Rate Design"/>
          <xsd:enumeration value="DVAs"/>
          <xsd:enumeration value="Cost Allocation"/>
          <xsd:enumeration value="Cost of Capi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12f55-c530-43d5-97ec-29547c6a9aa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bb37acec-9924-4ac4-9ba8-0b18d3b7952b}" ma:internalName="TaxCatchAll" ma:showField="CatchAllData" ma:web="badf76cf-6749-4566-8a2a-e6e6141039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f76cf-6749-4566-8a2a-e6e61410397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556D24-7DF5-48D2-AA8B-45999B692417}">
  <ds:schemaRefs>
    <ds:schemaRef ds:uri="2b77ee51-2d1b-440f-b1c5-6bf38323b71d"/>
    <ds:schemaRef ds:uri="http://purl.org/dc/terms/"/>
    <ds:schemaRef ds:uri="http://schemas.microsoft.com/office/2006/documentManagement/types"/>
    <ds:schemaRef ds:uri="badf76cf-6749-4566-8a2a-e6e614103977"/>
    <ds:schemaRef ds:uri="http://schemas.microsoft.com/office/2006/metadata/properties"/>
    <ds:schemaRef ds:uri="http://purl.org/dc/elements/1.1/"/>
    <ds:schemaRef ds:uri="d0012f55-c530-43d5-97ec-29547c6a9aa9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C62737-73FB-4542-89FD-10CED76DC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1F8C30-BA02-4663-A4E0-B7A1C6D4B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7ee51-2d1b-440f-b1c5-6bf38323b71d"/>
    <ds:schemaRef ds:uri="d0012f55-c530-43d5-97ec-29547c6a9aa9"/>
    <ds:schemaRef ds:uri="badf76cf-6749-4566-8a2a-e6e614103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Power</vt:lpstr>
      <vt:lpstr>Energy</vt:lpstr>
      <vt:lpstr>Sheet1</vt:lpstr>
      <vt:lpstr>Customer</vt:lpstr>
      <vt:lpstr>ED</vt:lpstr>
      <vt:lpstr>Load</vt:lpstr>
      <vt:lpstr>19COP-Z</vt:lpstr>
      <vt:lpstr>20COP-Z</vt:lpstr>
      <vt:lpstr>Summary</vt:lpstr>
      <vt:lpstr>CDM</vt:lpstr>
      <vt:lpstr>'20COP-Z'!Print_Area</vt:lpstr>
      <vt:lpstr>Power!Print_Titles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Load Forecast Model</dc:title>
  <dc:creator>Bruce Bacon</dc:creator>
  <cp:lastModifiedBy>Blakeman, Kelly</cp:lastModifiedBy>
  <cp:lastPrinted>2019-07-17T13:01:04Z</cp:lastPrinted>
  <dcterms:created xsi:type="dcterms:W3CDTF">2008-02-06T18:24:44Z</dcterms:created>
  <dcterms:modified xsi:type="dcterms:W3CDTF">2019-07-22T13:44:49Z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0x01010002C226CA00A7BB499AB0E598C7FD0619</vt:lpwstr>
  </property>
  <property fmtid="{D5CDD505-2E9C-101B-9397-08002B2CF9AE}" pid="4" name="Year">
    <vt:lpwstr>1;#2018|4e588e09-a878-4501-9337-f75ecb97c25f</vt:lpwstr>
  </property>
</Properties>
</file>