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"/>
    </mc:Choice>
  </mc:AlternateContent>
  <xr:revisionPtr revIDLastSave="0" documentId="13_ncr:1_{905F1D6F-1AA7-4856-BF90-F1E58A360549}" xr6:coauthVersionLast="43" xr6:coauthVersionMax="43" xr10:uidLastSave="{00000000-0000-0000-0000-000000000000}"/>
  <bookViews>
    <workbookView xWindow="-120" yWindow="-120" windowWidth="24240" windowHeight="13290" tabRatio="936" activeTab="2" xr2:uid="{00000000-000D-0000-FFFF-FFFF00000000}"/>
  </bookViews>
  <sheets>
    <sheet name="Power" sheetId="59" r:id="rId1"/>
    <sheet name="Energy" sheetId="62" r:id="rId2"/>
    <sheet name="Sheet1" sheetId="80" r:id="rId3"/>
    <sheet name="Customer" sheetId="63" r:id="rId4"/>
    <sheet name="ED" sheetId="71" r:id="rId5"/>
    <sheet name="Load" sheetId="64" r:id="rId6"/>
    <sheet name="19COP-Z" sheetId="78" r:id="rId7"/>
    <sheet name="20COP-Z" sheetId="79" r:id="rId8"/>
    <sheet name="Summary" sheetId="70" r:id="rId9"/>
    <sheet name="CDM" sheetId="72" r:id="rId10"/>
  </sheets>
  <externalReferences>
    <externalReference r:id="rId11"/>
    <externalReference r:id="rId12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Area" localSheetId="7">'20COP-Z'!$A$1:$F$92</definedName>
    <definedName name="_xlnm.Print_Titles" localSheetId="0">Power!$1:$1</definedName>
    <definedName name="RebaseYear">'[2]LDC Info'!$E$28</definedName>
    <definedName name="TestYear">'[2]LDC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80" l="1"/>
  <c r="G4" i="80"/>
  <c r="F5" i="80"/>
  <c r="F4" i="80"/>
  <c r="E5" i="80"/>
  <c r="E4" i="80"/>
  <c r="D5" i="80"/>
  <c r="D4" i="80"/>
  <c r="C5" i="80"/>
  <c r="C4" i="80"/>
  <c r="B5" i="80"/>
  <c r="B4" i="80"/>
  <c r="G162" i="59" l="1"/>
  <c r="U21" i="72"/>
  <c r="U20" i="72"/>
  <c r="T20" i="72"/>
  <c r="T21" i="72" s="1"/>
  <c r="S20" i="72"/>
  <c r="S21" i="72" s="1"/>
  <c r="R20" i="72"/>
  <c r="R21" i="72" s="1"/>
  <c r="Q20" i="72"/>
  <c r="Q21" i="72" s="1"/>
  <c r="L17" i="63" l="1"/>
  <c r="J17" i="63"/>
  <c r="D17" i="63"/>
  <c r="N145" i="59" l="1"/>
  <c r="N144" i="59"/>
  <c r="N143" i="59"/>
  <c r="N142" i="59"/>
  <c r="N141" i="59"/>
  <c r="N140" i="59"/>
  <c r="N139" i="59"/>
  <c r="N138" i="59"/>
  <c r="N137" i="59"/>
  <c r="N136" i="59"/>
  <c r="N135" i="59"/>
  <c r="N134" i="59"/>
  <c r="N133" i="59"/>
  <c r="N132" i="59"/>
  <c r="N131" i="59"/>
  <c r="N130" i="59"/>
  <c r="N129" i="59"/>
  <c r="N128" i="59"/>
  <c r="N127" i="59"/>
  <c r="N126" i="59"/>
  <c r="N125" i="59"/>
  <c r="N124" i="59"/>
  <c r="N123" i="59"/>
  <c r="N122" i="59"/>
  <c r="N121" i="59"/>
  <c r="N120" i="59"/>
  <c r="N119" i="59"/>
  <c r="N118" i="59"/>
  <c r="N117" i="59"/>
  <c r="N116" i="59"/>
  <c r="N115" i="59"/>
  <c r="N114" i="59"/>
  <c r="N113" i="59"/>
  <c r="N112" i="59"/>
  <c r="N111" i="59"/>
  <c r="N110" i="59"/>
  <c r="N109" i="59"/>
  <c r="N108" i="59"/>
  <c r="N107" i="59"/>
  <c r="N106" i="59"/>
  <c r="N105" i="59"/>
  <c r="N104" i="59"/>
  <c r="N103" i="59"/>
  <c r="N102" i="59"/>
  <c r="N101" i="59"/>
  <c r="N100" i="59"/>
  <c r="N99" i="59"/>
  <c r="N98" i="59"/>
  <c r="N97" i="59"/>
  <c r="N96" i="59"/>
  <c r="N95" i="59"/>
  <c r="N94" i="59"/>
  <c r="N93" i="59"/>
  <c r="N92" i="59"/>
  <c r="N91" i="59"/>
  <c r="N90" i="59"/>
  <c r="N89" i="59"/>
  <c r="N88" i="59"/>
  <c r="N87" i="59"/>
  <c r="N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N4" i="59"/>
  <c r="N3" i="59"/>
  <c r="N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7" i="59"/>
  <c r="G106" i="59"/>
  <c r="G99" i="59"/>
  <c r="G98" i="59"/>
  <c r="G91" i="59"/>
  <c r="G90" i="59"/>
  <c r="G83" i="59"/>
  <c r="G82" i="59"/>
  <c r="G75" i="59"/>
  <c r="G74" i="59"/>
  <c r="G67" i="59"/>
  <c r="G66" i="59"/>
  <c r="G59" i="59"/>
  <c r="G58" i="59"/>
  <c r="G51" i="59"/>
  <c r="G50" i="59"/>
  <c r="G43" i="59"/>
  <c r="G42" i="59"/>
  <c r="G35" i="59"/>
  <c r="G34" i="59"/>
  <c r="G27" i="59"/>
  <c r="G26" i="59"/>
  <c r="G19" i="59"/>
  <c r="G18" i="59"/>
  <c r="G11" i="59"/>
  <c r="G10" i="59"/>
  <c r="G3" i="59"/>
  <c r="G2" i="59"/>
  <c r="F109" i="59"/>
  <c r="G109" i="59" s="1"/>
  <c r="F108" i="59"/>
  <c r="G108" i="59" s="1"/>
  <c r="F107" i="59"/>
  <c r="F106" i="59"/>
  <c r="F105" i="59"/>
  <c r="G105" i="59" s="1"/>
  <c r="F104" i="59"/>
  <c r="G104" i="59" s="1"/>
  <c r="F103" i="59"/>
  <c r="G103" i="59" s="1"/>
  <c r="F102" i="59"/>
  <c r="G102" i="59" s="1"/>
  <c r="F101" i="59"/>
  <c r="G101" i="59" s="1"/>
  <c r="F100" i="59"/>
  <c r="G100" i="59" s="1"/>
  <c r="F99" i="59"/>
  <c r="F98" i="59"/>
  <c r="F97" i="59"/>
  <c r="G97" i="59" s="1"/>
  <c r="F96" i="59"/>
  <c r="G96" i="59" s="1"/>
  <c r="F95" i="59"/>
  <c r="G95" i="59" s="1"/>
  <c r="F94" i="59"/>
  <c r="G94" i="59" s="1"/>
  <c r="F93" i="59"/>
  <c r="G93" i="59" s="1"/>
  <c r="F92" i="59"/>
  <c r="G92" i="59" s="1"/>
  <c r="F91" i="59"/>
  <c r="F90" i="59"/>
  <c r="F89" i="59"/>
  <c r="G89" i="59" s="1"/>
  <c r="F88" i="59"/>
  <c r="G88" i="59" s="1"/>
  <c r="F87" i="59"/>
  <c r="G87" i="59" s="1"/>
  <c r="F86" i="59"/>
  <c r="G86" i="59" s="1"/>
  <c r="F85" i="59"/>
  <c r="G85" i="59" s="1"/>
  <c r="F84" i="59"/>
  <c r="G84" i="59" s="1"/>
  <c r="F83" i="59"/>
  <c r="F82" i="59"/>
  <c r="F81" i="59"/>
  <c r="G81" i="59" s="1"/>
  <c r="F80" i="59"/>
  <c r="G80" i="59" s="1"/>
  <c r="F79" i="59"/>
  <c r="G79" i="59" s="1"/>
  <c r="F78" i="59"/>
  <c r="G78" i="59" s="1"/>
  <c r="F77" i="59"/>
  <c r="G77" i="59" s="1"/>
  <c r="F76" i="59"/>
  <c r="G76" i="59" s="1"/>
  <c r="F75" i="59"/>
  <c r="F74" i="59"/>
  <c r="F73" i="59"/>
  <c r="G73" i="59" s="1"/>
  <c r="F72" i="59"/>
  <c r="G72" i="59" s="1"/>
  <c r="F71" i="59"/>
  <c r="G71" i="59" s="1"/>
  <c r="F70" i="59"/>
  <c r="G70" i="59" s="1"/>
  <c r="F69" i="59"/>
  <c r="G69" i="59" s="1"/>
  <c r="F68" i="59"/>
  <c r="G68" i="59" s="1"/>
  <c r="F67" i="59"/>
  <c r="F66" i="59"/>
  <c r="F65" i="59"/>
  <c r="G65" i="59" s="1"/>
  <c r="F64" i="59"/>
  <c r="G64" i="59" s="1"/>
  <c r="F63" i="59"/>
  <c r="G63" i="59" s="1"/>
  <c r="F62" i="59"/>
  <c r="G62" i="59" s="1"/>
  <c r="F61" i="59"/>
  <c r="G61" i="59" s="1"/>
  <c r="F60" i="59"/>
  <c r="G60" i="59" s="1"/>
  <c r="F59" i="59"/>
  <c r="F58" i="59"/>
  <c r="F57" i="59"/>
  <c r="G57" i="59" s="1"/>
  <c r="F56" i="59"/>
  <c r="G56" i="59" s="1"/>
  <c r="F55" i="59"/>
  <c r="G55" i="59" s="1"/>
  <c r="F54" i="59"/>
  <c r="G54" i="59" s="1"/>
  <c r="F53" i="59"/>
  <c r="G53" i="59" s="1"/>
  <c r="F52" i="59"/>
  <c r="G52" i="59" s="1"/>
  <c r="F51" i="59"/>
  <c r="F50" i="59"/>
  <c r="F49" i="59"/>
  <c r="G49" i="59" s="1"/>
  <c r="F48" i="59"/>
  <c r="G48" i="59" s="1"/>
  <c r="F47" i="59"/>
  <c r="G47" i="59" s="1"/>
  <c r="F46" i="59"/>
  <c r="G46" i="59" s="1"/>
  <c r="F45" i="59"/>
  <c r="G45" i="59" s="1"/>
  <c r="F44" i="59"/>
  <c r="G44" i="59" s="1"/>
  <c r="F43" i="59"/>
  <c r="F42" i="59"/>
  <c r="F41" i="59"/>
  <c r="G41" i="59" s="1"/>
  <c r="F40" i="59"/>
  <c r="G40" i="59" s="1"/>
  <c r="F39" i="59"/>
  <c r="G39" i="59" s="1"/>
  <c r="F38" i="59"/>
  <c r="G38" i="59" s="1"/>
  <c r="F37" i="59"/>
  <c r="G37" i="59" s="1"/>
  <c r="F36" i="59"/>
  <c r="G36" i="59" s="1"/>
  <c r="F35" i="59"/>
  <c r="F34" i="59"/>
  <c r="F33" i="59"/>
  <c r="G33" i="59" s="1"/>
  <c r="F32" i="59"/>
  <c r="G32" i="59" s="1"/>
  <c r="F31" i="59"/>
  <c r="G31" i="59" s="1"/>
  <c r="F30" i="59"/>
  <c r="G30" i="59" s="1"/>
  <c r="F29" i="59"/>
  <c r="G29" i="59" s="1"/>
  <c r="F28" i="59"/>
  <c r="G28" i="59" s="1"/>
  <c r="F27" i="59"/>
  <c r="F26" i="59"/>
  <c r="F25" i="59"/>
  <c r="G25" i="59" s="1"/>
  <c r="F24" i="59"/>
  <c r="G24" i="59" s="1"/>
  <c r="F23" i="59"/>
  <c r="G23" i="59" s="1"/>
  <c r="F22" i="59"/>
  <c r="G22" i="59" s="1"/>
  <c r="F21" i="59"/>
  <c r="G21" i="59" s="1"/>
  <c r="F20" i="59"/>
  <c r="G20" i="59" s="1"/>
  <c r="F19" i="59"/>
  <c r="F18" i="59"/>
  <c r="F17" i="59"/>
  <c r="G17" i="59" s="1"/>
  <c r="F16" i="59"/>
  <c r="G16" i="59" s="1"/>
  <c r="F15" i="59"/>
  <c r="G15" i="59" s="1"/>
  <c r="F14" i="59"/>
  <c r="G14" i="59" s="1"/>
  <c r="F13" i="59"/>
  <c r="G13" i="59" s="1"/>
  <c r="F12" i="59"/>
  <c r="G12" i="59" s="1"/>
  <c r="F11" i="59"/>
  <c r="F10" i="59"/>
  <c r="F9" i="59"/>
  <c r="G9" i="59" s="1"/>
  <c r="F8" i="59"/>
  <c r="G8" i="59" s="1"/>
  <c r="F7" i="59"/>
  <c r="G7" i="59" s="1"/>
  <c r="F6" i="59"/>
  <c r="G6" i="59" s="1"/>
  <c r="F5" i="59"/>
  <c r="G5" i="59" s="1"/>
  <c r="F4" i="59"/>
  <c r="G4" i="59" s="1"/>
  <c r="F3" i="59"/>
  <c r="F2" i="59"/>
  <c r="E9" i="62" l="1"/>
  <c r="E10" i="62"/>
  <c r="E11" i="62"/>
  <c r="E12" i="62"/>
  <c r="E13" i="62"/>
  <c r="E14" i="62"/>
  <c r="E15" i="62"/>
  <c r="O9" i="62"/>
  <c r="O10" i="62"/>
  <c r="D14" i="71" l="1"/>
  <c r="D13" i="71"/>
  <c r="K29" i="63"/>
  <c r="B15" i="62" l="1"/>
  <c r="B14" i="62"/>
  <c r="B13" i="62"/>
  <c r="B12" i="62"/>
  <c r="B11" i="62"/>
  <c r="B10" i="62"/>
  <c r="B9" i="62"/>
  <c r="B8" i="62"/>
  <c r="B7" i="62"/>
  <c r="B6" i="62"/>
  <c r="E6" i="62" l="1"/>
  <c r="E7" i="62"/>
  <c r="E8" i="62"/>
  <c r="E44" i="79" l="1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C10" i="78"/>
  <c r="B10" i="78"/>
  <c r="L19" i="64" l="1"/>
  <c r="L18" i="64"/>
  <c r="L17" i="64"/>
  <c r="B158" i="59" l="1"/>
  <c r="B157" i="59"/>
  <c r="B156" i="59"/>
  <c r="B155" i="59"/>
  <c r="B154" i="59"/>
  <c r="C158" i="59"/>
  <c r="C157" i="59"/>
  <c r="C156" i="59"/>
  <c r="C155" i="59"/>
  <c r="C154" i="59"/>
  <c r="U48" i="72"/>
  <c r="U47" i="72"/>
  <c r="U46" i="72"/>
  <c r="U45" i="72"/>
  <c r="T48" i="72"/>
  <c r="T46" i="72"/>
  <c r="T45" i="72"/>
  <c r="U42" i="72"/>
  <c r="U41" i="72"/>
  <c r="T41" i="72"/>
  <c r="U40" i="72"/>
  <c r="T40" i="72"/>
  <c r="S40" i="72"/>
  <c r="U39" i="72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V42" i="72"/>
  <c r="V41" i="72"/>
  <c r="V40" i="72"/>
  <c r="V39" i="72"/>
  <c r="V38" i="72"/>
  <c r="V37" i="72"/>
  <c r="G15" i="64" l="1"/>
  <c r="C13" i="64"/>
  <c r="P86" i="62"/>
  <c r="C14" i="64" l="1"/>
  <c r="C5" i="79" s="1"/>
  <c r="C5" i="78"/>
  <c r="E22" i="79" l="1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19" i="79"/>
  <c r="A18" i="79"/>
  <c r="E17" i="79"/>
  <c r="A17" i="79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19" i="78"/>
  <c r="C18" i="78"/>
  <c r="A18" i="78"/>
  <c r="E17" i="78"/>
  <c r="C17" i="78"/>
  <c r="A17" i="78"/>
  <c r="A16" i="78"/>
  <c r="B22" i="78"/>
  <c r="A73" i="79" l="1"/>
  <c r="A29" i="79"/>
  <c r="A40" i="79"/>
  <c r="A62" i="79"/>
  <c r="A51" i="79"/>
  <c r="A33" i="79"/>
  <c r="A44" i="79"/>
  <c r="A55" i="79"/>
  <c r="A66" i="79"/>
  <c r="A77" i="79"/>
  <c r="A60" i="79"/>
  <c r="A82" i="79"/>
  <c r="A27" i="79"/>
  <c r="A38" i="79"/>
  <c r="A49" i="79"/>
  <c r="A71" i="79"/>
  <c r="A61" i="79"/>
  <c r="A39" i="79"/>
  <c r="A72" i="79"/>
  <c r="A83" i="79"/>
  <c r="A50" i="79"/>
  <c r="A28" i="79"/>
  <c r="A30" i="79"/>
  <c r="A41" i="79"/>
  <c r="A74" i="79"/>
  <c r="A52" i="79"/>
  <c r="A63" i="79"/>
  <c r="A64" i="79"/>
  <c r="A31" i="79"/>
  <c r="A42" i="79"/>
  <c r="A53" i="79"/>
  <c r="A75" i="79"/>
  <c r="A54" i="79"/>
  <c r="A65" i="79"/>
  <c r="A32" i="79"/>
  <c r="A43" i="79"/>
  <c r="A76" i="79"/>
  <c r="A51" i="78"/>
  <c r="A62" i="78"/>
  <c r="A29" i="78"/>
  <c r="A40" i="78"/>
  <c r="A73" i="78"/>
  <c r="A30" i="78"/>
  <c r="A41" i="78"/>
  <c r="A52" i="78"/>
  <c r="A63" i="78"/>
  <c r="A74" i="78"/>
  <c r="D22" i="78"/>
  <c r="D55" i="78" s="1"/>
  <c r="A83" i="78"/>
  <c r="A61" i="78"/>
  <c r="A28" i="78"/>
  <c r="A39" i="78"/>
  <c r="A50" i="78"/>
  <c r="A72" i="78"/>
  <c r="A31" i="78"/>
  <c r="A42" i="78"/>
  <c r="A53" i="78"/>
  <c r="A64" i="78"/>
  <c r="A75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F22" i="78" l="1"/>
  <c r="D66" i="78"/>
  <c r="F66" i="78" s="1"/>
  <c r="F55" i="78"/>
  <c r="D77" i="78"/>
  <c r="F77" i="78" s="1"/>
  <c r="F33" i="78"/>
  <c r="D44" i="78"/>
  <c r="F44" i="78" s="1"/>
  <c r="D22" i="70" l="1"/>
  <c r="C22" i="70"/>
  <c r="B22" i="70"/>
  <c r="D21" i="70"/>
  <c r="C21" i="70"/>
  <c r="B21" i="70"/>
  <c r="D20" i="70"/>
  <c r="C20" i="70"/>
  <c r="B20" i="70"/>
  <c r="D13" i="63" l="1"/>
  <c r="K20" i="70" s="1"/>
  <c r="U35" i="72" l="1"/>
  <c r="S33" i="72" l="1"/>
  <c r="T33" i="72"/>
  <c r="U34" i="72"/>
  <c r="U33" i="72"/>
  <c r="T34" i="72"/>
  <c r="V35" i="72"/>
  <c r="V34" i="72" l="1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 l="1"/>
  <c r="H79" i="62"/>
  <c r="I79" i="62"/>
  <c r="G80" i="62"/>
  <c r="V32" i="72"/>
  <c r="V31" i="72"/>
  <c r="V30" i="72"/>
  <c r="P79" i="62" l="1"/>
  <c r="J80" i="62"/>
  <c r="I80" i="62"/>
  <c r="H80" i="62"/>
  <c r="P80" i="62" l="1"/>
  <c r="I10" i="62" l="1"/>
  <c r="I11" i="62"/>
  <c r="I12" i="62"/>
  <c r="I13" i="62"/>
  <c r="I14" i="62"/>
  <c r="I15" i="62"/>
  <c r="L26" i="64" l="1"/>
  <c r="L25" i="64"/>
  <c r="L24" i="64"/>
  <c r="L23" i="64"/>
  <c r="L22" i="64"/>
  <c r="L21" i="64"/>
  <c r="I21" i="70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 s="1"/>
  <c r="D12" i="63"/>
  <c r="D11" i="63"/>
  <c r="D10" i="63"/>
  <c r="D9" i="63"/>
  <c r="D8" i="63"/>
  <c r="D7" i="63"/>
  <c r="F14" i="63"/>
  <c r="F15" i="63" s="1"/>
  <c r="F29" i="63"/>
  <c r="F28" i="63"/>
  <c r="F27" i="63"/>
  <c r="F26" i="63"/>
  <c r="F25" i="63"/>
  <c r="F24" i="63"/>
  <c r="I9" i="62"/>
  <c r="L31" i="64" l="1"/>
  <c r="L20" i="64"/>
  <c r="F20" i="70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5" i="63"/>
  <c r="K44" i="62"/>
  <c r="K43" i="62"/>
  <c r="K42" i="62"/>
  <c r="K40" i="62"/>
  <c r="D31" i="64"/>
  <c r="K41" i="62"/>
  <c r="K50" i="62" l="1"/>
  <c r="K48" i="62" l="1"/>
  <c r="K32" i="62" s="1"/>
  <c r="L59" i="62" s="1"/>
  <c r="L63" i="62" s="1"/>
  <c r="L83" i="62" l="1"/>
  <c r="B6" i="78" s="1"/>
  <c r="F6" i="78" s="1"/>
  <c r="D13" i="64"/>
  <c r="C6" i="78" s="1"/>
  <c r="K33" i="62"/>
  <c r="L60" i="62" s="1"/>
  <c r="L64" i="62" s="1"/>
  <c r="L84" i="62" l="1"/>
  <c r="B6" i="79" s="1"/>
  <c r="F6" i="79" s="1"/>
  <c r="D14" i="64"/>
  <c r="C6" i="79" s="1"/>
  <c r="C26" i="64"/>
  <c r="C25" i="64"/>
  <c r="C24" i="64"/>
  <c r="C23" i="64"/>
  <c r="C22" i="64"/>
  <c r="C21" i="64"/>
  <c r="C20" i="64"/>
  <c r="O11" i="62" l="1"/>
  <c r="O12" i="62"/>
  <c r="O13" i="62"/>
  <c r="O14" i="62"/>
  <c r="O15" i="62"/>
  <c r="G31" i="62" l="1"/>
  <c r="J12" i="64" l="1"/>
  <c r="J5" i="64"/>
  <c r="J4" i="64"/>
  <c r="J3" i="64"/>
  <c r="E26" i="64" l="1"/>
  <c r="B26" i="64"/>
  <c r="H67" i="62" l="1"/>
  <c r="J7" i="64"/>
  <c r="J6" i="64"/>
  <c r="J8" i="64" l="1"/>
  <c r="J11" i="64"/>
  <c r="J9" i="64"/>
  <c r="J10" i="64"/>
  <c r="I67" i="62"/>
  <c r="J31" i="62"/>
  <c r="J30" i="62"/>
  <c r="J29" i="62"/>
  <c r="J28" i="62"/>
  <c r="J27" i="62"/>
  <c r="J26" i="62"/>
  <c r="J25" i="62"/>
  <c r="J13" i="64" l="1"/>
  <c r="J14" i="64" s="1"/>
  <c r="J43" i="62"/>
  <c r="J40" i="62"/>
  <c r="J41" i="62"/>
  <c r="J42" i="62"/>
  <c r="J44" i="62"/>
  <c r="E29" i="63"/>
  <c r="E28" i="63"/>
  <c r="E27" i="63"/>
  <c r="E26" i="63"/>
  <c r="E25" i="63"/>
  <c r="E24" i="63"/>
  <c r="E35" i="63" l="1"/>
  <c r="J50" i="62"/>
  <c r="J48" i="62" s="1"/>
  <c r="AC20" i="72"/>
  <c r="AB20" i="72"/>
  <c r="AA20" i="72"/>
  <c r="Z20" i="72"/>
  <c r="Y20" i="72"/>
  <c r="X20" i="72"/>
  <c r="W20" i="72"/>
  <c r="V20" i="72"/>
  <c r="J32" i="62" l="1"/>
  <c r="K59" i="62" s="1"/>
  <c r="K68" i="62" s="1"/>
  <c r="C31" i="64"/>
  <c r="J33" i="62" l="1"/>
  <c r="K60" i="62" s="1"/>
  <c r="K69" i="62" s="1"/>
  <c r="I29" i="63"/>
  <c r="D29" i="63"/>
  <c r="C29" i="63"/>
  <c r="B29" i="63"/>
  <c r="I28" i="63"/>
  <c r="H28" i="63"/>
  <c r="G28" i="63"/>
  <c r="D28" i="63"/>
  <c r="C28" i="63"/>
  <c r="B28" i="63"/>
  <c r="I27" i="63"/>
  <c r="H27" i="63"/>
  <c r="G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H24" i="63"/>
  <c r="G24" i="63"/>
  <c r="D24" i="63"/>
  <c r="C24" i="63"/>
  <c r="B24" i="63"/>
  <c r="H23" i="63"/>
  <c r="G23" i="63"/>
  <c r="D23" i="63"/>
  <c r="C23" i="63"/>
  <c r="B23" i="63"/>
  <c r="H22" i="63"/>
  <c r="G22" i="63"/>
  <c r="D22" i="63"/>
  <c r="C22" i="63"/>
  <c r="B22" i="63"/>
  <c r="I21" i="63"/>
  <c r="H21" i="63"/>
  <c r="G21" i="63"/>
  <c r="D21" i="63"/>
  <c r="C21" i="63"/>
  <c r="B21" i="63"/>
  <c r="I20" i="63"/>
  <c r="H20" i="63"/>
  <c r="G20" i="63"/>
  <c r="D20" i="63"/>
  <c r="C20" i="63"/>
  <c r="B20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5" i="63" l="1"/>
  <c r="B35" i="63"/>
  <c r="C35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 l="1"/>
  <c r="I48" i="62" s="1"/>
  <c r="H50" i="62"/>
  <c r="H48" i="62" s="1"/>
  <c r="G50" i="62"/>
  <c r="G48" i="62" s="1"/>
  <c r="V21" i="72" l="1"/>
  <c r="W21" i="72"/>
  <c r="X21" i="72"/>
  <c r="Y21" i="72"/>
  <c r="Z21" i="72"/>
  <c r="AA21" i="72"/>
  <c r="AB21" i="72"/>
  <c r="AC21" i="72"/>
  <c r="N14" i="72" l="1"/>
  <c r="D6" i="72" l="1"/>
  <c r="E6" i="72" s="1"/>
  <c r="K6" i="72" s="1"/>
  <c r="D14" i="72"/>
  <c r="E14" i="72" s="1"/>
  <c r="K14" i="72" s="1"/>
  <c r="D7" i="72"/>
  <c r="E7" i="72" s="1"/>
  <c r="K7" i="72" s="1"/>
  <c r="D9" i="72"/>
  <c r="E9" i="72" s="1"/>
  <c r="K9" i="72" s="1"/>
  <c r="D16" i="72"/>
  <c r="E16" i="72" s="1"/>
  <c r="K16" i="72" s="1"/>
  <c r="C19" i="72"/>
  <c r="D2" i="72"/>
  <c r="E2" i="72" s="1"/>
  <c r="K2" i="72" s="1"/>
  <c r="D10" i="72"/>
  <c r="E10" i="72" s="1"/>
  <c r="K10" i="72" s="1"/>
  <c r="D17" i="72"/>
  <c r="E17" i="72" s="1"/>
  <c r="K17" i="72" s="1"/>
  <c r="D8" i="72"/>
  <c r="E8" i="72" s="1"/>
  <c r="K8" i="72" s="1"/>
  <c r="D15" i="72"/>
  <c r="E15" i="72" s="1"/>
  <c r="K15" i="72" s="1"/>
  <c r="D3" i="72"/>
  <c r="E3" i="72" s="1"/>
  <c r="K3" i="72" s="1"/>
  <c r="D11" i="72"/>
  <c r="E11" i="72" s="1"/>
  <c r="K11" i="72" s="1"/>
  <c r="D4" i="72"/>
  <c r="E4" i="72" s="1"/>
  <c r="K4" i="72" s="1"/>
  <c r="D12" i="72"/>
  <c r="E12" i="72" s="1"/>
  <c r="K12" i="72" s="1"/>
  <c r="D5" i="72"/>
  <c r="E5" i="72" s="1"/>
  <c r="K5" i="72" s="1"/>
  <c r="D13" i="72"/>
  <c r="E13" i="72" s="1"/>
  <c r="K13" i="72" s="1"/>
  <c r="K19" i="72" l="1"/>
  <c r="F2" i="72"/>
  <c r="G2" i="72" s="1"/>
  <c r="D26" i="72" s="1"/>
  <c r="D27" i="72" s="1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E19" i="72"/>
  <c r="F37" i="72" l="1"/>
  <c r="E37" i="72"/>
  <c r="J2" i="72" s="1"/>
  <c r="F3" i="72" l="1"/>
  <c r="G3" i="72" s="1"/>
  <c r="D38" i="72" s="1"/>
  <c r="D39" i="72" s="1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F49" i="72" l="1"/>
  <c r="E49" i="72"/>
  <c r="J3" i="72" s="1"/>
  <c r="F4" i="72" l="1"/>
  <c r="G4" i="72" s="1"/>
  <c r="D50" i="72" s="1"/>
  <c r="D51" i="72" s="1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L3" i="72"/>
  <c r="E61" i="72" l="1"/>
  <c r="J4" i="72" s="1"/>
  <c r="F61" i="72"/>
  <c r="L4" i="72" l="1"/>
  <c r="F5" i="72"/>
  <c r="G5" i="72" s="1"/>
  <c r="D62" i="72" s="1"/>
  <c r="D63" i="72" s="1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F73" i="72" l="1"/>
  <c r="E73" i="72"/>
  <c r="J5" i="72" s="1"/>
  <c r="F6" i="72" l="1"/>
  <c r="G6" i="72" s="1"/>
  <c r="D74" i="72" s="1"/>
  <c r="D75" i="72" s="1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F85" i="72" l="1"/>
  <c r="E85" i="72"/>
  <c r="J6" i="72" s="1"/>
  <c r="F7" i="72" l="1"/>
  <c r="G7" i="72" s="1"/>
  <c r="D86" i="72" s="1"/>
  <c r="D87" i="72" s="1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F97" i="72" l="1"/>
  <c r="E97" i="72"/>
  <c r="J7" i="72" s="1"/>
  <c r="F8" i="72" l="1"/>
  <c r="G8" i="72" s="1"/>
  <c r="D98" i="72" s="1"/>
  <c r="D99" i="72" s="1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L7" i="72"/>
  <c r="F109" i="72" l="1"/>
  <c r="E109" i="72"/>
  <c r="J8" i="72" s="1"/>
  <c r="L8" i="72" s="1"/>
  <c r="F9" i="72" l="1"/>
  <c r="G9" i="72" s="1"/>
  <c r="D110" i="72" s="1"/>
  <c r="D111" i="72" s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E121" i="72" l="1"/>
  <c r="J9" i="72" s="1"/>
  <c r="L9" i="72" s="1"/>
  <c r="F121" i="72"/>
  <c r="F10" i="72" l="1"/>
  <c r="G10" i="72" s="1"/>
  <c r="D122" i="72" s="1"/>
  <c r="D123" i="72" s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F133" i="72" l="1"/>
  <c r="E133" i="72"/>
  <c r="J10" i="72" s="1"/>
  <c r="L10" i="72" s="1"/>
  <c r="F11" i="72" l="1"/>
  <c r="G11" i="72" s="1"/>
  <c r="D134" i="72" s="1"/>
  <c r="D135" i="72" s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F145" i="72" l="1"/>
  <c r="E145" i="72"/>
  <c r="J11" i="72" s="1"/>
  <c r="L11" i="72" s="1"/>
  <c r="F12" i="72" l="1"/>
  <c r="G12" i="72" s="1"/>
  <c r="D146" i="72" s="1"/>
  <c r="D147" i="72" s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F157" i="72" l="1"/>
  <c r="E157" i="72"/>
  <c r="J12" i="72" s="1"/>
  <c r="L12" i="72" s="1"/>
  <c r="F13" i="72" l="1"/>
  <c r="G13" i="72" s="1"/>
  <c r="D158" i="72" s="1"/>
  <c r="D159" i="72" s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E169" i="72" l="1"/>
  <c r="J13" i="72" s="1"/>
  <c r="L13" i="72" s="1"/>
  <c r="F169" i="72"/>
  <c r="F14" i="72" l="1"/>
  <c r="G14" i="72" s="1"/>
  <c r="D170" i="72" s="1"/>
  <c r="D171" i="72" s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F181" i="72" l="1"/>
  <c r="E181" i="72"/>
  <c r="J14" i="72" s="1"/>
  <c r="L14" i="72" s="1"/>
  <c r="F15" i="72" l="1"/>
  <c r="G15" i="72" s="1"/>
  <c r="D182" i="72" s="1"/>
  <c r="D183" i="72" s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F193" i="72" l="1"/>
  <c r="F16" i="72" s="1"/>
  <c r="G16" i="72" s="1"/>
  <c r="D194" i="72" s="1"/>
  <c r="E193" i="72"/>
  <c r="J15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L15" i="72"/>
  <c r="E205" i="72" l="1"/>
  <c r="J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s="1"/>
  <c r="M41" i="70" l="1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 l="1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 l="1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 l="1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 l="1"/>
  <c r="J11" i="63"/>
  <c r="L11" i="63" s="1"/>
  <c r="I59" i="70" s="1"/>
  <c r="I64" i="70" s="1"/>
  <c r="J10" i="63"/>
  <c r="L10" i="63" s="1"/>
  <c r="H59" i="70" s="1"/>
  <c r="H64" i="70" s="1"/>
  <c r="J9" i="63"/>
  <c r="J8" i="63"/>
  <c r="J5" i="63"/>
  <c r="J4" i="63"/>
  <c r="L4" i="63" s="1"/>
  <c r="B59" i="70" s="1"/>
  <c r="B64" i="70" s="1"/>
  <c r="J3" i="63"/>
  <c r="L3" i="63" l="1"/>
  <c r="C54" i="70"/>
  <c r="L5" i="63"/>
  <c r="C59" i="70" s="1"/>
  <c r="C64" i="70" s="1"/>
  <c r="B54" i="70"/>
  <c r="J54" i="70"/>
  <c r="L12" i="63"/>
  <c r="J59" i="70" s="1"/>
  <c r="J64" i="70" s="1"/>
  <c r="I54" i="70"/>
  <c r="H54" i="70"/>
  <c r="G54" i="70"/>
  <c r="L9" i="63"/>
  <c r="G59" i="70" s="1"/>
  <c r="G64" i="70" s="1"/>
  <c r="L8" i="63"/>
  <c r="F59" i="70" s="1"/>
  <c r="F64" i="70" s="1"/>
  <c r="F54" i="70"/>
  <c r="C150" i="59" l="1"/>
  <c r="C151" i="59"/>
  <c r="C152" i="59"/>
  <c r="C153" i="59"/>
  <c r="D7" i="62"/>
  <c r="D8" i="62"/>
  <c r="D9" i="62"/>
  <c r="D10" i="62"/>
  <c r="D13" i="62"/>
  <c r="D14" i="62"/>
  <c r="D15" i="62"/>
  <c r="D12" i="62"/>
  <c r="D6" i="62"/>
  <c r="D11" i="62"/>
  <c r="D18" i="62" l="1"/>
  <c r="C149" i="59"/>
  <c r="B149" i="59"/>
  <c r="B150" i="59"/>
  <c r="B151" i="59"/>
  <c r="B152" i="59"/>
  <c r="B153" i="59"/>
  <c r="G125" i="59"/>
  <c r="G129" i="59"/>
  <c r="G133" i="59"/>
  <c r="G137" i="59"/>
  <c r="G141" i="59"/>
  <c r="G145" i="59"/>
  <c r="G123" i="59"/>
  <c r="G127" i="59"/>
  <c r="G131" i="59"/>
  <c r="G135" i="59"/>
  <c r="G139" i="59"/>
  <c r="G143" i="59"/>
  <c r="G124" i="59"/>
  <c r="G128" i="59"/>
  <c r="G132" i="59"/>
  <c r="G136" i="59"/>
  <c r="G140" i="59"/>
  <c r="G144" i="59"/>
  <c r="G122" i="59"/>
  <c r="G126" i="59"/>
  <c r="G130" i="59"/>
  <c r="G134" i="59"/>
  <c r="G138" i="59"/>
  <c r="G142" i="59"/>
  <c r="C18" i="79" l="1"/>
  <c r="C20" i="79"/>
  <c r="C22" i="79"/>
  <c r="D22" i="79" s="1"/>
  <c r="D55" i="79" s="1"/>
  <c r="C21" i="79"/>
  <c r="C17" i="79"/>
  <c r="G154" i="59"/>
  <c r="G159" i="59"/>
  <c r="G156" i="59"/>
  <c r="G155" i="59"/>
  <c r="G151" i="59"/>
  <c r="N158" i="59"/>
  <c r="N154" i="59"/>
  <c r="N150" i="59"/>
  <c r="C7" i="62" s="1"/>
  <c r="G160" i="59"/>
  <c r="N147" i="59"/>
  <c r="N160" i="59"/>
  <c r="N156" i="59"/>
  <c r="N152" i="59"/>
  <c r="C9" i="62" s="1"/>
  <c r="N159" i="59"/>
  <c r="N155" i="59"/>
  <c r="N151" i="59"/>
  <c r="C8" i="62" s="1"/>
  <c r="G149" i="59"/>
  <c r="G158" i="59"/>
  <c r="G157" i="59"/>
  <c r="G153" i="59"/>
  <c r="G150" i="59"/>
  <c r="G152" i="59"/>
  <c r="N157" i="59"/>
  <c r="N153" i="59"/>
  <c r="C10" i="62" s="1"/>
  <c r="N149" i="59"/>
  <c r="N162" i="59" l="1"/>
  <c r="C14" i="62"/>
  <c r="C12" i="62"/>
  <c r="C11" i="62"/>
  <c r="C16" i="62"/>
  <c r="C15" i="62"/>
  <c r="C13" i="62"/>
  <c r="C17" i="62"/>
  <c r="F22" i="79"/>
  <c r="N164" i="59"/>
  <c r="C6" i="62"/>
  <c r="B17" i="64"/>
  <c r="B18" i="64"/>
  <c r="B19" i="64"/>
  <c r="B20" i="64"/>
  <c r="B21" i="64"/>
  <c r="B22" i="64"/>
  <c r="B23" i="64"/>
  <c r="B24" i="64"/>
  <c r="B25" i="64"/>
  <c r="R13" i="62" l="1"/>
  <c r="U13" i="62"/>
  <c r="X13" i="62"/>
  <c r="S13" i="62"/>
  <c r="T13" i="62"/>
  <c r="V13" i="62"/>
  <c r="Q13" i="62"/>
  <c r="W13" i="62"/>
  <c r="X15" i="62"/>
  <c r="S15" i="62"/>
  <c r="V15" i="62"/>
  <c r="Q15" i="62"/>
  <c r="U15" i="62"/>
  <c r="T15" i="62"/>
  <c r="W15" i="62"/>
  <c r="R15" i="62"/>
  <c r="T11" i="62"/>
  <c r="W11" i="62"/>
  <c r="R11" i="62"/>
  <c r="V11" i="62"/>
  <c r="U11" i="62"/>
  <c r="X11" i="62"/>
  <c r="S11" i="62"/>
  <c r="Q11" i="62"/>
  <c r="W12" i="62"/>
  <c r="R12" i="62"/>
  <c r="U12" i="62"/>
  <c r="Q12" i="62"/>
  <c r="X12" i="62"/>
  <c r="S12" i="62"/>
  <c r="V12" i="62"/>
  <c r="T12" i="62"/>
  <c r="U14" i="62"/>
  <c r="X14" i="62"/>
  <c r="S14" i="62"/>
  <c r="V14" i="62"/>
  <c r="W14" i="62"/>
  <c r="R14" i="62"/>
  <c r="Q14" i="62"/>
  <c r="T14" i="62"/>
  <c r="E17" i="62"/>
  <c r="G64" i="62" s="1"/>
  <c r="G84" i="62" s="1"/>
  <c r="E16" i="62"/>
  <c r="G63" i="62" s="1"/>
  <c r="G83" i="62" s="1"/>
  <c r="D66" i="79"/>
  <c r="F66" i="79" s="1"/>
  <c r="D77" i="79"/>
  <c r="F77" i="79" s="1"/>
  <c r="F55" i="79"/>
  <c r="B31" i="64"/>
  <c r="F26" i="64"/>
  <c r="Y13" i="62" l="1"/>
  <c r="Z13" i="62" s="1"/>
  <c r="Y14" i="62"/>
  <c r="Z14" i="62" s="1"/>
  <c r="Y11" i="62"/>
  <c r="Z11" i="62" s="1"/>
  <c r="Y15" i="62"/>
  <c r="Z15" i="62" s="1"/>
  <c r="Y12" i="62"/>
  <c r="Z12" i="62" s="1"/>
  <c r="O143" i="59"/>
  <c r="O133" i="59"/>
  <c r="O95" i="59"/>
  <c r="O93" i="59" l="1"/>
  <c r="O127" i="59"/>
  <c r="O79" i="59"/>
  <c r="O31" i="59"/>
  <c r="O111" i="59"/>
  <c r="O131" i="59"/>
  <c r="O15" i="59"/>
  <c r="O115" i="59"/>
  <c r="O145" i="59"/>
  <c r="O65" i="59"/>
  <c r="O29" i="59"/>
  <c r="O141" i="59"/>
  <c r="O117" i="59"/>
  <c r="O109" i="59"/>
  <c r="O113" i="59"/>
  <c r="O47" i="59"/>
  <c r="O110" i="59"/>
  <c r="O38" i="59"/>
  <c r="O138" i="59"/>
  <c r="O69" i="59"/>
  <c r="O37" i="59"/>
  <c r="O53" i="59"/>
  <c r="O61" i="59"/>
  <c r="O68" i="59"/>
  <c r="O124" i="59"/>
  <c r="O60" i="59"/>
  <c r="O22" i="59"/>
  <c r="O122" i="59"/>
  <c r="O62" i="59"/>
  <c r="O86" i="59"/>
  <c r="O114" i="59"/>
  <c r="O46" i="59"/>
  <c r="O132" i="59"/>
  <c r="O83" i="59"/>
  <c r="O90" i="59"/>
  <c r="O6" i="59"/>
  <c r="O3" i="59"/>
  <c r="O35" i="59"/>
  <c r="O11" i="59"/>
  <c r="O18" i="59"/>
  <c r="O54" i="59"/>
  <c r="O130" i="59"/>
  <c r="O12" i="59"/>
  <c r="O34" i="59"/>
  <c r="O98" i="59"/>
  <c r="O106" i="59"/>
  <c r="O82" i="59"/>
  <c r="O50" i="59"/>
  <c r="O116" i="59"/>
  <c r="O100" i="59"/>
  <c r="O58" i="59"/>
  <c r="O42" i="59"/>
  <c r="O70" i="59"/>
  <c r="O52" i="59"/>
  <c r="O94" i="59"/>
  <c r="O134" i="59"/>
  <c r="O118" i="59"/>
  <c r="O78" i="59"/>
  <c r="O30" i="59"/>
  <c r="O102" i="59"/>
  <c r="O92" i="59"/>
  <c r="O84" i="59"/>
  <c r="O74" i="59"/>
  <c r="O66" i="59"/>
  <c r="O10" i="59"/>
  <c r="O2" i="59"/>
  <c r="O142" i="59"/>
  <c r="O126" i="59"/>
  <c r="O77" i="59"/>
  <c r="O67" i="59"/>
  <c r="O13" i="59"/>
  <c r="F4" i="70"/>
  <c r="F70" i="70" s="1"/>
  <c r="O63" i="59"/>
  <c r="O140" i="59"/>
  <c r="O108" i="59"/>
  <c r="O76" i="59"/>
  <c r="O43" i="59"/>
  <c r="O9" i="59"/>
  <c r="O23" i="59"/>
  <c r="O40" i="59"/>
  <c r="G4" i="70"/>
  <c r="G70" i="70" s="1"/>
  <c r="O120" i="59"/>
  <c r="O88" i="59"/>
  <c r="O129" i="59"/>
  <c r="K4" i="70"/>
  <c r="K70" i="70" s="1"/>
  <c r="O139" i="59"/>
  <c r="I4" i="70"/>
  <c r="I70" i="70" s="1"/>
  <c r="E4" i="70"/>
  <c r="E70" i="70" s="1"/>
  <c r="H4" i="70"/>
  <c r="H70" i="70" s="1"/>
  <c r="O59" i="59"/>
  <c r="O27" i="59"/>
  <c r="J4" i="70"/>
  <c r="J70" i="70" s="1"/>
  <c r="O107" i="59"/>
  <c r="O51" i="59"/>
  <c r="O56" i="59"/>
  <c r="O71" i="59"/>
  <c r="B4" i="70"/>
  <c r="B70" i="70" s="1"/>
  <c r="O123" i="59"/>
  <c r="O73" i="59"/>
  <c r="O20" i="59"/>
  <c r="O136" i="59"/>
  <c r="O104" i="59"/>
  <c r="O72" i="59"/>
  <c r="O55" i="59"/>
  <c r="O16" i="59"/>
  <c r="O103" i="59"/>
  <c r="O57" i="59"/>
  <c r="O36" i="59"/>
  <c r="O14" i="59"/>
  <c r="O121" i="59"/>
  <c r="O45" i="59"/>
  <c r="O99" i="59"/>
  <c r="O49" i="59"/>
  <c r="O137" i="59"/>
  <c r="C4" i="70"/>
  <c r="C70" i="70" s="1"/>
  <c r="O105" i="59"/>
  <c r="O87" i="59"/>
  <c r="O32" i="59"/>
  <c r="O41" i="59"/>
  <c r="O48" i="59"/>
  <c r="O8" i="59"/>
  <c r="O101" i="59"/>
  <c r="O33" i="59"/>
  <c r="O135" i="59"/>
  <c r="O91" i="59"/>
  <c r="O19" i="59"/>
  <c r="O7" i="59"/>
  <c r="D4" i="70"/>
  <c r="D70" i="70" s="1"/>
  <c r="O85" i="59"/>
  <c r="O144" i="59"/>
  <c r="O128" i="59"/>
  <c r="O112" i="59"/>
  <c r="O96" i="59"/>
  <c r="O80" i="59"/>
  <c r="O64" i="59"/>
  <c r="O28" i="59"/>
  <c r="O4" i="59"/>
  <c r="O97" i="59"/>
  <c r="O25" i="59"/>
  <c r="O125" i="59"/>
  <c r="O81" i="59"/>
  <c r="O5" i="59"/>
  <c r="O39" i="59"/>
  <c r="O17" i="59"/>
  <c r="O26" i="59"/>
  <c r="O44" i="59"/>
  <c r="O24" i="59"/>
  <c r="O89" i="59"/>
  <c r="O21" i="59"/>
  <c r="O119" i="59"/>
  <c r="O75" i="59"/>
  <c r="J5" i="70" l="1"/>
  <c r="J6" i="70" s="1"/>
  <c r="H5" i="70"/>
  <c r="H71" i="70" s="1"/>
  <c r="M5" i="70"/>
  <c r="M71" i="70" s="1"/>
  <c r="D5" i="70"/>
  <c r="D71" i="70" s="1"/>
  <c r="L5" i="70"/>
  <c r="L71" i="70" s="1"/>
  <c r="I5" i="70"/>
  <c r="I71" i="70" s="1"/>
  <c r="F5" i="70"/>
  <c r="F71" i="70" s="1"/>
  <c r="E5" i="70"/>
  <c r="E6" i="70" s="1"/>
  <c r="B5" i="70"/>
  <c r="B6" i="70" s="1"/>
  <c r="K5" i="70"/>
  <c r="K6" i="70" s="1"/>
  <c r="G5" i="70"/>
  <c r="G6" i="70" s="1"/>
  <c r="C5" i="70"/>
  <c r="C71" i="70" s="1"/>
  <c r="P158" i="59"/>
  <c r="O158" i="59"/>
  <c r="D6" i="70" l="1"/>
  <c r="F6" i="70"/>
  <c r="J71" i="70"/>
  <c r="K71" i="70"/>
  <c r="H6" i="70"/>
  <c r="G71" i="70"/>
  <c r="I6" i="70"/>
  <c r="C6" i="70"/>
  <c r="E71" i="70"/>
  <c r="B71" i="70"/>
  <c r="O147" i="59"/>
  <c r="P154" i="59"/>
  <c r="O150" i="59"/>
  <c r="O152" i="59"/>
  <c r="P156" i="59"/>
  <c r="O154" i="59" l="1"/>
  <c r="P152" i="59"/>
  <c r="O156" i="59"/>
  <c r="P150" i="59"/>
  <c r="P151" i="59" l="1"/>
  <c r="O151" i="59"/>
  <c r="O155" i="59"/>
  <c r="P155" i="59"/>
  <c r="P149" i="59"/>
  <c r="O149" i="59"/>
  <c r="O153" i="59"/>
  <c r="P153" i="59"/>
  <c r="O157" i="59"/>
  <c r="P157" i="59"/>
  <c r="P162" i="59" l="1"/>
  <c r="P164" i="59"/>
  <c r="G11" i="64" l="1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 l="1"/>
  <c r="H61" i="70"/>
  <c r="H66" i="70" s="1"/>
  <c r="H56" i="70"/>
  <c r="I61" i="70"/>
  <c r="I66" i="70" s="1"/>
  <c r="I56" i="70"/>
  <c r="J61" i="70"/>
  <c r="J66" i="70" s="1"/>
  <c r="J56" i="70"/>
  <c r="F31" i="64"/>
  <c r="J8" i="70"/>
  <c r="F8" i="70" l="1"/>
  <c r="H8" i="70"/>
  <c r="E8" i="70"/>
  <c r="G8" i="70"/>
  <c r="I8" i="70"/>
  <c r="J55" i="70" l="1"/>
  <c r="J60" i="70"/>
  <c r="J65" i="70" s="1"/>
  <c r="D55" i="70"/>
  <c r="D60" i="70"/>
  <c r="D65" i="70" s="1"/>
  <c r="B55" i="70"/>
  <c r="B60" i="70"/>
  <c r="B65" i="70" s="1"/>
  <c r="C55" i="70"/>
  <c r="C60" i="70"/>
  <c r="C65" i="70" s="1"/>
  <c r="E55" i="70"/>
  <c r="E60" i="70"/>
  <c r="E65" i="70" s="1"/>
  <c r="F60" i="70"/>
  <c r="F65" i="70" s="1"/>
  <c r="F55" i="70"/>
  <c r="G55" i="70"/>
  <c r="G60" i="70"/>
  <c r="G65" i="70" s="1"/>
  <c r="H55" i="70"/>
  <c r="H60" i="70"/>
  <c r="H65" i="70" s="1"/>
  <c r="I55" i="70"/>
  <c r="I60" i="70"/>
  <c r="I65" i="70" s="1"/>
  <c r="K28" i="63"/>
  <c r="K27" i="63"/>
  <c r="K26" i="63"/>
  <c r="K25" i="63"/>
  <c r="K24" i="63"/>
  <c r="G6" i="64" l="1"/>
  <c r="G5" i="64"/>
  <c r="G4" i="64"/>
  <c r="G3" i="64"/>
  <c r="K23" i="63"/>
  <c r="K22" i="63"/>
  <c r="K21" i="63"/>
  <c r="K20" i="63"/>
  <c r="K35" i="63" s="1"/>
  <c r="I7" i="63"/>
  <c r="I6" i="63"/>
  <c r="I22" i="63" l="1"/>
  <c r="N24" i="62"/>
  <c r="N37" i="62" s="1"/>
  <c r="D35" i="70"/>
  <c r="J6" i="63"/>
  <c r="N25" i="62"/>
  <c r="I23" i="63"/>
  <c r="I24" i="63"/>
  <c r="E35" i="70"/>
  <c r="J7" i="63"/>
  <c r="C61" i="70"/>
  <c r="C66" i="70" s="1"/>
  <c r="C56" i="70"/>
  <c r="B61" i="70"/>
  <c r="B66" i="70" s="1"/>
  <c r="B56" i="70"/>
  <c r="D56" i="70"/>
  <c r="D61" i="70"/>
  <c r="D66" i="70" s="1"/>
  <c r="E56" i="70"/>
  <c r="E61" i="70"/>
  <c r="E66" i="70" s="1"/>
  <c r="K33" i="63"/>
  <c r="D33" i="63"/>
  <c r="D14" i="63" s="1"/>
  <c r="G8" i="64"/>
  <c r="G7" i="64"/>
  <c r="L20" i="70" l="1"/>
  <c r="D15" i="63"/>
  <c r="D49" i="70"/>
  <c r="D44" i="70"/>
  <c r="E49" i="70"/>
  <c r="E44" i="70"/>
  <c r="N38" i="62"/>
  <c r="N39" i="62"/>
  <c r="E54" i="70"/>
  <c r="L7" i="63"/>
  <c r="E59" i="70" s="1"/>
  <c r="L6" i="63"/>
  <c r="D59" i="70" s="1"/>
  <c r="D54" i="70"/>
  <c r="I35" i="63"/>
  <c r="F56" i="70"/>
  <c r="F61" i="70"/>
  <c r="F66" i="70" s="1"/>
  <c r="G56" i="70"/>
  <c r="G61" i="70"/>
  <c r="G66" i="70" s="1"/>
  <c r="C33" i="63"/>
  <c r="C14" i="63" s="1"/>
  <c r="D83" i="78" s="1"/>
  <c r="F83" i="78" s="1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M20" i="70" l="1"/>
  <c r="B14" i="63"/>
  <c r="D82" i="78" s="1"/>
  <c r="E64" i="70"/>
  <c r="N50" i="62"/>
  <c r="N48" i="62" s="1"/>
  <c r="I33" i="63"/>
  <c r="I14" i="63" s="1"/>
  <c r="D64" i="70"/>
  <c r="L16" i="70"/>
  <c r="C15" i="63"/>
  <c r="D83" i="79" s="1"/>
  <c r="F83" i="79" s="1"/>
  <c r="L12" i="70" l="1"/>
  <c r="B15" i="63"/>
  <c r="I15" i="63"/>
  <c r="L35" i="70"/>
  <c r="M16" i="70"/>
  <c r="M12" i="70" l="1"/>
  <c r="D82" i="79"/>
  <c r="D84" i="78"/>
  <c r="F82" i="78"/>
  <c r="F84" i="78" s="1"/>
  <c r="B91" i="78" s="1"/>
  <c r="M35" i="70"/>
  <c r="H32" i="62"/>
  <c r="H33" i="62" s="1"/>
  <c r="D84" i="79" l="1"/>
  <c r="F82" i="79"/>
  <c r="F84" i="79" s="1"/>
  <c r="B91" i="79" s="1"/>
  <c r="N32" i="62"/>
  <c r="N33" i="62" s="1"/>
  <c r="O60" i="62" s="1"/>
  <c r="O69" i="62" s="1"/>
  <c r="I32" i="62"/>
  <c r="I33" i="62" s="1"/>
  <c r="J60" i="62" s="1"/>
  <c r="J69" i="62" l="1"/>
  <c r="J59" i="62"/>
  <c r="J68" i="62" s="1"/>
  <c r="O59" i="62"/>
  <c r="I59" i="62"/>
  <c r="O68" i="62" l="1"/>
  <c r="I68" i="62"/>
  <c r="I60" i="62"/>
  <c r="I69" i="62" s="1"/>
  <c r="G32" i="62" l="1"/>
  <c r="G33" i="62" l="1"/>
  <c r="H59" i="62"/>
  <c r="H68" i="62" l="1"/>
  <c r="H60" i="62"/>
  <c r="H69" i="62" l="1"/>
  <c r="G12" i="64" l="1"/>
  <c r="K61" i="70" l="1"/>
  <c r="K66" i="70" s="1"/>
  <c r="K56" i="70"/>
  <c r="K55" i="70"/>
  <c r="K60" i="70"/>
  <c r="K13" i="70"/>
  <c r="K36" i="70"/>
  <c r="K17" i="70"/>
  <c r="K26" i="70"/>
  <c r="K45" i="70" l="1"/>
  <c r="K8" i="70"/>
  <c r="K50" i="70"/>
  <c r="K65" i="70" s="1"/>
  <c r="L8" i="70" l="1"/>
  <c r="M8" i="70"/>
  <c r="L31" i="62" l="1"/>
  <c r="K25" i="70"/>
  <c r="L44" i="62" l="1"/>
  <c r="L50" i="62" s="1"/>
  <c r="L48" i="62" s="1"/>
  <c r="L32" i="62" l="1"/>
  <c r="L33" i="62" l="1"/>
  <c r="J13" i="63" l="1"/>
  <c r="K30" i="70"/>
  <c r="K44" i="70" s="1"/>
  <c r="H29" i="63"/>
  <c r="H35" i="63" s="1"/>
  <c r="M31" i="62"/>
  <c r="M44" i="62" s="1"/>
  <c r="M50" i="62" s="1"/>
  <c r="K49" i="70" l="1"/>
  <c r="K54" i="70"/>
  <c r="M32" i="62"/>
  <c r="M33" i="62" s="1"/>
  <c r="H33" i="63"/>
  <c r="H14" i="63" s="1"/>
  <c r="L13" i="63"/>
  <c r="K59" i="70" s="1"/>
  <c r="N59" i="62" l="1"/>
  <c r="K64" i="70"/>
  <c r="L30" i="70"/>
  <c r="H15" i="63"/>
  <c r="N68" i="62" l="1"/>
  <c r="N60" i="62"/>
  <c r="M30" i="70"/>
  <c r="N69" i="62" l="1"/>
  <c r="G29" i="63" l="1"/>
  <c r="G35" i="63"/>
  <c r="G33" i="63" s="1"/>
  <c r="G14" i="63" s="1"/>
  <c r="M59" i="62" l="1"/>
  <c r="G15" i="63"/>
  <c r="L25" i="70"/>
  <c r="J14" i="63"/>
  <c r="L54" i="70" s="1"/>
  <c r="L49" i="70" l="1"/>
  <c r="L44" i="70"/>
  <c r="L14" i="63"/>
  <c r="L59" i="70" s="1"/>
  <c r="M25" i="70"/>
  <c r="M60" i="62"/>
  <c r="J15" i="63"/>
  <c r="P59" i="62"/>
  <c r="M68" i="62"/>
  <c r="G59" i="62"/>
  <c r="G68" i="62" s="1"/>
  <c r="L64" i="70" l="1"/>
  <c r="P68" i="62"/>
  <c r="G60" i="62"/>
  <c r="G69" i="62" s="1"/>
  <c r="P60" i="62"/>
  <c r="M69" i="62"/>
  <c r="L15" i="63"/>
  <c r="M59" i="70" s="1"/>
  <c r="M54" i="70"/>
  <c r="M49" i="70"/>
  <c r="M44" i="70"/>
  <c r="M64" i="70" l="1"/>
  <c r="H72" i="62"/>
  <c r="J72" i="62"/>
  <c r="N72" i="62"/>
  <c r="N63" i="62" s="1"/>
  <c r="I72" i="62"/>
  <c r="K72" i="62"/>
  <c r="K63" i="62" s="1"/>
  <c r="O72" i="62"/>
  <c r="O63" i="62" s="1"/>
  <c r="O83" i="62" s="1"/>
  <c r="P69" i="62"/>
  <c r="M73" i="62" s="1"/>
  <c r="M64" i="62" s="1"/>
  <c r="M72" i="62"/>
  <c r="M63" i="62" s="1"/>
  <c r="B9" i="78" l="1"/>
  <c r="N83" i="62"/>
  <c r="F13" i="64"/>
  <c r="C8" i="78" s="1"/>
  <c r="D31" i="78" s="1"/>
  <c r="M84" i="62"/>
  <c r="E14" i="64"/>
  <c r="M83" i="62"/>
  <c r="E13" i="64"/>
  <c r="K83" i="62"/>
  <c r="B5" i="78" s="1"/>
  <c r="L36" i="70"/>
  <c r="J63" i="62"/>
  <c r="I63" i="62"/>
  <c r="N73" i="62"/>
  <c r="N64" i="62" s="1"/>
  <c r="O73" i="62"/>
  <c r="O64" i="62" s="1"/>
  <c r="O84" i="62" s="1"/>
  <c r="J73" i="62"/>
  <c r="H73" i="62"/>
  <c r="K73" i="62"/>
  <c r="K64" i="62" s="1"/>
  <c r="I73" i="62"/>
  <c r="P72" i="62"/>
  <c r="H63" i="62"/>
  <c r="B7" i="78" l="1"/>
  <c r="B19" i="78" s="1"/>
  <c r="B9" i="79"/>
  <c r="B7" i="79"/>
  <c r="B19" i="79" s="1"/>
  <c r="D19" i="79" s="1"/>
  <c r="B8" i="78"/>
  <c r="B20" i="78" s="1"/>
  <c r="M26" i="70"/>
  <c r="L31" i="70"/>
  <c r="C7" i="78"/>
  <c r="D30" i="78" s="1"/>
  <c r="I13" i="64"/>
  <c r="C7" i="79"/>
  <c r="I14" i="64"/>
  <c r="L26" i="70"/>
  <c r="N84" i="62"/>
  <c r="F14" i="64"/>
  <c r="C8" i="79" s="1"/>
  <c r="J83" i="62"/>
  <c r="D19" i="78"/>
  <c r="H83" i="62"/>
  <c r="K84" i="62"/>
  <c r="B5" i="79" s="1"/>
  <c r="I83" i="62"/>
  <c r="B21" i="78"/>
  <c r="M36" i="70"/>
  <c r="I64" i="62"/>
  <c r="J64" i="62"/>
  <c r="P63" i="62"/>
  <c r="L27" i="70"/>
  <c r="M27" i="70"/>
  <c r="L32" i="70"/>
  <c r="P73" i="62"/>
  <c r="H64" i="62"/>
  <c r="B8" i="79" l="1"/>
  <c r="B20" i="79" s="1"/>
  <c r="B2" i="78"/>
  <c r="B16" i="78" s="1"/>
  <c r="D16" i="78" s="1"/>
  <c r="H4" i="80"/>
  <c r="M31" i="70"/>
  <c r="D52" i="79"/>
  <c r="D74" i="79" s="1"/>
  <c r="F74" i="79" s="1"/>
  <c r="B4" i="78"/>
  <c r="B18" i="78" s="1"/>
  <c r="D18" i="78" s="1"/>
  <c r="B13" i="64"/>
  <c r="C4" i="78" s="1"/>
  <c r="C11" i="78" s="1"/>
  <c r="L21" i="70"/>
  <c r="L13" i="70"/>
  <c r="B3" i="78"/>
  <c r="D20" i="79"/>
  <c r="D52" i="78"/>
  <c r="D74" i="78" s="1"/>
  <c r="F74" i="78" s="1"/>
  <c r="D21" i="78"/>
  <c r="D20" i="78"/>
  <c r="L17" i="70"/>
  <c r="I84" i="62"/>
  <c r="H84" i="62"/>
  <c r="P83" i="62"/>
  <c r="Q83" i="62" s="1"/>
  <c r="J75" i="62"/>
  <c r="J84" i="62"/>
  <c r="F31" i="78"/>
  <c r="D42" i="78"/>
  <c r="F42" i="78" s="1"/>
  <c r="D31" i="79"/>
  <c r="B21" i="79"/>
  <c r="D30" i="79"/>
  <c r="P64" i="62"/>
  <c r="M32" i="70"/>
  <c r="L55" i="70"/>
  <c r="B4" i="79" l="1"/>
  <c r="B18" i="79" s="1"/>
  <c r="D18" i="79" s="1"/>
  <c r="M17" i="70"/>
  <c r="F52" i="79"/>
  <c r="G13" i="64"/>
  <c r="L56" i="70" s="1"/>
  <c r="L22" i="70"/>
  <c r="L51" i="70" s="1"/>
  <c r="F52" i="78"/>
  <c r="D29" i="78"/>
  <c r="F29" i="78" s="1"/>
  <c r="H13" i="64"/>
  <c r="B11" i="78"/>
  <c r="L45" i="70"/>
  <c r="L50" i="70"/>
  <c r="M21" i="70"/>
  <c r="D53" i="79"/>
  <c r="D64" i="79" s="1"/>
  <c r="F64" i="79" s="1"/>
  <c r="P84" i="62"/>
  <c r="P87" i="62" s="1"/>
  <c r="B2" i="79"/>
  <c r="F20" i="79"/>
  <c r="B3" i="79"/>
  <c r="D21" i="79"/>
  <c r="F21" i="79" s="1"/>
  <c r="D51" i="78"/>
  <c r="D62" i="78" s="1"/>
  <c r="F62" i="78" s="1"/>
  <c r="D53" i="78"/>
  <c r="F53" i="78" s="1"/>
  <c r="D54" i="78"/>
  <c r="D76" i="78" s="1"/>
  <c r="F76" i="78" s="1"/>
  <c r="D32" i="78"/>
  <c r="D49" i="78"/>
  <c r="D27" i="78"/>
  <c r="F21" i="78"/>
  <c r="F20" i="78"/>
  <c r="L60" i="70"/>
  <c r="B17" i="78"/>
  <c r="M13" i="70"/>
  <c r="J87" i="62"/>
  <c r="J86" i="62"/>
  <c r="J88" i="62"/>
  <c r="B14" i="64"/>
  <c r="D41" i="79"/>
  <c r="F41" i="79" s="1"/>
  <c r="F30" i="79"/>
  <c r="D41" i="78"/>
  <c r="F41" i="78" s="1"/>
  <c r="F30" i="78"/>
  <c r="F31" i="79"/>
  <c r="D42" i="79"/>
  <c r="F42" i="79" s="1"/>
  <c r="M55" i="70"/>
  <c r="F54" i="78" l="1"/>
  <c r="H5" i="80"/>
  <c r="D40" i="78"/>
  <c r="F40" i="78" s="1"/>
  <c r="L61" i="70"/>
  <c r="L66" i="70" s="1"/>
  <c r="L46" i="70"/>
  <c r="D51" i="79"/>
  <c r="D62" i="79" s="1"/>
  <c r="F62" i="79" s="1"/>
  <c r="F18" i="79"/>
  <c r="B16" i="79"/>
  <c r="D16" i="79" s="1"/>
  <c r="D27" i="79" s="1"/>
  <c r="D75" i="78"/>
  <c r="F75" i="78" s="1"/>
  <c r="D64" i="78"/>
  <c r="F64" i="78" s="1"/>
  <c r="D65" i="78"/>
  <c r="F65" i="78" s="1"/>
  <c r="B17" i="79"/>
  <c r="D17" i="79" s="1"/>
  <c r="F17" i="79" s="1"/>
  <c r="M50" i="70"/>
  <c r="D73" i="78"/>
  <c r="F73" i="78" s="1"/>
  <c r="L65" i="70"/>
  <c r="M45" i="70"/>
  <c r="F51" i="78"/>
  <c r="F53" i="79"/>
  <c r="D75" i="79"/>
  <c r="F75" i="79" s="1"/>
  <c r="M22" i="70"/>
  <c r="M51" i="70" s="1"/>
  <c r="C4" i="79"/>
  <c r="C11" i="79" s="1"/>
  <c r="Q84" i="62"/>
  <c r="M60" i="70"/>
  <c r="D54" i="79"/>
  <c r="D32" i="79"/>
  <c r="B11" i="79"/>
  <c r="D17" i="78"/>
  <c r="B23" i="78"/>
  <c r="L14" i="64"/>
  <c r="L13" i="64"/>
  <c r="H14" i="64"/>
  <c r="G14" i="64"/>
  <c r="G16" i="64" s="1"/>
  <c r="F32" i="78"/>
  <c r="D43" i="78"/>
  <c r="F43" i="78" s="1"/>
  <c r="F16" i="78"/>
  <c r="D49" i="79" l="1"/>
  <c r="B23" i="79"/>
  <c r="D73" i="79"/>
  <c r="F73" i="79" s="1"/>
  <c r="F51" i="79"/>
  <c r="M65" i="70"/>
  <c r="M46" i="70"/>
  <c r="D23" i="79"/>
  <c r="D23" i="78"/>
  <c r="F17" i="78"/>
  <c r="D50" i="79"/>
  <c r="D28" i="79"/>
  <c r="D50" i="78"/>
  <c r="F50" i="78" s="1"/>
  <c r="D28" i="78"/>
  <c r="D39" i="78" s="1"/>
  <c r="F39" i="78" s="1"/>
  <c r="D29" i="79"/>
  <c r="D40" i="79" s="1"/>
  <c r="F40" i="79" s="1"/>
  <c r="M61" i="70"/>
  <c r="M66" i="70" s="1"/>
  <c r="M56" i="70"/>
  <c r="F32" i="79"/>
  <c r="D43" i="79"/>
  <c r="F43" i="79" s="1"/>
  <c r="D38" i="78"/>
  <c r="F38" i="78" s="1"/>
  <c r="F27" i="78"/>
  <c r="D71" i="78"/>
  <c r="F49" i="78"/>
  <c r="D60" i="78"/>
  <c r="F16" i="79"/>
  <c r="D65" i="79"/>
  <c r="F65" i="79" s="1"/>
  <c r="F54" i="79"/>
  <c r="D76" i="79"/>
  <c r="F76" i="79" s="1"/>
  <c r="D61" i="78" l="1"/>
  <c r="F61" i="78" s="1"/>
  <c r="F28" i="78"/>
  <c r="F34" i="78" s="1"/>
  <c r="B88" i="78" s="1"/>
  <c r="D56" i="78"/>
  <c r="D72" i="78"/>
  <c r="F72" i="78" s="1"/>
  <c r="F19" i="79"/>
  <c r="F29" i="79"/>
  <c r="D38" i="79"/>
  <c r="F38" i="79" s="1"/>
  <c r="F56" i="78"/>
  <c r="F45" i="78"/>
  <c r="B89" i="78" s="1"/>
  <c r="D56" i="79"/>
  <c r="D60" i="79"/>
  <c r="F49" i="79"/>
  <c r="D71" i="79"/>
  <c r="F71" i="78"/>
  <c r="F60" i="78"/>
  <c r="F67" i="78" l="1"/>
  <c r="B87" i="78" s="1"/>
  <c r="D67" i="78"/>
  <c r="D78" i="78"/>
  <c r="F23" i="79"/>
  <c r="B86" i="79" s="1"/>
  <c r="F27" i="79"/>
  <c r="F60" i="79"/>
  <c r="F28" i="79"/>
  <c r="D39" i="79"/>
  <c r="F39" i="79" s="1"/>
  <c r="F78" i="78"/>
  <c r="B90" i="78" s="1"/>
  <c r="F50" i="79"/>
  <c r="D72" i="79"/>
  <c r="F72" i="79" s="1"/>
  <c r="D61" i="79"/>
  <c r="F61" i="79" s="1"/>
  <c r="F71" i="79"/>
  <c r="F34" i="79" l="1"/>
  <c r="B88" i="79" s="1"/>
  <c r="F45" i="79"/>
  <c r="B89" i="79" s="1"/>
  <c r="F23" i="78"/>
  <c r="B86" i="78" s="1"/>
  <c r="D78" i="79"/>
  <c r="F78" i="79"/>
  <c r="B90" i="79" s="1"/>
  <c r="F67" i="79"/>
  <c r="D67" i="79"/>
  <c r="F56" i="79"/>
  <c r="B92" i="78" l="1"/>
  <c r="B87" i="79"/>
  <c r="C90" i="79" l="1"/>
  <c r="B92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<sst xmlns="http://schemas.openxmlformats.org/spreadsheetml/2006/main" count="430" uniqueCount="191">
  <si>
    <t>Heating Degree Days</t>
  </si>
  <si>
    <t>Cooling Degree Days</t>
  </si>
  <si>
    <t>Number of Days in Month</t>
  </si>
  <si>
    <t>Total</t>
  </si>
  <si>
    <t>Spring Fall Flag</t>
  </si>
  <si>
    <t>Number of Peak Hours</t>
  </si>
  <si>
    <t>Generation</t>
  </si>
  <si>
    <t>IESO</t>
  </si>
  <si>
    <t>Residential Customers</t>
  </si>
  <si>
    <t>Large Use Losses</t>
  </si>
  <si>
    <t>Purchased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</si>
  <si>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</si>
  <si>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</si>
  <si>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</si>
  <si>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</si>
  <si>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</si>
  <si>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</si>
  <si>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</si>
  <si>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</si>
  <si>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</si>
  <si>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</si>
  <si>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</si>
  <si>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</si>
  <si>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</si>
  <si>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</si>
  <si>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</si>
  <si>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</si>
  <si>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</si>
  <si>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</si>
  <si>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</si>
  <si>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</si>
  <si>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</si>
  <si>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</si>
  <si>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</si>
  <si>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</si>
  <si>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</si>
  <si>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</t>
  </si>
  <si>
    <t>Check totals above should be zero</t>
  </si>
  <si>
    <t>Street Lighting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</si>
  <si>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</si>
  <si>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</si>
  <si>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</si>
  <si>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</si>
  <si>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</si>
  <si>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</si>
  <si>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Large User</t>
  </si>
  <si>
    <t xml:space="preserve">Streetlights </t>
  </si>
  <si>
    <t>USL</t>
  </si>
  <si>
    <t>Weather Normal Projection</t>
  </si>
  <si>
    <t>Annual kWh at the Meter</t>
  </si>
  <si>
    <t>Average</t>
  </si>
  <si>
    <t xml:space="preserve">Used </t>
  </si>
  <si>
    <t xml:space="preserve">Geomean </t>
  </si>
  <si>
    <t>Non 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</si>
  <si>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</si>
  <si>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</si>
  <si>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</si>
  <si>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</si>
  <si>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Actual Purchases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</si>
  <si>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</si>
  <si>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</si>
  <si>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</si>
  <si>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</si>
  <si>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</si>
  <si>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Annual kW for those classes that charge distribution volumetric charges on a kW basis</t>
  </si>
  <si>
    <t>kWh</t>
  </si>
  <si>
    <t>kW</t>
  </si>
  <si>
    <t>kW/kWh</t>
  </si>
  <si>
    <t>TOTAL</t>
  </si>
  <si>
    <t>Class per Load Forecast 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</si>
  <si>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</si>
  <si>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</si>
  <si>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</si>
  <si>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</si>
  <si>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</si>
  <si>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</si>
  <si>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</si>
  <si>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</si>
  <si>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</si>
  <si>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</si>
  <si>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</si>
  <si>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</si>
  <si>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</si>
  <si>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Weather Corrected Forecast</t>
  </si>
  <si>
    <t>WMP</t>
  </si>
  <si>
    <t>Capacity Based Recovery</t>
  </si>
  <si>
    <t>Class A</t>
  </si>
  <si>
    <t>2019 Load Forecast</t>
  </si>
  <si>
    <t>2019 Forecasted Metered kWhs</t>
  </si>
  <si>
    <t>2020 Load Forecast</t>
  </si>
  <si>
    <t>2020 Forecasted Metered kWhs</t>
  </si>
  <si>
    <t>CDM</t>
  </si>
  <si>
    <t>Include Wholesale Market Participants</t>
  </si>
  <si>
    <t>Exclude Wholesale Market Participants</t>
  </si>
  <si>
    <t>COP</t>
  </si>
  <si>
    <t>Distribution</t>
  </si>
  <si>
    <t>% Difference</t>
  </si>
  <si>
    <t>Actual kWh Purchases</t>
  </si>
  <si>
    <t>Predicted kWh Purchases</t>
  </si>
  <si>
    <t xml:space="preserve">  Customers</t>
  </si>
  <si>
    <t xml:space="preserve">  kWh</t>
  </si>
  <si>
    <t xml:space="preserve">  kW</t>
  </si>
  <si>
    <t xml:space="preserve">  Customer/Connections</t>
  </si>
  <si>
    <t xml:space="preserve">  kW from applicable classes</t>
  </si>
  <si>
    <t>2019 Weather Normal</t>
  </si>
  <si>
    <t>2020 Weather Normal</t>
  </si>
  <si>
    <t>Billed kWh (excl Embedded)</t>
  </si>
  <si>
    <t>By Class</t>
  </si>
  <si>
    <t xml:space="preserve">  Connections</t>
  </si>
  <si>
    <t>Total of Above (excl. Embedded)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</si>
  <si>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</si>
  <si>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</si>
  <si>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</si>
  <si>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</si>
  <si>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</si>
  <si>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</si>
  <si>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</si>
  <si>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</si>
  <si>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</si>
  <si>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</si>
  <si>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</si>
  <si>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</si>
  <si>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</si>
  <si>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</si>
  <si>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</si>
  <si>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</si>
  <si>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</si>
  <si>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WNHI - Embedded Distributor</t>
  </si>
  <si>
    <t>Wellesley</t>
  </si>
  <si>
    <t>Avg/month</t>
  </si>
  <si>
    <t>Meter History</t>
  </si>
  <si>
    <t>Start</t>
  </si>
  <si>
    <t>End</t>
  </si>
  <si>
    <t>Bridge</t>
  </si>
  <si>
    <t>Test</t>
  </si>
  <si>
    <t>Full year Increase over previous year</t>
  </si>
  <si>
    <t>Half year pattern</t>
  </si>
  <si>
    <t>Check</t>
  </si>
  <si>
    <t>Jan</t>
  </si>
  <si>
    <t>Feb</t>
  </si>
  <si>
    <t>Third Tranche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</si>
  <si>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</si>
  <si>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</si>
  <si>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</si>
  <si>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</si>
  <si>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</si>
  <si>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</si>
  <si>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</si>
  <si>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</si>
  <si>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</si>
  <si>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</si>
  <si>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</si>
  <si>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</si>
  <si>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Program Year</t>
  </si>
  <si>
    <t>TX
Allowance
GS&gt;50kW</t>
  </si>
  <si>
    <t>TX
Allowance
Large User</t>
  </si>
  <si>
    <t>GS&gt;50 kW
WMP</t>
  </si>
  <si>
    <t>GS&gt;50 kW WMP</t>
  </si>
  <si>
    <t>GS&gt;50 kW Cl A</t>
  </si>
  <si>
    <t>GS&gt;50 kW
Class A</t>
  </si>
  <si>
    <t>Usage/
Customer</t>
  </si>
  <si>
    <t>GS&gt;50 kW, WMP</t>
  </si>
  <si>
    <t>GS&gt;50 kW, Class A</t>
  </si>
  <si>
    <t>2018  %RPP</t>
  </si>
  <si>
    <t>Commodity RPP</t>
  </si>
  <si>
    <t>2019
Loss Factor</t>
  </si>
  <si>
    <t>2020
Loss Factor</t>
  </si>
  <si>
    <t xml:space="preserve">4708-Rural Rate Assistance </t>
  </si>
  <si>
    <t xml:space="preserve"> Proposed Cost of Service Method</t>
  </si>
  <si>
    <t>5 Year 2015 to 2020 target</t>
  </si>
  <si>
    <t>Apply 1/2 year rule</t>
  </si>
  <si>
    <t>Manual Adjustment to the Load Forecast from 2019 and 2020 Programs on a Net Level</t>
  </si>
  <si>
    <t>GS&gt; Cl B</t>
  </si>
  <si>
    <t xml:space="preserve">Weather Corrected Forecast after 2019 and 2020 CDM Adjustments        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</si>
  <si>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</si>
  <si>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t>Exclude Class A Customers</t>
  </si>
  <si>
    <t>Weather Normalized</t>
  </si>
  <si>
    <t>Cl B</t>
  </si>
  <si>
    <t>Total GS&gt;</t>
  </si>
  <si>
    <t>exl WMP</t>
  </si>
  <si>
    <t>Class A w/Loss</t>
  </si>
  <si>
    <t>GS&gt;50 kW
Cl A</t>
  </si>
  <si>
    <t>Year</t>
  </si>
  <si>
    <t>Normalized Weather Billed Energy Forecast (GWh)</t>
  </si>
  <si>
    <t>2019 (Normalized)</t>
  </si>
  <si>
    <t>2020 (Normalized)</t>
  </si>
  <si>
    <t>Large
User</t>
  </si>
  <si>
    <t>Interrogatory 3-VECC-15e CDM Adjusted Normalized Weather Billed Forecast (GWh)</t>
  </si>
  <si>
    <t>Actuals (not Average) as at June 30, 2019</t>
  </si>
  <si>
    <t>CDM Activity Variable Supporting Data</t>
  </si>
  <si>
    <t>Total 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</si>
</sst>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#,##0.0;\(#,##0.0\)"/>
    <numFmt numFmtId="180" formatCode="000000000#"/>
    <numFmt numFmtId="181" formatCode="yyyy/mm/dd"/>
    <numFmt numFmtId="182" formatCode="0.00000"/>
    <numFmt numFmtId="183" formatCode="_-* #,##0.00_-;\-* #,##0.00_-;_-* &quot;-&quot;??_-;_-@_-"/>
    <numFmt numFmtId="184" formatCode="_-* #,##0_-;\-* #,##0_-;_-* &quot;-&quot;??_-;_-@_-"/>
    <numFmt numFmtId="185" formatCode="_-* #,##0.00_-;\-* #,##0.00_-;_-* \-??_-;_-@_-"/>
    <numFmt numFmtId="186" formatCode="0.000"/>
    <numFmt numFmtId="187" formatCode="0.00000%"/>
    <numFmt numFmtId="188" formatCode="0.0000000%"/>
    <numFmt numFmtId="189" formatCode="_(* #,##0.0_);_(* \(#,##0.0\);_(* &quot;-&quot;??_);_(@_)"/>
    <numFmt numFmtId="190" formatCode="mm/dd/yyyy"/>
    <numFmt numFmtId="191" formatCode="0\-0"/>
    <numFmt numFmtId="192" formatCode="##\-#"/>
    <numFmt numFmtId="193" formatCode="&quot;£ &quot;#,##0.00;[Red]\-&quot;£ &quot;#,##0.00"/>
    <numFmt numFmtId="194" formatCode="#,##0.00000000;\(#,##0.00000000\)"/>
  </numFmts>
  <fonts count="49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</font>
    <font>
      <sz val="10"/>
      <color theme="3"/>
      <name val="Arial"/>
      <family val="2"/>
    </font>
    <font>
      <i/>
      <sz val="10"/>
      <color theme="3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" fillId="0" borderId="0"/>
    <xf numFmtId="0" fontId="2" fillId="2" borderId="1" applyNumberFormat="0" applyFont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/>
    <xf numFmtId="183" fontId="3" fillId="0" borderId="0" applyFont="0" applyFill="0" applyBorder="0" applyAlignment="0" applyProtection="0"/>
    <xf numFmtId="185" fontId="22" fillId="0" borderId="0" applyFill="0" applyBorder="0" applyAlignment="0" applyProtection="0"/>
    <xf numFmtId="9" fontId="22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9" fontId="3" fillId="0" borderId="0"/>
    <xf numFmtId="164" fontId="3" fillId="0" borderId="0"/>
    <xf numFmtId="189" fontId="3" fillId="0" borderId="0"/>
    <xf numFmtId="189" fontId="3" fillId="0" borderId="0"/>
    <xf numFmtId="189" fontId="3" fillId="0" borderId="0"/>
    <xf numFmtId="189" fontId="3" fillId="0" borderId="0"/>
    <xf numFmtId="190" fontId="3" fillId="0" borderId="0"/>
    <xf numFmtId="191" fontId="3" fillId="0" borderId="0"/>
    <xf numFmtId="190" fontId="3" fillId="0" borderId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36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37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34" borderId="0" applyNumberFormat="0" applyBorder="0" applyAlignment="0" applyProtection="0"/>
    <xf numFmtId="0" fontId="39" fillId="38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39" fillId="35" borderId="0" applyNumberFormat="0" applyBorder="0" applyAlignment="0" applyProtection="0"/>
    <xf numFmtId="0" fontId="30" fillId="10" borderId="0" applyNumberFormat="0" applyBorder="0" applyAlignment="0" applyProtection="0"/>
    <xf numFmtId="0" fontId="34" fillId="13" borderId="36" applyNumberFormat="0" applyAlignment="0" applyProtection="0"/>
    <xf numFmtId="0" fontId="36" fillId="14" borderId="39" applyNumberFormat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9" fillId="9" borderId="0" applyNumberFormat="0" applyBorder="0" applyAlignment="0" applyProtection="0"/>
    <xf numFmtId="38" fontId="19" fillId="8" borderId="0" applyNumberFormat="0" applyBorder="0" applyAlignment="0" applyProtection="0"/>
    <xf numFmtId="38" fontId="19" fillId="8" borderId="0" applyNumberFormat="0" applyBorder="0" applyAlignment="0" applyProtection="0"/>
    <xf numFmtId="0" fontId="26" fillId="0" borderId="33" applyNumberFormat="0" applyFill="0" applyAlignment="0" applyProtection="0"/>
    <xf numFmtId="0" fontId="27" fillId="0" borderId="34" applyNumberFormat="0" applyFill="0" applyAlignment="0" applyProtection="0"/>
    <xf numFmtId="0" fontId="28" fillId="0" borderId="35" applyNumberFormat="0" applyFill="0" applyAlignment="0" applyProtection="0"/>
    <xf numFmtId="0" fontId="28" fillId="0" borderId="0" applyNumberFormat="0" applyFill="0" applyBorder="0" applyAlignment="0" applyProtection="0"/>
    <xf numFmtId="10" fontId="19" fillId="40" borderId="8" applyNumberFormat="0" applyBorder="0" applyAlignment="0" applyProtection="0"/>
    <xf numFmtId="10" fontId="19" fillId="40" borderId="8" applyNumberFormat="0" applyBorder="0" applyAlignment="0" applyProtection="0"/>
    <xf numFmtId="0" fontId="32" fillId="12" borderId="36" applyNumberFormat="0" applyAlignment="0" applyProtection="0"/>
    <xf numFmtId="0" fontId="35" fillId="0" borderId="38" applyNumberFormat="0" applyFill="0" applyAlignment="0" applyProtection="0"/>
    <xf numFmtId="192" fontId="3" fillId="0" borderId="0"/>
    <xf numFmtId="175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0" fontId="31" fillId="11" borderId="0" applyNumberFormat="0" applyBorder="0" applyAlignment="0" applyProtection="0"/>
    <xf numFmtId="193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3" fillId="2" borderId="1" applyNumberFormat="0" applyFont="0" applyAlignment="0" applyProtection="0"/>
    <xf numFmtId="0" fontId="33" fillId="13" borderId="37" applyNumberFormat="0" applyAlignment="0" applyProtection="0"/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0" borderId="0" applyNumberFormat="0" applyBorder="0" applyAlignment="0"/>
    <xf numFmtId="0" fontId="41" fillId="0" borderId="0" applyNumberFormat="0" applyBorder="0" applyAlignment="0"/>
    <xf numFmtId="0" fontId="42" fillId="0" borderId="0" applyNumberFormat="0" applyBorder="0" applyAlignment="0"/>
    <xf numFmtId="0" fontId="20" fillId="0" borderId="25">
      <alignment horizontal="center" vertical="center"/>
    </xf>
    <xf numFmtId="0" fontId="25" fillId="0" borderId="0" applyNumberFormat="0" applyFill="0" applyBorder="0" applyAlignment="0" applyProtection="0"/>
    <xf numFmtId="0" fontId="24" fillId="0" borderId="40" applyNumberFormat="0" applyFill="0" applyAlignment="0" applyProtection="0"/>
    <xf numFmtId="0" fontId="37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44" fontId="3" fillId="0" borderId="0" applyFont="0" applyFill="0" applyBorder="0" applyAlignment="0" applyProtection="0"/>
    <xf numFmtId="0" fontId="23" fillId="0" borderId="0"/>
    <xf numFmtId="18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49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3" fillId="0" borderId="0" xfId="0" applyFont="1" applyAlignment="1">
      <alignment horizontal="left"/>
    </xf>
    <xf numFmtId="168" fontId="0" fillId="0" borderId="0" xfId="0" applyNumberFormat="1" applyAlignment="1">
      <alignment horizontal="right" indent="4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0" fillId="0" borderId="0" xfId="0" applyFont="1"/>
    <xf numFmtId="3" fontId="9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1" fillId="0" borderId="8" xfId="0" applyFont="1" applyBorder="1"/>
    <xf numFmtId="0" fontId="10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8" fillId="0" borderId="8" xfId="9" applyBorder="1"/>
    <xf numFmtId="175" fontId="9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0" fillId="0" borderId="8" xfId="0" applyFont="1" applyBorder="1" applyAlignment="1">
      <alignment horizontal="left"/>
    </xf>
    <xf numFmtId="37" fontId="10" fillId="0" borderId="8" xfId="0" applyNumberFormat="1" applyFont="1" applyBorder="1"/>
    <xf numFmtId="3" fontId="0" fillId="0" borderId="0" xfId="0" applyNumberFormat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0" fillId="0" borderId="8" xfId="0" applyNumberFormat="1" applyFont="1" applyBorder="1"/>
    <xf numFmtId="0" fontId="10" fillId="0" borderId="0" xfId="0" applyFont="1" applyAlignment="1">
      <alignment horizontal="left" indent="1"/>
    </xf>
    <xf numFmtId="37" fontId="10" fillId="0" borderId="0" xfId="0" applyNumberFormat="1" applyFont="1"/>
    <xf numFmtId="177" fontId="0" fillId="0" borderId="0" xfId="0" applyNumberFormat="1"/>
    <xf numFmtId="5" fontId="10" fillId="0" borderId="0" xfId="0" applyNumberFormat="1" applyFont="1"/>
    <xf numFmtId="0" fontId="11" fillId="0" borderId="9" xfId="0" applyFont="1" applyBorder="1"/>
    <xf numFmtId="0" fontId="10" fillId="0" borderId="17" xfId="0" applyFont="1" applyBorder="1"/>
    <xf numFmtId="0" fontId="10" fillId="0" borderId="15" xfId="0" applyFont="1" applyBorder="1" applyAlignment="1">
      <alignment horizontal="center"/>
    </xf>
    <xf numFmtId="0" fontId="10" fillId="0" borderId="15" xfId="0" applyFont="1" applyBorder="1"/>
    <xf numFmtId="0" fontId="10" fillId="0" borderId="16" xfId="0" applyFont="1" applyBorder="1"/>
    <xf numFmtId="0" fontId="10" fillId="0" borderId="19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10" xfId="0" applyBorder="1"/>
    <xf numFmtId="0" fontId="10" fillId="0" borderId="12" xfId="0" applyFont="1" applyBorder="1" applyAlignment="1">
      <alignment horizontal="center"/>
    </xf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8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7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4" fillId="0" borderId="2" xfId="0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0" fontId="1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  <xf numFmtId="175" fontId="0" fillId="0" borderId="0" xfId="0" applyNumberFormat="1"/>
    <xf numFmtId="184" fontId="3" fillId="0" borderId="0" xfId="12" applyNumberFormat="1"/>
    <xf numFmtId="184" fontId="0" fillId="0" borderId="0" xfId="0" applyNumberFormat="1"/>
    <xf numFmtId="0" fontId="3" fillId="7" borderId="8" xfId="0" applyFont="1" applyFill="1" applyBorder="1" applyAlignment="1">
      <alignment horizontal="right" indent="1"/>
    </xf>
    <xf numFmtId="184" fontId="3" fillId="3" borderId="0" xfId="12" applyNumberFormat="1" applyFill="1"/>
    <xf numFmtId="0" fontId="0" fillId="7" borderId="8" xfId="0" applyFill="1" applyBorder="1" applyAlignment="1">
      <alignment horizontal="right" indent="1"/>
    </xf>
    <xf numFmtId="3" fontId="0" fillId="0" borderId="0" xfId="10" applyNumberFormat="1" applyFont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1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2" fontId="0" fillId="0" borderId="0" xfId="0" applyNumberFormat="1"/>
    <xf numFmtId="186" fontId="0" fillId="0" borderId="0" xfId="0" applyNumberFormat="1" applyAlignment="1">
      <alignment horizontal="center"/>
    </xf>
    <xf numFmtId="17" fontId="10" fillId="0" borderId="0" xfId="0" applyNumberFormat="1" applyFont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7" fontId="0" fillId="0" borderId="0" xfId="0" applyNumberFormat="1"/>
    <xf numFmtId="188" fontId="0" fillId="0" borderId="0" xfId="0" applyNumberFormat="1"/>
    <xf numFmtId="0" fontId="13" fillId="6" borderId="10" xfId="11" applyFont="1" applyFill="1" applyBorder="1" applyAlignment="1">
      <alignment horizontal="center" vertical="center"/>
    </xf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79" fontId="0" fillId="0" borderId="0" xfId="0" applyNumberFormat="1" applyAlignment="1">
      <alignment horizontal="right" indent="1"/>
    </xf>
    <xf numFmtId="194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3" fillId="6" borderId="10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1" fillId="0" borderId="0" xfId="0" applyNumberFormat="1" applyFont="1"/>
    <xf numFmtId="5" fontId="3" fillId="0" borderId="0" xfId="0" applyNumberFormat="1" applyFont="1"/>
    <xf numFmtId="0" fontId="0" fillId="0" borderId="0" xfId="0" applyAlignment="1">
      <alignment horizontal="center"/>
    </xf>
    <xf numFmtId="0" fontId="43" fillId="0" borderId="0" xfId="0" applyFont="1"/>
    <xf numFmtId="3" fontId="13" fillId="6" borderId="14" xfId="11" applyNumberFormat="1" applyFont="1" applyFill="1" applyBorder="1" applyAlignment="1">
      <alignment horizontal="center" vertical="center" wrapText="1"/>
    </xf>
    <xf numFmtId="0" fontId="13" fillId="6" borderId="14" xfId="11" applyFont="1" applyFill="1" applyBorder="1" applyAlignment="1">
      <alignment horizontal="center" vertical="center" wrapText="1"/>
    </xf>
    <xf numFmtId="0" fontId="44" fillId="0" borderId="8" xfId="0" applyFont="1" applyBorder="1" applyAlignment="1">
      <alignment vertical="center"/>
    </xf>
    <xf numFmtId="0" fontId="45" fillId="0" borderId="8" xfId="0" applyFont="1" applyBorder="1" applyAlignment="1">
      <alignment horizontal="left" vertical="center" indent="1"/>
    </xf>
    <xf numFmtId="164" fontId="45" fillId="0" borderId="8" xfId="0" applyNumberFormat="1" applyFont="1" applyBorder="1" applyAlignment="1">
      <alignment horizontal="center" vertical="center" wrapText="1"/>
    </xf>
    <xf numFmtId="3" fontId="43" fillId="0" borderId="0" xfId="0" applyNumberFormat="1" applyFont="1" applyAlignment="1">
      <alignment horizontal="center" vertical="center" wrapText="1"/>
    </xf>
    <xf numFmtId="3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/>
    </xf>
    <xf numFmtId="3" fontId="43" fillId="0" borderId="0" xfId="0" applyNumberFormat="1" applyFont="1" applyAlignment="1">
      <alignment horizontal="center"/>
    </xf>
    <xf numFmtId="0" fontId="43" fillId="5" borderId="0" xfId="0" applyFont="1" applyFill="1" applyAlignment="1">
      <alignment horizontal="right"/>
    </xf>
    <xf numFmtId="3" fontId="43" fillId="5" borderId="0" xfId="0" applyNumberFormat="1" applyFont="1" applyFill="1" applyAlignment="1">
      <alignment horizontal="center"/>
    </xf>
    <xf numFmtId="0" fontId="46" fillId="0" borderId="0" xfId="0" applyFont="1"/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44" fillId="0" borderId="10" xfId="0" applyFont="1" applyBorder="1" applyAlignment="1">
      <alignment horizontal="left" vertical="center"/>
    </xf>
    <xf numFmtId="0" fontId="44" fillId="0" borderId="11" xfId="0" applyFont="1" applyBorder="1" applyAlignment="1">
      <alignment horizontal="left" vertical="center"/>
    </xf>
    <xf numFmtId="0" fontId="44" fillId="0" borderId="12" xfId="0" applyFont="1" applyBorder="1" applyAlignment="1">
      <alignment horizontal="left" vertical="center"/>
    </xf>
    <xf numFmtId="3" fontId="46" fillId="0" borderId="0" xfId="0" applyNumberFormat="1" applyFont="1" applyAlignment="1">
      <alignment horizontal="left"/>
    </xf>
    <xf numFmtId="3" fontId="4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3" fillId="6" borderId="12" xfId="11" applyFont="1" applyFill="1" applyBorder="1" applyAlignment="1">
      <alignment horizontal="center" vertical="center"/>
    </xf>
    <xf numFmtId="41" fontId="43" fillId="7" borderId="8" xfId="20" applyNumberFormat="1" applyFont="1" applyFill="1" applyBorder="1" applyAlignment="1">
      <alignment horizontal="right" indent="1"/>
    </xf>
    <xf numFmtId="41" fontId="43" fillId="7" borderId="8" xfId="0" applyNumberFormat="1" applyFont="1" applyFill="1" applyBorder="1" applyAlignment="1">
      <alignment horizontal="right" indent="1"/>
    </xf>
    <xf numFmtId="184" fontId="43" fillId="0" borderId="0" xfId="0" applyNumberFormat="1" applyFont="1"/>
    <xf numFmtId="0" fontId="15" fillId="0" borderId="19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47" fillId="0" borderId="0" xfId="0" applyFont="1"/>
    <xf numFmtId="0" fontId="48" fillId="0" borderId="4" xfId="0" applyFont="1" applyFill="1" applyBorder="1" applyAlignment="1">
      <alignment horizontal="centerContinuous"/>
    </xf>
    <xf numFmtId="0" fontId="47" fillId="0" borderId="0" xfId="0" applyFont="1" applyFill="1" applyBorder="1" applyAlignment="1"/>
    <xf numFmtId="0" fontId="47" fillId="0" borderId="3" xfId="0" applyFont="1" applyFill="1" applyBorder="1" applyAlignment="1"/>
    <xf numFmtId="0" fontId="48" fillId="0" borderId="4" xfId="0" applyFont="1" applyFill="1" applyBorder="1" applyAlignment="1">
      <alignment horizontal="center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3"/>
  <sheetViews>
    <sheetView topLeftCell="K1" workbookViewId="0">
      <selection activeCell="P1" sqref="P1:X23"/>
    </sheetView>
  </sheetViews>
  <sheetFormatPr defaultRowHeight="12.75" x14ac:dyDescent="0.2"/>
  <cols>
    <col min="1" max="1" width="9.7109375" style="7" customWidth="1"/>
    <col min="2" max="2" width="14" style="13" bestFit="1" customWidth="1"/>
    <col min="3" max="3" width="11.140625" style="13" bestFit="1" customWidth="1"/>
    <col min="4" max="5" width="11.140625" style="13" customWidth="1"/>
    <col min="6" max="6" width="11.85546875" style="13" bestFit="1" customWidth="1"/>
    <col min="7" max="7" width="15" style="13" bestFit="1" customWidth="1"/>
    <col min="8" max="8" width="10.5703125" style="13" customWidth="1"/>
    <col min="9" max="9" width="10.5703125" style="16" customWidth="1"/>
    <col min="10" max="10" width="11.7109375" customWidth="1"/>
    <col min="11" max="11" width="12.5703125" style="10" bestFit="1" customWidth="1"/>
    <col min="12" max="12" width="9.140625" style="10" customWidth="1"/>
    <col min="13" max="13" width="10.5703125" style="184" customWidth="1"/>
    <col min="14" max="14" width="15" style="10" bestFit="1" customWidth="1"/>
    <col min="15" max="15" width="10.7109375" style="7" customWidth="1"/>
    <col min="16" max="16" width="25.7109375" style="10" customWidth="1"/>
    <col min="17" max="17" width="13.140625" bestFit="1" customWidth="1"/>
    <col min="18" max="18" width="13.7109375" customWidth="1"/>
    <col min="19" max="19" width="12.5703125" bestFit="1" customWidth="1"/>
    <col min="20" max="20" width="12.42578125" customWidth="1"/>
    <col min="21" max="21" width="13.5703125" customWidth="1"/>
    <col min="22" max="24" width="12.5703125" customWidth="1"/>
  </cols>
  <sheetData>
    <row r="1" spans="1:24" ht="38.25" x14ac:dyDescent="0.2">
      <c r="B1" s="11" t="s">
        <v>7</v>
      </c>
      <c r="C1" s="11" t="s">
        <v>6</v>
      </c>
      <c r="D1" s="12" t="s">
        <v>9</v>
      </c>
      <c r="E1" s="12" t="s">
        <v>38</v>
      </c>
      <c r="F1" s="12" t="s">
        <v>91</v>
      </c>
      <c r="G1" s="11" t="s">
        <v>10</v>
      </c>
      <c r="H1" s="15" t="s">
        <v>0</v>
      </c>
      <c r="I1" s="4" t="s">
        <v>1</v>
      </c>
      <c r="J1" s="4" t="s">
        <v>2</v>
      </c>
      <c r="K1" s="4" t="s">
        <v>4</v>
      </c>
      <c r="L1" s="4" t="s">
        <v>5</v>
      </c>
      <c r="M1" s="4" t="s">
        <v>8</v>
      </c>
      <c r="N1" s="4" t="s">
        <v>11</v>
      </c>
      <c r="O1" s="18" t="s">
        <v>12</v>
      </c>
      <c r="P1" s="244" t="s">
        <v>13</v>
      </c>
      <c r="Q1" s="244"/>
      <c r="R1" s="244"/>
      <c r="S1" s="244"/>
      <c r="T1" s="244"/>
      <c r="U1" s="244"/>
      <c r="V1" s="244"/>
      <c r="W1" s="244"/>
      <c r="X1" s="244"/>
    </row>
    <row r="2" spans="1:24" ht="13.5" thickBot="1" x14ac:dyDescent="0.25">
      <c r="A2" s="8">
        <v>39814</v>
      </c>
      <c r="B2" s="19">
        <v>176131307</v>
      </c>
      <c r="C2" s="19">
        <v>2752418.6880000005</v>
      </c>
      <c r="D2" s="19">
        <v>-4618860.0957923001</v>
      </c>
      <c r="E2" s="19">
        <v>-785405.01340000005</v>
      </c>
      <c r="F2" s="19">
        <f>-CDM!D74</f>
        <v>-2295812.7907332727</v>
      </c>
      <c r="G2" s="19">
        <f>ROUND((SUM(B2:F2)),4)</f>
        <v>171183647.7881</v>
      </c>
      <c r="H2" s="20">
        <v>891.19999999999993</v>
      </c>
      <c r="I2" s="20">
        <v>0</v>
      </c>
      <c r="J2" s="3">
        <v>31</v>
      </c>
      <c r="K2" s="3">
        <v>0</v>
      </c>
      <c r="L2" s="3">
        <v>336</v>
      </c>
      <c r="M2" s="3">
        <v>75899</v>
      </c>
      <c r="N2" s="3">
        <f>ROUND(($Q$17+H2*$Q$18+I2*$Q$19+J2*$Q$20+K2*$Q$21+L2*$Q$22+M2*$Q$23),4)</f>
        <v>172262335.6494</v>
      </c>
      <c r="O2" s="21">
        <f t="shared" ref="O2:O33" si="0">IFERROR((ABS(N2/G2-1)),0)</f>
        <v>6.3013487283274383E-3</v>
      </c>
      <c r="P2" s="244"/>
      <c r="Q2" s="244"/>
      <c r="R2" s="244"/>
      <c r="S2" s="244"/>
      <c r="T2" s="244"/>
      <c r="U2" s="244"/>
      <c r="V2" s="244"/>
      <c r="W2" s="244"/>
      <c r="X2" s="244"/>
    </row>
    <row r="3" spans="1:24" x14ac:dyDescent="0.2">
      <c r="A3" s="8">
        <v>39845</v>
      </c>
      <c r="B3" s="19">
        <v>151717789</v>
      </c>
      <c r="C3" s="19">
        <v>2657941.1345000002</v>
      </c>
      <c r="D3" s="19">
        <v>-4605189.704167909</v>
      </c>
      <c r="E3" s="19">
        <v>-693134.23435000004</v>
      </c>
      <c r="F3" s="19">
        <f>-CDM!D75</f>
        <v>-2361077.3178385869</v>
      </c>
      <c r="G3" s="19">
        <f t="shared" ref="G3:G66" si="1">ROUND((SUM(B3:F3)),4)</f>
        <v>146716328.87810001</v>
      </c>
      <c r="H3" s="20">
        <v>649.19999999999982</v>
      </c>
      <c r="I3" s="20">
        <v>0</v>
      </c>
      <c r="J3" s="3">
        <v>29</v>
      </c>
      <c r="K3" s="3">
        <v>0</v>
      </c>
      <c r="L3" s="3">
        <v>304</v>
      </c>
      <c r="M3" s="3">
        <v>75958</v>
      </c>
      <c r="N3" s="3">
        <f t="shared" ref="N3:N66" si="2">ROUND(($Q$17+H3*$Q$18+I3*$Q$19+J3*$Q$20+K3*$Q$21+L3*$Q$22+M3*$Q$23),4)</f>
        <v>152687570.77579999</v>
      </c>
      <c r="O3" s="21">
        <f t="shared" si="0"/>
        <v>4.0699231935262148E-2</v>
      </c>
      <c r="P3" s="245" t="s">
        <v>14</v>
      </c>
      <c r="Q3" s="245"/>
      <c r="R3" s="244"/>
      <c r="S3" s="244"/>
      <c r="T3" s="244"/>
      <c r="U3" s="244"/>
      <c r="V3" s="244"/>
      <c r="W3" s="244"/>
      <c r="X3" s="244"/>
    </row>
    <row r="4" spans="1:24" x14ac:dyDescent="0.2">
      <c r="A4" s="8">
        <v>39873</v>
      </c>
      <c r="B4" s="19">
        <v>156553861</v>
      </c>
      <c r="C4" s="19">
        <v>3106254.229499998</v>
      </c>
      <c r="D4" s="19">
        <v>-4587064.9101760667</v>
      </c>
      <c r="E4" s="19">
        <v>-723686.31819999998</v>
      </c>
      <c r="F4" s="19">
        <f>-CDM!D76</f>
        <v>-2426341.8449439011</v>
      </c>
      <c r="G4" s="19">
        <f t="shared" si="1"/>
        <v>151923022.15619999</v>
      </c>
      <c r="H4" s="20">
        <v>562.49999999999989</v>
      </c>
      <c r="I4" s="20">
        <v>0</v>
      </c>
      <c r="J4" s="3">
        <v>31</v>
      </c>
      <c r="K4" s="3">
        <v>1</v>
      </c>
      <c r="L4" s="3">
        <v>352</v>
      </c>
      <c r="M4" s="3">
        <v>75998</v>
      </c>
      <c r="N4" s="3">
        <f t="shared" si="2"/>
        <v>154492448.53650001</v>
      </c>
      <c r="O4" s="21">
        <f t="shared" si="0"/>
        <v>1.6912686068463412E-2</v>
      </c>
      <c r="P4" s="246" t="s">
        <v>15</v>
      </c>
      <c r="Q4" s="246">
        <v>0.96269322071898866</v>
      </c>
      <c r="R4" s="244"/>
      <c r="S4" s="244"/>
      <c r="T4" s="244"/>
      <c r="U4" s="244"/>
      <c r="V4" s="244"/>
      <c r="W4" s="244"/>
      <c r="X4" s="244"/>
    </row>
    <row r="5" spans="1:24" x14ac:dyDescent="0.2">
      <c r="A5" s="8">
        <v>39904</v>
      </c>
      <c r="B5" s="19">
        <v>138889187</v>
      </c>
      <c r="C5" s="19">
        <v>3087874.5715000001</v>
      </c>
      <c r="D5" s="19">
        <v>-4230042.9078881927</v>
      </c>
      <c r="E5" s="19">
        <v>-556702.9828</v>
      </c>
      <c r="F5" s="19">
        <f>-CDM!D77</f>
        <v>-2491606.3720492152</v>
      </c>
      <c r="G5" s="19">
        <f t="shared" si="1"/>
        <v>134698709.30880001</v>
      </c>
      <c r="H5" s="20">
        <v>342.5</v>
      </c>
      <c r="I5" s="20">
        <v>3.2</v>
      </c>
      <c r="J5" s="3">
        <v>30</v>
      </c>
      <c r="K5" s="3">
        <v>1</v>
      </c>
      <c r="L5" s="3">
        <v>336</v>
      </c>
      <c r="M5" s="3">
        <v>76028</v>
      </c>
      <c r="N5" s="3">
        <f t="shared" si="2"/>
        <v>141916359.8987</v>
      </c>
      <c r="O5" s="21">
        <f t="shared" si="0"/>
        <v>5.3583665552082937E-2</v>
      </c>
      <c r="P5" s="246" t="s">
        <v>16</v>
      </c>
      <c r="Q5" s="246">
        <v>0.92677823721829944</v>
      </c>
      <c r="R5" s="244"/>
      <c r="S5" s="244"/>
      <c r="T5" s="244"/>
      <c r="U5" s="244"/>
      <c r="V5" s="244"/>
      <c r="W5" s="244"/>
      <c r="X5" s="244"/>
    </row>
    <row r="6" spans="1:24" x14ac:dyDescent="0.2">
      <c r="A6" s="8">
        <v>39934</v>
      </c>
      <c r="B6" s="19">
        <v>134434411</v>
      </c>
      <c r="C6" s="19">
        <v>3609398.8567999974</v>
      </c>
      <c r="D6" s="19">
        <v>-4064522.5252163527</v>
      </c>
      <c r="E6" s="19">
        <v>-516499.41210000002</v>
      </c>
      <c r="F6" s="19">
        <f>-CDM!D78</f>
        <v>-2556870.8991545294</v>
      </c>
      <c r="G6" s="19">
        <f t="shared" si="1"/>
        <v>130905917.0203</v>
      </c>
      <c r="H6" s="20">
        <v>193.1</v>
      </c>
      <c r="I6" s="20">
        <v>2.2999999999999998</v>
      </c>
      <c r="J6" s="3">
        <v>31</v>
      </c>
      <c r="K6" s="3">
        <v>1</v>
      </c>
      <c r="L6" s="3">
        <v>320</v>
      </c>
      <c r="M6" s="3">
        <v>76065</v>
      </c>
      <c r="N6" s="3">
        <f t="shared" si="2"/>
        <v>137826246.44589999</v>
      </c>
      <c r="O6" s="21">
        <f t="shared" si="0"/>
        <v>5.2864909265536442E-2</v>
      </c>
      <c r="P6" s="246" t="s">
        <v>17</v>
      </c>
      <c r="Q6" s="246">
        <v>0.9224284295282974</v>
      </c>
      <c r="R6" s="244"/>
      <c r="S6" s="244"/>
      <c r="T6" s="244"/>
      <c r="U6" s="244"/>
      <c r="V6" s="244"/>
      <c r="W6" s="244"/>
      <c r="X6" s="244"/>
    </row>
    <row r="7" spans="1:24" x14ac:dyDescent="0.2">
      <c r="A7" s="8">
        <v>39965</v>
      </c>
      <c r="B7" s="19">
        <v>142548339</v>
      </c>
      <c r="C7" s="19">
        <v>3450522.0456000012</v>
      </c>
      <c r="D7" s="19">
        <v>-4201125.7302297819</v>
      </c>
      <c r="E7" s="19">
        <v>-532049.93720000004</v>
      </c>
      <c r="F7" s="19">
        <f>-CDM!D79</f>
        <v>-2622135.4262598436</v>
      </c>
      <c r="G7" s="19">
        <f t="shared" si="1"/>
        <v>138643549.95190001</v>
      </c>
      <c r="H7" s="20">
        <v>76.400000000000006</v>
      </c>
      <c r="I7" s="20">
        <v>26.100000000000005</v>
      </c>
      <c r="J7" s="3">
        <v>30</v>
      </c>
      <c r="K7" s="3">
        <v>0</v>
      </c>
      <c r="L7" s="3">
        <v>352</v>
      </c>
      <c r="M7" s="3">
        <v>76141</v>
      </c>
      <c r="N7" s="3">
        <f t="shared" si="2"/>
        <v>146701442.6435</v>
      </c>
      <c r="O7" s="21">
        <f t="shared" si="0"/>
        <v>5.8119491995087813E-2</v>
      </c>
      <c r="P7" s="246" t="s">
        <v>18</v>
      </c>
      <c r="Q7" s="246">
        <v>3369318.0241275323</v>
      </c>
      <c r="R7" s="244"/>
      <c r="S7" s="244"/>
      <c r="T7" s="244"/>
      <c r="U7" s="244"/>
      <c r="V7" s="244"/>
      <c r="W7" s="244"/>
      <c r="X7" s="244"/>
    </row>
    <row r="8" spans="1:24" ht="13.5" thickBot="1" x14ac:dyDescent="0.25">
      <c r="A8" s="8">
        <v>39995</v>
      </c>
      <c r="B8" s="19">
        <v>143270941</v>
      </c>
      <c r="C8" s="19">
        <v>3581700.7952999985</v>
      </c>
      <c r="D8" s="19">
        <v>-4185228.1150900223</v>
      </c>
      <c r="E8" s="19">
        <v>-555944.3726</v>
      </c>
      <c r="F8" s="19">
        <f>-CDM!D80</f>
        <v>-2687399.9533651578</v>
      </c>
      <c r="G8" s="19">
        <f t="shared" si="1"/>
        <v>139424069.35420001</v>
      </c>
      <c r="H8" s="20">
        <v>38.4</v>
      </c>
      <c r="I8" s="20">
        <v>14.2</v>
      </c>
      <c r="J8" s="3">
        <v>31</v>
      </c>
      <c r="K8" s="3">
        <v>0</v>
      </c>
      <c r="L8" s="3">
        <v>352</v>
      </c>
      <c r="M8" s="3">
        <v>76250</v>
      </c>
      <c r="N8" s="3">
        <f t="shared" si="2"/>
        <v>144308631.1065</v>
      </c>
      <c r="O8" s="21">
        <f t="shared" si="0"/>
        <v>3.5033848710088966E-2</v>
      </c>
      <c r="P8" s="247" t="s">
        <v>19</v>
      </c>
      <c r="Q8" s="247">
        <v>108</v>
      </c>
      <c r="R8" s="244"/>
      <c r="S8" s="244"/>
      <c r="T8" s="244"/>
      <c r="U8" s="244"/>
      <c r="V8" s="244"/>
      <c r="W8" s="244"/>
      <c r="X8" s="244"/>
    </row>
    <row r="9" spans="1:24" x14ac:dyDescent="0.2">
      <c r="A9" s="8">
        <v>40026</v>
      </c>
      <c r="B9" s="19">
        <v>157674451</v>
      </c>
      <c r="C9" s="19">
        <v>3670762.8702999996</v>
      </c>
      <c r="D9" s="19">
        <v>-4413158.5285984278</v>
      </c>
      <c r="E9" s="19">
        <v>-588278.02560000005</v>
      </c>
      <c r="F9" s="19">
        <f>-CDM!D81</f>
        <v>-2752664.480470472</v>
      </c>
      <c r="G9" s="19">
        <f t="shared" si="1"/>
        <v>153591112.83559999</v>
      </c>
      <c r="H9" s="20">
        <v>35.1</v>
      </c>
      <c r="I9" s="20">
        <v>56.9</v>
      </c>
      <c r="J9" s="3">
        <v>31</v>
      </c>
      <c r="K9" s="3">
        <v>0</v>
      </c>
      <c r="L9" s="3">
        <v>320</v>
      </c>
      <c r="M9" s="3">
        <v>76340</v>
      </c>
      <c r="N9" s="3">
        <f t="shared" si="2"/>
        <v>156943609.4025</v>
      </c>
      <c r="O9" s="21">
        <f t="shared" si="0"/>
        <v>2.1827412439471283E-2</v>
      </c>
      <c r="P9" s="244"/>
      <c r="Q9" s="244"/>
      <c r="R9" s="244"/>
      <c r="S9" s="244"/>
      <c r="T9" s="244"/>
      <c r="U9" s="244"/>
      <c r="V9" s="244"/>
      <c r="W9" s="244"/>
      <c r="X9" s="244"/>
    </row>
    <row r="10" spans="1:24" ht="13.5" thickBot="1" x14ac:dyDescent="0.25">
      <c r="A10" s="8">
        <v>40057</v>
      </c>
      <c r="B10" s="19">
        <v>140458615</v>
      </c>
      <c r="C10" s="19">
        <v>3470622.5299999984</v>
      </c>
      <c r="D10" s="19">
        <v>-3392971.3306475678</v>
      </c>
      <c r="E10" s="19">
        <v>-738936.8493</v>
      </c>
      <c r="F10" s="19">
        <f>-CDM!D82</f>
        <v>-2817929.0075757862</v>
      </c>
      <c r="G10" s="19">
        <f t="shared" si="1"/>
        <v>136979400.3425</v>
      </c>
      <c r="H10" s="20">
        <v>99.5</v>
      </c>
      <c r="I10" s="20">
        <v>5.4</v>
      </c>
      <c r="J10" s="3">
        <v>30</v>
      </c>
      <c r="K10" s="3">
        <v>1</v>
      </c>
      <c r="L10" s="3">
        <v>336</v>
      </c>
      <c r="M10" s="3">
        <v>76437</v>
      </c>
      <c r="N10" s="3">
        <f t="shared" si="2"/>
        <v>132538780.1521</v>
      </c>
      <c r="O10" s="21">
        <f t="shared" si="0"/>
        <v>3.2418160535794271E-2</v>
      </c>
      <c r="P10" s="244" t="s">
        <v>20</v>
      </c>
      <c r="Q10" s="244"/>
      <c r="R10" s="244"/>
      <c r="S10" s="244"/>
      <c r="T10" s="244"/>
      <c r="U10" s="244"/>
      <c r="V10" s="244"/>
      <c r="W10" s="244"/>
      <c r="X10" s="244"/>
    </row>
    <row r="11" spans="1:24" x14ac:dyDescent="0.2">
      <c r="A11" s="8">
        <v>40087</v>
      </c>
      <c r="B11" s="19">
        <v>145285176</v>
      </c>
      <c r="C11" s="19">
        <v>3644924.338</v>
      </c>
      <c r="D11" s="19">
        <v>-3132638.5106933252</v>
      </c>
      <c r="E11" s="19">
        <v>-750309.89509999997</v>
      </c>
      <c r="F11" s="19">
        <f>-CDM!D83</f>
        <v>-2883193.5346811004</v>
      </c>
      <c r="G11" s="19">
        <f t="shared" si="1"/>
        <v>142163958.39750001</v>
      </c>
      <c r="H11" s="20">
        <v>329.6</v>
      </c>
      <c r="I11" s="20">
        <v>0</v>
      </c>
      <c r="J11" s="3">
        <v>31</v>
      </c>
      <c r="K11" s="3">
        <v>1</v>
      </c>
      <c r="L11" s="3">
        <v>336</v>
      </c>
      <c r="M11" s="3">
        <v>76536</v>
      </c>
      <c r="N11" s="3">
        <f t="shared" si="2"/>
        <v>143229727.13659999</v>
      </c>
      <c r="O11" s="21">
        <f t="shared" si="0"/>
        <v>7.4967576248827772E-3</v>
      </c>
      <c r="P11" s="248"/>
      <c r="Q11" s="248" t="s">
        <v>24</v>
      </c>
      <c r="R11" s="248" t="s">
        <v>25</v>
      </c>
      <c r="S11" s="248" t="s">
        <v>26</v>
      </c>
      <c r="T11" s="248" t="s">
        <v>27</v>
      </c>
      <c r="U11" s="248" t="s">
        <v>28</v>
      </c>
      <c r="V11" s="244"/>
      <c r="W11" s="244"/>
      <c r="X11" s="244"/>
    </row>
    <row r="12" spans="1:24" x14ac:dyDescent="0.2">
      <c r="A12" s="8">
        <v>40118</v>
      </c>
      <c r="B12" s="19">
        <v>145607812</v>
      </c>
      <c r="C12" s="19">
        <v>3580102.0979999984</v>
      </c>
      <c r="D12" s="19">
        <v>-3160286.5095991245</v>
      </c>
      <c r="E12" s="19">
        <v>-839354.22715000005</v>
      </c>
      <c r="F12" s="19">
        <f>-CDM!D84</f>
        <v>-2948458.0617864146</v>
      </c>
      <c r="G12" s="19">
        <f t="shared" si="1"/>
        <v>142239815.29949999</v>
      </c>
      <c r="H12" s="20">
        <v>397.2</v>
      </c>
      <c r="I12" s="20">
        <v>0</v>
      </c>
      <c r="J12" s="3">
        <v>30</v>
      </c>
      <c r="K12" s="3">
        <v>1</v>
      </c>
      <c r="L12" s="3">
        <v>336</v>
      </c>
      <c r="M12" s="3">
        <v>76655</v>
      </c>
      <c r="N12" s="3">
        <f t="shared" si="2"/>
        <v>142206949.20460001</v>
      </c>
      <c r="O12" s="21">
        <f t="shared" si="0"/>
        <v>2.3106114719551041E-4</v>
      </c>
      <c r="P12" s="246" t="s">
        <v>21</v>
      </c>
      <c r="Q12" s="246">
        <v>6</v>
      </c>
      <c r="R12" s="246">
        <v>1.4512459847650078E+16</v>
      </c>
      <c r="S12" s="246">
        <v>2418743307941679.5</v>
      </c>
      <c r="T12" s="246">
        <v>213.06188762056982</v>
      </c>
      <c r="U12" s="246">
        <v>5.3771203754290506E-55</v>
      </c>
      <c r="V12" s="244"/>
      <c r="W12" s="244"/>
      <c r="X12" s="244"/>
    </row>
    <row r="13" spans="1:24" x14ac:dyDescent="0.2">
      <c r="A13" s="9">
        <v>40148</v>
      </c>
      <c r="B13" s="22">
        <v>166545329</v>
      </c>
      <c r="C13" s="22">
        <v>3573132.4719999991</v>
      </c>
      <c r="D13" s="22">
        <v>-2961657.6968069235</v>
      </c>
      <c r="E13" s="22">
        <v>-944279.12340000004</v>
      </c>
      <c r="F13" s="22">
        <f>-CDM!D85</f>
        <v>-3013722.5888917288</v>
      </c>
      <c r="G13" s="22">
        <f t="shared" si="1"/>
        <v>163198802.06290001</v>
      </c>
      <c r="H13" s="23">
        <v>669.0999999999998</v>
      </c>
      <c r="I13" s="23">
        <v>0</v>
      </c>
      <c r="J13" s="5">
        <v>31</v>
      </c>
      <c r="K13" s="5">
        <v>0</v>
      </c>
      <c r="L13" s="5">
        <v>352</v>
      </c>
      <c r="M13" s="5">
        <v>76755</v>
      </c>
      <c r="N13" s="5">
        <f t="shared" si="2"/>
        <v>163736474.7333</v>
      </c>
      <c r="O13" s="24">
        <f t="shared" si="0"/>
        <v>3.2945871146330408E-3</v>
      </c>
      <c r="P13" s="246" t="s">
        <v>22</v>
      </c>
      <c r="Q13" s="246">
        <v>101</v>
      </c>
      <c r="R13" s="246">
        <v>1146582698718776.5</v>
      </c>
      <c r="S13" s="246">
        <v>11352303947710.658</v>
      </c>
      <c r="T13" s="246"/>
      <c r="U13" s="246"/>
      <c r="V13" s="244"/>
      <c r="W13" s="244"/>
      <c r="X13" s="244"/>
    </row>
    <row r="14" spans="1:24" ht="13.5" thickBot="1" x14ac:dyDescent="0.25">
      <c r="A14" s="8">
        <v>40179</v>
      </c>
      <c r="B14" s="19">
        <v>171587069</v>
      </c>
      <c r="C14" s="19">
        <v>3440713.6663000002</v>
      </c>
      <c r="D14" s="19">
        <v>-3178161.703173182</v>
      </c>
      <c r="E14" s="19">
        <v>-764788.05149999994</v>
      </c>
      <c r="F14" s="19">
        <f>-CDM!D86</f>
        <v>-3039169.8407987705</v>
      </c>
      <c r="G14" s="19">
        <f t="shared" si="1"/>
        <v>168045663.07080001</v>
      </c>
      <c r="H14" s="20">
        <v>752.49999999999989</v>
      </c>
      <c r="I14" s="20">
        <v>0</v>
      </c>
      <c r="J14" s="3">
        <v>31</v>
      </c>
      <c r="K14" s="3">
        <v>0</v>
      </c>
      <c r="L14" s="3">
        <v>320</v>
      </c>
      <c r="M14" s="3">
        <v>76818</v>
      </c>
      <c r="N14" s="3">
        <f t="shared" si="2"/>
        <v>164318417.83829999</v>
      </c>
      <c r="O14" s="21">
        <f t="shared" si="0"/>
        <v>2.2179954926475398E-2</v>
      </c>
      <c r="P14" s="247" t="s">
        <v>3</v>
      </c>
      <c r="Q14" s="247">
        <v>107</v>
      </c>
      <c r="R14" s="247">
        <v>1.5659042546368854E+16</v>
      </c>
      <c r="S14" s="247"/>
      <c r="T14" s="247"/>
      <c r="U14" s="247"/>
      <c r="V14" s="244"/>
      <c r="W14" s="244"/>
      <c r="X14" s="244"/>
    </row>
    <row r="15" spans="1:24" ht="13.5" thickBot="1" x14ac:dyDescent="0.25">
      <c r="A15" s="8">
        <v>40210</v>
      </c>
      <c r="B15" s="19">
        <v>152386226</v>
      </c>
      <c r="C15" s="19">
        <v>3088616.9045000002</v>
      </c>
      <c r="D15" s="19">
        <v>-2750443.2864816473</v>
      </c>
      <c r="E15" s="19">
        <v>-749367.53610000003</v>
      </c>
      <c r="F15" s="19">
        <f>-CDM!D87</f>
        <v>-3064617.0927058123</v>
      </c>
      <c r="G15" s="19">
        <f t="shared" si="1"/>
        <v>148910414.9892</v>
      </c>
      <c r="H15" s="20">
        <v>643.60000000000014</v>
      </c>
      <c r="I15" s="20">
        <v>0</v>
      </c>
      <c r="J15" s="3">
        <v>28</v>
      </c>
      <c r="K15" s="3">
        <v>0</v>
      </c>
      <c r="L15" s="3">
        <v>304</v>
      </c>
      <c r="M15" s="3">
        <v>76927</v>
      </c>
      <c r="N15" s="3">
        <f t="shared" si="2"/>
        <v>147754114.45950001</v>
      </c>
      <c r="O15" s="21">
        <f t="shared" si="0"/>
        <v>7.7650749263161734E-3</v>
      </c>
      <c r="P15" s="244"/>
      <c r="Q15" s="244"/>
      <c r="R15" s="244"/>
      <c r="S15" s="244"/>
      <c r="T15" s="244"/>
      <c r="U15" s="244"/>
      <c r="V15" s="244"/>
      <c r="W15" s="244"/>
      <c r="X15" s="244"/>
    </row>
    <row r="16" spans="1:24" x14ac:dyDescent="0.2">
      <c r="A16" s="8">
        <v>40238</v>
      </c>
      <c r="B16" s="19">
        <v>152881624</v>
      </c>
      <c r="C16" s="19">
        <v>3388526.2657999997</v>
      </c>
      <c r="D16" s="19">
        <v>-3251380.9041082263</v>
      </c>
      <c r="E16" s="19">
        <v>-686220.38714999997</v>
      </c>
      <c r="F16" s="19">
        <f>-CDM!D88</f>
        <v>-3090064.3446128541</v>
      </c>
      <c r="G16" s="19">
        <f t="shared" si="1"/>
        <v>149242484.62990001</v>
      </c>
      <c r="H16" s="20">
        <v>471.20000000000005</v>
      </c>
      <c r="I16" s="20">
        <v>0</v>
      </c>
      <c r="J16" s="3">
        <v>31</v>
      </c>
      <c r="K16" s="3">
        <v>1</v>
      </c>
      <c r="L16" s="3">
        <v>368</v>
      </c>
      <c r="M16" s="3">
        <v>77054</v>
      </c>
      <c r="N16" s="3">
        <f t="shared" si="2"/>
        <v>150957200.38839999</v>
      </c>
      <c r="O16" s="21">
        <f t="shared" si="0"/>
        <v>1.1489461347097274E-2</v>
      </c>
      <c r="P16" s="248"/>
      <c r="Q16" s="248" t="s">
        <v>29</v>
      </c>
      <c r="R16" s="248" t="s">
        <v>18</v>
      </c>
      <c r="S16" s="248" t="s">
        <v>30</v>
      </c>
      <c r="T16" s="248" t="s">
        <v>31</v>
      </c>
      <c r="U16" s="248" t="s">
        <v>32</v>
      </c>
      <c r="V16" s="248" t="s">
        <v>33</v>
      </c>
      <c r="W16" s="248" t="s">
        <v>34</v>
      </c>
      <c r="X16" s="248" t="s">
        <v>35</v>
      </c>
    </row>
    <row r="17" spans="1:24" x14ac:dyDescent="0.2">
      <c r="A17" s="8">
        <v>40269</v>
      </c>
      <c r="B17" s="19">
        <v>134783810</v>
      </c>
      <c r="C17" s="19">
        <v>3474388.0158000002</v>
      </c>
      <c r="D17" s="19">
        <v>-3017908.9010245698</v>
      </c>
      <c r="E17" s="19">
        <v>-582020.12769999995</v>
      </c>
      <c r="F17" s="19">
        <f>-CDM!D89</f>
        <v>-3115511.5965198958</v>
      </c>
      <c r="G17" s="19">
        <f t="shared" si="1"/>
        <v>131542757.3906</v>
      </c>
      <c r="H17" s="20">
        <v>264.89999999999998</v>
      </c>
      <c r="I17" s="20">
        <v>0</v>
      </c>
      <c r="J17" s="3">
        <v>30</v>
      </c>
      <c r="K17" s="3">
        <v>1</v>
      </c>
      <c r="L17" s="3">
        <v>336</v>
      </c>
      <c r="M17" s="3">
        <v>77210</v>
      </c>
      <c r="N17" s="3">
        <f t="shared" si="2"/>
        <v>136279123.25330001</v>
      </c>
      <c r="O17" s="21">
        <f t="shared" si="0"/>
        <v>3.6006283862789701E-2</v>
      </c>
      <c r="P17" s="246" t="s">
        <v>23</v>
      </c>
      <c r="Q17" s="246">
        <v>85682546.036030605</v>
      </c>
      <c r="R17" s="246">
        <v>15804804.423442243</v>
      </c>
      <c r="S17" s="246">
        <v>5.4212974574328321</v>
      </c>
      <c r="T17" s="246">
        <v>4.0464704010451378E-7</v>
      </c>
      <c r="U17" s="246">
        <v>54330065.505598351</v>
      </c>
      <c r="V17" s="246">
        <v>117035026.56646286</v>
      </c>
      <c r="W17" s="246">
        <v>54330065.505598351</v>
      </c>
      <c r="X17" s="246">
        <v>117035026.56646286</v>
      </c>
    </row>
    <row r="18" spans="1:24" x14ac:dyDescent="0.2">
      <c r="A18" s="8">
        <v>40299</v>
      </c>
      <c r="B18" s="19">
        <v>147558538</v>
      </c>
      <c r="C18" s="19">
        <v>3554303.75</v>
      </c>
      <c r="D18" s="19">
        <v>-3078009.7094399678</v>
      </c>
      <c r="E18" s="19">
        <v>-519806.41310000001</v>
      </c>
      <c r="F18" s="19">
        <f>-CDM!D90</f>
        <v>-3140958.8484269376</v>
      </c>
      <c r="G18" s="19">
        <f t="shared" si="1"/>
        <v>144374066.77900001</v>
      </c>
      <c r="H18" s="20">
        <v>145.1</v>
      </c>
      <c r="I18" s="20">
        <v>20.6</v>
      </c>
      <c r="J18" s="3">
        <v>31</v>
      </c>
      <c r="K18" s="3">
        <v>1</v>
      </c>
      <c r="L18" s="3">
        <v>320</v>
      </c>
      <c r="M18" s="3">
        <v>77319</v>
      </c>
      <c r="N18" s="3">
        <f t="shared" si="2"/>
        <v>141115151.29300001</v>
      </c>
      <c r="O18" s="21">
        <f t="shared" si="0"/>
        <v>2.2572720701901194E-2</v>
      </c>
      <c r="P18" s="246" t="s">
        <v>0</v>
      </c>
      <c r="Q18" s="246">
        <v>39931.302890098021</v>
      </c>
      <c r="R18" s="246">
        <v>1854.5051750902478</v>
      </c>
      <c r="S18" s="246">
        <v>21.532052553131756</v>
      </c>
      <c r="T18" s="246">
        <v>1.5659015527343396E-39</v>
      </c>
      <c r="U18" s="246">
        <v>36252.463479129881</v>
      </c>
      <c r="V18" s="246">
        <v>43610.14230106616</v>
      </c>
      <c r="W18" s="246">
        <v>36252.463479129881</v>
      </c>
      <c r="X18" s="246">
        <v>43610.14230106616</v>
      </c>
    </row>
    <row r="19" spans="1:24" x14ac:dyDescent="0.2">
      <c r="A19" s="8">
        <v>40330</v>
      </c>
      <c r="B19" s="19">
        <v>152085417</v>
      </c>
      <c r="C19" s="19">
        <v>3365360.0581</v>
      </c>
      <c r="D19" s="19">
        <v>-3356870.5179548389</v>
      </c>
      <c r="E19" s="19">
        <v>-534542.54535000003</v>
      </c>
      <c r="F19" s="19">
        <f>-CDM!D91</f>
        <v>-3166406.1003339794</v>
      </c>
      <c r="G19" s="19">
        <f t="shared" si="1"/>
        <v>148392957.89449999</v>
      </c>
      <c r="H19" s="20">
        <v>38.5</v>
      </c>
      <c r="I19" s="20">
        <v>31.900000000000002</v>
      </c>
      <c r="J19" s="3">
        <v>30</v>
      </c>
      <c r="K19" s="3">
        <v>0</v>
      </c>
      <c r="L19" s="3">
        <v>352</v>
      </c>
      <c r="M19" s="3">
        <v>77427</v>
      </c>
      <c r="N19" s="3">
        <f t="shared" si="2"/>
        <v>145805399.8969</v>
      </c>
      <c r="O19" s="21">
        <f t="shared" si="0"/>
        <v>1.7437202103886995E-2</v>
      </c>
      <c r="P19" s="246" t="s">
        <v>1</v>
      </c>
      <c r="Q19" s="246">
        <v>364085.55911845237</v>
      </c>
      <c r="R19" s="246">
        <v>18707.62999926175</v>
      </c>
      <c r="S19" s="246">
        <v>19.461875135055596</v>
      </c>
      <c r="T19" s="246">
        <v>5.9596742438231027E-36</v>
      </c>
      <c r="U19" s="246">
        <v>326974.65349709452</v>
      </c>
      <c r="V19" s="246">
        <v>401196.46473981021</v>
      </c>
      <c r="W19" s="246">
        <v>326974.65349709452</v>
      </c>
      <c r="X19" s="246">
        <v>401196.46473981021</v>
      </c>
    </row>
    <row r="20" spans="1:24" x14ac:dyDescent="0.2">
      <c r="A20" s="8">
        <v>40360</v>
      </c>
      <c r="B20" s="19">
        <v>173774673</v>
      </c>
      <c r="C20" s="19">
        <v>3414396.3319999999</v>
      </c>
      <c r="D20" s="19">
        <v>-3773577.7383865509</v>
      </c>
      <c r="E20" s="19">
        <v>-557932.38124999998</v>
      </c>
      <c r="F20" s="19">
        <f>-CDM!D92</f>
        <v>-3191853.3522410211</v>
      </c>
      <c r="G20" s="19">
        <f t="shared" si="1"/>
        <v>169665705.8601</v>
      </c>
      <c r="H20" s="20">
        <v>9.1999999999999993</v>
      </c>
      <c r="I20" s="20">
        <v>105.19999999999999</v>
      </c>
      <c r="J20" s="3">
        <v>31</v>
      </c>
      <c r="K20" s="3">
        <v>0</v>
      </c>
      <c r="L20" s="3">
        <v>336</v>
      </c>
      <c r="M20" s="3">
        <v>77585</v>
      </c>
      <c r="N20" s="3">
        <f t="shared" si="2"/>
        <v>173385581.4095</v>
      </c>
      <c r="O20" s="21">
        <f t="shared" si="0"/>
        <v>2.1924734468539375E-2</v>
      </c>
      <c r="P20" s="246" t="s">
        <v>2</v>
      </c>
      <c r="Q20" s="246">
        <v>3583855.0255653863</v>
      </c>
      <c r="R20" s="246">
        <v>467799.57839535573</v>
      </c>
      <c r="S20" s="246">
        <v>7.6610907557007888</v>
      </c>
      <c r="T20" s="246">
        <v>1.1520252990219575E-11</v>
      </c>
      <c r="U20" s="246">
        <v>2655866.4987329585</v>
      </c>
      <c r="V20" s="246">
        <v>4511843.5523978146</v>
      </c>
      <c r="W20" s="246">
        <v>2655866.4987329585</v>
      </c>
      <c r="X20" s="246">
        <v>4511843.5523978146</v>
      </c>
    </row>
    <row r="21" spans="1:24" x14ac:dyDescent="0.2">
      <c r="A21" s="8">
        <v>40391</v>
      </c>
      <c r="B21" s="19">
        <v>169918494</v>
      </c>
      <c r="C21" s="19">
        <v>3110959.2243999997</v>
      </c>
      <c r="D21" s="19">
        <v>-3919905.7352034212</v>
      </c>
      <c r="E21" s="19">
        <v>-569676.21519999998</v>
      </c>
      <c r="F21" s="19">
        <f>-CDM!D93</f>
        <v>-3217300.6041480629</v>
      </c>
      <c r="G21" s="19">
        <f t="shared" si="1"/>
        <v>165322570.66980001</v>
      </c>
      <c r="H21" s="20">
        <v>12.900000000000002</v>
      </c>
      <c r="I21" s="20">
        <v>85.1</v>
      </c>
      <c r="J21" s="3">
        <v>31</v>
      </c>
      <c r="K21" s="3">
        <v>0</v>
      </c>
      <c r="L21" s="3">
        <v>336</v>
      </c>
      <c r="M21" s="3">
        <v>77725</v>
      </c>
      <c r="N21" s="3">
        <f t="shared" si="2"/>
        <v>166052526.33680001</v>
      </c>
      <c r="O21" s="21">
        <f t="shared" si="0"/>
        <v>4.4153418619283791E-3</v>
      </c>
      <c r="P21" s="246" t="s">
        <v>4</v>
      </c>
      <c r="Q21" s="246">
        <v>-5866989.554235206</v>
      </c>
      <c r="R21" s="246">
        <v>813643.17048057471</v>
      </c>
      <c r="S21" s="246">
        <v>-7.2107648255314363</v>
      </c>
      <c r="T21" s="246">
        <v>1.0404690108716396E-10</v>
      </c>
      <c r="U21" s="246">
        <v>-7481038.7368606143</v>
      </c>
      <c r="V21" s="246">
        <v>-4252940.3716097977</v>
      </c>
      <c r="W21" s="246">
        <v>-7481038.7368606143</v>
      </c>
      <c r="X21" s="246">
        <v>-4252940.3716097977</v>
      </c>
    </row>
    <row r="22" spans="1:24" x14ac:dyDescent="0.2">
      <c r="A22" s="8">
        <v>40422</v>
      </c>
      <c r="B22" s="19">
        <v>141552978</v>
      </c>
      <c r="C22" s="19">
        <v>3138948.3831999996</v>
      </c>
      <c r="D22" s="19">
        <v>-3317452.9174375804</v>
      </c>
      <c r="E22" s="19">
        <v>-765009.28940000001</v>
      </c>
      <c r="F22" s="19">
        <f>-CDM!D94</f>
        <v>-3242747.8560551046</v>
      </c>
      <c r="G22" s="19">
        <f t="shared" si="1"/>
        <v>137366716.32030001</v>
      </c>
      <c r="H22" s="20">
        <v>123.2</v>
      </c>
      <c r="I22" s="20">
        <v>23.2</v>
      </c>
      <c r="J22" s="3">
        <v>30</v>
      </c>
      <c r="K22" s="3">
        <v>1</v>
      </c>
      <c r="L22" s="3">
        <v>336</v>
      </c>
      <c r="M22" s="3">
        <v>77864</v>
      </c>
      <c r="N22" s="3">
        <f t="shared" si="2"/>
        <v>138307689.2096</v>
      </c>
      <c r="O22" s="21">
        <f t="shared" si="0"/>
        <v>6.8500792222907503E-3</v>
      </c>
      <c r="P22" s="246" t="s">
        <v>5</v>
      </c>
      <c r="Q22" s="246">
        <v>83597.532383226571</v>
      </c>
      <c r="R22" s="246">
        <v>22152.957645349321</v>
      </c>
      <c r="S22" s="246">
        <v>3.7736510727621333</v>
      </c>
      <c r="T22" s="246">
        <v>2.715838715635081E-4</v>
      </c>
      <c r="U22" s="246">
        <v>39652.023494984736</v>
      </c>
      <c r="V22" s="246">
        <v>127543.04127146841</v>
      </c>
      <c r="W22" s="246">
        <v>39652.023494984736</v>
      </c>
      <c r="X22" s="246">
        <v>127543.04127146841</v>
      </c>
    </row>
    <row r="23" spans="1:24" ht="13.5" thickBot="1" x14ac:dyDescent="0.25">
      <c r="A23" s="8">
        <v>40452</v>
      </c>
      <c r="B23" s="19">
        <v>141431853</v>
      </c>
      <c r="C23" s="19">
        <v>3513334.037</v>
      </c>
      <c r="D23" s="19">
        <v>-3326606.5024370835</v>
      </c>
      <c r="E23" s="19">
        <v>-727248.89020000002</v>
      </c>
      <c r="F23" s="19">
        <f>-CDM!D95</f>
        <v>-3268195.1079621464</v>
      </c>
      <c r="G23" s="19">
        <f t="shared" si="1"/>
        <v>137623136.53639999</v>
      </c>
      <c r="H23" s="20">
        <v>285.5</v>
      </c>
      <c r="I23" s="20">
        <v>0</v>
      </c>
      <c r="J23" s="3">
        <v>31</v>
      </c>
      <c r="K23" s="3">
        <v>1</v>
      </c>
      <c r="L23" s="3">
        <v>320</v>
      </c>
      <c r="M23" s="3">
        <v>77942</v>
      </c>
      <c r="N23" s="3">
        <f t="shared" si="2"/>
        <v>138497412.56099999</v>
      </c>
      <c r="O23" s="21">
        <f t="shared" si="0"/>
        <v>6.3526820170149989E-3</v>
      </c>
      <c r="P23" s="247" t="s">
        <v>8</v>
      </c>
      <c r="Q23" s="247">
        <v>-1162.0082503796491</v>
      </c>
      <c r="R23" s="247">
        <v>105.66684125968922</v>
      </c>
      <c r="S23" s="247">
        <v>-10.996905334984618</v>
      </c>
      <c r="T23" s="247">
        <v>5.7705846157127727E-19</v>
      </c>
      <c r="U23" s="247">
        <v>-1371.622839370883</v>
      </c>
      <c r="V23" s="247">
        <v>-952.39366138841513</v>
      </c>
      <c r="W23" s="247">
        <v>-1371.622839370883</v>
      </c>
      <c r="X23" s="247">
        <v>-952.39366138841513</v>
      </c>
    </row>
    <row r="24" spans="1:24" x14ac:dyDescent="0.2">
      <c r="A24" s="8">
        <v>40483</v>
      </c>
      <c r="B24" s="19">
        <v>149100645</v>
      </c>
      <c r="C24" s="19">
        <v>3312803.1055999999</v>
      </c>
      <c r="D24" s="19">
        <v>-2811710.4883119464</v>
      </c>
      <c r="E24" s="19">
        <v>-842611.01500000001</v>
      </c>
      <c r="F24" s="19">
        <f>-CDM!D96</f>
        <v>-3293642.3598691882</v>
      </c>
      <c r="G24" s="19">
        <f t="shared" si="1"/>
        <v>145465484.24239999</v>
      </c>
      <c r="H24" s="20">
        <v>453.8</v>
      </c>
      <c r="I24" s="20">
        <v>0</v>
      </c>
      <c r="J24" s="3">
        <v>30</v>
      </c>
      <c r="K24" s="3">
        <v>1</v>
      </c>
      <c r="L24" s="3">
        <v>352</v>
      </c>
      <c r="M24" s="3">
        <v>78058</v>
      </c>
      <c r="N24" s="3">
        <f t="shared" si="2"/>
        <v>144174323.891</v>
      </c>
      <c r="O24" s="21">
        <f t="shared" si="0"/>
        <v>8.8760598991883821E-3</v>
      </c>
      <c r="P24" s="244"/>
      <c r="Q24" s="244"/>
      <c r="R24" s="244"/>
      <c r="S24" s="244"/>
      <c r="T24" s="244"/>
      <c r="U24" s="244"/>
      <c r="V24" s="244"/>
      <c r="W24" s="244"/>
      <c r="X24" s="244"/>
    </row>
    <row r="25" spans="1:24" x14ac:dyDescent="0.2">
      <c r="A25" s="9">
        <v>40513</v>
      </c>
      <c r="B25" s="22">
        <v>169078607</v>
      </c>
      <c r="C25" s="22">
        <v>3230196.2334000003</v>
      </c>
      <c r="D25" s="22">
        <v>-4828826.509599125</v>
      </c>
      <c r="E25" s="22">
        <v>-979708.34680000006</v>
      </c>
      <c r="F25" s="22">
        <f>-CDM!D97</f>
        <v>-3319089.6117762299</v>
      </c>
      <c r="G25" s="22">
        <f t="shared" si="1"/>
        <v>163181178.76519999</v>
      </c>
      <c r="H25" s="23">
        <v>718.80000000000018</v>
      </c>
      <c r="I25" s="23">
        <v>0</v>
      </c>
      <c r="J25" s="5">
        <v>31</v>
      </c>
      <c r="K25" s="5">
        <v>0</v>
      </c>
      <c r="L25" s="5">
        <v>336</v>
      </c>
      <c r="M25" s="5">
        <v>78142</v>
      </c>
      <c r="N25" s="5">
        <f t="shared" si="2"/>
        <v>162771794.52559999</v>
      </c>
      <c r="O25" s="24">
        <f t="shared" si="0"/>
        <v>2.5087711873258423E-3</v>
      </c>
      <c r="P25" s="244"/>
      <c r="Q25" s="244"/>
      <c r="R25" s="244"/>
      <c r="S25" s="244"/>
      <c r="T25" s="244"/>
      <c r="U25" s="244"/>
      <c r="V25" s="244"/>
      <c r="W25" s="244"/>
      <c r="X25" s="244"/>
    </row>
    <row r="26" spans="1:24" x14ac:dyDescent="0.2">
      <c r="A26" s="8">
        <v>40544</v>
      </c>
      <c r="B26" s="19">
        <v>173480601</v>
      </c>
      <c r="C26" s="19">
        <v>2965559.5879000002</v>
      </c>
      <c r="D26" s="19">
        <v>-2945323.2907589772</v>
      </c>
      <c r="E26" s="19">
        <v>-743524.17249999999</v>
      </c>
      <c r="F26" s="19">
        <f>-CDM!D98</f>
        <v>-3387075.684438861</v>
      </c>
      <c r="G26" s="19">
        <f t="shared" si="1"/>
        <v>169370237.4402</v>
      </c>
      <c r="H26" s="20">
        <v>825.9000000000002</v>
      </c>
      <c r="I26" s="20">
        <v>0</v>
      </c>
      <c r="J26" s="3">
        <v>31</v>
      </c>
      <c r="K26" s="3">
        <v>0</v>
      </c>
      <c r="L26" s="3">
        <v>320</v>
      </c>
      <c r="M26" s="3">
        <v>78212</v>
      </c>
      <c r="N26" s="3">
        <f t="shared" si="2"/>
        <v>165629535.96939999</v>
      </c>
      <c r="O26" s="21">
        <f t="shared" si="0"/>
        <v>2.2085943358972737E-2</v>
      </c>
      <c r="P26" s="244"/>
      <c r="Q26" s="244"/>
      <c r="R26" s="244"/>
      <c r="S26" s="244"/>
      <c r="T26" s="244"/>
      <c r="U26" s="244"/>
      <c r="V26" s="244"/>
      <c r="W26" s="244"/>
      <c r="X26" s="244"/>
    </row>
    <row r="27" spans="1:24" x14ac:dyDescent="0.2">
      <c r="A27" s="8">
        <v>40575</v>
      </c>
      <c r="B27" s="19">
        <v>154641844</v>
      </c>
      <c r="C27" s="19">
        <v>2793478.2314000004</v>
      </c>
      <c r="D27" s="19">
        <v>-2750496.0942007359</v>
      </c>
      <c r="E27" s="19">
        <v>-708177.65469999996</v>
      </c>
      <c r="F27" s="19">
        <f>-CDM!D99</f>
        <v>-3455061.757101492</v>
      </c>
      <c r="G27" s="19">
        <f t="shared" si="1"/>
        <v>150521586.7254</v>
      </c>
      <c r="H27" s="20">
        <v>686.4</v>
      </c>
      <c r="I27" s="20">
        <v>0</v>
      </c>
      <c r="J27" s="3">
        <v>28</v>
      </c>
      <c r="K27" s="3">
        <v>0</v>
      </c>
      <c r="L27" s="3">
        <v>304</v>
      </c>
      <c r="M27" s="3">
        <v>78243</v>
      </c>
      <c r="N27" s="3">
        <f t="shared" si="2"/>
        <v>147933971.36570001</v>
      </c>
      <c r="O27" s="21">
        <f t="shared" si="0"/>
        <v>1.7190991777283338E-2</v>
      </c>
      <c r="P27"/>
    </row>
    <row r="28" spans="1:24" x14ac:dyDescent="0.2">
      <c r="A28" s="8">
        <v>40603</v>
      </c>
      <c r="B28" s="19">
        <v>161467012</v>
      </c>
      <c r="C28" s="19">
        <v>3394931.7817000002</v>
      </c>
      <c r="D28" s="19">
        <v>-3086294.5009449911</v>
      </c>
      <c r="E28" s="19">
        <v>-620283.67229999998</v>
      </c>
      <c r="F28" s="19">
        <f>-CDM!D100</f>
        <v>-3523047.8297641231</v>
      </c>
      <c r="G28" s="19">
        <f t="shared" si="1"/>
        <v>157632317.77869999</v>
      </c>
      <c r="H28" s="20">
        <v>623.79999999999995</v>
      </c>
      <c r="I28" s="20">
        <v>0</v>
      </c>
      <c r="J28" s="3">
        <v>31</v>
      </c>
      <c r="K28" s="3">
        <v>1</v>
      </c>
      <c r="L28" s="3">
        <v>368</v>
      </c>
      <c r="M28" s="3">
        <v>78316</v>
      </c>
      <c r="N28" s="3">
        <f t="shared" si="2"/>
        <v>155584262.79750001</v>
      </c>
      <c r="O28" s="21">
        <f t="shared" si="0"/>
        <v>1.2992608432461417E-2</v>
      </c>
      <c r="P28"/>
    </row>
    <row r="29" spans="1:24" x14ac:dyDescent="0.2">
      <c r="A29" s="8">
        <v>40634</v>
      </c>
      <c r="B29" s="19">
        <v>141723732</v>
      </c>
      <c r="C29" s="19">
        <v>3572400.3092000005</v>
      </c>
      <c r="D29" s="19">
        <v>-2866113.6943201032</v>
      </c>
      <c r="E29" s="19">
        <v>-551322.31385000004</v>
      </c>
      <c r="F29" s="19">
        <f>-CDM!D101</f>
        <v>-3591033.9024267541</v>
      </c>
      <c r="G29" s="19">
        <f t="shared" si="1"/>
        <v>138287662.39860001</v>
      </c>
      <c r="H29" s="20">
        <v>360.8</v>
      </c>
      <c r="I29" s="20">
        <v>0</v>
      </c>
      <c r="J29" s="3">
        <v>30</v>
      </c>
      <c r="K29" s="3">
        <v>1</v>
      </c>
      <c r="L29" s="3">
        <v>320</v>
      </c>
      <c r="M29" s="3">
        <v>78430</v>
      </c>
      <c r="N29" s="3">
        <f t="shared" si="2"/>
        <v>137353324.6169</v>
      </c>
      <c r="O29" s="21">
        <f t="shared" si="0"/>
        <v>6.7564796851282694E-3</v>
      </c>
      <c r="P29"/>
    </row>
    <row r="30" spans="1:24" x14ac:dyDescent="0.2">
      <c r="A30" s="8">
        <v>40664</v>
      </c>
      <c r="B30" s="19">
        <v>142626392</v>
      </c>
      <c r="C30" s="19">
        <v>3355063.2826999999</v>
      </c>
      <c r="D30" s="19">
        <v>-3207072.1130010937</v>
      </c>
      <c r="E30" s="19">
        <v>-508684.87170000002</v>
      </c>
      <c r="F30" s="19">
        <f>-CDM!D102</f>
        <v>-3659019.9750893852</v>
      </c>
      <c r="G30" s="19">
        <f t="shared" si="1"/>
        <v>138606678.3229</v>
      </c>
      <c r="H30" s="20">
        <v>156.39999999999998</v>
      </c>
      <c r="I30" s="20">
        <v>13.099999999999998</v>
      </c>
      <c r="J30" s="3">
        <v>31</v>
      </c>
      <c r="K30" s="3">
        <v>1</v>
      </c>
      <c r="L30" s="3">
        <v>336</v>
      </c>
      <c r="M30" s="3">
        <v>78515</v>
      </c>
      <c r="N30" s="3">
        <f t="shared" si="2"/>
        <v>138783531.97299999</v>
      </c>
      <c r="O30" s="21">
        <f t="shared" si="0"/>
        <v>1.2759388814440609E-3</v>
      </c>
    </row>
    <row r="31" spans="1:24" x14ac:dyDescent="0.2">
      <c r="A31" s="8">
        <v>40695</v>
      </c>
      <c r="B31" s="19">
        <v>148833888</v>
      </c>
      <c r="C31" s="19">
        <v>3642232.409</v>
      </c>
      <c r="D31" s="19">
        <v>-3427963.3168208492</v>
      </c>
      <c r="E31" s="19">
        <v>-526142.77960000001</v>
      </c>
      <c r="F31" s="19">
        <f>-CDM!D103</f>
        <v>-3727006.0477520162</v>
      </c>
      <c r="G31" s="19">
        <f t="shared" si="1"/>
        <v>144795008.26480001</v>
      </c>
      <c r="H31" s="20">
        <v>48.900000000000006</v>
      </c>
      <c r="I31" s="20">
        <v>21.499999999999996</v>
      </c>
      <c r="J31" s="3">
        <v>30</v>
      </c>
      <c r="K31" s="3">
        <v>0</v>
      </c>
      <c r="L31" s="3">
        <v>352</v>
      </c>
      <c r="M31" s="3">
        <v>78683</v>
      </c>
      <c r="N31" s="3">
        <f t="shared" si="2"/>
        <v>140974713.2696</v>
      </c>
      <c r="O31" s="21">
        <f t="shared" si="0"/>
        <v>2.6384162278671131E-2</v>
      </c>
    </row>
    <row r="32" spans="1:24" x14ac:dyDescent="0.2">
      <c r="A32" s="8">
        <v>40725</v>
      </c>
      <c r="B32" s="19">
        <v>178623729</v>
      </c>
      <c r="C32" s="19">
        <v>3655249.0690000001</v>
      </c>
      <c r="D32" s="19">
        <v>-3789024.1205610265</v>
      </c>
      <c r="E32" s="19">
        <v>-461201.69880000001</v>
      </c>
      <c r="F32" s="19">
        <f>-CDM!D104</f>
        <v>-3794992.1204146473</v>
      </c>
      <c r="G32" s="19">
        <f t="shared" si="1"/>
        <v>174233760.12920001</v>
      </c>
      <c r="H32" s="20">
        <v>0.9</v>
      </c>
      <c r="I32" s="20">
        <v>128</v>
      </c>
      <c r="J32" s="3">
        <v>31</v>
      </c>
      <c r="K32" s="3">
        <v>0</v>
      </c>
      <c r="L32" s="3">
        <v>320</v>
      </c>
      <c r="M32" s="3">
        <v>78827</v>
      </c>
      <c r="N32" s="3">
        <f t="shared" si="2"/>
        <v>178574527.5783</v>
      </c>
      <c r="O32" s="21">
        <f t="shared" si="0"/>
        <v>2.491346938665151E-2</v>
      </c>
    </row>
    <row r="33" spans="1:15" x14ac:dyDescent="0.2">
      <c r="A33" s="8">
        <v>40756</v>
      </c>
      <c r="B33" s="19">
        <v>164128078</v>
      </c>
      <c r="C33" s="19">
        <v>3433020.8317000004</v>
      </c>
      <c r="D33" s="19">
        <v>-3755390.5255147717</v>
      </c>
      <c r="E33" s="19">
        <v>-591302.37095000001</v>
      </c>
      <c r="F33" s="19">
        <f>-CDM!D105</f>
        <v>-3862978.1930772783</v>
      </c>
      <c r="G33" s="19">
        <f t="shared" si="1"/>
        <v>159351427.74219999</v>
      </c>
      <c r="H33" s="20">
        <v>6.8999999999999995</v>
      </c>
      <c r="I33" s="20">
        <v>62.29999999999999</v>
      </c>
      <c r="J33" s="3">
        <v>31</v>
      </c>
      <c r="K33" s="3">
        <v>0</v>
      </c>
      <c r="L33" s="3">
        <v>352</v>
      </c>
      <c r="M33" s="3">
        <v>78974</v>
      </c>
      <c r="N33" s="3">
        <f t="shared" si="2"/>
        <v>157397999.98500001</v>
      </c>
      <c r="O33" s="21">
        <f t="shared" si="0"/>
        <v>1.2258614716400551E-2</v>
      </c>
    </row>
    <row r="34" spans="1:15" x14ac:dyDescent="0.2">
      <c r="A34" s="8">
        <v>40787</v>
      </c>
      <c r="B34" s="19">
        <v>143183425</v>
      </c>
      <c r="C34" s="19">
        <v>2919649.1887000003</v>
      </c>
      <c r="D34" s="19">
        <v>-3198182.5166616929</v>
      </c>
      <c r="E34" s="19">
        <v>-674866.95589999994</v>
      </c>
      <c r="F34" s="19">
        <f>-CDM!D106</f>
        <v>-3930964.2657399094</v>
      </c>
      <c r="G34" s="19">
        <f t="shared" si="1"/>
        <v>138299060.45039999</v>
      </c>
      <c r="H34" s="20">
        <v>98.9</v>
      </c>
      <c r="I34" s="20">
        <v>21.099999999999998</v>
      </c>
      <c r="J34" s="3">
        <v>30</v>
      </c>
      <c r="K34" s="3">
        <v>1</v>
      </c>
      <c r="L34" s="3">
        <v>336</v>
      </c>
      <c r="M34" s="3">
        <v>79048</v>
      </c>
      <c r="N34" s="3">
        <f t="shared" si="2"/>
        <v>135196961.1067</v>
      </c>
      <c r="O34" s="21">
        <f t="shared" ref="O34:O65" si="3">IFERROR((ABS(N34/G34-1)),0)</f>
        <v>2.243037178703422E-2</v>
      </c>
    </row>
    <row r="35" spans="1:15" x14ac:dyDescent="0.2">
      <c r="A35" s="8">
        <v>40817</v>
      </c>
      <c r="B35" s="19">
        <v>143618154</v>
      </c>
      <c r="C35" s="19">
        <v>3035028.5625</v>
      </c>
      <c r="D35" s="19">
        <v>-2964004.8954540933</v>
      </c>
      <c r="E35" s="19">
        <v>-761843.63234999997</v>
      </c>
      <c r="F35" s="19">
        <f>-CDM!D107</f>
        <v>-3998950.3384025404</v>
      </c>
      <c r="G35" s="19">
        <f t="shared" si="1"/>
        <v>138928383.6963</v>
      </c>
      <c r="H35" s="20">
        <v>280.5</v>
      </c>
      <c r="I35" s="20">
        <v>0</v>
      </c>
      <c r="J35" s="3">
        <v>31</v>
      </c>
      <c r="K35" s="3">
        <v>1</v>
      </c>
      <c r="L35" s="3">
        <v>320</v>
      </c>
      <c r="M35" s="3">
        <v>79169</v>
      </c>
      <c r="N35" s="3">
        <f t="shared" si="2"/>
        <v>136871971.9233</v>
      </c>
      <c r="O35" s="21">
        <f t="shared" si="3"/>
        <v>1.4801955642810616E-2</v>
      </c>
    </row>
    <row r="36" spans="1:15" x14ac:dyDescent="0.2">
      <c r="A36" s="8">
        <v>40848</v>
      </c>
      <c r="B36" s="19">
        <v>146066573</v>
      </c>
      <c r="C36" s="19">
        <v>3083189.6196000003</v>
      </c>
      <c r="D36" s="19">
        <v>-2978683.2870784835</v>
      </c>
      <c r="E36" s="19">
        <v>-811158.70054999995</v>
      </c>
      <c r="F36" s="19">
        <f>-CDM!D108</f>
        <v>-4066936.4110651715</v>
      </c>
      <c r="G36" s="19">
        <f t="shared" si="1"/>
        <v>141292984.2209</v>
      </c>
      <c r="H36" s="20">
        <v>383.1</v>
      </c>
      <c r="I36" s="20">
        <v>0</v>
      </c>
      <c r="J36" s="3">
        <v>30</v>
      </c>
      <c r="K36" s="3">
        <v>1</v>
      </c>
      <c r="L36" s="3">
        <v>352</v>
      </c>
      <c r="M36" s="3">
        <v>79320</v>
      </c>
      <c r="N36" s="3">
        <f t="shared" si="2"/>
        <v>139884726.36469999</v>
      </c>
      <c r="O36" s="21">
        <f t="shared" si="3"/>
        <v>9.9669340552558383E-3</v>
      </c>
    </row>
    <row r="37" spans="1:15" x14ac:dyDescent="0.2">
      <c r="A37" s="9">
        <v>40878</v>
      </c>
      <c r="B37" s="22">
        <v>159732793</v>
      </c>
      <c r="C37" s="22">
        <v>3298546.5112000001</v>
      </c>
      <c r="D37" s="22">
        <v>-2868216.0860439669</v>
      </c>
      <c r="E37" s="22">
        <v>-878190.95845000003</v>
      </c>
      <c r="F37" s="22">
        <f>-CDM!D109</f>
        <v>-4134922.4837278025</v>
      </c>
      <c r="G37" s="22">
        <f t="shared" si="1"/>
        <v>155150009.98300001</v>
      </c>
      <c r="H37" s="23">
        <v>575.09999999999991</v>
      </c>
      <c r="I37" s="23">
        <v>0</v>
      </c>
      <c r="J37" s="5">
        <v>31</v>
      </c>
      <c r="K37" s="5">
        <v>0</v>
      </c>
      <c r="L37" s="5">
        <v>320</v>
      </c>
      <c r="M37" s="5">
        <v>79391</v>
      </c>
      <c r="N37" s="5">
        <f t="shared" si="2"/>
        <v>154244757.4774</v>
      </c>
      <c r="O37" s="24">
        <f t="shared" si="3"/>
        <v>5.8346918939882197E-3</v>
      </c>
    </row>
    <row r="38" spans="1:15" x14ac:dyDescent="0.2">
      <c r="A38" s="8">
        <v>40909</v>
      </c>
      <c r="B38" s="19">
        <v>167297863</v>
      </c>
      <c r="C38" s="19">
        <v>3308989.4794000001</v>
      </c>
      <c r="D38" s="19">
        <v>-2945812.8986372226</v>
      </c>
      <c r="E38" s="19">
        <v>-857696.10985000001</v>
      </c>
      <c r="F38" s="19">
        <f>-CDM!D110</f>
        <v>-4186232.8172741663</v>
      </c>
      <c r="G38" s="19">
        <f t="shared" si="1"/>
        <v>162617110.65360001</v>
      </c>
      <c r="H38" s="20">
        <v>656.30000000000007</v>
      </c>
      <c r="I38" s="20">
        <v>0</v>
      </c>
      <c r="J38" s="2">
        <v>31</v>
      </c>
      <c r="K38" s="3">
        <v>0</v>
      </c>
      <c r="L38" s="3">
        <v>336</v>
      </c>
      <c r="M38" s="3">
        <v>79527</v>
      </c>
      <c r="N38" s="3">
        <f t="shared" si="2"/>
        <v>158666706.66819999</v>
      </c>
      <c r="O38" s="21">
        <f t="shared" si="3"/>
        <v>2.4292671106517227E-2</v>
      </c>
    </row>
    <row r="39" spans="1:15" x14ac:dyDescent="0.2">
      <c r="A39" s="8">
        <v>40940</v>
      </c>
      <c r="B39" s="19">
        <v>151749261</v>
      </c>
      <c r="C39" s="19">
        <v>3070041.1155999997</v>
      </c>
      <c r="D39" s="19">
        <v>-2754825.6843728237</v>
      </c>
      <c r="E39" s="19">
        <v>-741050.47549999994</v>
      </c>
      <c r="F39" s="19">
        <f>-CDM!D111</f>
        <v>-4237543.15082053</v>
      </c>
      <c r="G39" s="19">
        <f t="shared" si="1"/>
        <v>147085882.80489999</v>
      </c>
      <c r="H39" s="20">
        <v>572.59999999999991</v>
      </c>
      <c r="I39" s="20">
        <v>0</v>
      </c>
      <c r="J39" s="2">
        <v>29</v>
      </c>
      <c r="K39" s="3">
        <v>0</v>
      </c>
      <c r="L39" s="3">
        <v>320</v>
      </c>
      <c r="M39" s="3">
        <v>79677</v>
      </c>
      <c r="N39" s="3">
        <f t="shared" si="2"/>
        <v>146644884.80939999</v>
      </c>
      <c r="O39" s="21">
        <f t="shared" si="3"/>
        <v>2.9982346850033759E-3</v>
      </c>
    </row>
    <row r="40" spans="1:15" x14ac:dyDescent="0.2">
      <c r="A40" s="8">
        <v>40969</v>
      </c>
      <c r="B40" s="19">
        <v>149081825</v>
      </c>
      <c r="C40" s="19">
        <v>3441732.9915</v>
      </c>
      <c r="D40" s="19">
        <v>-2939880.0861434396</v>
      </c>
      <c r="E40" s="19">
        <v>-708360.22939999995</v>
      </c>
      <c r="F40" s="19">
        <f>-CDM!D112</f>
        <v>-4288853.4843668938</v>
      </c>
      <c r="G40" s="19">
        <f t="shared" si="1"/>
        <v>144586464.19159999</v>
      </c>
      <c r="H40" s="20">
        <v>370.2</v>
      </c>
      <c r="I40" s="20">
        <v>0</v>
      </c>
      <c r="J40" s="2">
        <v>31</v>
      </c>
      <c r="K40" s="3">
        <v>1</v>
      </c>
      <c r="L40" s="3">
        <v>352</v>
      </c>
      <c r="M40" s="3">
        <v>79729</v>
      </c>
      <c r="N40" s="3">
        <f t="shared" si="2"/>
        <v>142478206.20860001</v>
      </c>
      <c r="O40" s="21">
        <f t="shared" si="3"/>
        <v>1.4581295661302063E-2</v>
      </c>
    </row>
    <row r="41" spans="1:15" x14ac:dyDescent="0.2">
      <c r="A41" s="8">
        <v>41000</v>
      </c>
      <c r="B41" s="19">
        <v>137212331</v>
      </c>
      <c r="C41" s="19">
        <v>3211863.4937999998</v>
      </c>
      <c r="D41" s="19">
        <v>-2842603.2891674126</v>
      </c>
      <c r="E41" s="19">
        <v>-602374.95534999995</v>
      </c>
      <c r="F41" s="19">
        <f>-CDM!D113</f>
        <v>-4340163.8179132575</v>
      </c>
      <c r="G41" s="19">
        <f t="shared" si="1"/>
        <v>132639052.4314</v>
      </c>
      <c r="H41" s="20">
        <v>365.9</v>
      </c>
      <c r="I41" s="20">
        <v>0</v>
      </c>
      <c r="J41" s="2">
        <v>30</v>
      </c>
      <c r="K41" s="3">
        <v>1</v>
      </c>
      <c r="L41" s="3">
        <v>320</v>
      </c>
      <c r="M41" s="3">
        <v>79814</v>
      </c>
      <c r="N41" s="3">
        <f t="shared" si="2"/>
        <v>135948754.84310001</v>
      </c>
      <c r="O41" s="21">
        <f t="shared" si="3"/>
        <v>2.4952699457889693E-2</v>
      </c>
    </row>
    <row r="42" spans="1:15" x14ac:dyDescent="0.2">
      <c r="A42" s="8">
        <v>41030</v>
      </c>
      <c r="B42" s="19">
        <v>146013521</v>
      </c>
      <c r="C42" s="19">
        <v>3295565.1473999997</v>
      </c>
      <c r="D42" s="19">
        <v>-3333556.9132597232</v>
      </c>
      <c r="E42" s="19">
        <v>-549466.04205000005</v>
      </c>
      <c r="F42" s="19">
        <f>-CDM!D114</f>
        <v>-4391474.1514596213</v>
      </c>
      <c r="G42" s="19">
        <f t="shared" si="1"/>
        <v>141034589.0406</v>
      </c>
      <c r="H42" s="20">
        <v>107.8</v>
      </c>
      <c r="I42" s="20">
        <v>18.099999999999998</v>
      </c>
      <c r="J42" s="2">
        <v>31</v>
      </c>
      <c r="K42" s="3">
        <v>1</v>
      </c>
      <c r="L42" s="3">
        <v>352</v>
      </c>
      <c r="M42" s="3">
        <v>79902</v>
      </c>
      <c r="N42" s="3">
        <f t="shared" si="2"/>
        <v>138389153.523</v>
      </c>
      <c r="O42" s="21">
        <f t="shared" si="3"/>
        <v>1.8757352615381806E-2</v>
      </c>
    </row>
    <row r="43" spans="1:15" x14ac:dyDescent="0.2">
      <c r="A43" s="8">
        <v>41061</v>
      </c>
      <c r="B43" s="19">
        <v>156866745</v>
      </c>
      <c r="C43" s="19">
        <v>3174356.0354999998</v>
      </c>
      <c r="D43" s="19">
        <v>-3402436.9124639407</v>
      </c>
      <c r="E43" s="19">
        <v>-496238.6997</v>
      </c>
      <c r="F43" s="19">
        <f>-CDM!D115</f>
        <v>-4442784.485005985</v>
      </c>
      <c r="G43" s="19">
        <f t="shared" si="1"/>
        <v>151699640.93830001</v>
      </c>
      <c r="H43" s="20">
        <v>42.300000000000011</v>
      </c>
      <c r="I43" s="20">
        <v>60.399999999999991</v>
      </c>
      <c r="J43" s="2">
        <v>30</v>
      </c>
      <c r="K43" s="3">
        <v>0</v>
      </c>
      <c r="L43" s="3">
        <v>336</v>
      </c>
      <c r="M43" s="3">
        <v>79956</v>
      </c>
      <c r="N43" s="3">
        <f t="shared" si="2"/>
        <v>152057297.8994</v>
      </c>
      <c r="O43" s="21">
        <f t="shared" si="3"/>
        <v>2.3576651789534164E-3</v>
      </c>
    </row>
    <row r="44" spans="1:15" x14ac:dyDescent="0.2">
      <c r="A44" s="8">
        <v>41091</v>
      </c>
      <c r="B44" s="19">
        <v>181523408</v>
      </c>
      <c r="C44" s="19">
        <v>3077557.9137999997</v>
      </c>
      <c r="D44" s="19">
        <v>-3687072.1168805333</v>
      </c>
      <c r="E44" s="19">
        <v>-532987.10875000001</v>
      </c>
      <c r="F44" s="19">
        <f>-CDM!D116</f>
        <v>-4494094.8185523488</v>
      </c>
      <c r="G44" s="19">
        <f t="shared" si="1"/>
        <v>175886811.8696</v>
      </c>
      <c r="H44" s="20">
        <v>0.6</v>
      </c>
      <c r="I44" s="20">
        <v>126.4</v>
      </c>
      <c r="J44" s="2">
        <v>31</v>
      </c>
      <c r="K44" s="3">
        <v>0</v>
      </c>
      <c r="L44" s="3">
        <v>336</v>
      </c>
      <c r="M44" s="3">
        <v>80039</v>
      </c>
      <c r="N44" s="3">
        <f t="shared" si="2"/>
        <v>177909217.81150001</v>
      </c>
      <c r="O44" s="21">
        <f t="shared" si="3"/>
        <v>1.149833759792851E-2</v>
      </c>
    </row>
    <row r="45" spans="1:15" x14ac:dyDescent="0.2">
      <c r="A45" s="8">
        <v>41122</v>
      </c>
      <c r="B45" s="19">
        <v>164407829</v>
      </c>
      <c r="C45" s="19">
        <v>3066640.3250000002</v>
      </c>
      <c r="D45" s="19">
        <v>-3561124.9205212374</v>
      </c>
      <c r="E45" s="19">
        <v>-599914.01315000001</v>
      </c>
      <c r="F45" s="19">
        <f>-CDM!D117</f>
        <v>-4545405.1520987125</v>
      </c>
      <c r="G45" s="19">
        <f t="shared" si="1"/>
        <v>158768025.2392</v>
      </c>
      <c r="H45" s="20">
        <v>19.500000000000004</v>
      </c>
      <c r="I45" s="20">
        <v>58.20000000000001</v>
      </c>
      <c r="J45" s="2">
        <v>31</v>
      </c>
      <c r="K45" s="3">
        <v>0</v>
      </c>
      <c r="L45" s="3">
        <v>352</v>
      </c>
      <c r="M45" s="3">
        <v>80099</v>
      </c>
      <c r="N45" s="3">
        <f t="shared" si="2"/>
        <v>155101124.32730001</v>
      </c>
      <c r="O45" s="21">
        <f t="shared" si="3"/>
        <v>2.3095965994257561E-2</v>
      </c>
    </row>
    <row r="46" spans="1:15" x14ac:dyDescent="0.2">
      <c r="A46" s="8">
        <v>41153</v>
      </c>
      <c r="B46" s="19">
        <v>143005966</v>
      </c>
      <c r="C46" s="19">
        <v>2785144.2812999999</v>
      </c>
      <c r="D46" s="19">
        <v>-3177710.4950760966</v>
      </c>
      <c r="E46" s="19">
        <v>-662437.96155000001</v>
      </c>
      <c r="F46" s="19">
        <f>-CDM!D118</f>
        <v>-4596715.4856450763</v>
      </c>
      <c r="G46" s="19">
        <f t="shared" si="1"/>
        <v>137354246.33899999</v>
      </c>
      <c r="H46" s="20">
        <v>125.8</v>
      </c>
      <c r="I46" s="20">
        <v>16.200000000000003</v>
      </c>
      <c r="J46" s="2">
        <v>30</v>
      </c>
      <c r="K46" s="3">
        <v>1</v>
      </c>
      <c r="L46" s="3">
        <v>304</v>
      </c>
      <c r="M46" s="3">
        <v>80189</v>
      </c>
      <c r="N46" s="3">
        <f t="shared" si="2"/>
        <v>130486121.4649</v>
      </c>
      <c r="O46" s="21">
        <f t="shared" si="3"/>
        <v>5.0003003599531692E-2</v>
      </c>
    </row>
    <row r="47" spans="1:15" x14ac:dyDescent="0.2">
      <c r="A47" s="8">
        <v>41183</v>
      </c>
      <c r="B47" s="19">
        <v>145715525</v>
      </c>
      <c r="C47" s="19">
        <v>2739275.3606000002</v>
      </c>
      <c r="D47" s="19">
        <v>-3134256.0963891377</v>
      </c>
      <c r="E47" s="19">
        <v>-770990.63785000006</v>
      </c>
      <c r="F47" s="19">
        <f>-CDM!D119</f>
        <v>-4648025.81919144</v>
      </c>
      <c r="G47" s="19">
        <f t="shared" si="1"/>
        <v>139901527.80720001</v>
      </c>
      <c r="H47" s="20">
        <v>280.5</v>
      </c>
      <c r="I47" s="20">
        <v>0</v>
      </c>
      <c r="J47" s="2">
        <v>31</v>
      </c>
      <c r="K47" s="3">
        <v>1</v>
      </c>
      <c r="L47" s="3">
        <v>352</v>
      </c>
      <c r="M47" s="3">
        <v>80266</v>
      </c>
      <c r="N47" s="3">
        <f t="shared" si="2"/>
        <v>138272369.90889999</v>
      </c>
      <c r="O47" s="21">
        <f t="shared" si="3"/>
        <v>1.164503293019914E-2</v>
      </c>
    </row>
    <row r="48" spans="1:15" x14ac:dyDescent="0.2">
      <c r="A48" s="8">
        <v>41214</v>
      </c>
      <c r="B48" s="19">
        <v>149958942</v>
      </c>
      <c r="C48" s="19">
        <v>2848806.0047999998</v>
      </c>
      <c r="D48" s="19">
        <v>-2934945.6920322292</v>
      </c>
      <c r="E48" s="19">
        <v>-819563.59840000002</v>
      </c>
      <c r="F48" s="19">
        <f>-CDM!D120</f>
        <v>-4699336.1527378038</v>
      </c>
      <c r="G48" s="19">
        <f t="shared" si="1"/>
        <v>144353902.5616</v>
      </c>
      <c r="H48" s="20">
        <v>484</v>
      </c>
      <c r="I48" s="20">
        <v>0</v>
      </c>
      <c r="J48" s="2">
        <v>30</v>
      </c>
      <c r="K48" s="3">
        <v>1</v>
      </c>
      <c r="L48" s="3">
        <v>352</v>
      </c>
      <c r="M48" s="3">
        <v>80345</v>
      </c>
      <c r="N48" s="3">
        <f t="shared" si="2"/>
        <v>142722736.36970001</v>
      </c>
      <c r="O48" s="21">
        <f t="shared" si="3"/>
        <v>1.1299772039096156E-2</v>
      </c>
    </row>
    <row r="49" spans="1:15" x14ac:dyDescent="0.2">
      <c r="A49" s="9">
        <v>41244</v>
      </c>
      <c r="B49" s="22">
        <v>157244281</v>
      </c>
      <c r="C49" s="22">
        <v>3332783.3693999997</v>
      </c>
      <c r="D49" s="22">
        <v>-2737694.4787625582</v>
      </c>
      <c r="E49" s="22">
        <v>-885766.48124999995</v>
      </c>
      <c r="F49" s="22">
        <f>-CDM!D121</f>
        <v>-4750646.4862841675</v>
      </c>
      <c r="G49" s="22">
        <f t="shared" si="1"/>
        <v>152202956.92309999</v>
      </c>
      <c r="H49" s="23">
        <v>565.20000000000005</v>
      </c>
      <c r="I49" s="23">
        <v>0</v>
      </c>
      <c r="J49" s="6">
        <v>31</v>
      </c>
      <c r="K49" s="5">
        <v>0</v>
      </c>
      <c r="L49" s="5">
        <v>304</v>
      </c>
      <c r="M49" s="5">
        <v>80415</v>
      </c>
      <c r="N49" s="5">
        <f t="shared" si="2"/>
        <v>151321980.61230001</v>
      </c>
      <c r="O49" s="24">
        <f t="shared" si="3"/>
        <v>5.7881681710368893E-3</v>
      </c>
    </row>
    <row r="50" spans="1:15" x14ac:dyDescent="0.2">
      <c r="A50" s="8">
        <v>41275</v>
      </c>
      <c r="B50" s="19">
        <v>166887939</v>
      </c>
      <c r="C50" s="19">
        <v>3380704.4913999997</v>
      </c>
      <c r="D50" s="19">
        <v>-2983843.2839948274</v>
      </c>
      <c r="E50" s="19">
        <v>-864038.91095000005</v>
      </c>
      <c r="F50" s="19">
        <f>-CDM!D122</f>
        <v>-4775749.6932718595</v>
      </c>
      <c r="G50" s="19">
        <f t="shared" si="1"/>
        <v>161645011.60319999</v>
      </c>
      <c r="H50" s="20">
        <v>680.69999999999993</v>
      </c>
      <c r="I50" s="20">
        <v>0</v>
      </c>
      <c r="J50" s="3">
        <v>31</v>
      </c>
      <c r="K50" s="3">
        <v>0</v>
      </c>
      <c r="L50" s="3">
        <v>352</v>
      </c>
      <c r="M50" s="3">
        <v>80473</v>
      </c>
      <c r="N50" s="3">
        <f t="shared" si="2"/>
        <v>159879331.1719</v>
      </c>
      <c r="O50" s="21">
        <f t="shared" si="3"/>
        <v>1.0923197776336657E-2</v>
      </c>
    </row>
    <row r="51" spans="1:15" x14ac:dyDescent="0.2">
      <c r="A51" s="8">
        <v>41306</v>
      </c>
      <c r="B51" s="19">
        <v>151813490.00000003</v>
      </c>
      <c r="C51" s="19">
        <v>3110013.9947000002</v>
      </c>
      <c r="D51" s="19">
        <v>-2601825.6823833678</v>
      </c>
      <c r="E51" s="19">
        <v>-720995.59750000003</v>
      </c>
      <c r="F51" s="19">
        <f>-CDM!D123</f>
        <v>-4800852.9002595516</v>
      </c>
      <c r="G51" s="19">
        <f t="shared" si="1"/>
        <v>146799829.81459999</v>
      </c>
      <c r="H51" s="20">
        <v>696.90000000000009</v>
      </c>
      <c r="I51" s="20">
        <v>0</v>
      </c>
      <c r="J51" s="3">
        <v>29</v>
      </c>
      <c r="K51" s="3">
        <v>0</v>
      </c>
      <c r="L51" s="3">
        <v>304</v>
      </c>
      <c r="M51" s="3">
        <v>80540</v>
      </c>
      <c r="N51" s="3">
        <f t="shared" si="2"/>
        <v>149267972.1205</v>
      </c>
      <c r="O51" s="21">
        <f t="shared" si="3"/>
        <v>1.681297797836101E-2</v>
      </c>
    </row>
    <row r="52" spans="1:15" x14ac:dyDescent="0.2">
      <c r="A52" s="8">
        <v>41334</v>
      </c>
      <c r="B52" s="19">
        <v>156390854</v>
      </c>
      <c r="C52" s="19">
        <v>3559799.1553000002</v>
      </c>
      <c r="D52" s="19">
        <v>-2817950.4828409427</v>
      </c>
      <c r="E52" s="19">
        <v>-714800.4902</v>
      </c>
      <c r="F52" s="19">
        <f>-CDM!D124</f>
        <v>-4825956.1072472436</v>
      </c>
      <c r="G52" s="19">
        <f t="shared" si="1"/>
        <v>151591946.07499999</v>
      </c>
      <c r="H52" s="20">
        <v>611.99999999999989</v>
      </c>
      <c r="I52" s="20">
        <v>0</v>
      </c>
      <c r="J52" s="3">
        <v>31</v>
      </c>
      <c r="K52" s="3">
        <v>1</v>
      </c>
      <c r="L52" s="3">
        <v>320</v>
      </c>
      <c r="M52" s="3">
        <v>80596</v>
      </c>
      <c r="N52" s="3">
        <f t="shared" si="2"/>
        <v>148451013.05809999</v>
      </c>
      <c r="O52" s="21">
        <f t="shared" si="3"/>
        <v>2.0719656276106058E-2</v>
      </c>
    </row>
    <row r="53" spans="1:15" x14ac:dyDescent="0.2">
      <c r="A53" s="8">
        <v>41365</v>
      </c>
      <c r="B53" s="19">
        <v>141874300.99999997</v>
      </c>
      <c r="C53" s="19">
        <v>3477633.2572999997</v>
      </c>
      <c r="D53" s="19">
        <v>-2931379.291952651</v>
      </c>
      <c r="E53" s="19">
        <v>-607439.21909999999</v>
      </c>
      <c r="F53" s="19">
        <f>-CDM!D125</f>
        <v>-4851059.3142349357</v>
      </c>
      <c r="G53" s="19">
        <f t="shared" si="1"/>
        <v>136962056.43200001</v>
      </c>
      <c r="H53" s="20">
        <v>384.9</v>
      </c>
      <c r="I53" s="20">
        <v>0</v>
      </c>
      <c r="J53" s="3">
        <v>30</v>
      </c>
      <c r="K53" s="3">
        <v>1</v>
      </c>
      <c r="L53" s="3">
        <v>352</v>
      </c>
      <c r="M53" s="3">
        <v>80632</v>
      </c>
      <c r="N53" s="3">
        <f t="shared" si="2"/>
        <v>138432047.8854</v>
      </c>
      <c r="O53" s="21">
        <f t="shared" si="3"/>
        <v>1.0732837193707212E-2</v>
      </c>
    </row>
    <row r="54" spans="1:15" x14ac:dyDescent="0.2">
      <c r="A54" s="8">
        <v>41395</v>
      </c>
      <c r="B54" s="19">
        <v>141124267.99999997</v>
      </c>
      <c r="C54" s="19">
        <v>3738459.7997999997</v>
      </c>
      <c r="D54" s="19">
        <v>-3353942.524122152</v>
      </c>
      <c r="E54" s="19">
        <v>-553833.38459999999</v>
      </c>
      <c r="F54" s="19">
        <f>-CDM!D126</f>
        <v>-4876162.5212226277</v>
      </c>
      <c r="G54" s="19">
        <f t="shared" si="1"/>
        <v>136078789.36989999</v>
      </c>
      <c r="H54" s="20">
        <v>153.20000000000002</v>
      </c>
      <c r="I54" s="20">
        <v>19.5</v>
      </c>
      <c r="J54" s="3">
        <v>31</v>
      </c>
      <c r="K54" s="3">
        <v>1</v>
      </c>
      <c r="L54" s="3">
        <v>352</v>
      </c>
      <c r="M54" s="3">
        <v>80705</v>
      </c>
      <c r="N54" s="3">
        <f t="shared" si="2"/>
        <v>139778661.8319</v>
      </c>
      <c r="O54" s="21">
        <f t="shared" si="3"/>
        <v>2.7189192960430653E-2</v>
      </c>
    </row>
    <row r="55" spans="1:15" x14ac:dyDescent="0.2">
      <c r="A55" s="8">
        <v>41426</v>
      </c>
      <c r="B55" s="19">
        <v>147458381.00000003</v>
      </c>
      <c r="C55" s="19">
        <v>3589014.2058000006</v>
      </c>
      <c r="D55" s="19">
        <v>-3438075.9181338898</v>
      </c>
      <c r="E55" s="19">
        <v>-499557.07895</v>
      </c>
      <c r="F55" s="19">
        <f>-CDM!D127</f>
        <v>-4901265.7282103198</v>
      </c>
      <c r="G55" s="19">
        <f t="shared" si="1"/>
        <v>142208496.48050001</v>
      </c>
      <c r="H55" s="20">
        <v>54.599999999999994</v>
      </c>
      <c r="I55" s="20">
        <v>36.9</v>
      </c>
      <c r="J55" s="3">
        <v>30</v>
      </c>
      <c r="K55" s="3">
        <v>0</v>
      </c>
      <c r="L55" s="3">
        <v>320</v>
      </c>
      <c r="M55" s="3">
        <v>80830</v>
      </c>
      <c r="N55" s="3">
        <f t="shared" si="2"/>
        <v>141639286.55669999</v>
      </c>
      <c r="O55" s="21">
        <f t="shared" si="3"/>
        <v>4.0026435683332418E-3</v>
      </c>
    </row>
    <row r="56" spans="1:15" x14ac:dyDescent="0.2">
      <c r="A56" s="8">
        <v>41456</v>
      </c>
      <c r="B56" s="19">
        <v>168337886</v>
      </c>
      <c r="C56" s="19">
        <v>3710031.9615000002</v>
      </c>
      <c r="D56" s="19">
        <v>-3764270.5253158258</v>
      </c>
      <c r="E56" s="19">
        <v>-536638.62939999998</v>
      </c>
      <c r="F56" s="19">
        <f>-CDM!D128</f>
        <v>-4926368.9351980118</v>
      </c>
      <c r="G56" s="19">
        <f t="shared" si="1"/>
        <v>162820639.8716</v>
      </c>
      <c r="H56" s="20">
        <v>15.399999999999999</v>
      </c>
      <c r="I56" s="20">
        <v>85.4</v>
      </c>
      <c r="J56" s="3">
        <v>31</v>
      </c>
      <c r="K56" s="3">
        <v>0</v>
      </c>
      <c r="L56" s="3">
        <v>352</v>
      </c>
      <c r="M56" s="3">
        <v>80929</v>
      </c>
      <c r="N56" s="3">
        <f t="shared" si="2"/>
        <v>163876066.3457</v>
      </c>
      <c r="O56" s="21">
        <f t="shared" si="3"/>
        <v>6.4821417906986145E-3</v>
      </c>
    </row>
    <row r="57" spans="1:15" x14ac:dyDescent="0.2">
      <c r="A57" s="8">
        <v>41487</v>
      </c>
      <c r="B57" s="19">
        <v>156613822</v>
      </c>
      <c r="C57" s="19">
        <v>3609240.3678000006</v>
      </c>
      <c r="D57" s="19">
        <v>-3507067.3174176859</v>
      </c>
      <c r="E57" s="19">
        <v>-602351.78015000001</v>
      </c>
      <c r="F57" s="19">
        <f>-CDM!D129</f>
        <v>-4951472.1421857039</v>
      </c>
      <c r="G57" s="19">
        <f t="shared" si="1"/>
        <v>151162171.12799999</v>
      </c>
      <c r="H57" s="20">
        <v>33.1</v>
      </c>
      <c r="I57" s="20">
        <v>41.800000000000004</v>
      </c>
      <c r="J57" s="3">
        <v>31</v>
      </c>
      <c r="K57" s="3">
        <v>0</v>
      </c>
      <c r="L57" s="3">
        <v>336</v>
      </c>
      <c r="M57" s="3">
        <v>80985</v>
      </c>
      <c r="N57" s="3">
        <f t="shared" si="2"/>
        <v>147306087.04910001</v>
      </c>
      <c r="O57" s="21">
        <f t="shared" si="3"/>
        <v>2.5509583847103889E-2</v>
      </c>
    </row>
    <row r="58" spans="1:15" x14ac:dyDescent="0.2">
      <c r="A58" s="8">
        <v>41518</v>
      </c>
      <c r="B58" s="19">
        <v>141695735.00000003</v>
      </c>
      <c r="C58" s="19">
        <v>3066299.1931000003</v>
      </c>
      <c r="D58" s="19">
        <v>-3160454.5015418278</v>
      </c>
      <c r="E58" s="19">
        <v>-663796.93530000001</v>
      </c>
      <c r="F58" s="19">
        <f>-CDM!D130</f>
        <v>-4976575.3491733959</v>
      </c>
      <c r="G58" s="19">
        <f t="shared" si="1"/>
        <v>135961207.40709999</v>
      </c>
      <c r="H58" s="20">
        <v>130.80000000000001</v>
      </c>
      <c r="I58" s="20">
        <v>20.5</v>
      </c>
      <c r="J58" s="3">
        <v>30</v>
      </c>
      <c r="K58" s="3">
        <v>1</v>
      </c>
      <c r="L58" s="3">
        <v>320</v>
      </c>
      <c r="M58" s="3">
        <v>81159</v>
      </c>
      <c r="N58" s="3">
        <f t="shared" si="2"/>
        <v>132461758.3988</v>
      </c>
      <c r="O58" s="21">
        <f t="shared" si="3"/>
        <v>2.5738584372980822E-2</v>
      </c>
    </row>
    <row r="59" spans="1:15" x14ac:dyDescent="0.2">
      <c r="A59" s="8">
        <v>41548</v>
      </c>
      <c r="B59" s="19">
        <v>143048402</v>
      </c>
      <c r="C59" s="19">
        <v>3464664.6814000001</v>
      </c>
      <c r="D59" s="19">
        <v>-3144988.8845120859</v>
      </c>
      <c r="E59" s="19">
        <v>-772868.34230000002</v>
      </c>
      <c r="F59" s="19">
        <f>-CDM!D131</f>
        <v>-5001678.5561610879</v>
      </c>
      <c r="G59" s="19">
        <f t="shared" si="1"/>
        <v>137593530.89840001</v>
      </c>
      <c r="H59" s="20">
        <v>261.10000000000002</v>
      </c>
      <c r="I59" s="20">
        <v>0</v>
      </c>
      <c r="J59" s="3">
        <v>31</v>
      </c>
      <c r="K59" s="3">
        <v>1</v>
      </c>
      <c r="L59" s="3">
        <v>352</v>
      </c>
      <c r="M59" s="3">
        <v>81234</v>
      </c>
      <c r="N59" s="3">
        <f t="shared" si="2"/>
        <v>136372878.64649999</v>
      </c>
      <c r="O59" s="21">
        <f t="shared" si="3"/>
        <v>8.8714363526389839E-3</v>
      </c>
    </row>
    <row r="60" spans="1:15" x14ac:dyDescent="0.2">
      <c r="A60" s="8">
        <v>41579</v>
      </c>
      <c r="B60" s="19">
        <v>150584276.99999994</v>
      </c>
      <c r="C60" s="19">
        <v>3374964.8167000003</v>
      </c>
      <c r="D60" s="19">
        <v>-2799523.2917537051</v>
      </c>
      <c r="E60" s="19">
        <v>-822160.26029999997</v>
      </c>
      <c r="F60" s="19">
        <f>-CDM!D132</f>
        <v>-5026781.76314878</v>
      </c>
      <c r="G60" s="19">
        <f t="shared" si="1"/>
        <v>145310776.50150001</v>
      </c>
      <c r="H60" s="20">
        <v>517.69999999999993</v>
      </c>
      <c r="I60" s="20">
        <v>0</v>
      </c>
      <c r="J60" s="3">
        <v>30</v>
      </c>
      <c r="K60" s="3">
        <v>1</v>
      </c>
      <c r="L60" s="3">
        <v>336</v>
      </c>
      <c r="M60" s="3">
        <v>81279</v>
      </c>
      <c r="N60" s="3">
        <f t="shared" si="2"/>
        <v>141645545.05309999</v>
      </c>
      <c r="O60" s="21">
        <f t="shared" si="3"/>
        <v>2.5223397305031869E-2</v>
      </c>
    </row>
    <row r="61" spans="1:15" x14ac:dyDescent="0.2">
      <c r="A61" s="9">
        <v>41609</v>
      </c>
      <c r="B61" s="22">
        <v>164601316.99999997</v>
      </c>
      <c r="C61" s="22">
        <v>3053675.4243999999</v>
      </c>
      <c r="D61" s="22">
        <v>-2737200.0793792894</v>
      </c>
      <c r="E61" s="22">
        <v>-888718.88840000005</v>
      </c>
      <c r="F61" s="22">
        <f>-CDM!D133</f>
        <v>-5051884.970136472</v>
      </c>
      <c r="G61" s="22">
        <f t="shared" si="1"/>
        <v>158977188.48649999</v>
      </c>
      <c r="H61" s="23">
        <v>726.59999999999991</v>
      </c>
      <c r="I61" s="23">
        <v>0</v>
      </c>
      <c r="J61" s="5">
        <v>31</v>
      </c>
      <c r="K61" s="5">
        <v>0</v>
      </c>
      <c r="L61" s="5">
        <v>320</v>
      </c>
      <c r="M61" s="5">
        <v>81351</v>
      </c>
      <c r="N61" s="5">
        <f t="shared" si="2"/>
        <v>158016813.6945</v>
      </c>
      <c r="O61" s="24">
        <f t="shared" si="3"/>
        <v>6.0409597197119691E-3</v>
      </c>
    </row>
    <row r="62" spans="1:15" x14ac:dyDescent="0.2">
      <c r="A62" s="8">
        <v>41640</v>
      </c>
      <c r="B62" s="19">
        <v>176937928.00000003</v>
      </c>
      <c r="C62" s="19">
        <v>3117284.6735999999</v>
      </c>
      <c r="D62" s="19">
        <v>-2753337.6744255442</v>
      </c>
      <c r="E62" s="19">
        <v>-866484.92044999998</v>
      </c>
      <c r="F62" s="19">
        <f>-CDM!D134</f>
        <v>-5118165.0729199639</v>
      </c>
      <c r="G62" s="19">
        <f t="shared" si="1"/>
        <v>171317225.00580001</v>
      </c>
      <c r="H62" s="20">
        <v>867.6</v>
      </c>
      <c r="I62" s="20">
        <v>0</v>
      </c>
      <c r="J62" s="3">
        <v>31</v>
      </c>
      <c r="K62" s="3">
        <v>0</v>
      </c>
      <c r="L62" s="3">
        <v>352</v>
      </c>
      <c r="M62" s="3">
        <v>81405</v>
      </c>
      <c r="N62" s="3">
        <f t="shared" si="2"/>
        <v>166259499.99270001</v>
      </c>
      <c r="O62" s="21">
        <f t="shared" si="3"/>
        <v>2.9522571433951095E-2</v>
      </c>
    </row>
    <row r="63" spans="1:15" x14ac:dyDescent="0.2">
      <c r="A63" s="8">
        <v>41671</v>
      </c>
      <c r="B63" s="19">
        <v>156052442.00000003</v>
      </c>
      <c r="C63" s="19">
        <v>2695981.3314999999</v>
      </c>
      <c r="D63" s="19">
        <v>-2421009.6821844224</v>
      </c>
      <c r="E63" s="19">
        <v>-722959.56515000004</v>
      </c>
      <c r="F63" s="19">
        <f>-CDM!D135</f>
        <v>-5184445.1757034557</v>
      </c>
      <c r="G63" s="19">
        <f t="shared" si="1"/>
        <v>150420008.90849999</v>
      </c>
      <c r="H63" s="20">
        <v>830.9</v>
      </c>
      <c r="I63" s="20">
        <v>0</v>
      </c>
      <c r="J63" s="3">
        <v>28</v>
      </c>
      <c r="K63" s="3">
        <v>0</v>
      </c>
      <c r="L63" s="3">
        <v>304</v>
      </c>
      <c r="M63" s="3">
        <v>81457</v>
      </c>
      <c r="N63" s="3">
        <f t="shared" si="2"/>
        <v>149969350.11660001</v>
      </c>
      <c r="O63" s="21">
        <f t="shared" si="3"/>
        <v>2.9960029597798643E-3</v>
      </c>
    </row>
    <row r="64" spans="1:15" x14ac:dyDescent="0.2">
      <c r="A64" s="8">
        <v>41699</v>
      </c>
      <c r="B64" s="19">
        <v>164051051</v>
      </c>
      <c r="C64" s="19">
        <v>3508123.4853000003</v>
      </c>
      <c r="D64" s="19">
        <v>-2698785.674823436</v>
      </c>
      <c r="E64" s="19">
        <v>-716752.8051</v>
      </c>
      <c r="F64" s="19">
        <f>-CDM!D136</f>
        <v>-5250725.2784869475</v>
      </c>
      <c r="G64" s="19">
        <f t="shared" si="1"/>
        <v>158892910.72690001</v>
      </c>
      <c r="H64" s="20">
        <v>757.09999999999991</v>
      </c>
      <c r="I64" s="20">
        <v>0</v>
      </c>
      <c r="J64" s="3">
        <v>31</v>
      </c>
      <c r="K64" s="3">
        <v>1</v>
      </c>
      <c r="L64" s="3">
        <v>336</v>
      </c>
      <c r="M64" s="3">
        <v>81528</v>
      </c>
      <c r="N64" s="3">
        <f t="shared" si="2"/>
        <v>154499613.93619999</v>
      </c>
      <c r="O64" s="21">
        <f t="shared" si="3"/>
        <v>2.7649419792246555E-2</v>
      </c>
    </row>
    <row r="65" spans="1:15" x14ac:dyDescent="0.2">
      <c r="A65" s="8">
        <v>41730</v>
      </c>
      <c r="B65" s="19">
        <v>139469349</v>
      </c>
      <c r="C65" s="19">
        <v>3309527.9556</v>
      </c>
      <c r="D65" s="19">
        <v>-2679379.2657913058</v>
      </c>
      <c r="E65" s="19">
        <v>-609286.27560000005</v>
      </c>
      <c r="F65" s="19">
        <f>-CDM!D137</f>
        <v>-5317005.3812704394</v>
      </c>
      <c r="G65" s="19">
        <f t="shared" si="1"/>
        <v>134173206.03290001</v>
      </c>
      <c r="H65" s="20">
        <v>390.70000000000005</v>
      </c>
      <c r="I65" s="20">
        <v>0</v>
      </c>
      <c r="J65" s="3">
        <v>30</v>
      </c>
      <c r="K65" s="3">
        <v>1</v>
      </c>
      <c r="L65" s="3">
        <v>336</v>
      </c>
      <c r="M65" s="3">
        <v>81614</v>
      </c>
      <c r="N65" s="3">
        <f t="shared" si="2"/>
        <v>136184996.8222</v>
      </c>
      <c r="O65" s="21">
        <f t="shared" si="3"/>
        <v>1.4993983141512457E-2</v>
      </c>
    </row>
    <row r="66" spans="1:15" x14ac:dyDescent="0.2">
      <c r="A66" s="8">
        <v>41760</v>
      </c>
      <c r="B66" s="19">
        <v>138347944</v>
      </c>
      <c r="C66" s="19">
        <v>3782220.5157999997</v>
      </c>
      <c r="D66" s="19">
        <v>-2764046.4747836464</v>
      </c>
      <c r="E66" s="19">
        <v>-557153.65610000002</v>
      </c>
      <c r="F66" s="19">
        <f>-CDM!D138</f>
        <v>-5383285.4840539312</v>
      </c>
      <c r="G66" s="19">
        <f t="shared" si="1"/>
        <v>133425678.90090001</v>
      </c>
      <c r="H66" s="20">
        <v>172.1</v>
      </c>
      <c r="I66" s="20">
        <v>8.6</v>
      </c>
      <c r="J66" s="3">
        <v>31</v>
      </c>
      <c r="K66" s="3">
        <v>1</v>
      </c>
      <c r="L66" s="3">
        <v>336</v>
      </c>
      <c r="M66" s="3">
        <v>81675</v>
      </c>
      <c r="N66" s="3">
        <f t="shared" si="2"/>
        <v>134100122.34110001</v>
      </c>
      <c r="O66" s="21">
        <f t="shared" ref="O66:O97" si="4">IFERROR((ABS(N66/G66-1)),0)</f>
        <v>5.054824871462138E-3</v>
      </c>
    </row>
    <row r="67" spans="1:15" x14ac:dyDescent="0.2">
      <c r="A67" s="8">
        <v>41791</v>
      </c>
      <c r="B67" s="19">
        <v>151167417</v>
      </c>
      <c r="C67" s="19">
        <v>3556970.6538</v>
      </c>
      <c r="D67" s="19">
        <v>-3103497.6992937429</v>
      </c>
      <c r="E67" s="19">
        <v>-502783.67080000002</v>
      </c>
      <c r="F67" s="19">
        <f>-CDM!D139</f>
        <v>-5449565.586837423</v>
      </c>
      <c r="G67" s="19">
        <f t="shared" ref="G67:G121" si="5">ROUND((SUM(B67:F67)),4)</f>
        <v>145668540.69690001</v>
      </c>
      <c r="H67" s="20">
        <v>37.799999999999997</v>
      </c>
      <c r="I67" s="20">
        <v>43.9</v>
      </c>
      <c r="J67" s="3">
        <v>30</v>
      </c>
      <c r="K67" s="3">
        <v>0</v>
      </c>
      <c r="L67" s="3">
        <v>336</v>
      </c>
      <c r="M67" s="3">
        <v>81753</v>
      </c>
      <c r="N67" s="3">
        <f t="shared" ref="N67:N130" si="6">ROUND(($Q$17+H67*$Q$18+I67*$Q$19+J67*$Q$20+K67*$Q$21+L67*$Q$22+M67*$Q$23),4)</f>
        <v>143782066.48500001</v>
      </c>
      <c r="O67" s="21">
        <f t="shared" si="4"/>
        <v>1.2950457270147875E-2</v>
      </c>
    </row>
    <row r="68" spans="1:15" x14ac:dyDescent="0.2">
      <c r="A68" s="8">
        <v>41821</v>
      </c>
      <c r="B68" s="19">
        <v>151381289.99999997</v>
      </c>
      <c r="C68" s="19">
        <v>3307852.9447999997</v>
      </c>
      <c r="D68" s="19">
        <v>-3244492.8942604195</v>
      </c>
      <c r="E68" s="19">
        <v>-538866.65529999998</v>
      </c>
      <c r="F68" s="19">
        <f>-CDM!D140</f>
        <v>-5515845.6896209149</v>
      </c>
      <c r="G68" s="19">
        <f t="shared" si="5"/>
        <v>145389937.70559999</v>
      </c>
      <c r="H68" s="20">
        <v>37.300000000000004</v>
      </c>
      <c r="I68" s="20">
        <v>37.70000000000001</v>
      </c>
      <c r="J68" s="3">
        <v>31</v>
      </c>
      <c r="K68" s="3">
        <v>0</v>
      </c>
      <c r="L68" s="3">
        <v>352</v>
      </c>
      <c r="M68" s="3">
        <v>81852</v>
      </c>
      <c r="N68" s="3">
        <f t="shared" si="6"/>
        <v>146311147.0939</v>
      </c>
      <c r="O68" s="21">
        <f t="shared" si="4"/>
        <v>6.3361289153680556E-3</v>
      </c>
    </row>
    <row r="69" spans="1:15" x14ac:dyDescent="0.2">
      <c r="A69" s="8">
        <v>41852</v>
      </c>
      <c r="B69" s="19">
        <v>149335009.99999997</v>
      </c>
      <c r="C69" s="19">
        <v>3642561.9632999999</v>
      </c>
      <c r="D69" s="19">
        <v>-2926684.9079876649</v>
      </c>
      <c r="E69" s="19">
        <v>-605462.47395000001</v>
      </c>
      <c r="F69" s="19">
        <f>-CDM!D141</f>
        <v>-5582125.7924044067</v>
      </c>
      <c r="G69" s="19">
        <f t="shared" si="5"/>
        <v>143863298.789</v>
      </c>
      <c r="H69" s="20">
        <v>31.9</v>
      </c>
      <c r="I69" s="20">
        <v>27.1</v>
      </c>
      <c r="J69" s="3">
        <v>31</v>
      </c>
      <c r="K69" s="3">
        <v>0</v>
      </c>
      <c r="L69" s="3">
        <v>320</v>
      </c>
      <c r="M69" s="3">
        <v>82014</v>
      </c>
      <c r="N69" s="3">
        <f t="shared" si="6"/>
        <v>139372844.75889999</v>
      </c>
      <c r="O69" s="21">
        <f t="shared" si="4"/>
        <v>3.1213339801738016E-2</v>
      </c>
    </row>
    <row r="70" spans="1:15" x14ac:dyDescent="0.2">
      <c r="A70" s="8">
        <v>41883</v>
      </c>
      <c r="B70" s="19">
        <v>139766060.99999997</v>
      </c>
      <c r="C70" s="19">
        <v>3545627.7272999994</v>
      </c>
      <c r="D70" s="19">
        <v>-2483016.0842534569</v>
      </c>
      <c r="E70" s="19">
        <v>-667671.53850000002</v>
      </c>
      <c r="F70" s="19">
        <f>-CDM!D142</f>
        <v>-5648405.8951878985</v>
      </c>
      <c r="G70" s="19">
        <f t="shared" si="5"/>
        <v>134512595.2094</v>
      </c>
      <c r="H70" s="20">
        <v>117.60000000000002</v>
      </c>
      <c r="I70" s="20">
        <v>11.200000000000001</v>
      </c>
      <c r="J70" s="3">
        <v>30</v>
      </c>
      <c r="K70" s="3">
        <v>1</v>
      </c>
      <c r="L70" s="3">
        <v>336</v>
      </c>
      <c r="M70" s="3">
        <v>82117</v>
      </c>
      <c r="N70" s="3">
        <f t="shared" si="6"/>
        <v>128773026.1151</v>
      </c>
      <c r="O70" s="21">
        <f t="shared" si="4"/>
        <v>4.2669380405344404E-2</v>
      </c>
    </row>
    <row r="71" spans="1:15" x14ac:dyDescent="0.2">
      <c r="A71" s="8">
        <v>41913</v>
      </c>
      <c r="B71" s="19">
        <v>139367656.99999997</v>
      </c>
      <c r="C71" s="19">
        <v>3215895.2414000002</v>
      </c>
      <c r="D71" s="19">
        <v>-2397696.0781856161</v>
      </c>
      <c r="E71" s="19">
        <v>-778283.61754999997</v>
      </c>
      <c r="F71" s="19">
        <f>-CDM!D143</f>
        <v>-5714685.9979713904</v>
      </c>
      <c r="G71" s="19">
        <f t="shared" si="5"/>
        <v>133692886.5477</v>
      </c>
      <c r="H71" s="20">
        <v>271.7</v>
      </c>
      <c r="I71" s="20">
        <v>0</v>
      </c>
      <c r="J71" s="3">
        <v>31</v>
      </c>
      <c r="K71" s="3">
        <v>1</v>
      </c>
      <c r="L71" s="3">
        <v>352</v>
      </c>
      <c r="M71" s="3">
        <v>82238</v>
      </c>
      <c r="N71" s="3">
        <f t="shared" si="6"/>
        <v>135629494.1737</v>
      </c>
      <c r="O71" s="21">
        <f t="shared" si="4"/>
        <v>1.4485494898107687E-2</v>
      </c>
    </row>
    <row r="72" spans="1:15" x14ac:dyDescent="0.2">
      <c r="A72" s="8">
        <v>41944</v>
      </c>
      <c r="B72" s="19">
        <v>149943539.00000006</v>
      </c>
      <c r="C72" s="19">
        <v>2898608.1288000001</v>
      </c>
      <c r="D72" s="19">
        <v>-2214508.8672038196</v>
      </c>
      <c r="E72" s="19">
        <v>-827745.24309999996</v>
      </c>
      <c r="F72" s="19">
        <f>-CDM!D144</f>
        <v>-5780966.1007548822</v>
      </c>
      <c r="G72" s="19">
        <f t="shared" si="5"/>
        <v>144018926.91769999</v>
      </c>
      <c r="H72" s="20">
        <v>532.20000000000005</v>
      </c>
      <c r="I72" s="20">
        <v>0</v>
      </c>
      <c r="J72" s="3">
        <v>30</v>
      </c>
      <c r="K72" s="3">
        <v>1</v>
      </c>
      <c r="L72" s="3">
        <v>320</v>
      </c>
      <c r="M72" s="3">
        <v>82340</v>
      </c>
      <c r="N72" s="3">
        <f t="shared" si="6"/>
        <v>139654097.67320001</v>
      </c>
      <c r="O72" s="21">
        <f t="shared" si="4"/>
        <v>3.0307330695459767E-2</v>
      </c>
    </row>
    <row r="73" spans="1:15" x14ac:dyDescent="0.2">
      <c r="A73" s="9">
        <v>41974</v>
      </c>
      <c r="B73" s="22">
        <v>158404134.65384611</v>
      </c>
      <c r="C73" s="22">
        <v>3028318.5380000002</v>
      </c>
      <c r="D73" s="22">
        <v>-2207246.4606585093</v>
      </c>
      <c r="E73" s="22">
        <v>-898906.19279999996</v>
      </c>
      <c r="F73" s="22">
        <f>-CDM!D145</f>
        <v>-5847246.203538374</v>
      </c>
      <c r="G73" s="22">
        <f t="shared" si="5"/>
        <v>152479054.3348</v>
      </c>
      <c r="H73" s="23">
        <v>597.79999999999995</v>
      </c>
      <c r="I73" s="23">
        <v>0</v>
      </c>
      <c r="J73" s="5">
        <v>31</v>
      </c>
      <c r="K73" s="5">
        <v>0</v>
      </c>
      <c r="L73" s="5">
        <v>336</v>
      </c>
      <c r="M73" s="5">
        <v>82425</v>
      </c>
      <c r="N73" s="5">
        <f t="shared" si="6"/>
        <v>152963225.5395</v>
      </c>
      <c r="O73" s="24">
        <f t="shared" si="4"/>
        <v>3.1753292726808269E-3</v>
      </c>
    </row>
    <row r="74" spans="1:15" x14ac:dyDescent="0.2">
      <c r="A74" s="8">
        <v>42005</v>
      </c>
      <c r="B74" s="19">
        <v>170394114</v>
      </c>
      <c r="C74" s="19">
        <v>3041341.1636999999</v>
      </c>
      <c r="D74" s="19">
        <v>-2044579.2443051822</v>
      </c>
      <c r="E74" s="19">
        <v>-876866.40430000005</v>
      </c>
      <c r="F74" s="19">
        <f>-CDM!D146</f>
        <v>-5979908.282433752</v>
      </c>
      <c r="G74" s="19">
        <f t="shared" si="5"/>
        <v>164534101.23269999</v>
      </c>
      <c r="H74" s="20">
        <v>842.40000000000009</v>
      </c>
      <c r="I74" s="20">
        <v>0</v>
      </c>
      <c r="J74" s="3">
        <v>31</v>
      </c>
      <c r="K74" s="3">
        <v>0</v>
      </c>
      <c r="L74" s="3">
        <v>336</v>
      </c>
      <c r="M74" s="3">
        <v>82551</v>
      </c>
      <c r="N74" s="3">
        <f t="shared" si="6"/>
        <v>162584009.18689999</v>
      </c>
      <c r="O74" s="21">
        <f t="shared" si="4"/>
        <v>1.18522059025441E-2</v>
      </c>
    </row>
    <row r="75" spans="1:15" x14ac:dyDescent="0.2">
      <c r="A75" s="8">
        <v>42036</v>
      </c>
      <c r="B75" s="19">
        <v>159595479</v>
      </c>
      <c r="C75" s="19">
        <v>2620561.8352000001</v>
      </c>
      <c r="D75" s="19">
        <v>-1646140.8349746345</v>
      </c>
      <c r="E75" s="19">
        <v>-733522.65914999996</v>
      </c>
      <c r="F75" s="19">
        <f>-CDM!D147</f>
        <v>-6112570.3613291308</v>
      </c>
      <c r="G75" s="19">
        <f t="shared" si="5"/>
        <v>153723806.9797</v>
      </c>
      <c r="H75" s="20">
        <v>917.09999999999991</v>
      </c>
      <c r="I75" s="20">
        <v>0</v>
      </c>
      <c r="J75" s="3">
        <v>28</v>
      </c>
      <c r="K75" s="3">
        <v>0</v>
      </c>
      <c r="L75" s="3">
        <v>304</v>
      </c>
      <c r="M75" s="3">
        <v>82614</v>
      </c>
      <c r="N75" s="3">
        <f t="shared" si="6"/>
        <v>152066984.88</v>
      </c>
      <c r="O75" s="21">
        <f t="shared" si="4"/>
        <v>1.0777914834745106E-2</v>
      </c>
    </row>
    <row r="76" spans="1:15" x14ac:dyDescent="0.2">
      <c r="A76" s="8">
        <v>42064</v>
      </c>
      <c r="B76" s="19">
        <v>156767280.00000003</v>
      </c>
      <c r="C76" s="19">
        <v>3638361.7214000002</v>
      </c>
      <c r="D76" s="19">
        <v>0</v>
      </c>
      <c r="E76" s="19">
        <v>-727367.75809999998</v>
      </c>
      <c r="F76" s="19">
        <f>-CDM!D148</f>
        <v>-6245232.4402245097</v>
      </c>
      <c r="G76" s="19">
        <f t="shared" si="5"/>
        <v>153433041.52309999</v>
      </c>
      <c r="H76" s="20">
        <v>657.30000000000007</v>
      </c>
      <c r="I76" s="20">
        <v>0</v>
      </c>
      <c r="J76" s="3">
        <v>31</v>
      </c>
      <c r="K76" s="3">
        <v>1</v>
      </c>
      <c r="L76" s="3">
        <v>352</v>
      </c>
      <c r="M76" s="3">
        <v>82707</v>
      </c>
      <c r="N76" s="3">
        <f t="shared" si="6"/>
        <v>150482022.69870001</v>
      </c>
      <c r="O76" s="21">
        <f t="shared" si="4"/>
        <v>1.9233268109044799E-2</v>
      </c>
    </row>
    <row r="77" spans="1:15" x14ac:dyDescent="0.2">
      <c r="A77" s="8">
        <v>42095</v>
      </c>
      <c r="B77" s="19">
        <v>134799745.99999997</v>
      </c>
      <c r="C77" s="19">
        <v>3692706.7620999999</v>
      </c>
      <c r="D77" s="19">
        <v>0</v>
      </c>
      <c r="E77" s="19">
        <v>-618309.94039999996</v>
      </c>
      <c r="F77" s="19">
        <f>-CDM!D149</f>
        <v>-6377894.5191198885</v>
      </c>
      <c r="G77" s="19">
        <f t="shared" si="5"/>
        <v>131496248.3026</v>
      </c>
      <c r="H77" s="20">
        <v>359.40000000000003</v>
      </c>
      <c r="I77" s="20">
        <v>0</v>
      </c>
      <c r="J77" s="3">
        <v>30</v>
      </c>
      <c r="K77" s="3">
        <v>1</v>
      </c>
      <c r="L77" s="3">
        <v>336</v>
      </c>
      <c r="M77" s="3">
        <v>82847</v>
      </c>
      <c r="N77" s="3">
        <f t="shared" si="6"/>
        <v>133502390.869</v>
      </c>
      <c r="O77" s="21">
        <f t="shared" si="4"/>
        <v>1.5256272268570514E-2</v>
      </c>
    </row>
    <row r="78" spans="1:15" x14ac:dyDescent="0.2">
      <c r="A78" s="8">
        <v>42125</v>
      </c>
      <c r="B78" s="19">
        <v>138723842</v>
      </c>
      <c r="C78" s="19">
        <v>3988852.6880000001</v>
      </c>
      <c r="D78" s="19">
        <v>0</v>
      </c>
      <c r="E78" s="19">
        <v>-563834.34675000003</v>
      </c>
      <c r="F78" s="19">
        <f>-CDM!D150</f>
        <v>-6510556.5980152674</v>
      </c>
      <c r="G78" s="19">
        <f t="shared" si="5"/>
        <v>135638303.7432</v>
      </c>
      <c r="H78" s="20">
        <v>116.60000000000002</v>
      </c>
      <c r="I78" s="20">
        <v>29.199999999999996</v>
      </c>
      <c r="J78" s="3">
        <v>31</v>
      </c>
      <c r="K78" s="3">
        <v>1</v>
      </c>
      <c r="L78" s="3">
        <v>320</v>
      </c>
      <c r="M78" s="3">
        <v>82982</v>
      </c>
      <c r="N78" s="3">
        <f t="shared" si="6"/>
        <v>136527792.24720001</v>
      </c>
      <c r="O78" s="21">
        <f t="shared" si="4"/>
        <v>6.5577973142751933E-3</v>
      </c>
    </row>
    <row r="79" spans="1:15" x14ac:dyDescent="0.2">
      <c r="A79" s="8">
        <v>42156</v>
      </c>
      <c r="B79" s="19">
        <v>139875436.99999997</v>
      </c>
      <c r="C79" s="19">
        <v>3955693.7250999999</v>
      </c>
      <c r="D79" s="19">
        <v>0</v>
      </c>
      <c r="E79" s="19">
        <v>-508129.37</v>
      </c>
      <c r="F79" s="19">
        <f>-CDM!D151</f>
        <v>-6643218.6769106463</v>
      </c>
      <c r="G79" s="19">
        <f t="shared" si="5"/>
        <v>136679782.67820001</v>
      </c>
      <c r="H79" s="20">
        <v>56.5</v>
      </c>
      <c r="I79" s="20">
        <v>14.5</v>
      </c>
      <c r="J79" s="3">
        <v>30</v>
      </c>
      <c r="K79" s="3">
        <v>0</v>
      </c>
      <c r="L79" s="3">
        <v>352</v>
      </c>
      <c r="M79" s="3">
        <v>83063</v>
      </c>
      <c r="N79" s="3">
        <f t="shared" si="6"/>
        <v>133639996.12109999</v>
      </c>
      <c r="O79" s="21">
        <f t="shared" si="4"/>
        <v>2.2240206250963346E-2</v>
      </c>
    </row>
    <row r="80" spans="1:15" x14ac:dyDescent="0.2">
      <c r="A80" s="8">
        <v>42186</v>
      </c>
      <c r="B80" s="19">
        <v>156564116</v>
      </c>
      <c r="C80" s="19">
        <v>4317131.5157000003</v>
      </c>
      <c r="D80" s="19">
        <v>0</v>
      </c>
      <c r="E80" s="19">
        <v>-545174.05330000003</v>
      </c>
      <c r="F80" s="19">
        <f>-CDM!D152</f>
        <v>-6775880.7558060251</v>
      </c>
      <c r="G80" s="19">
        <f t="shared" si="5"/>
        <v>153560192.70660001</v>
      </c>
      <c r="H80" s="20">
        <v>19.900000000000006</v>
      </c>
      <c r="I80" s="20">
        <v>57.000000000000007</v>
      </c>
      <c r="J80" s="3">
        <v>31</v>
      </c>
      <c r="K80" s="3">
        <v>0</v>
      </c>
      <c r="L80" s="3">
        <v>352</v>
      </c>
      <c r="M80" s="3">
        <v>83165</v>
      </c>
      <c r="N80" s="3">
        <f t="shared" si="6"/>
        <v>151117476.88190001</v>
      </c>
      <c r="O80" s="21">
        <f t="shared" si="4"/>
        <v>1.5907220365157904E-2</v>
      </c>
    </row>
    <row r="81" spans="1:15" x14ac:dyDescent="0.2">
      <c r="A81" s="8">
        <v>42217</v>
      </c>
      <c r="B81" s="19">
        <v>150055351.00000003</v>
      </c>
      <c r="C81" s="19">
        <v>3839833.4193000002</v>
      </c>
      <c r="D81" s="19">
        <v>0</v>
      </c>
      <c r="E81" s="19">
        <v>-611438.12315</v>
      </c>
      <c r="F81" s="19">
        <f>-CDM!D153</f>
        <v>-6908542.834701404</v>
      </c>
      <c r="G81" s="19">
        <f t="shared" si="5"/>
        <v>146375203.4614</v>
      </c>
      <c r="H81" s="20">
        <v>29.800000000000008</v>
      </c>
      <c r="I81" s="20">
        <v>47.8</v>
      </c>
      <c r="J81" s="3">
        <v>31</v>
      </c>
      <c r="K81" s="3">
        <v>0</v>
      </c>
      <c r="L81" s="3">
        <v>320</v>
      </c>
      <c r="M81" s="3">
        <v>83275</v>
      </c>
      <c r="N81" s="3">
        <f t="shared" si="6"/>
        <v>145360267.69279999</v>
      </c>
      <c r="O81" s="21">
        <f t="shared" si="4"/>
        <v>6.9337957837077857E-3</v>
      </c>
    </row>
    <row r="82" spans="1:15" x14ac:dyDescent="0.2">
      <c r="A82" s="8">
        <v>42248</v>
      </c>
      <c r="B82" s="19">
        <v>146219596</v>
      </c>
      <c r="C82" s="19">
        <v>3512058.7532000002</v>
      </c>
      <c r="D82" s="19">
        <v>0</v>
      </c>
      <c r="E82" s="19">
        <v>-675089.70984999998</v>
      </c>
      <c r="F82" s="19">
        <f>-CDM!D154</f>
        <v>-7041204.9135967828</v>
      </c>
      <c r="G82" s="19">
        <f t="shared" si="5"/>
        <v>142015360.12979999</v>
      </c>
      <c r="H82" s="20">
        <v>58.400000000000006</v>
      </c>
      <c r="I82" s="20">
        <v>44.7</v>
      </c>
      <c r="J82" s="3">
        <v>30</v>
      </c>
      <c r="K82" s="3">
        <v>1</v>
      </c>
      <c r="L82" s="3">
        <v>336</v>
      </c>
      <c r="M82" s="3">
        <v>83382</v>
      </c>
      <c r="N82" s="3">
        <f t="shared" si="6"/>
        <v>137136018.77770001</v>
      </c>
      <c r="O82" s="21">
        <f t="shared" si="4"/>
        <v>3.4357842332268351E-2</v>
      </c>
    </row>
    <row r="83" spans="1:15" x14ac:dyDescent="0.2">
      <c r="A83" s="8">
        <v>42278</v>
      </c>
      <c r="B83" s="19">
        <v>135439538</v>
      </c>
      <c r="C83" s="19">
        <v>3234044.1974999998</v>
      </c>
      <c r="D83" s="19">
        <v>0</v>
      </c>
      <c r="E83" s="19">
        <v>-785850.43420000002</v>
      </c>
      <c r="F83" s="19">
        <f>-CDM!D155</f>
        <v>-7173866.9924921617</v>
      </c>
      <c r="G83" s="19">
        <f t="shared" si="5"/>
        <v>130713864.77079999</v>
      </c>
      <c r="H83" s="20">
        <v>290.89999999999998</v>
      </c>
      <c r="I83" s="20">
        <v>0</v>
      </c>
      <c r="J83" s="3">
        <v>31</v>
      </c>
      <c r="K83" s="3">
        <v>1</v>
      </c>
      <c r="L83" s="3">
        <v>336</v>
      </c>
      <c r="M83" s="3">
        <v>83492</v>
      </c>
      <c r="N83" s="3">
        <f t="shared" si="6"/>
        <v>133601456.3251</v>
      </c>
      <c r="O83" s="21">
        <f t="shared" si="4"/>
        <v>2.2090935489997632E-2</v>
      </c>
    </row>
    <row r="84" spans="1:15" x14ac:dyDescent="0.2">
      <c r="A84" s="8">
        <v>42309</v>
      </c>
      <c r="B84" s="19">
        <v>137059823</v>
      </c>
      <c r="C84" s="19">
        <v>3137506.1808000002</v>
      </c>
      <c r="D84" s="19">
        <v>0</v>
      </c>
      <c r="E84" s="19">
        <v>-835840.37800000003</v>
      </c>
      <c r="F84" s="19">
        <f>-CDM!D156</f>
        <v>-7306529.0713875405</v>
      </c>
      <c r="G84" s="19">
        <f t="shared" si="5"/>
        <v>132054959.7314</v>
      </c>
      <c r="H84" s="20">
        <v>391.7</v>
      </c>
      <c r="I84" s="20">
        <v>0</v>
      </c>
      <c r="J84" s="3">
        <v>30</v>
      </c>
      <c r="K84" s="3">
        <v>1</v>
      </c>
      <c r="L84" s="3">
        <v>336</v>
      </c>
      <c r="M84" s="3">
        <v>83554</v>
      </c>
      <c r="N84" s="3">
        <f t="shared" si="6"/>
        <v>133970632.11939999</v>
      </c>
      <c r="O84" s="21">
        <f t="shared" si="4"/>
        <v>1.4506629602526688E-2</v>
      </c>
    </row>
    <row r="85" spans="1:15" x14ac:dyDescent="0.2">
      <c r="A85" s="9">
        <v>42339</v>
      </c>
      <c r="B85" s="22">
        <v>146474819.99999997</v>
      </c>
      <c r="C85" s="22">
        <v>3119516.4407500001</v>
      </c>
      <c r="D85" s="22">
        <v>0</v>
      </c>
      <c r="E85" s="22">
        <v>-904654.74265000003</v>
      </c>
      <c r="F85" s="22">
        <f>-CDM!D157</f>
        <v>-7439191.1502829194</v>
      </c>
      <c r="G85" s="22">
        <f t="shared" si="5"/>
        <v>141250490.5478</v>
      </c>
      <c r="H85" s="23">
        <v>468.2</v>
      </c>
      <c r="I85" s="23">
        <v>0</v>
      </c>
      <c r="J85" s="5">
        <v>31</v>
      </c>
      <c r="K85" s="5">
        <v>0</v>
      </c>
      <c r="L85" s="5">
        <v>336</v>
      </c>
      <c r="M85" s="5">
        <v>83642</v>
      </c>
      <c r="N85" s="5">
        <f t="shared" si="6"/>
        <v>146373964.6442</v>
      </c>
      <c r="O85" s="24">
        <f t="shared" si="4"/>
        <v>3.6272257013268083E-2</v>
      </c>
    </row>
    <row r="86" spans="1:15" x14ac:dyDescent="0.2">
      <c r="A86" s="8">
        <v>42370</v>
      </c>
      <c r="B86" s="13">
        <v>159251541</v>
      </c>
      <c r="C86" s="13">
        <v>3281605.5203999998</v>
      </c>
      <c r="D86" s="13">
        <v>0</v>
      </c>
      <c r="E86" s="13">
        <v>-883555.75950000004</v>
      </c>
      <c r="F86" s="13">
        <f>-CDM!D158</f>
        <v>-7582385.6605445212</v>
      </c>
      <c r="G86" s="13">
        <f t="shared" si="5"/>
        <v>154067205.1004</v>
      </c>
      <c r="H86" s="20">
        <v>717</v>
      </c>
      <c r="I86" s="20">
        <v>0</v>
      </c>
      <c r="J86" s="3">
        <v>31</v>
      </c>
      <c r="K86" s="3">
        <v>0</v>
      </c>
      <c r="L86" s="3">
        <v>320</v>
      </c>
      <c r="M86" s="3">
        <v>83744.75589354735</v>
      </c>
      <c r="N86" s="3">
        <f t="shared" si="6"/>
        <v>154851909.0891</v>
      </c>
      <c r="O86" s="21">
        <f t="shared" si="4"/>
        <v>5.0932577649385191E-3</v>
      </c>
    </row>
    <row r="87" spans="1:15" x14ac:dyDescent="0.2">
      <c r="A87" s="8">
        <v>42401</v>
      </c>
      <c r="B87" s="13">
        <v>145700617</v>
      </c>
      <c r="C87" s="13">
        <v>3249979.0684000002</v>
      </c>
      <c r="D87" s="13">
        <v>0</v>
      </c>
      <c r="E87" s="13">
        <v>-763115.80839999998</v>
      </c>
      <c r="F87" s="13">
        <f>-CDM!D159</f>
        <v>-7725580.1708061229</v>
      </c>
      <c r="G87" s="13">
        <f t="shared" si="5"/>
        <v>140461900.08919999</v>
      </c>
      <c r="H87" s="20">
        <v>627.10000000000014</v>
      </c>
      <c r="I87" s="20">
        <v>0</v>
      </c>
      <c r="J87" s="3">
        <v>29</v>
      </c>
      <c r="K87" s="3">
        <v>0</v>
      </c>
      <c r="L87" s="3">
        <v>320</v>
      </c>
      <c r="M87" s="3">
        <v>83847.638024794171</v>
      </c>
      <c r="N87" s="3">
        <f t="shared" si="6"/>
        <v>143974825.0228</v>
      </c>
      <c r="O87" s="21">
        <f t="shared" si="4"/>
        <v>2.5009806441242288E-2</v>
      </c>
    </row>
    <row r="88" spans="1:15" x14ac:dyDescent="0.2">
      <c r="A88" s="8">
        <v>42430</v>
      </c>
      <c r="B88" s="13">
        <v>143585865</v>
      </c>
      <c r="C88" s="13">
        <v>3698905.8876999998</v>
      </c>
      <c r="D88" s="13">
        <v>0</v>
      </c>
      <c r="E88" s="13">
        <v>-729634.27824999997</v>
      </c>
      <c r="F88" s="13">
        <f>-CDM!D160</f>
        <v>-7868774.6810677247</v>
      </c>
      <c r="G88" s="13">
        <f t="shared" si="5"/>
        <v>138686361.92840001</v>
      </c>
      <c r="H88" s="20">
        <v>492.6</v>
      </c>
      <c r="I88" s="20">
        <v>0</v>
      </c>
      <c r="J88" s="3">
        <v>31</v>
      </c>
      <c r="K88" s="3">
        <v>1</v>
      </c>
      <c r="L88" s="3">
        <v>352</v>
      </c>
      <c r="M88" s="3">
        <v>83950.646548826029</v>
      </c>
      <c r="N88" s="3">
        <f t="shared" si="6"/>
        <v>142460209.56240001</v>
      </c>
      <c r="O88" s="21">
        <f t="shared" si="4"/>
        <v>2.7211382442552834E-2</v>
      </c>
    </row>
    <row r="89" spans="1:15" x14ac:dyDescent="0.2">
      <c r="A89" s="8">
        <v>42461</v>
      </c>
      <c r="B89" s="13">
        <v>133317772.00000003</v>
      </c>
      <c r="C89" s="13">
        <v>4216858.0641000001</v>
      </c>
      <c r="D89" s="13">
        <v>0</v>
      </c>
      <c r="E89" s="13">
        <v>-620043.90749999997</v>
      </c>
      <c r="F89" s="13">
        <f>-CDM!D161</f>
        <v>-8011969.1913293265</v>
      </c>
      <c r="G89" s="13">
        <f t="shared" si="5"/>
        <v>128902616.96529999</v>
      </c>
      <c r="H89" s="20">
        <v>432.3</v>
      </c>
      <c r="I89" s="20">
        <v>0</v>
      </c>
      <c r="J89" s="3">
        <v>30</v>
      </c>
      <c r="K89" s="3">
        <v>1</v>
      </c>
      <c r="L89" s="3">
        <v>336</v>
      </c>
      <c r="M89" s="3">
        <v>84053.78162091902</v>
      </c>
      <c r="N89" s="3">
        <f t="shared" si="6"/>
        <v>135011092.6498</v>
      </c>
      <c r="O89" s="21">
        <f t="shared" si="4"/>
        <v>4.7388298455913969E-2</v>
      </c>
    </row>
    <row r="90" spans="1:15" x14ac:dyDescent="0.2">
      <c r="A90" s="8">
        <v>42491</v>
      </c>
      <c r="B90" s="13">
        <v>135340999</v>
      </c>
      <c r="C90" s="13">
        <v>4699993.8752999995</v>
      </c>
      <c r="D90" s="13">
        <v>0</v>
      </c>
      <c r="E90" s="13">
        <v>-565248.72290000005</v>
      </c>
      <c r="F90" s="13">
        <f>-CDM!D162</f>
        <v>-8155163.7015909282</v>
      </c>
      <c r="G90" s="13">
        <f t="shared" si="5"/>
        <v>131320580.4508</v>
      </c>
      <c r="H90" s="20">
        <v>175.1</v>
      </c>
      <c r="I90" s="20">
        <v>18.3</v>
      </c>
      <c r="J90" s="3">
        <v>31</v>
      </c>
      <c r="K90" s="3">
        <v>1</v>
      </c>
      <c r="L90" s="3">
        <v>336</v>
      </c>
      <c r="M90" s="3">
        <v>84157.043396540015</v>
      </c>
      <c r="N90" s="3">
        <f t="shared" si="6"/>
        <v>134867391.2687</v>
      </c>
      <c r="O90" s="21">
        <f t="shared" si="4"/>
        <v>2.7008796380007194E-2</v>
      </c>
    </row>
    <row r="91" spans="1:15" x14ac:dyDescent="0.2">
      <c r="A91" s="8">
        <v>42522</v>
      </c>
      <c r="B91" s="13">
        <v>145060761</v>
      </c>
      <c r="C91" s="13">
        <v>4734008.8143000007</v>
      </c>
      <c r="D91" s="13">
        <v>0</v>
      </c>
      <c r="E91" s="13">
        <v>-510597.03535000002</v>
      </c>
      <c r="F91" s="13">
        <f>-CDM!D163</f>
        <v>-8298358.21185253</v>
      </c>
      <c r="G91" s="13">
        <f t="shared" si="5"/>
        <v>140985814.56709999</v>
      </c>
      <c r="H91" s="20">
        <v>51.4</v>
      </c>
      <c r="I91" s="20">
        <v>33.799999999999997</v>
      </c>
      <c r="J91" s="3">
        <v>30</v>
      </c>
      <c r="K91" s="3">
        <v>0</v>
      </c>
      <c r="L91" s="3">
        <v>352</v>
      </c>
      <c r="M91" s="3">
        <v>84260.432031346863</v>
      </c>
      <c r="N91" s="3">
        <f t="shared" si="6"/>
        <v>139071771.86770001</v>
      </c>
      <c r="O91" s="21">
        <f t="shared" si="4"/>
        <v>1.3576136757283641E-2</v>
      </c>
    </row>
    <row r="92" spans="1:15" x14ac:dyDescent="0.2">
      <c r="A92" s="8">
        <v>42552</v>
      </c>
      <c r="B92" s="13">
        <v>165663034.99999994</v>
      </c>
      <c r="C92" s="13">
        <v>4471434.8560000006</v>
      </c>
      <c r="D92" s="13">
        <v>0</v>
      </c>
      <c r="E92" s="13">
        <v>-542805.02024999994</v>
      </c>
      <c r="F92" s="13">
        <f>-CDM!D164</f>
        <v>-8441552.7221141327</v>
      </c>
      <c r="G92" s="13">
        <f t="shared" si="5"/>
        <v>161150112.11359999</v>
      </c>
      <c r="H92" s="20">
        <v>5</v>
      </c>
      <c r="I92" s="20">
        <v>102.29999999999998</v>
      </c>
      <c r="J92" s="3">
        <v>31</v>
      </c>
      <c r="K92" s="3">
        <v>0</v>
      </c>
      <c r="L92" s="3">
        <v>320</v>
      </c>
      <c r="M92" s="3">
        <v>84690</v>
      </c>
      <c r="N92" s="3">
        <f t="shared" si="6"/>
        <v>162568392.67879999</v>
      </c>
      <c r="O92" s="21">
        <f t="shared" si="4"/>
        <v>8.8009902481496205E-3</v>
      </c>
    </row>
    <row r="93" spans="1:15" x14ac:dyDescent="0.2">
      <c r="A93" s="8">
        <v>42583</v>
      </c>
      <c r="B93" s="13">
        <v>172843199.99999997</v>
      </c>
      <c r="C93" s="13">
        <v>4537730.2801999999</v>
      </c>
      <c r="D93" s="13">
        <v>0</v>
      </c>
      <c r="E93" s="13">
        <v>-609556.59034999995</v>
      </c>
      <c r="F93" s="13">
        <f>-CDM!D165</f>
        <v>-8584747.2323757354</v>
      </c>
      <c r="G93" s="13">
        <f t="shared" si="5"/>
        <v>168186626.45750001</v>
      </c>
      <c r="H93" s="20">
        <v>2.1</v>
      </c>
      <c r="I93" s="20">
        <v>104.39999999999999</v>
      </c>
      <c r="J93" s="3">
        <v>31</v>
      </c>
      <c r="K93" s="3">
        <v>0</v>
      </c>
      <c r="L93" s="3">
        <v>352</v>
      </c>
      <c r="M93" s="3">
        <v>84785</v>
      </c>
      <c r="N93" s="3">
        <f t="shared" si="6"/>
        <v>165781901.82710001</v>
      </c>
      <c r="O93" s="21">
        <f t="shared" si="4"/>
        <v>1.4297953892354553E-2</v>
      </c>
    </row>
    <row r="94" spans="1:15" x14ac:dyDescent="0.2">
      <c r="A94" s="8">
        <v>42614</v>
      </c>
      <c r="B94" s="13">
        <v>143586381.99999997</v>
      </c>
      <c r="C94" s="13">
        <v>4409993.0782999992</v>
      </c>
      <c r="D94" s="13">
        <v>0</v>
      </c>
      <c r="E94" s="13">
        <v>-671831.03130000003</v>
      </c>
      <c r="F94" s="13">
        <f>-CDM!D166</f>
        <v>-8727941.7426373381</v>
      </c>
      <c r="G94" s="13">
        <f t="shared" si="5"/>
        <v>138596602.3044</v>
      </c>
      <c r="H94" s="20">
        <v>69.2</v>
      </c>
      <c r="I94" s="20">
        <v>26.3</v>
      </c>
      <c r="J94" s="3">
        <v>30</v>
      </c>
      <c r="K94" s="3">
        <v>1</v>
      </c>
      <c r="L94" s="3">
        <v>336</v>
      </c>
      <c r="M94" s="3">
        <v>84919</v>
      </c>
      <c r="N94" s="3">
        <f t="shared" si="6"/>
        <v>129082095.8803</v>
      </c>
      <c r="O94" s="21">
        <f t="shared" si="4"/>
        <v>6.8648915383966336E-2</v>
      </c>
    </row>
    <row r="95" spans="1:15" x14ac:dyDescent="0.2">
      <c r="A95" s="8">
        <v>42644</v>
      </c>
      <c r="B95" s="13">
        <v>135079936.99999997</v>
      </c>
      <c r="C95" s="13">
        <v>3925740.7600000002</v>
      </c>
      <c r="D95" s="13">
        <v>0</v>
      </c>
      <c r="E95" s="13">
        <v>-784165.34699999995</v>
      </c>
      <c r="F95" s="13">
        <f>-CDM!D167</f>
        <v>-8871136.2528989408</v>
      </c>
      <c r="G95" s="13">
        <f t="shared" si="5"/>
        <v>129350376.1601</v>
      </c>
      <c r="H95" s="20">
        <v>247.7</v>
      </c>
      <c r="I95" s="20">
        <v>1.8</v>
      </c>
      <c r="J95" s="3">
        <v>31</v>
      </c>
      <c r="K95" s="3">
        <v>1</v>
      </c>
      <c r="L95" s="3">
        <v>320</v>
      </c>
      <c r="M95" s="3">
        <v>85012</v>
      </c>
      <c r="N95" s="3">
        <f t="shared" si="6"/>
        <v>129427964.98800001</v>
      </c>
      <c r="O95" s="21">
        <f t="shared" si="4"/>
        <v>5.998345749220757E-4</v>
      </c>
    </row>
    <row r="96" spans="1:15" x14ac:dyDescent="0.2">
      <c r="A96" s="8">
        <v>42675</v>
      </c>
      <c r="B96" s="13">
        <v>136705849</v>
      </c>
      <c r="C96" s="13">
        <v>3722646.4846000001</v>
      </c>
      <c r="D96" s="13">
        <v>0</v>
      </c>
      <c r="E96" s="13">
        <v>-833886.08015000005</v>
      </c>
      <c r="F96" s="13">
        <f>-CDM!D168</f>
        <v>-9014330.7631605435</v>
      </c>
      <c r="G96" s="13">
        <f t="shared" si="5"/>
        <v>130580278.64129999</v>
      </c>
      <c r="H96" s="20">
        <v>388.80000000000007</v>
      </c>
      <c r="I96" s="20">
        <v>0</v>
      </c>
      <c r="J96" s="3">
        <v>30</v>
      </c>
      <c r="K96" s="3">
        <v>1</v>
      </c>
      <c r="L96" s="3">
        <v>352</v>
      </c>
      <c r="M96" s="3">
        <v>85166</v>
      </c>
      <c r="N96" s="3">
        <f t="shared" si="6"/>
        <v>133319234.55949999</v>
      </c>
      <c r="O96" s="21">
        <f t="shared" si="4"/>
        <v>2.0975264769681035E-2</v>
      </c>
    </row>
    <row r="97" spans="1:15" x14ac:dyDescent="0.2">
      <c r="A97" s="9">
        <v>42705</v>
      </c>
      <c r="B97" s="14">
        <v>155844338.00000006</v>
      </c>
      <c r="C97" s="14">
        <v>3177288.9808</v>
      </c>
      <c r="D97" s="14">
        <v>0</v>
      </c>
      <c r="E97" s="14">
        <v>-901366.57444999996</v>
      </c>
      <c r="F97" s="14">
        <f>-CDM!D169</f>
        <v>-9157525.2734221462</v>
      </c>
      <c r="G97" s="14">
        <f t="shared" si="5"/>
        <v>148962735.1329</v>
      </c>
      <c r="H97" s="23">
        <v>647.89999999999986</v>
      </c>
      <c r="I97" s="23">
        <v>0</v>
      </c>
      <c r="J97" s="5">
        <v>31</v>
      </c>
      <c r="K97" s="5">
        <v>0</v>
      </c>
      <c r="L97" s="5">
        <v>320</v>
      </c>
      <c r="M97" s="5">
        <v>85248</v>
      </c>
      <c r="N97" s="5">
        <f t="shared" si="6"/>
        <v>150345874.00529999</v>
      </c>
      <c r="O97" s="24">
        <f t="shared" si="4"/>
        <v>9.2851334339825176E-3</v>
      </c>
    </row>
    <row r="98" spans="1:15" x14ac:dyDescent="0.2">
      <c r="A98" s="8">
        <v>42736</v>
      </c>
      <c r="B98" s="13">
        <v>157837189.00000006</v>
      </c>
      <c r="C98" s="13">
        <v>3445293.4747000001</v>
      </c>
      <c r="D98" s="13">
        <v>0</v>
      </c>
      <c r="E98" s="13">
        <v>-870967.31499999994</v>
      </c>
      <c r="F98" s="13">
        <f>-CDM!D170</f>
        <v>-9401387.9564315602</v>
      </c>
      <c r="G98" s="13">
        <f t="shared" si="5"/>
        <v>151010127.2033</v>
      </c>
      <c r="H98" s="20">
        <v>651.9</v>
      </c>
      <c r="I98" s="20">
        <v>0</v>
      </c>
      <c r="J98" s="3">
        <v>31</v>
      </c>
      <c r="K98" s="3">
        <v>0</v>
      </c>
      <c r="L98" s="3">
        <v>336</v>
      </c>
      <c r="M98" s="3">
        <v>85338</v>
      </c>
      <c r="N98" s="3">
        <f t="shared" si="6"/>
        <v>151738578.99250001</v>
      </c>
      <c r="O98" s="21">
        <f t="shared" ref="O98:O129" si="7">IFERROR((ABS(N98/G98-1)),0)</f>
        <v>4.8238605098274157E-3</v>
      </c>
    </row>
    <row r="99" spans="1:15" x14ac:dyDescent="0.2">
      <c r="A99" s="8">
        <v>42767</v>
      </c>
      <c r="B99" s="13">
        <v>137035801.99999997</v>
      </c>
      <c r="C99" s="13">
        <v>3474853.6203999999</v>
      </c>
      <c r="D99" s="13">
        <v>0</v>
      </c>
      <c r="E99" s="13">
        <v>-726272.54139999999</v>
      </c>
      <c r="F99" s="13">
        <f>-CDM!D171</f>
        <v>-9645250.6394409742</v>
      </c>
      <c r="G99" s="13">
        <f t="shared" si="5"/>
        <v>130139132.43960001</v>
      </c>
      <c r="H99" s="20">
        <v>537.9</v>
      </c>
      <c r="I99" s="20">
        <v>0</v>
      </c>
      <c r="J99" s="3">
        <v>28</v>
      </c>
      <c r="K99" s="3">
        <v>0</v>
      </c>
      <c r="L99" s="3">
        <v>304</v>
      </c>
      <c r="M99" s="3">
        <v>85498</v>
      </c>
      <c r="N99" s="3">
        <f t="shared" si="6"/>
        <v>133573803.03</v>
      </c>
      <c r="O99" s="21">
        <f t="shared" si="7"/>
        <v>2.6392296659838888E-2</v>
      </c>
    </row>
    <row r="100" spans="1:15" x14ac:dyDescent="0.2">
      <c r="A100" s="8">
        <v>42795</v>
      </c>
      <c r="B100" s="13">
        <v>150658537</v>
      </c>
      <c r="C100" s="13">
        <v>4089075.9759</v>
      </c>
      <c r="D100" s="13">
        <v>0</v>
      </c>
      <c r="E100" s="13">
        <v>-719967.47860000003</v>
      </c>
      <c r="F100" s="13">
        <f>-CDM!D172</f>
        <v>-9889113.3224503882</v>
      </c>
      <c r="G100" s="13">
        <f t="shared" si="5"/>
        <v>144138532.1749</v>
      </c>
      <c r="H100" s="20">
        <v>597.6</v>
      </c>
      <c r="I100" s="20">
        <v>0</v>
      </c>
      <c r="J100" s="3">
        <v>31</v>
      </c>
      <c r="K100" s="3">
        <v>1</v>
      </c>
      <c r="L100" s="3">
        <v>368</v>
      </c>
      <c r="M100" s="3">
        <v>85646</v>
      </c>
      <c r="N100" s="3">
        <f t="shared" si="6"/>
        <v>146020542.18650001</v>
      </c>
      <c r="O100" s="21">
        <f t="shared" si="7"/>
        <v>1.3056952802296795E-2</v>
      </c>
    </row>
    <row r="101" spans="1:15" x14ac:dyDescent="0.2">
      <c r="A101" s="8">
        <v>42826</v>
      </c>
      <c r="B101" s="13">
        <v>127304278.99999999</v>
      </c>
      <c r="C101" s="13">
        <v>4330315.8899999997</v>
      </c>
      <c r="D101" s="13">
        <v>0</v>
      </c>
      <c r="E101" s="13">
        <v>-611823.22849999997</v>
      </c>
      <c r="F101" s="13">
        <f>-CDM!D173</f>
        <v>-10132976.005459802</v>
      </c>
      <c r="G101" s="13">
        <f t="shared" si="5"/>
        <v>120889795.656</v>
      </c>
      <c r="H101" s="20">
        <v>281.59999999999991</v>
      </c>
      <c r="I101" s="20">
        <v>0</v>
      </c>
      <c r="J101" s="3">
        <v>30</v>
      </c>
      <c r="K101" s="3">
        <v>1</v>
      </c>
      <c r="L101" s="3">
        <v>304</v>
      </c>
      <c r="M101" s="3">
        <v>85773</v>
      </c>
      <c r="N101" s="3">
        <f t="shared" si="6"/>
        <v>124320578.3273</v>
      </c>
      <c r="O101" s="21">
        <f t="shared" si="7"/>
        <v>2.8379423198485076E-2</v>
      </c>
    </row>
    <row r="102" spans="1:15" x14ac:dyDescent="0.2">
      <c r="A102" s="8">
        <v>42856</v>
      </c>
      <c r="B102" s="13">
        <v>131264949</v>
      </c>
      <c r="C102" s="13">
        <v>4577361.8942999998</v>
      </c>
      <c r="D102" s="13">
        <v>0</v>
      </c>
      <c r="E102" s="13">
        <v>-557389.46429999999</v>
      </c>
      <c r="F102" s="13">
        <f>-CDM!D174</f>
        <v>-10376838.688469216</v>
      </c>
      <c r="G102" s="13">
        <f t="shared" si="5"/>
        <v>124908082.74150001</v>
      </c>
      <c r="H102" s="20">
        <v>214.39999999999995</v>
      </c>
      <c r="I102" s="20">
        <v>2.7</v>
      </c>
      <c r="J102" s="3">
        <v>31</v>
      </c>
      <c r="K102" s="3">
        <v>1</v>
      </c>
      <c r="L102" s="3">
        <v>352</v>
      </c>
      <c r="M102" s="3">
        <v>85929</v>
      </c>
      <c r="N102" s="3">
        <f t="shared" si="6"/>
        <v>130035489.0756</v>
      </c>
      <c r="O102" s="21">
        <f t="shared" si="7"/>
        <v>4.1049435885676555E-2</v>
      </c>
    </row>
    <row r="103" spans="1:15" x14ac:dyDescent="0.2">
      <c r="A103" s="8">
        <v>42887</v>
      </c>
      <c r="B103" s="13">
        <v>141608182.00000003</v>
      </c>
      <c r="C103" s="13">
        <v>4667636.0681999996</v>
      </c>
      <c r="D103" s="13">
        <v>0</v>
      </c>
      <c r="E103" s="13">
        <v>-503065.74625000003</v>
      </c>
      <c r="F103" s="13">
        <f>-CDM!D175</f>
        <v>-10620701.37147863</v>
      </c>
      <c r="G103" s="13">
        <f t="shared" si="5"/>
        <v>135152050.95050001</v>
      </c>
      <c r="H103" s="20">
        <v>45.2</v>
      </c>
      <c r="I103" s="20">
        <v>43</v>
      </c>
      <c r="J103" s="3">
        <v>30</v>
      </c>
      <c r="K103" s="3">
        <v>0</v>
      </c>
      <c r="L103" s="3">
        <v>352</v>
      </c>
      <c r="M103" s="3">
        <v>86044</v>
      </c>
      <c r="N103" s="3">
        <f t="shared" si="6"/>
        <v>140101264.23890001</v>
      </c>
      <c r="O103" s="21">
        <f t="shared" si="7"/>
        <v>3.6619594401957389E-2</v>
      </c>
    </row>
    <row r="104" spans="1:15" x14ac:dyDescent="0.2">
      <c r="A104" s="8">
        <v>42917</v>
      </c>
      <c r="B104" s="13">
        <v>151242759</v>
      </c>
      <c r="C104" s="13">
        <v>4754140.7174999993</v>
      </c>
      <c r="D104" s="13">
        <v>0</v>
      </c>
      <c r="E104" s="13">
        <v>-539685.66619999998</v>
      </c>
      <c r="F104" s="13">
        <f>-CDM!D176</f>
        <v>-10864564.054488044</v>
      </c>
      <c r="G104" s="13">
        <f t="shared" si="5"/>
        <v>144592649.99680001</v>
      </c>
      <c r="H104" s="20">
        <v>3.2</v>
      </c>
      <c r="I104" s="20">
        <v>58.500000000000007</v>
      </c>
      <c r="J104" s="3">
        <v>31</v>
      </c>
      <c r="K104" s="3">
        <v>0</v>
      </c>
      <c r="L104" s="3">
        <v>320</v>
      </c>
      <c r="M104" s="3">
        <v>86130</v>
      </c>
      <c r="N104" s="3">
        <f t="shared" si="6"/>
        <v>144876276.9637</v>
      </c>
      <c r="O104" s="21">
        <f t="shared" si="7"/>
        <v>1.9615586747063762E-3</v>
      </c>
    </row>
    <row r="105" spans="1:15" x14ac:dyDescent="0.2">
      <c r="A105" s="8">
        <v>42948</v>
      </c>
      <c r="B105" s="13">
        <v>146987028</v>
      </c>
      <c r="C105" s="13">
        <v>4553487.6454000007</v>
      </c>
      <c r="D105" s="13">
        <v>0</v>
      </c>
      <c r="E105" s="13">
        <v>-605595.09129999997</v>
      </c>
      <c r="F105" s="13">
        <f>-CDM!D177</f>
        <v>-11108426.737497458</v>
      </c>
      <c r="G105" s="13">
        <f t="shared" si="5"/>
        <v>139826493.81659999</v>
      </c>
      <c r="H105" s="20">
        <v>34.5</v>
      </c>
      <c r="I105" s="20">
        <v>28.6</v>
      </c>
      <c r="J105" s="3">
        <v>31</v>
      </c>
      <c r="K105" s="3">
        <v>0</v>
      </c>
      <c r="L105" s="3">
        <v>352</v>
      </c>
      <c r="M105" s="3">
        <v>86233</v>
      </c>
      <c r="N105" s="3">
        <f t="shared" si="6"/>
        <v>137795402.713</v>
      </c>
      <c r="O105" s="21">
        <f t="shared" si="7"/>
        <v>1.4525795849991252E-2</v>
      </c>
    </row>
    <row r="106" spans="1:15" x14ac:dyDescent="0.2">
      <c r="A106" s="8">
        <v>42979</v>
      </c>
      <c r="B106" s="13">
        <v>140693453.99999997</v>
      </c>
      <c r="C106" s="13">
        <v>4316091.5694000004</v>
      </c>
      <c r="D106" s="13">
        <v>0</v>
      </c>
      <c r="E106" s="13">
        <v>-667111.82854999998</v>
      </c>
      <c r="F106" s="13">
        <f>-CDM!D178</f>
        <v>-11352289.420506872</v>
      </c>
      <c r="G106" s="13">
        <f t="shared" si="5"/>
        <v>132990144.3203</v>
      </c>
      <c r="H106" s="20">
        <v>81.100000000000009</v>
      </c>
      <c r="I106" s="20">
        <v>36.299999999999997</v>
      </c>
      <c r="J106" s="3">
        <v>30</v>
      </c>
      <c r="K106" s="3">
        <v>1</v>
      </c>
      <c r="L106" s="3">
        <v>320</v>
      </c>
      <c r="M106" s="3">
        <v>86301</v>
      </c>
      <c r="N106" s="3">
        <f t="shared" si="6"/>
        <v>130254678.05580001</v>
      </c>
      <c r="O106" s="21">
        <f t="shared" si="7"/>
        <v>2.0568939739713077E-2</v>
      </c>
    </row>
    <row r="107" spans="1:15" x14ac:dyDescent="0.2">
      <c r="A107" s="8">
        <v>43009</v>
      </c>
      <c r="B107" s="13">
        <v>133632620.99999999</v>
      </c>
      <c r="C107" s="13">
        <v>3681788.6799999997</v>
      </c>
      <c r="D107" s="13">
        <v>0</v>
      </c>
      <c r="E107" s="13">
        <v>-593850.13080000004</v>
      </c>
      <c r="F107" s="13">
        <f>-CDM!D179</f>
        <v>-11596152.103516286</v>
      </c>
      <c r="G107" s="13">
        <f t="shared" si="5"/>
        <v>125124407.4457</v>
      </c>
      <c r="H107" s="20">
        <v>208.89999999999998</v>
      </c>
      <c r="I107" s="20">
        <v>3.2</v>
      </c>
      <c r="J107" s="3">
        <v>31</v>
      </c>
      <c r="K107" s="3">
        <v>1</v>
      </c>
      <c r="L107" s="3">
        <v>336</v>
      </c>
      <c r="M107" s="3">
        <v>86429</v>
      </c>
      <c r="N107" s="3">
        <f t="shared" si="6"/>
        <v>128079345.0459</v>
      </c>
      <c r="O107" s="21">
        <f t="shared" si="7"/>
        <v>2.3615996754928537E-2</v>
      </c>
    </row>
    <row r="108" spans="1:15" x14ac:dyDescent="0.2">
      <c r="A108" s="8">
        <v>43040</v>
      </c>
      <c r="B108" s="13">
        <v>141644891.99999997</v>
      </c>
      <c r="C108" s="13">
        <v>3213518.0557999997</v>
      </c>
      <c r="D108" s="13">
        <v>0</v>
      </c>
      <c r="E108" s="13">
        <v>-631399.79495000001</v>
      </c>
      <c r="F108" s="13">
        <f>-CDM!D180</f>
        <v>-11840014.7865257</v>
      </c>
      <c r="G108" s="13">
        <f t="shared" si="5"/>
        <v>132386995.4743</v>
      </c>
      <c r="H108" s="20">
        <v>480.00000000000006</v>
      </c>
      <c r="I108" s="20">
        <v>0</v>
      </c>
      <c r="J108" s="3">
        <v>30</v>
      </c>
      <c r="K108" s="3">
        <v>1</v>
      </c>
      <c r="L108" s="3">
        <v>352</v>
      </c>
      <c r="M108" s="3">
        <v>86606</v>
      </c>
      <c r="N108" s="3">
        <f t="shared" si="6"/>
        <v>135287677.5025</v>
      </c>
      <c r="O108" s="21">
        <f t="shared" si="7"/>
        <v>2.1910626627696939E-2</v>
      </c>
    </row>
    <row r="109" spans="1:15" x14ac:dyDescent="0.2">
      <c r="A109" s="9">
        <v>43070</v>
      </c>
      <c r="B109" s="14">
        <v>157394233</v>
      </c>
      <c r="C109" s="14">
        <v>3107980.5725999996</v>
      </c>
      <c r="D109" s="14">
        <v>0</v>
      </c>
      <c r="E109" s="14">
        <v>-679599.16945000004</v>
      </c>
      <c r="F109" s="14">
        <f>-CDM!D181</f>
        <v>-12083877.469535114</v>
      </c>
      <c r="G109" s="14">
        <f t="shared" si="5"/>
        <v>147738736.93360001</v>
      </c>
      <c r="H109" s="23">
        <v>755.7</v>
      </c>
      <c r="I109" s="23">
        <v>0</v>
      </c>
      <c r="J109" s="5">
        <v>31</v>
      </c>
      <c r="K109" s="5">
        <v>0</v>
      </c>
      <c r="L109" s="5">
        <v>304</v>
      </c>
      <c r="M109" s="5">
        <v>86846</v>
      </c>
      <c r="N109" s="5">
        <f t="shared" si="6"/>
        <v>151456018.75459999</v>
      </c>
      <c r="O109" s="24">
        <f t="shared" si="7"/>
        <v>2.516118587551408E-2</v>
      </c>
    </row>
    <row r="110" spans="1:15" x14ac:dyDescent="0.2">
      <c r="A110" s="8">
        <v>43101</v>
      </c>
      <c r="B110" s="13">
        <v>165079987.99999997</v>
      </c>
      <c r="C110" s="13">
        <v>3266072.5217000004</v>
      </c>
      <c r="D110" s="13">
        <v>0</v>
      </c>
      <c r="E110" s="13">
        <v>0</v>
      </c>
      <c r="G110" s="13">
        <f t="shared" si="5"/>
        <v>168346060.52169999</v>
      </c>
      <c r="H110" s="20">
        <v>791.1</v>
      </c>
      <c r="I110" s="20">
        <v>0</v>
      </c>
      <c r="J110" s="3">
        <v>31</v>
      </c>
      <c r="K110" s="3">
        <v>0</v>
      </c>
      <c r="L110" s="3">
        <v>352</v>
      </c>
      <c r="M110" s="3">
        <v>86890</v>
      </c>
      <c r="N110" s="3">
        <f t="shared" si="6"/>
        <v>156831140.06830001</v>
      </c>
      <c r="O110" s="21">
        <f t="shared" si="7"/>
        <v>6.8400296494705914E-2</v>
      </c>
    </row>
    <row r="111" spans="1:15" x14ac:dyDescent="0.2">
      <c r="A111" s="8">
        <v>43132</v>
      </c>
      <c r="B111" s="13">
        <v>140447382.00000003</v>
      </c>
      <c r="C111" s="13">
        <v>3167678.0368999997</v>
      </c>
      <c r="D111" s="13">
        <v>0</v>
      </c>
      <c r="E111" s="13">
        <v>0</v>
      </c>
      <c r="G111" s="13">
        <f t="shared" si="5"/>
        <v>143615060.03690001</v>
      </c>
      <c r="H111" s="20">
        <v>594.9</v>
      </c>
      <c r="I111" s="20">
        <v>0</v>
      </c>
      <c r="J111" s="3">
        <v>28</v>
      </c>
      <c r="K111" s="3">
        <v>0</v>
      </c>
      <c r="L111" s="3">
        <v>304</v>
      </c>
      <c r="M111" s="3">
        <v>86950</v>
      </c>
      <c r="N111" s="3">
        <f t="shared" si="6"/>
        <v>134162651.3152</v>
      </c>
      <c r="O111" s="21">
        <f t="shared" si="7"/>
        <v>6.5817670648686377E-2</v>
      </c>
    </row>
    <row r="112" spans="1:15" x14ac:dyDescent="0.2">
      <c r="A112" s="8">
        <v>43160</v>
      </c>
      <c r="B112" s="13">
        <v>148006583.00000003</v>
      </c>
      <c r="C112" s="13">
        <v>4325858.5483999997</v>
      </c>
      <c r="D112" s="13">
        <v>0</v>
      </c>
      <c r="E112" s="13">
        <v>0</v>
      </c>
      <c r="G112" s="13">
        <f t="shared" si="5"/>
        <v>152332441.54840001</v>
      </c>
      <c r="H112" s="20">
        <v>591.10000000000014</v>
      </c>
      <c r="I112" s="20">
        <v>0</v>
      </c>
      <c r="J112" s="3">
        <v>31</v>
      </c>
      <c r="K112" s="3">
        <v>1</v>
      </c>
      <c r="L112" s="3">
        <v>336</v>
      </c>
      <c r="M112" s="3">
        <v>87041</v>
      </c>
      <c r="N112" s="3">
        <f t="shared" si="6"/>
        <v>141464866.17210001</v>
      </c>
      <c r="O112" s="21">
        <f t="shared" si="7"/>
        <v>7.1341175036882087E-2</v>
      </c>
    </row>
    <row r="113" spans="1:15" x14ac:dyDescent="0.2">
      <c r="A113" s="8">
        <v>43191</v>
      </c>
      <c r="B113" s="13">
        <v>138011811.99999997</v>
      </c>
      <c r="C113" s="13">
        <v>4328439.2625000002</v>
      </c>
      <c r="D113" s="13">
        <v>0</v>
      </c>
      <c r="E113" s="13">
        <v>0</v>
      </c>
      <c r="G113" s="13">
        <f t="shared" si="5"/>
        <v>142340251.26249999</v>
      </c>
      <c r="H113" s="20">
        <v>474.7999999999999</v>
      </c>
      <c r="I113" s="20">
        <v>0</v>
      </c>
      <c r="J113" s="3">
        <v>30</v>
      </c>
      <c r="K113" s="3">
        <v>1</v>
      </c>
      <c r="L113" s="3">
        <v>336</v>
      </c>
      <c r="M113" s="3">
        <v>87199</v>
      </c>
      <c r="N113" s="3">
        <f t="shared" si="6"/>
        <v>133053403.3169</v>
      </c>
      <c r="O113" s="21">
        <f t="shared" si="7"/>
        <v>6.524400416066034E-2</v>
      </c>
    </row>
    <row r="114" spans="1:15" x14ac:dyDescent="0.2">
      <c r="A114" s="8">
        <v>43221</v>
      </c>
      <c r="B114" s="13">
        <v>139618567.86400005</v>
      </c>
      <c r="C114" s="13">
        <v>4981302.2183999997</v>
      </c>
      <c r="D114" s="13">
        <v>0</v>
      </c>
      <c r="E114" s="13">
        <v>0</v>
      </c>
      <c r="G114" s="13">
        <f t="shared" si="5"/>
        <v>144599870.08239999</v>
      </c>
      <c r="H114" s="20">
        <v>95.199999999999989</v>
      </c>
      <c r="I114" s="20">
        <v>32.5</v>
      </c>
      <c r="J114" s="3">
        <v>31</v>
      </c>
      <c r="K114" s="3">
        <v>1</v>
      </c>
      <c r="L114" s="3">
        <v>352</v>
      </c>
      <c r="M114" s="3">
        <v>87308</v>
      </c>
      <c r="N114" s="3">
        <f t="shared" si="6"/>
        <v>134523018.05559999</v>
      </c>
      <c r="O114" s="21">
        <f t="shared" si="7"/>
        <v>6.9687835964567069E-2</v>
      </c>
    </row>
    <row r="115" spans="1:15" x14ac:dyDescent="0.2">
      <c r="A115" s="8">
        <v>43252</v>
      </c>
      <c r="B115" s="13">
        <v>147243340.99999997</v>
      </c>
      <c r="C115" s="13">
        <v>4613999.3741999995</v>
      </c>
      <c r="D115" s="13">
        <v>0</v>
      </c>
      <c r="E115" s="13">
        <v>0</v>
      </c>
      <c r="G115" s="13">
        <f t="shared" si="5"/>
        <v>151857340.37419999</v>
      </c>
      <c r="H115" s="20">
        <v>36.400000000000006</v>
      </c>
      <c r="I115" s="20">
        <v>41.5</v>
      </c>
      <c r="J115" s="3">
        <v>30</v>
      </c>
      <c r="K115" s="3">
        <v>0</v>
      </c>
      <c r="L115" s="3">
        <v>336</v>
      </c>
      <c r="M115" s="3">
        <v>87372</v>
      </c>
      <c r="N115" s="3">
        <f t="shared" si="6"/>
        <v>136323032.96020001</v>
      </c>
      <c r="O115" s="21">
        <f t="shared" si="7"/>
        <v>0.1022954002468438</v>
      </c>
    </row>
    <row r="116" spans="1:15" x14ac:dyDescent="0.2">
      <c r="A116" s="8">
        <v>43282</v>
      </c>
      <c r="B116" s="13">
        <v>170652291</v>
      </c>
      <c r="C116" s="13">
        <v>4759523.7725999998</v>
      </c>
      <c r="D116" s="13">
        <v>0</v>
      </c>
      <c r="E116" s="13">
        <v>0</v>
      </c>
      <c r="G116" s="13">
        <f t="shared" si="5"/>
        <v>175411814.7726</v>
      </c>
      <c r="H116" s="20">
        <v>3.6000000000000005</v>
      </c>
      <c r="I116" s="20">
        <v>89.300000000000011</v>
      </c>
      <c r="J116" s="3">
        <v>31</v>
      </c>
      <c r="K116" s="3">
        <v>0</v>
      </c>
      <c r="L116" s="3">
        <v>336</v>
      </c>
      <c r="M116" s="3">
        <v>87462</v>
      </c>
      <c r="N116" s="3">
        <f t="shared" si="6"/>
        <v>155895850.23429999</v>
      </c>
      <c r="O116" s="21">
        <f t="shared" si="7"/>
        <v>0.11125798204414039</v>
      </c>
    </row>
    <row r="117" spans="1:15" x14ac:dyDescent="0.2">
      <c r="A117" s="8">
        <v>43313</v>
      </c>
      <c r="B117" s="13">
        <v>169978732</v>
      </c>
      <c r="C117" s="13">
        <v>4346729.2704000007</v>
      </c>
      <c r="D117" s="13">
        <v>0</v>
      </c>
      <c r="E117" s="13">
        <v>0</v>
      </c>
      <c r="G117" s="13">
        <f t="shared" si="5"/>
        <v>174325461.27039999</v>
      </c>
      <c r="H117" s="20">
        <v>6.6000000000000005</v>
      </c>
      <c r="I117" s="20">
        <v>93.90000000000002</v>
      </c>
      <c r="J117" s="3">
        <v>31</v>
      </c>
      <c r="K117" s="3">
        <v>0</v>
      </c>
      <c r="L117" s="3">
        <v>352</v>
      </c>
      <c r="M117" s="3">
        <v>87528</v>
      </c>
      <c r="N117" s="3">
        <f t="shared" si="6"/>
        <v>158951305.68849999</v>
      </c>
      <c r="O117" s="21">
        <f t="shared" si="7"/>
        <v>8.819225527849206E-2</v>
      </c>
    </row>
    <row r="118" spans="1:15" x14ac:dyDescent="0.2">
      <c r="A118" s="8">
        <v>43344</v>
      </c>
      <c r="B118" s="13">
        <v>149561165</v>
      </c>
      <c r="C118" s="13">
        <v>3907560.2309999997</v>
      </c>
      <c r="D118" s="13">
        <v>0</v>
      </c>
      <c r="E118" s="13">
        <v>0</v>
      </c>
      <c r="G118" s="13">
        <f t="shared" si="5"/>
        <v>153468725.23100001</v>
      </c>
      <c r="H118" s="20">
        <v>77.199999999999989</v>
      </c>
      <c r="I118" s="20">
        <v>48.800000000000004</v>
      </c>
      <c r="J118" s="3">
        <v>30</v>
      </c>
      <c r="K118" s="3">
        <v>1</v>
      </c>
      <c r="L118" s="3">
        <v>304</v>
      </c>
      <c r="M118" s="3">
        <v>87638</v>
      </c>
      <c r="N118" s="3">
        <f t="shared" si="6"/>
        <v>131758849.9146</v>
      </c>
      <c r="O118" s="21">
        <f t="shared" si="7"/>
        <v>0.14146123442233893</v>
      </c>
    </row>
    <row r="119" spans="1:15" x14ac:dyDescent="0.2">
      <c r="A119" s="8">
        <v>43374</v>
      </c>
      <c r="B119" s="13">
        <v>140901104</v>
      </c>
      <c r="C119" s="13">
        <v>2918531.9030999998</v>
      </c>
      <c r="D119" s="13">
        <v>0</v>
      </c>
      <c r="E119" s="13">
        <v>0</v>
      </c>
      <c r="G119" s="13">
        <f t="shared" si="5"/>
        <v>143819635.90310001</v>
      </c>
      <c r="H119" s="20">
        <v>319.5</v>
      </c>
      <c r="I119" s="20">
        <v>5.1999999999999993</v>
      </c>
      <c r="J119" s="3">
        <v>31</v>
      </c>
      <c r="K119" s="3">
        <v>1</v>
      </c>
      <c r="L119" s="3">
        <v>352</v>
      </c>
      <c r="M119" s="3">
        <v>87717</v>
      </c>
      <c r="N119" s="3">
        <f t="shared" si="6"/>
        <v>133064812.15549999</v>
      </c>
      <c r="O119" s="21">
        <f t="shared" si="7"/>
        <v>7.4779940027425718E-2</v>
      </c>
    </row>
    <row r="120" spans="1:15" x14ac:dyDescent="0.2">
      <c r="A120" s="8">
        <v>43405</v>
      </c>
      <c r="B120" s="13">
        <v>147572258</v>
      </c>
      <c r="C120" s="13">
        <v>2798292.6881999997</v>
      </c>
      <c r="D120" s="13">
        <v>0</v>
      </c>
      <c r="E120" s="13">
        <v>0</v>
      </c>
      <c r="G120" s="13">
        <f t="shared" si="5"/>
        <v>150370550.6882</v>
      </c>
      <c r="H120" s="20">
        <v>538.6</v>
      </c>
      <c r="I120" s="20">
        <v>0</v>
      </c>
      <c r="J120" s="3">
        <v>30</v>
      </c>
      <c r="K120" s="3">
        <v>1</v>
      </c>
      <c r="L120" s="3">
        <v>352</v>
      </c>
      <c r="M120" s="3">
        <v>87783</v>
      </c>
      <c r="N120" s="3">
        <f t="shared" si="6"/>
        <v>136259968.14120001</v>
      </c>
      <c r="O120" s="21">
        <f t="shared" si="7"/>
        <v>9.3838736923022359E-2</v>
      </c>
    </row>
    <row r="121" spans="1:15" ht="12.75" customHeight="1" x14ac:dyDescent="0.2">
      <c r="A121" s="9">
        <v>43435</v>
      </c>
      <c r="B121" s="14">
        <v>153313471</v>
      </c>
      <c r="C121" s="14">
        <v>3249160.7074999996</v>
      </c>
      <c r="D121" s="14">
        <v>0</v>
      </c>
      <c r="E121" s="14">
        <v>0</v>
      </c>
      <c r="F121" s="14"/>
      <c r="G121" s="14">
        <f t="shared" si="5"/>
        <v>156562631.70750001</v>
      </c>
      <c r="H121" s="23">
        <v>600.79999999999995</v>
      </c>
      <c r="I121" s="23">
        <v>0</v>
      </c>
      <c r="J121" s="5">
        <v>31</v>
      </c>
      <c r="K121" s="5">
        <v>0</v>
      </c>
      <c r="L121" s="5">
        <v>304</v>
      </c>
      <c r="M121" s="5">
        <v>87846</v>
      </c>
      <c r="N121" s="5">
        <f t="shared" si="6"/>
        <v>144108651.6866</v>
      </c>
      <c r="O121" s="24">
        <f t="shared" si="7"/>
        <v>7.954631245703192E-2</v>
      </c>
    </row>
    <row r="122" spans="1:15" x14ac:dyDescent="0.2">
      <c r="A122" s="8">
        <v>43466</v>
      </c>
      <c r="B122" s="13">
        <v>0</v>
      </c>
      <c r="C122" s="13">
        <v>0</v>
      </c>
      <c r="D122" s="13">
        <v>0</v>
      </c>
      <c r="E122" s="13">
        <v>0</v>
      </c>
      <c r="G122" s="13">
        <f t="shared" ref="G122:G130" si="8">ROUND((SUM(B122:E122)),4)</f>
        <v>0</v>
      </c>
      <c r="H122" s="20">
        <v>763.76499999999999</v>
      </c>
      <c r="I122" s="20">
        <v>0</v>
      </c>
      <c r="J122" s="3">
        <v>31</v>
      </c>
      <c r="K122" s="3">
        <v>0</v>
      </c>
      <c r="L122" s="3">
        <v>352</v>
      </c>
      <c r="M122" s="3">
        <v>87945.891115460312</v>
      </c>
      <c r="N122" s="3">
        <f t="shared" si="6"/>
        <v>154512663.71619999</v>
      </c>
      <c r="O122" s="21">
        <f t="shared" si="7"/>
        <v>0</v>
      </c>
    </row>
    <row r="123" spans="1:15" x14ac:dyDescent="0.2">
      <c r="A123" s="8">
        <v>43497</v>
      </c>
      <c r="B123" s="13">
        <v>0</v>
      </c>
      <c r="C123" s="13">
        <v>0</v>
      </c>
      <c r="D123" s="13">
        <v>0</v>
      </c>
      <c r="E123" s="13">
        <v>0</v>
      </c>
      <c r="G123" s="13">
        <f t="shared" si="8"/>
        <v>0</v>
      </c>
      <c r="H123" s="20">
        <v>675.56999999999994</v>
      </c>
      <c r="I123" s="20">
        <v>0</v>
      </c>
      <c r="J123" s="3">
        <v>28</v>
      </c>
      <c r="K123" s="3">
        <v>0</v>
      </c>
      <c r="L123" s="3">
        <v>304</v>
      </c>
      <c r="M123" s="3">
        <v>88045.895818732795</v>
      </c>
      <c r="N123" s="3">
        <f t="shared" si="6"/>
        <v>136110469.53639999</v>
      </c>
      <c r="O123" s="21">
        <f t="shared" si="7"/>
        <v>0</v>
      </c>
    </row>
    <row r="124" spans="1:15" x14ac:dyDescent="0.2">
      <c r="A124" s="8">
        <v>43525</v>
      </c>
      <c r="B124" s="13">
        <v>0</v>
      </c>
      <c r="C124" s="13">
        <v>0</v>
      </c>
      <c r="D124" s="13">
        <v>0</v>
      </c>
      <c r="E124" s="13">
        <v>0</v>
      </c>
      <c r="G124" s="13">
        <f t="shared" si="8"/>
        <v>0</v>
      </c>
      <c r="H124" s="20">
        <v>561.45500000000015</v>
      </c>
      <c r="I124" s="20">
        <v>0</v>
      </c>
      <c r="J124" s="3">
        <v>31</v>
      </c>
      <c r="K124" s="3">
        <v>1</v>
      </c>
      <c r="L124" s="3">
        <v>336</v>
      </c>
      <c r="M124" s="3">
        <v>88146.014238979988</v>
      </c>
      <c r="N124" s="3">
        <f t="shared" si="6"/>
        <v>138997067.03549999</v>
      </c>
      <c r="O124" s="21">
        <f t="shared" si="7"/>
        <v>0</v>
      </c>
    </row>
    <row r="125" spans="1:15" x14ac:dyDescent="0.2">
      <c r="A125" s="8">
        <v>43556</v>
      </c>
      <c r="B125" s="13">
        <v>0</v>
      </c>
      <c r="C125" s="13">
        <v>0</v>
      </c>
      <c r="D125" s="13">
        <v>0</v>
      </c>
      <c r="E125" s="13">
        <v>0</v>
      </c>
      <c r="G125" s="13">
        <f t="shared" si="8"/>
        <v>0</v>
      </c>
      <c r="H125" s="20">
        <v>363.83</v>
      </c>
      <c r="I125" s="20">
        <v>0.32</v>
      </c>
      <c r="J125" s="3">
        <v>30</v>
      </c>
      <c r="K125" s="3">
        <v>1</v>
      </c>
      <c r="L125" s="3">
        <v>336</v>
      </c>
      <c r="M125" s="3">
        <v>88246.246505511328</v>
      </c>
      <c r="N125" s="3">
        <f t="shared" si="6"/>
        <v>127521824.93449999</v>
      </c>
      <c r="O125" s="21">
        <f t="shared" si="7"/>
        <v>0</v>
      </c>
    </row>
    <row r="126" spans="1:15" x14ac:dyDescent="0.2">
      <c r="A126" s="8">
        <v>43586</v>
      </c>
      <c r="B126" s="13">
        <v>0</v>
      </c>
      <c r="C126" s="13">
        <v>0</v>
      </c>
      <c r="D126" s="13">
        <v>0</v>
      </c>
      <c r="E126" s="13">
        <v>0</v>
      </c>
      <c r="G126" s="13">
        <f t="shared" si="8"/>
        <v>0</v>
      </c>
      <c r="H126" s="20">
        <v>151.71999999999997</v>
      </c>
      <c r="I126" s="20">
        <v>16.82</v>
      </c>
      <c r="J126" s="3">
        <v>31</v>
      </c>
      <c r="K126" s="3">
        <v>1</v>
      </c>
      <c r="L126" s="3">
        <v>352</v>
      </c>
      <c r="M126" s="3">
        <v>88346.592747783274</v>
      </c>
      <c r="N126" s="3">
        <f t="shared" si="6"/>
        <v>129864220.3862</v>
      </c>
      <c r="O126" s="21">
        <f t="shared" si="7"/>
        <v>0</v>
      </c>
    </row>
    <row r="127" spans="1:15" x14ac:dyDescent="0.2">
      <c r="A127" s="8">
        <v>43617</v>
      </c>
      <c r="B127" s="13">
        <v>0</v>
      </c>
      <c r="C127" s="13">
        <v>0</v>
      </c>
      <c r="D127" s="13">
        <v>0</v>
      </c>
      <c r="E127" s="13">
        <v>0</v>
      </c>
      <c r="G127" s="13">
        <f t="shared" si="8"/>
        <v>0</v>
      </c>
      <c r="H127" s="20">
        <v>47.535000000000004</v>
      </c>
      <c r="I127" s="20">
        <v>34.924999999999997</v>
      </c>
      <c r="J127" s="3">
        <v>30</v>
      </c>
      <c r="K127" s="3">
        <v>0</v>
      </c>
      <c r="L127" s="3">
        <v>320</v>
      </c>
      <c r="M127" s="3">
        <v>88447.053095399489</v>
      </c>
      <c r="N127" s="3">
        <f t="shared" si="6"/>
        <v>131787024.3821</v>
      </c>
      <c r="O127" s="21">
        <f t="shared" si="7"/>
        <v>0</v>
      </c>
    </row>
    <row r="128" spans="1:15" x14ac:dyDescent="0.2">
      <c r="A128" s="8">
        <v>43647</v>
      </c>
      <c r="B128" s="13">
        <v>0</v>
      </c>
      <c r="C128" s="13">
        <v>0</v>
      </c>
      <c r="D128" s="13">
        <v>0</v>
      </c>
      <c r="E128" s="13">
        <v>0</v>
      </c>
      <c r="G128" s="13">
        <f t="shared" si="8"/>
        <v>0</v>
      </c>
      <c r="H128" s="20">
        <v>12.79</v>
      </c>
      <c r="I128" s="20">
        <v>80.820000000000007</v>
      </c>
      <c r="J128" s="3">
        <v>31</v>
      </c>
      <c r="K128" s="3">
        <v>0</v>
      </c>
      <c r="L128" s="3">
        <v>352</v>
      </c>
      <c r="M128" s="3">
        <v>88547.627678111006</v>
      </c>
      <c r="N128" s="3">
        <f t="shared" si="6"/>
        <v>153251425.5659</v>
      </c>
      <c r="O128" s="21">
        <f t="shared" si="7"/>
        <v>0</v>
      </c>
    </row>
    <row r="129" spans="1:16" x14ac:dyDescent="0.2">
      <c r="A129" s="8">
        <v>43678</v>
      </c>
      <c r="B129" s="13">
        <v>0</v>
      </c>
      <c r="C129" s="13">
        <v>0</v>
      </c>
      <c r="D129" s="13">
        <v>0</v>
      </c>
      <c r="E129" s="13">
        <v>0</v>
      </c>
      <c r="G129" s="13">
        <f t="shared" si="8"/>
        <v>0</v>
      </c>
      <c r="H129" s="20">
        <v>20.975000000000001</v>
      </c>
      <c r="I129" s="20">
        <v>60.88000000000001</v>
      </c>
      <c r="J129" s="3">
        <v>31</v>
      </c>
      <c r="K129" s="3">
        <v>0</v>
      </c>
      <c r="L129" s="3">
        <v>336</v>
      </c>
      <c r="M129" s="3">
        <v>88648.316625816427</v>
      </c>
      <c r="N129" s="3">
        <f t="shared" si="6"/>
        <v>144863835.3251</v>
      </c>
      <c r="O129" s="21">
        <f t="shared" si="7"/>
        <v>0</v>
      </c>
    </row>
    <row r="130" spans="1:16" x14ac:dyDescent="0.2">
      <c r="A130" s="8">
        <v>43709</v>
      </c>
      <c r="B130" s="13">
        <v>0</v>
      </c>
      <c r="C130" s="13">
        <v>0</v>
      </c>
      <c r="D130" s="13">
        <v>0</v>
      </c>
      <c r="E130" s="13">
        <v>0</v>
      </c>
      <c r="G130" s="13">
        <f t="shared" si="8"/>
        <v>0</v>
      </c>
      <c r="H130" s="20">
        <v>96.54500000000003</v>
      </c>
      <c r="I130" s="20">
        <v>25.225000000000001</v>
      </c>
      <c r="J130" s="3">
        <v>30</v>
      </c>
      <c r="K130" s="3">
        <v>1</v>
      </c>
      <c r="L130" s="3">
        <v>320</v>
      </c>
      <c r="M130" s="3">
        <v>88749.120068562042</v>
      </c>
      <c r="N130" s="3">
        <f t="shared" si="6"/>
        <v>123994433.7441</v>
      </c>
      <c r="O130" s="21">
        <f t="shared" ref="O130:O161" si="9">IFERROR((ABS(N130/G130-1)),0)</f>
        <v>0</v>
      </c>
      <c r="P130"/>
    </row>
    <row r="131" spans="1:16" x14ac:dyDescent="0.2">
      <c r="A131" s="8">
        <v>43739</v>
      </c>
      <c r="B131" s="13">
        <v>0</v>
      </c>
      <c r="C131" s="13">
        <v>0</v>
      </c>
      <c r="D131" s="13">
        <v>0</v>
      </c>
      <c r="E131" s="13">
        <v>0</v>
      </c>
      <c r="G131" s="13">
        <f t="shared" ref="G131:G145" si="10">ROUND((SUM(B131:E131)),4)</f>
        <v>0</v>
      </c>
      <c r="H131" s="20">
        <v>275.76499999999999</v>
      </c>
      <c r="I131" s="20">
        <v>1.0299999999999998</v>
      </c>
      <c r="J131" s="3">
        <v>31</v>
      </c>
      <c r="K131" s="3">
        <v>1</v>
      </c>
      <c r="L131" s="3">
        <v>352</v>
      </c>
      <c r="M131" s="3">
        <v>88850.038136542018</v>
      </c>
      <c r="N131" s="3">
        <f t="shared" ref="N131:N145" si="11">ROUND(($Q$17+H131*$Q$18+I131*$Q$19+J131*$Q$20+K131*$Q$21+L131*$Q$22+M131*$Q$23),4)</f>
        <v>128483580.1794</v>
      </c>
      <c r="O131" s="21">
        <f t="shared" si="9"/>
        <v>0</v>
      </c>
    </row>
    <row r="132" spans="1:16" x14ac:dyDescent="0.2">
      <c r="A132" s="8">
        <v>43770</v>
      </c>
      <c r="B132" s="13">
        <v>0</v>
      </c>
      <c r="C132" s="13">
        <v>0</v>
      </c>
      <c r="D132" s="13">
        <v>0</v>
      </c>
      <c r="E132" s="13">
        <v>0</v>
      </c>
      <c r="G132" s="13">
        <f t="shared" si="10"/>
        <v>0</v>
      </c>
      <c r="H132" s="20">
        <v>457.58000000000004</v>
      </c>
      <c r="I132" s="20">
        <v>0</v>
      </c>
      <c r="J132" s="3">
        <v>30</v>
      </c>
      <c r="K132" s="3">
        <v>1</v>
      </c>
      <c r="L132" s="3">
        <v>336</v>
      </c>
      <c r="M132" s="3">
        <v>88951.070960098587</v>
      </c>
      <c r="N132" s="3">
        <f t="shared" si="11"/>
        <v>130329865.37019999</v>
      </c>
      <c r="O132" s="21">
        <f t="shared" si="9"/>
        <v>0</v>
      </c>
    </row>
    <row r="133" spans="1:16" x14ac:dyDescent="0.2">
      <c r="A133" s="9">
        <v>43800</v>
      </c>
      <c r="B133" s="14">
        <v>0</v>
      </c>
      <c r="C133" s="14">
        <v>0</v>
      </c>
      <c r="D133" s="14">
        <v>0</v>
      </c>
      <c r="E133" s="14">
        <v>0</v>
      </c>
      <c r="F133" s="14"/>
      <c r="G133" s="14">
        <f t="shared" si="10"/>
        <v>0</v>
      </c>
      <c r="H133" s="23">
        <v>631.14</v>
      </c>
      <c r="I133" s="23">
        <v>0</v>
      </c>
      <c r="J133" s="5">
        <v>31</v>
      </c>
      <c r="K133" s="5">
        <v>0</v>
      </c>
      <c r="L133" s="5">
        <v>320</v>
      </c>
      <c r="M133" s="5">
        <v>89052.218669722162</v>
      </c>
      <c r="N133" s="5">
        <f t="shared" si="11"/>
        <v>145256091.88839999</v>
      </c>
      <c r="O133" s="24">
        <f t="shared" si="9"/>
        <v>0</v>
      </c>
    </row>
    <row r="134" spans="1:16" x14ac:dyDescent="0.2">
      <c r="A134" s="8">
        <v>43831</v>
      </c>
      <c r="B134" s="13">
        <v>0</v>
      </c>
      <c r="C134" s="13">
        <v>0</v>
      </c>
      <c r="D134" s="13">
        <v>0</v>
      </c>
      <c r="E134" s="13">
        <v>0</v>
      </c>
      <c r="G134" s="13">
        <f t="shared" si="10"/>
        <v>0</v>
      </c>
      <c r="H134" s="20">
        <v>763.76499999999999</v>
      </c>
      <c r="I134" s="20">
        <v>0</v>
      </c>
      <c r="J134" s="3">
        <v>31</v>
      </c>
      <c r="K134" s="3">
        <v>0</v>
      </c>
      <c r="L134" s="3">
        <v>352</v>
      </c>
      <c r="M134" s="3">
        <v>89153.481396051575</v>
      </c>
      <c r="N134" s="3">
        <f t="shared" si="11"/>
        <v>153109433.847</v>
      </c>
      <c r="O134" s="21">
        <f t="shared" si="9"/>
        <v>0</v>
      </c>
    </row>
    <row r="135" spans="1:16" x14ac:dyDescent="0.2">
      <c r="A135" s="8">
        <v>43862</v>
      </c>
      <c r="B135" s="13">
        <v>0</v>
      </c>
      <c r="C135" s="13">
        <v>0</v>
      </c>
      <c r="D135" s="13">
        <v>0</v>
      </c>
      <c r="E135" s="13">
        <v>0</v>
      </c>
      <c r="G135" s="13">
        <f t="shared" si="10"/>
        <v>0</v>
      </c>
      <c r="H135" s="20">
        <v>675.56999999999994</v>
      </c>
      <c r="I135" s="20">
        <v>0</v>
      </c>
      <c r="J135" s="3">
        <v>29</v>
      </c>
      <c r="K135" s="3">
        <v>0</v>
      </c>
      <c r="L135" s="3">
        <v>304</v>
      </c>
      <c r="M135" s="3">
        <v>89254.859269874185</v>
      </c>
      <c r="N135" s="3">
        <f t="shared" si="11"/>
        <v>138289499.0573</v>
      </c>
      <c r="O135" s="21">
        <f t="shared" si="9"/>
        <v>0</v>
      </c>
    </row>
    <row r="136" spans="1:16" x14ac:dyDescent="0.2">
      <c r="A136" s="8">
        <v>43891</v>
      </c>
      <c r="B136" s="13">
        <v>0</v>
      </c>
      <c r="C136" s="13">
        <v>0</v>
      </c>
      <c r="D136" s="13">
        <v>0</v>
      </c>
      <c r="E136" s="13">
        <v>0</v>
      </c>
      <c r="G136" s="13">
        <f t="shared" si="10"/>
        <v>0</v>
      </c>
      <c r="H136" s="20">
        <v>561.45500000000015</v>
      </c>
      <c r="I136" s="20">
        <v>0</v>
      </c>
      <c r="J136" s="3">
        <v>31</v>
      </c>
      <c r="K136" s="3">
        <v>1</v>
      </c>
      <c r="L136" s="3">
        <v>352</v>
      </c>
      <c r="M136" s="3">
        <v>89356.352422126089</v>
      </c>
      <c r="N136" s="3">
        <f t="shared" si="11"/>
        <v>138928204.59900001</v>
      </c>
      <c r="O136" s="21">
        <f t="shared" si="9"/>
        <v>0</v>
      </c>
    </row>
    <row r="137" spans="1:16" x14ac:dyDescent="0.2">
      <c r="A137" s="8">
        <v>43922</v>
      </c>
      <c r="B137" s="13">
        <v>0</v>
      </c>
      <c r="C137" s="13">
        <v>0</v>
      </c>
      <c r="D137" s="13">
        <v>0</v>
      </c>
      <c r="E137" s="13">
        <v>0</v>
      </c>
      <c r="G137" s="13">
        <f t="shared" si="10"/>
        <v>0</v>
      </c>
      <c r="H137" s="20">
        <v>363.83</v>
      </c>
      <c r="I137" s="20">
        <v>0.32</v>
      </c>
      <c r="J137" s="3">
        <v>30</v>
      </c>
      <c r="K137" s="3">
        <v>1</v>
      </c>
      <c r="L137" s="3">
        <v>336</v>
      </c>
      <c r="M137" s="3">
        <v>89457.960983892248</v>
      </c>
      <c r="N137" s="3">
        <f t="shared" si="11"/>
        <v>126113802.71349999</v>
      </c>
      <c r="O137" s="21">
        <f t="shared" si="9"/>
        <v>0</v>
      </c>
    </row>
    <row r="138" spans="1:16" x14ac:dyDescent="0.2">
      <c r="A138" s="8">
        <v>43952</v>
      </c>
      <c r="B138" s="13">
        <v>0</v>
      </c>
      <c r="C138" s="13">
        <v>0</v>
      </c>
      <c r="D138" s="13">
        <v>0</v>
      </c>
      <c r="E138" s="13">
        <v>0</v>
      </c>
      <c r="G138" s="13">
        <f t="shared" si="10"/>
        <v>0</v>
      </c>
      <c r="H138" s="20">
        <v>151.71999999999997</v>
      </c>
      <c r="I138" s="20">
        <v>16.82</v>
      </c>
      <c r="J138" s="3">
        <v>31</v>
      </c>
      <c r="K138" s="3">
        <v>1</v>
      </c>
      <c r="L138" s="3">
        <v>320</v>
      </c>
      <c r="M138" s="3">
        <v>89559.685086406709</v>
      </c>
      <c r="N138" s="3">
        <f t="shared" si="11"/>
        <v>125779476.044</v>
      </c>
      <c r="O138" s="21">
        <f t="shared" si="9"/>
        <v>0</v>
      </c>
    </row>
    <row r="139" spans="1:16" x14ac:dyDescent="0.2">
      <c r="A139" s="8">
        <v>43983</v>
      </c>
      <c r="B139" s="13">
        <v>0</v>
      </c>
      <c r="C139" s="13">
        <v>0</v>
      </c>
      <c r="D139" s="13">
        <v>0</v>
      </c>
      <c r="E139" s="13">
        <v>0</v>
      </c>
      <c r="G139" s="13">
        <f t="shared" si="10"/>
        <v>0</v>
      </c>
      <c r="H139" s="20">
        <v>47.535000000000004</v>
      </c>
      <c r="I139" s="20">
        <v>34.924999999999997</v>
      </c>
      <c r="J139" s="3">
        <v>30</v>
      </c>
      <c r="K139" s="3">
        <v>0</v>
      </c>
      <c r="L139" s="3">
        <v>352</v>
      </c>
      <c r="M139" s="3">
        <v>89661.524861052734</v>
      </c>
      <c r="N139" s="3">
        <f t="shared" si="11"/>
        <v>133050919.2068</v>
      </c>
      <c r="O139" s="21">
        <f t="shared" si="9"/>
        <v>0</v>
      </c>
    </row>
    <row r="140" spans="1:16" x14ac:dyDescent="0.2">
      <c r="A140" s="8">
        <v>44013</v>
      </c>
      <c r="B140" s="13">
        <v>0</v>
      </c>
      <c r="C140" s="13">
        <v>0</v>
      </c>
      <c r="D140" s="13">
        <v>0</v>
      </c>
      <c r="E140" s="13">
        <v>0</v>
      </c>
      <c r="G140" s="13">
        <f t="shared" si="10"/>
        <v>0</v>
      </c>
      <c r="H140" s="20">
        <v>12.79</v>
      </c>
      <c r="I140" s="20">
        <v>80.820000000000007</v>
      </c>
      <c r="J140" s="3">
        <v>31</v>
      </c>
      <c r="K140" s="3">
        <v>0</v>
      </c>
      <c r="L140" s="3">
        <v>352</v>
      </c>
      <c r="M140" s="3">
        <v>89763.480439362989</v>
      </c>
      <c r="N140" s="3">
        <f t="shared" si="11"/>
        <v>151838594.62599999</v>
      </c>
      <c r="O140" s="21">
        <f t="shared" si="9"/>
        <v>0</v>
      </c>
    </row>
    <row r="141" spans="1:16" x14ac:dyDescent="0.2">
      <c r="A141" s="8">
        <v>44044</v>
      </c>
      <c r="B141" s="13">
        <v>0</v>
      </c>
      <c r="C141" s="13">
        <v>0</v>
      </c>
      <c r="D141" s="13">
        <v>0</v>
      </c>
      <c r="E141" s="13">
        <v>0</v>
      </c>
      <c r="G141" s="13">
        <f t="shared" si="10"/>
        <v>0</v>
      </c>
      <c r="H141" s="20">
        <v>20.975000000000001</v>
      </c>
      <c r="I141" s="20">
        <v>60.88000000000001</v>
      </c>
      <c r="J141" s="3">
        <v>31</v>
      </c>
      <c r="K141" s="3">
        <v>0</v>
      </c>
      <c r="L141" s="3">
        <v>320</v>
      </c>
      <c r="M141" s="3">
        <v>89865.551953019705</v>
      </c>
      <c r="N141" s="3">
        <f t="shared" si="11"/>
        <v>142111837.3141</v>
      </c>
      <c r="O141" s="21">
        <f t="shared" si="9"/>
        <v>0</v>
      </c>
    </row>
    <row r="142" spans="1:16" x14ac:dyDescent="0.2">
      <c r="A142" s="8">
        <v>44075</v>
      </c>
      <c r="B142" s="13">
        <v>0</v>
      </c>
      <c r="C142" s="13">
        <v>0</v>
      </c>
      <c r="D142" s="13">
        <v>0</v>
      </c>
      <c r="E142" s="13">
        <v>0</v>
      </c>
      <c r="G142" s="13">
        <f t="shared" si="10"/>
        <v>0</v>
      </c>
      <c r="H142" s="20">
        <v>96.54500000000003</v>
      </c>
      <c r="I142" s="20">
        <v>25.225000000000001</v>
      </c>
      <c r="J142" s="3">
        <v>30</v>
      </c>
      <c r="K142" s="3">
        <v>1</v>
      </c>
      <c r="L142" s="3">
        <v>336</v>
      </c>
      <c r="M142" s="3">
        <v>89967.739533854838</v>
      </c>
      <c r="N142" s="3">
        <f t="shared" si="11"/>
        <v>123915948.38950001</v>
      </c>
      <c r="O142" s="21">
        <f t="shared" si="9"/>
        <v>0</v>
      </c>
      <c r="P142"/>
    </row>
    <row r="143" spans="1:16" x14ac:dyDescent="0.2">
      <c r="A143" s="8">
        <v>44105</v>
      </c>
      <c r="B143" s="13">
        <v>0</v>
      </c>
      <c r="C143" s="13">
        <v>0</v>
      </c>
      <c r="D143" s="13">
        <v>0</v>
      </c>
      <c r="E143" s="13">
        <v>0</v>
      </c>
      <c r="G143" s="13">
        <f t="shared" si="10"/>
        <v>0</v>
      </c>
      <c r="H143" s="20">
        <v>275.76499999999999</v>
      </c>
      <c r="I143" s="20">
        <v>1.0299999999999998</v>
      </c>
      <c r="J143" s="3">
        <v>31</v>
      </c>
      <c r="K143" s="3">
        <v>1</v>
      </c>
      <c r="L143" s="3">
        <v>336</v>
      </c>
      <c r="M143" s="3">
        <v>90070.04331385027</v>
      </c>
      <c r="N143" s="3">
        <f t="shared" si="11"/>
        <v>125728363.57969999</v>
      </c>
      <c r="O143" s="21">
        <f t="shared" si="9"/>
        <v>0</v>
      </c>
    </row>
    <row r="144" spans="1:16" x14ac:dyDescent="0.2">
      <c r="A144" s="8">
        <v>44136</v>
      </c>
      <c r="B144" s="13">
        <v>0</v>
      </c>
      <c r="C144" s="13">
        <v>0</v>
      </c>
      <c r="D144" s="13">
        <v>0</v>
      </c>
      <c r="E144" s="13">
        <v>0</v>
      </c>
      <c r="G144" s="13">
        <f t="shared" si="10"/>
        <v>0</v>
      </c>
      <c r="H144" s="20">
        <v>457.58000000000004</v>
      </c>
      <c r="I144" s="20">
        <v>0</v>
      </c>
      <c r="J144" s="3">
        <v>30</v>
      </c>
      <c r="K144" s="3">
        <v>1</v>
      </c>
      <c r="L144" s="3">
        <v>336</v>
      </c>
      <c r="M144" s="3">
        <v>90172.463425137961</v>
      </c>
      <c r="N144" s="3">
        <f t="shared" si="11"/>
        <v>128910597.2489</v>
      </c>
      <c r="O144" s="21">
        <f t="shared" si="9"/>
        <v>0</v>
      </c>
    </row>
    <row r="145" spans="1:16" x14ac:dyDescent="0.2">
      <c r="A145" s="9">
        <v>44166</v>
      </c>
      <c r="B145" s="14">
        <v>0</v>
      </c>
      <c r="C145" s="14">
        <v>0</v>
      </c>
      <c r="D145" s="14">
        <v>0</v>
      </c>
      <c r="E145" s="14">
        <v>0</v>
      </c>
      <c r="F145" s="14"/>
      <c r="G145" s="14">
        <f t="shared" si="10"/>
        <v>0</v>
      </c>
      <c r="H145" s="23">
        <v>631.14</v>
      </c>
      <c r="I145" s="23">
        <v>0</v>
      </c>
      <c r="J145" s="5">
        <v>31</v>
      </c>
      <c r="K145" s="5">
        <v>0</v>
      </c>
      <c r="L145" s="5">
        <v>336</v>
      </c>
      <c r="M145" s="5">
        <v>90275</v>
      </c>
      <c r="N145" s="5">
        <f t="shared" si="11"/>
        <v>145172770.41240001</v>
      </c>
      <c r="O145" s="24">
        <f t="shared" si="9"/>
        <v>0</v>
      </c>
    </row>
    <row r="146" spans="1:16" x14ac:dyDescent="0.2">
      <c r="N146" s="3"/>
    </row>
    <row r="147" spans="1:16" x14ac:dyDescent="0.2">
      <c r="J147" t="s">
        <v>36</v>
      </c>
      <c r="N147" s="3">
        <f>ROUND((SUM(N2:N146)),4)</f>
        <v>20706309926.023399</v>
      </c>
      <c r="O147" s="115">
        <f>AVERAGE(O2:O121)</f>
        <v>2.5489461563929276E-2</v>
      </c>
      <c r="P147" s="26" t="s">
        <v>12</v>
      </c>
    </row>
    <row r="148" spans="1:16" x14ac:dyDescent="0.2">
      <c r="O148" s="25"/>
    </row>
    <row r="149" spans="1:16" x14ac:dyDescent="0.2">
      <c r="A149" s="7">
        <v>2009</v>
      </c>
      <c r="B149" s="13">
        <f>ROUND((SUM(B2:B13)),4)</f>
        <v>1799117218</v>
      </c>
      <c r="C149" s="13">
        <f>ROUND((SUM(C2:C13)),4)</f>
        <v>40185654.629500002</v>
      </c>
      <c r="G149" s="13">
        <f>ROUND((SUM(G2:G13)),4)</f>
        <v>1751668333.3956001</v>
      </c>
      <c r="N149" s="13">
        <f>ROUND((SUM(N2:N13)),4)</f>
        <v>1788850575.6854</v>
      </c>
      <c r="O149" s="25">
        <f t="shared" ref="O149:O158" si="12">N149/G149</f>
        <v>1.0212267594161062</v>
      </c>
      <c r="P149" s="27">
        <f t="shared" ref="P149:P158" si="13">+N149-G149</f>
        <v>37182242.289799929</v>
      </c>
    </row>
    <row r="150" spans="1:16" x14ac:dyDescent="0.2">
      <c r="A150" s="7">
        <v>2010</v>
      </c>
      <c r="B150" s="13">
        <f>ROUND((SUM(B14:B25)),4)</f>
        <v>1856139934</v>
      </c>
      <c r="C150" s="13">
        <f>ROUND((SUM(C14:C25)),4)</f>
        <v>40032545.976099998</v>
      </c>
      <c r="G150" s="13">
        <f>ROUND((SUM(G14:G25)),4)</f>
        <v>1809133137.1482</v>
      </c>
      <c r="N150" s="13">
        <f>ROUND((SUM(N14:N25)),4)</f>
        <v>1809418735.0629001</v>
      </c>
      <c r="O150" s="25">
        <f t="shared" si="12"/>
        <v>1.0001578645091596</v>
      </c>
      <c r="P150" s="27">
        <f t="shared" si="13"/>
        <v>285597.91470003128</v>
      </c>
    </row>
    <row r="151" spans="1:16" x14ac:dyDescent="0.2">
      <c r="A151" s="7">
        <v>2011</v>
      </c>
      <c r="B151" s="13">
        <f>ROUND((SUM(B26:B37)),4)</f>
        <v>1858126221</v>
      </c>
      <c r="C151" s="13">
        <f>ROUND((SUM(C26:C37)),4)</f>
        <v>39148349.384599999</v>
      </c>
      <c r="G151" s="13">
        <f>ROUND((SUM(G26:G37)),4)</f>
        <v>1806469117.1526</v>
      </c>
      <c r="N151" s="13">
        <f>ROUND((SUM(N26:N37)),4)</f>
        <v>1788430284.4275</v>
      </c>
      <c r="O151" s="25">
        <f t="shared" si="12"/>
        <v>0.99001431435842469</v>
      </c>
      <c r="P151" s="27">
        <f t="shared" si="13"/>
        <v>-18038832.72510004</v>
      </c>
    </row>
    <row r="152" spans="1:16" x14ac:dyDescent="0.2">
      <c r="A152" s="7">
        <v>2012</v>
      </c>
      <c r="B152" s="13">
        <f>ROUND((SUM(B38:B49)),4)</f>
        <v>1850077497</v>
      </c>
      <c r="C152" s="13">
        <f>ROUND((SUM(C38:C49)),4)</f>
        <v>37352755.518100001</v>
      </c>
      <c r="G152" s="13">
        <f>ROUND((SUM(G38:G49)),4)</f>
        <v>1788130210.8001001</v>
      </c>
      <c r="N152" s="13">
        <f>ROUND((SUM(N38:N49)),4)</f>
        <v>1769998554.4463</v>
      </c>
      <c r="O152" s="25">
        <f t="shared" si="12"/>
        <v>0.98985999104299738</v>
      </c>
      <c r="P152" s="27">
        <f t="shared" si="13"/>
        <v>-18131656.353800058</v>
      </c>
    </row>
    <row r="153" spans="1:16" x14ac:dyDescent="0.2">
      <c r="A153" s="7">
        <v>2013</v>
      </c>
      <c r="B153" s="13">
        <f>ROUND((SUM(B50:B61)),4)</f>
        <v>1830430672</v>
      </c>
      <c r="C153" s="13">
        <f>ROUND((SUM(C50:C61)),4)</f>
        <v>41134501.349200003</v>
      </c>
      <c r="G153" s="13">
        <f>ROUND((SUM(G50:G61)),4)</f>
        <v>1767111644.0683</v>
      </c>
      <c r="N153" s="13">
        <f>ROUND((SUM(N50:N61)),4)</f>
        <v>1757127461.8122001</v>
      </c>
      <c r="O153" s="25">
        <f t="shared" si="12"/>
        <v>0.99434999916976718</v>
      </c>
      <c r="P153" s="27">
        <f t="shared" si="13"/>
        <v>-9984182.2560999393</v>
      </c>
    </row>
    <row r="154" spans="1:16" x14ac:dyDescent="0.2">
      <c r="A154" s="7">
        <v>2014</v>
      </c>
      <c r="B154" s="13">
        <f>ROUND((SUM(B62:B73)),4)</f>
        <v>1814223822.6538999</v>
      </c>
      <c r="C154" s="13">
        <f>ROUND((SUM(C62:C73)),4)</f>
        <v>39608973.159199998</v>
      </c>
      <c r="G154" s="13">
        <f>ROUND((SUM(G62:G73)),4)</f>
        <v>1747854269.7760999</v>
      </c>
      <c r="N154" s="13">
        <f>ROUND((SUM(N62:N73)),4)</f>
        <v>1727499485.0481</v>
      </c>
      <c r="O154" s="25">
        <f t="shared" si="12"/>
        <v>0.98835441542239821</v>
      </c>
      <c r="P154" s="27">
        <f t="shared" si="13"/>
        <v>-20354784.727999926</v>
      </c>
    </row>
    <row r="155" spans="1:16" x14ac:dyDescent="0.2">
      <c r="A155" s="7">
        <v>2015</v>
      </c>
      <c r="B155" s="13">
        <f>ROUND((SUM(B74:B85)),4)</f>
        <v>1771969142</v>
      </c>
      <c r="C155" s="13">
        <f>ROUND((SUM(C74:D85)),4)</f>
        <v>38406888.3235</v>
      </c>
      <c r="G155" s="13">
        <f>ROUND((SUM(G74:G85)),4)</f>
        <v>1721475355.8073001</v>
      </c>
      <c r="N155" s="13">
        <f>ROUND((SUM(N74:N85)),4)</f>
        <v>1716363012.444</v>
      </c>
      <c r="O155" s="25">
        <f t="shared" si="12"/>
        <v>0.99703025469051654</v>
      </c>
      <c r="P155" s="27">
        <f t="shared" si="13"/>
        <v>-5112343.3633000851</v>
      </c>
    </row>
    <row r="156" spans="1:16" x14ac:dyDescent="0.2">
      <c r="A156" s="7">
        <v>2016</v>
      </c>
      <c r="B156" s="13">
        <f>ROUND((SUM(B86:B97)),4)</f>
        <v>1771980296</v>
      </c>
      <c r="C156" s="13">
        <f>ROUND((SUM(C86:D97)),4)</f>
        <v>48126185.670100003</v>
      </c>
      <c r="G156" s="13">
        <f>ROUND((SUM(G86:G97)),4)</f>
        <v>1711251209.911</v>
      </c>
      <c r="N156" s="13">
        <f>ROUND((SUM(N86:N97)),4)</f>
        <v>1720762663.3994999</v>
      </c>
      <c r="O156" s="25">
        <f t="shared" si="12"/>
        <v>1.0055581865674734</v>
      </c>
      <c r="P156" s="27">
        <f t="shared" si="13"/>
        <v>9511453.4884998798</v>
      </c>
    </row>
    <row r="157" spans="1:16" x14ac:dyDescent="0.2">
      <c r="A157" s="7">
        <v>2017</v>
      </c>
      <c r="B157" s="13">
        <f>ROUND((SUM(B98:B109)),4)</f>
        <v>1717303925</v>
      </c>
      <c r="C157" s="13">
        <f>ROUND((SUM(C98:D109)),4)</f>
        <v>48211544.1642</v>
      </c>
      <c r="G157" s="13">
        <f>ROUND((SUM(G98:G109)),4)</f>
        <v>1628897149.1531</v>
      </c>
      <c r="N157" s="13">
        <f>ROUND((SUM(N98:N109)),4)</f>
        <v>1653539654.8863001</v>
      </c>
      <c r="O157" s="25">
        <f t="shared" si="12"/>
        <v>1.0151283374435349</v>
      </c>
      <c r="P157" s="27">
        <f t="shared" si="13"/>
        <v>24642505.733200073</v>
      </c>
    </row>
    <row r="158" spans="1:16" x14ac:dyDescent="0.2">
      <c r="A158" s="7">
        <v>2018</v>
      </c>
      <c r="B158" s="13">
        <f>ROUND((SUM(B110:B121)),4)</f>
        <v>1810386694.8640001</v>
      </c>
      <c r="C158" s="13">
        <f>ROUND((SUM(C110:D121)),4)</f>
        <v>46663148.534900002</v>
      </c>
      <c r="G158" s="13">
        <f>ROUND((SUM(G110:G121)),4)</f>
        <v>1857049843.3989</v>
      </c>
      <c r="N158" s="13">
        <f>ROUND((SUM(N110:N121)),4)</f>
        <v>1696397549.7090001</v>
      </c>
      <c r="O158" s="25">
        <f t="shared" si="12"/>
        <v>0.91349058601687116</v>
      </c>
      <c r="P158" s="27">
        <f t="shared" si="13"/>
        <v>-160652293.68989992</v>
      </c>
    </row>
    <row r="159" spans="1:16" x14ac:dyDescent="0.2">
      <c r="A159" s="7">
        <v>2019</v>
      </c>
      <c r="G159" s="13">
        <f>ROUND((SUM(G122:G133)),4)</f>
        <v>0</v>
      </c>
      <c r="N159" s="13">
        <f>ROUND((SUM(N122:N133)),4)</f>
        <v>1644972502.0639999</v>
      </c>
    </row>
    <row r="160" spans="1:16" x14ac:dyDescent="0.2">
      <c r="A160" s="7">
        <v>2020</v>
      </c>
      <c r="G160" s="13">
        <f>ROUND((SUM(G134:G145)),4)</f>
        <v>0</v>
      </c>
      <c r="N160" s="13">
        <f>ROUND((SUM(N134:N145)),4)</f>
        <v>1632949447.0381999</v>
      </c>
    </row>
    <row r="161" spans="1:16" x14ac:dyDescent="0.2">
      <c r="N161" s="13"/>
      <c r="P161" s="1"/>
    </row>
    <row r="162" spans="1:16" x14ac:dyDescent="0.2">
      <c r="A162" s="81" t="s">
        <v>190</v>
      </c>
      <c r="G162" s="13">
        <f>ROUND((SUM(G149:G157)),4)</f>
        <v>15731990427.212299</v>
      </c>
      <c r="N162" s="31">
        <f>ROUND((SUM(N149:N157)),4)</f>
        <v>15731990427.2122</v>
      </c>
      <c r="P162" s="2">
        <f>ROUND((+N162-G162),2)</f>
        <v>0</v>
      </c>
    </row>
    <row r="163" spans="1:16" x14ac:dyDescent="0.2">
      <c r="N163" s="13"/>
      <c r="P163" s="1"/>
    </row>
    <row r="164" spans="1:16" x14ac:dyDescent="0.2">
      <c r="N164" s="28">
        <f>ROUND((SUM(N149:N160)),4)</f>
        <v>20706309926.023399</v>
      </c>
      <c r="P164" s="2">
        <f>+N164-N147</f>
        <v>0</v>
      </c>
    </row>
    <row r="166" spans="1:16" x14ac:dyDescent="0.2">
      <c r="L166"/>
      <c r="M166"/>
    </row>
    <row r="167" spans="1:16" x14ac:dyDescent="0.2">
      <c r="L167"/>
      <c r="M167"/>
      <c r="N167" s="29" t="s">
        <v>37</v>
      </c>
      <c r="O167" s="30"/>
      <c r="P167" s="30"/>
    </row>
    <row r="168" spans="1:16" x14ac:dyDescent="0.2">
      <c r="L168"/>
      <c r="M168"/>
    </row>
    <row r="169" spans="1:16" x14ac:dyDescent="0.2">
      <c r="L169"/>
      <c r="M169"/>
    </row>
    <row r="170" spans="1:16" x14ac:dyDescent="0.2">
      <c r="L170"/>
      <c r="M170"/>
    </row>
    <row r="171" spans="1:16" x14ac:dyDescent="0.2">
      <c r="L171"/>
      <c r="M171"/>
    </row>
    <row r="172" spans="1:16" x14ac:dyDescent="0.2">
      <c r="L172"/>
      <c r="M172"/>
    </row>
    <row r="173" spans="1:16" x14ac:dyDescent="0.2">
      <c r="L173"/>
      <c r="M173"/>
    </row>
    <row r="174" spans="1:16" x14ac:dyDescent="0.2">
      <c r="L174"/>
      <c r="M174"/>
    </row>
    <row r="175" spans="1:16" x14ac:dyDescent="0.2">
      <c r="L175"/>
      <c r="M175"/>
    </row>
    <row r="176" spans="1:16" x14ac:dyDescent="0.2">
      <c r="L176"/>
      <c r="M176"/>
    </row>
    <row r="177" spans="11:13" x14ac:dyDescent="0.2">
      <c r="L177"/>
      <c r="M177"/>
    </row>
    <row r="178" spans="11:13" x14ac:dyDescent="0.2">
      <c r="L178"/>
      <c r="M178"/>
    </row>
    <row r="179" spans="11:13" x14ac:dyDescent="0.2">
      <c r="L179"/>
      <c r="M179"/>
    </row>
    <row r="180" spans="11:13" x14ac:dyDescent="0.2">
      <c r="L180"/>
      <c r="M180"/>
    </row>
    <row r="181" spans="11:13" x14ac:dyDescent="0.2">
      <c r="L181"/>
      <c r="M181"/>
    </row>
    <row r="182" spans="11:13" x14ac:dyDescent="0.2">
      <c r="L182"/>
      <c r="M182"/>
    </row>
    <row r="183" spans="11:13" x14ac:dyDescent="0.2">
      <c r="L183"/>
      <c r="M183"/>
    </row>
    <row r="184" spans="11:13" x14ac:dyDescent="0.2">
      <c r="L184"/>
      <c r="M184"/>
    </row>
    <row r="185" spans="11:13" x14ac:dyDescent="0.2">
      <c r="L185"/>
      <c r="M185"/>
    </row>
    <row r="186" spans="11:13" x14ac:dyDescent="0.2">
      <c r="L186"/>
      <c r="M186"/>
    </row>
    <row r="187" spans="11:13" x14ac:dyDescent="0.2">
      <c r="L187"/>
      <c r="M187"/>
    </row>
    <row r="188" spans="11:13" x14ac:dyDescent="0.2">
      <c r="L188"/>
      <c r="M188"/>
    </row>
    <row r="189" spans="11:13" x14ac:dyDescent="0.2">
      <c r="L189"/>
      <c r="M189"/>
    </row>
    <row r="190" spans="11:13" x14ac:dyDescent="0.2">
      <c r="L190"/>
      <c r="M190"/>
    </row>
    <row r="191" spans="11:13" x14ac:dyDescent="0.2">
      <c r="L191"/>
      <c r="M191"/>
    </row>
    <row r="192" spans="11:13" x14ac:dyDescent="0.2">
      <c r="K192"/>
      <c r="L192"/>
      <c r="M192"/>
    </row>
    <row r="193" spans="11:13" x14ac:dyDescent="0.2">
      <c r="K193"/>
      <c r="L193"/>
      <c r="M193"/>
    </row>
    <row r="194" spans="11:13" x14ac:dyDescent="0.2">
      <c r="K194"/>
      <c r="L194"/>
      <c r="M194"/>
    </row>
    <row r="195" spans="11:13" x14ac:dyDescent="0.2">
      <c r="K195"/>
      <c r="L195"/>
      <c r="M195"/>
    </row>
    <row r="196" spans="11:13" x14ac:dyDescent="0.2">
      <c r="K196"/>
      <c r="L196"/>
      <c r="M196"/>
    </row>
    <row r="197" spans="11:13" x14ac:dyDescent="0.2">
      <c r="K197"/>
      <c r="L197"/>
      <c r="M197"/>
    </row>
    <row r="198" spans="11:13" x14ac:dyDescent="0.2">
      <c r="K198"/>
      <c r="L198"/>
      <c r="M198"/>
    </row>
    <row r="199" spans="11:13" x14ac:dyDescent="0.2">
      <c r="K199"/>
      <c r="L199"/>
      <c r="M199"/>
    </row>
    <row r="200" spans="11:13" x14ac:dyDescent="0.2">
      <c r="K200"/>
      <c r="L200"/>
      <c r="M200"/>
    </row>
    <row r="201" spans="11:13" x14ac:dyDescent="0.2">
      <c r="K201"/>
      <c r="L201"/>
      <c r="M201"/>
    </row>
    <row r="202" spans="11:13" x14ac:dyDescent="0.2">
      <c r="K202"/>
      <c r="L202"/>
      <c r="M202"/>
    </row>
    <row r="203" spans="11:13" x14ac:dyDescent="0.2">
      <c r="K203"/>
      <c r="L203"/>
      <c r="M203"/>
    </row>
  </sheetData>
  <pageMargins left="0.67" right="0.24" top="0.8" bottom="0.55000000000000004" header="0.3" footer="0.18"/>
  <pageSetup scale="3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217"/>
  <sheetViews>
    <sheetView zoomScaleNormal="100" workbookViewId="0">
      <selection activeCell="P29" sqref="P29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9" width="13.7109375" customWidth="1"/>
  </cols>
  <sheetData>
    <row r="1" spans="1:29" ht="38.25" x14ac:dyDescent="0.25">
      <c r="B1" s="4" t="s">
        <v>174</v>
      </c>
      <c r="C1" s="4" t="s">
        <v>152</v>
      </c>
      <c r="D1" s="4" t="s">
        <v>135</v>
      </c>
      <c r="E1" s="4" t="s">
        <v>136</v>
      </c>
      <c r="F1" s="4"/>
      <c r="J1" s="231" t="s">
        <v>137</v>
      </c>
      <c r="K1" s="231"/>
      <c r="P1" s="242" t="s">
        <v>189</v>
      </c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</row>
    <row r="2" spans="1:29" ht="15" x14ac:dyDescent="0.2">
      <c r="A2">
        <v>2005</v>
      </c>
      <c r="B2" s="139">
        <v>292583</v>
      </c>
      <c r="C2" s="139">
        <v>292583</v>
      </c>
      <c r="D2" s="136">
        <f>C2</f>
        <v>292583</v>
      </c>
      <c r="E2" s="136">
        <f>D2/2</f>
        <v>146291.5</v>
      </c>
      <c r="F2" s="136">
        <f>E2</f>
        <v>146291.5</v>
      </c>
      <c r="G2" s="136">
        <f t="shared" ref="G2:G17" si="0">F2/$N$14</f>
        <v>1875.5320512820513</v>
      </c>
      <c r="J2" s="137">
        <f>+E37</f>
        <v>146291.5</v>
      </c>
      <c r="K2" s="137">
        <f>E2</f>
        <v>146291.5</v>
      </c>
      <c r="L2" s="137">
        <f>J2-K2</f>
        <v>0</v>
      </c>
      <c r="M2" s="54" t="s">
        <v>138</v>
      </c>
      <c r="N2" s="54">
        <v>1</v>
      </c>
      <c r="P2" s="180" t="s">
        <v>153</v>
      </c>
      <c r="Q2" s="238">
        <v>2008</v>
      </c>
      <c r="R2" s="238">
        <v>2009</v>
      </c>
      <c r="S2" s="238">
        <v>2010</v>
      </c>
      <c r="T2" s="238">
        <v>2011</v>
      </c>
      <c r="U2" s="238">
        <v>2012</v>
      </c>
      <c r="V2" s="238">
        <v>2013</v>
      </c>
      <c r="W2" s="238">
        <v>2014</v>
      </c>
      <c r="X2" s="238">
        <v>2015</v>
      </c>
      <c r="Y2" s="238">
        <v>2016</v>
      </c>
      <c r="Z2" s="238">
        <v>2017</v>
      </c>
      <c r="AA2" s="238">
        <v>2018</v>
      </c>
      <c r="AB2" s="238">
        <v>2019</v>
      </c>
      <c r="AC2" s="238">
        <v>2020</v>
      </c>
    </row>
    <row r="3" spans="1:29" x14ac:dyDescent="0.2">
      <c r="A3">
        <v>2006</v>
      </c>
      <c r="B3" s="139">
        <v>11429858.135299999</v>
      </c>
      <c r="C3" s="139">
        <v>10724827.041200001</v>
      </c>
      <c r="D3" s="136">
        <f>C3-C2</f>
        <v>10432244.041200001</v>
      </c>
      <c r="E3" s="136">
        <f>C2+D3/2</f>
        <v>5508705.0206000004</v>
      </c>
      <c r="F3" s="136">
        <f>E3-F37</f>
        <v>5238628.4052153854</v>
      </c>
      <c r="G3" s="136">
        <f t="shared" si="0"/>
        <v>67161.902630966477</v>
      </c>
      <c r="J3" s="137">
        <f>+E49</f>
        <v>5508705.0206000023</v>
      </c>
      <c r="K3" s="137">
        <f t="shared" ref="K3:K17" si="1">E3</f>
        <v>5508705.0206000004</v>
      </c>
      <c r="L3" s="137">
        <f t="shared" ref="L3:L15" si="2">J3-K3</f>
        <v>0</v>
      </c>
      <c r="M3" s="54" t="s">
        <v>139</v>
      </c>
      <c r="N3" s="54">
        <v>2</v>
      </c>
      <c r="P3" s="140" t="s">
        <v>140</v>
      </c>
      <c r="Q3" s="239">
        <v>13901638.780000001</v>
      </c>
      <c r="R3" s="239">
        <v>14769006.445204627</v>
      </c>
      <c r="S3" s="239">
        <v>14630347.945204627</v>
      </c>
      <c r="T3" s="239">
        <v>14630347.945204627</v>
      </c>
      <c r="U3" s="239">
        <v>14282989.945204627</v>
      </c>
      <c r="V3" s="239">
        <v>9108720.7277000006</v>
      </c>
      <c r="W3" s="239">
        <v>9108720.7277000006</v>
      </c>
      <c r="X3" s="239">
        <v>8889479.0610000007</v>
      </c>
      <c r="Y3" s="239">
        <v>8889479.0610000007</v>
      </c>
      <c r="Z3" s="239">
        <v>8433284.0085000005</v>
      </c>
      <c r="AA3" s="239">
        <v>7106534.6752000004</v>
      </c>
      <c r="AB3" s="239">
        <v>7106534.6752000004</v>
      </c>
      <c r="AC3" s="239">
        <v>7106534.6752000004</v>
      </c>
    </row>
    <row r="4" spans="1:29" x14ac:dyDescent="0.2">
      <c r="A4">
        <v>2007</v>
      </c>
      <c r="B4" s="139">
        <v>30126928.111399997</v>
      </c>
      <c r="C4" s="139">
        <v>21463789.4815</v>
      </c>
      <c r="D4" s="136">
        <f t="shared" ref="D4:D17" si="3">C4-C3</f>
        <v>10738962.440299999</v>
      </c>
      <c r="E4" s="136">
        <f t="shared" ref="E4:E17" si="4">C3+D4/2</f>
        <v>16094308.26135</v>
      </c>
      <c r="F4" s="136">
        <f>E4-F49</f>
        <v>6152917.6671062093</v>
      </c>
      <c r="G4" s="136">
        <f t="shared" si="0"/>
        <v>78883.559834694985</v>
      </c>
      <c r="J4" s="137">
        <f>E61</f>
        <v>16094308.261349995</v>
      </c>
      <c r="K4" s="137">
        <f t="shared" si="1"/>
        <v>16094308.26135</v>
      </c>
      <c r="L4" s="137">
        <f t="shared" si="2"/>
        <v>0</v>
      </c>
      <c r="M4" s="54" t="s">
        <v>141</v>
      </c>
      <c r="N4" s="54">
        <v>3</v>
      </c>
      <c r="P4" s="140">
        <v>2006</v>
      </c>
      <c r="Q4" s="239">
        <v>6036034.9712358201</v>
      </c>
      <c r="R4" s="239">
        <v>6036034.9712358201</v>
      </c>
      <c r="S4" s="239">
        <v>1048325.6212944656</v>
      </c>
      <c r="T4" s="239">
        <v>1048325.6212944656</v>
      </c>
      <c r="U4" s="239">
        <v>958932.53070224635</v>
      </c>
      <c r="V4" s="239">
        <v>958932.5307</v>
      </c>
      <c r="W4" s="239">
        <v>901064.85930000001</v>
      </c>
      <c r="X4" s="239">
        <v>901064.85930000001</v>
      </c>
      <c r="Y4" s="239">
        <v>851307.5368</v>
      </c>
      <c r="Z4" s="239">
        <v>851307.5368</v>
      </c>
      <c r="AA4" s="239">
        <v>851307.5368</v>
      </c>
      <c r="AB4" s="239">
        <v>851307.5368</v>
      </c>
      <c r="AC4" s="239">
        <v>770593.15899999999</v>
      </c>
    </row>
    <row r="5" spans="1:29" x14ac:dyDescent="0.2">
      <c r="A5">
        <v>2008</v>
      </c>
      <c r="B5" s="139">
        <v>34400975.484799996</v>
      </c>
      <c r="C5" s="139">
        <v>27058909.221900001</v>
      </c>
      <c r="D5" s="136">
        <f t="shared" si="3"/>
        <v>5595119.7404000014</v>
      </c>
      <c r="E5" s="136">
        <f t="shared" si="4"/>
        <v>24261349.3517</v>
      </c>
      <c r="F5" s="136">
        <f>E5-F61</f>
        <v>2960726.1412601359</v>
      </c>
      <c r="G5" s="136">
        <f t="shared" si="0"/>
        <v>37958.027452053022</v>
      </c>
      <c r="J5" s="137">
        <f>+E73</f>
        <v>24261349.3517</v>
      </c>
      <c r="K5" s="137">
        <f t="shared" si="1"/>
        <v>24261349.3517</v>
      </c>
      <c r="L5" s="137">
        <f t="shared" si="2"/>
        <v>0</v>
      </c>
      <c r="M5" s="54" t="s">
        <v>142</v>
      </c>
      <c r="N5" s="54">
        <v>4</v>
      </c>
      <c r="P5" s="140">
        <v>2007</v>
      </c>
      <c r="Q5" s="239">
        <v>3111481.7995622377</v>
      </c>
      <c r="R5" s="239">
        <v>3016918.0548136067</v>
      </c>
      <c r="S5" s="239">
        <v>3016918.0548136067</v>
      </c>
      <c r="T5" s="239">
        <v>3016607.5121982312</v>
      </c>
      <c r="U5" s="239">
        <v>2920674.0214894065</v>
      </c>
      <c r="V5" s="239">
        <v>2920741.9328999999</v>
      </c>
      <c r="W5" s="239">
        <v>2920674.0214</v>
      </c>
      <c r="X5" s="239">
        <v>1036730.128</v>
      </c>
      <c r="Y5" s="239">
        <v>900764.071</v>
      </c>
      <c r="Z5" s="239">
        <v>577412.88769999996</v>
      </c>
      <c r="AA5" s="239">
        <v>577412.88769999996</v>
      </c>
      <c r="AB5" s="239">
        <v>577412.88769999996</v>
      </c>
      <c r="AC5" s="239">
        <v>577412.88769999996</v>
      </c>
    </row>
    <row r="6" spans="1:29" x14ac:dyDescent="0.2">
      <c r="A6">
        <v>2009</v>
      </c>
      <c r="B6" s="139">
        <v>47381960.727704629</v>
      </c>
      <c r="C6" s="139">
        <v>36655515.3336</v>
      </c>
      <c r="D6" s="136">
        <f t="shared" si="3"/>
        <v>9596606.1116999984</v>
      </c>
      <c r="E6" s="136">
        <f t="shared" si="4"/>
        <v>31857212.27775</v>
      </c>
      <c r="F6" s="136">
        <f>E6-F73</f>
        <v>5090633.1142144985</v>
      </c>
      <c r="G6" s="136">
        <f t="shared" si="0"/>
        <v>65264.527105314082</v>
      </c>
      <c r="J6" s="137">
        <f>+E85</f>
        <v>31857212.277750008</v>
      </c>
      <c r="K6" s="137">
        <f t="shared" si="1"/>
        <v>31857212.27775</v>
      </c>
      <c r="L6" s="137">
        <f t="shared" si="2"/>
        <v>0</v>
      </c>
      <c r="M6" s="54" t="s">
        <v>143</v>
      </c>
      <c r="N6" s="54">
        <v>5</v>
      </c>
      <c r="P6" s="140">
        <v>2008</v>
      </c>
      <c r="Q6" s="239">
        <v>4009753.6712747766</v>
      </c>
      <c r="R6" s="239">
        <v>3663595.9474246027</v>
      </c>
      <c r="S6" s="239">
        <v>3663595.9474246027</v>
      </c>
      <c r="T6" s="239">
        <v>3663595.9474246027</v>
      </c>
      <c r="U6" s="239">
        <v>3373054.7370565534</v>
      </c>
      <c r="V6" s="239">
        <v>3372859.3509999998</v>
      </c>
      <c r="W6" s="239">
        <v>3070530.0879000002</v>
      </c>
      <c r="X6" s="239">
        <v>2844942.4230999998</v>
      </c>
      <c r="Y6" s="239">
        <v>2206892.6046000002</v>
      </c>
      <c r="Z6" s="239">
        <v>1920978.838</v>
      </c>
      <c r="AA6" s="239">
        <v>1772268.6181999999</v>
      </c>
      <c r="AB6" s="239">
        <v>1772268.6181999999</v>
      </c>
      <c r="AC6" s="239">
        <v>1743360.1923</v>
      </c>
    </row>
    <row r="7" spans="1:29" x14ac:dyDescent="0.2">
      <c r="A7">
        <v>2010</v>
      </c>
      <c r="B7" s="139">
        <v>54664486.625004634</v>
      </c>
      <c r="C7" s="139">
        <v>39643598.0973</v>
      </c>
      <c r="D7" s="136">
        <f t="shared" si="3"/>
        <v>2988082.7637000009</v>
      </c>
      <c r="E7" s="136">
        <f t="shared" si="4"/>
        <v>38149556.715450004</v>
      </c>
      <c r="F7" s="136">
        <f>E7-F85</f>
        <v>1984885.6487492621</v>
      </c>
      <c r="G7" s="136">
        <f t="shared" si="0"/>
        <v>25447.25190704182</v>
      </c>
      <c r="J7" s="137">
        <f>+E97</f>
        <v>38149556.715450004</v>
      </c>
      <c r="K7" s="137">
        <f t="shared" si="1"/>
        <v>38149556.715450004</v>
      </c>
      <c r="L7" s="137">
        <f t="shared" si="2"/>
        <v>0</v>
      </c>
      <c r="M7" s="54" t="s">
        <v>144</v>
      </c>
      <c r="N7" s="54">
        <v>6</v>
      </c>
      <c r="P7" s="140">
        <v>2009</v>
      </c>
      <c r="Q7" s="240"/>
      <c r="R7" s="239">
        <v>9169959.9147070833</v>
      </c>
      <c r="S7" s="239">
        <v>7890852.1039132979</v>
      </c>
      <c r="T7" s="239">
        <v>7890852.1039132979</v>
      </c>
      <c r="U7" s="239">
        <v>7887707.1526503582</v>
      </c>
      <c r="V7" s="239">
        <v>7796526.2141000004</v>
      </c>
      <c r="W7" s="239">
        <v>7491579.6662999997</v>
      </c>
      <c r="X7" s="239">
        <v>7041835.8415000001</v>
      </c>
      <c r="Y7" s="239">
        <v>6832205.3581999997</v>
      </c>
      <c r="Z7" s="239">
        <v>5280325.8485000003</v>
      </c>
      <c r="AA7" s="239">
        <v>3555174.8073</v>
      </c>
      <c r="AB7" s="239">
        <v>2950716.9471999998</v>
      </c>
      <c r="AC7" s="239">
        <v>864116.98289326951</v>
      </c>
    </row>
    <row r="8" spans="1:29" x14ac:dyDescent="0.2">
      <c r="A8">
        <v>2011</v>
      </c>
      <c r="B8" s="139">
        <v>65677230.152747899</v>
      </c>
      <c r="C8" s="139">
        <v>50620379.920699999</v>
      </c>
      <c r="D8" s="136">
        <f t="shared" si="3"/>
        <v>10976781.823399998</v>
      </c>
      <c r="E8" s="136">
        <f t="shared" si="4"/>
        <v>45131989.009000003</v>
      </c>
      <c r="F8" s="136">
        <f>E8-F97</f>
        <v>5302913.6676852405</v>
      </c>
      <c r="G8" s="136">
        <f t="shared" si="0"/>
        <v>67986.072662631283</v>
      </c>
      <c r="J8" s="137">
        <f>+E109</f>
        <v>45131989.008999981</v>
      </c>
      <c r="K8" s="137">
        <f t="shared" si="1"/>
        <v>45131989.009000003</v>
      </c>
      <c r="L8" s="137">
        <f t="shared" si="2"/>
        <v>0</v>
      </c>
      <c r="M8" s="54" t="s">
        <v>145</v>
      </c>
      <c r="N8" s="54">
        <v>7</v>
      </c>
      <c r="P8" s="140">
        <v>2010</v>
      </c>
      <c r="Q8" s="240"/>
      <c r="R8" s="240"/>
      <c r="S8" s="239">
        <v>9393558.4245995656</v>
      </c>
      <c r="T8" s="239">
        <v>7125231.6944247335</v>
      </c>
      <c r="U8" s="239">
        <v>7116405.1546846479</v>
      </c>
      <c r="V8" s="239">
        <v>7117425.5054000001</v>
      </c>
      <c r="W8" s="239">
        <v>7023482.6486999998</v>
      </c>
      <c r="X8" s="239">
        <v>6565925.6502</v>
      </c>
      <c r="Y8" s="239">
        <v>6533244.1749</v>
      </c>
      <c r="Z8" s="239">
        <v>6022793.9061000003</v>
      </c>
      <c r="AA8" s="239">
        <v>4928029.7174000004</v>
      </c>
      <c r="AB8" s="239">
        <v>1963456.6318000001</v>
      </c>
      <c r="AC8" s="239">
        <v>1202682.6788999999</v>
      </c>
    </row>
    <row r="9" spans="1:29" x14ac:dyDescent="0.2">
      <c r="A9">
        <v>2012</v>
      </c>
      <c r="B9" s="139">
        <v>71029722.032871455</v>
      </c>
      <c r="C9" s="139">
        <v>56622171.722000003</v>
      </c>
      <c r="D9" s="136">
        <f t="shared" si="3"/>
        <v>6001791.8013000041</v>
      </c>
      <c r="E9" s="136">
        <f t="shared" si="4"/>
        <v>53621275.821350001</v>
      </c>
      <c r="F9" s="136">
        <f>E9-F109</f>
        <v>4002206.0166163668</v>
      </c>
      <c r="G9" s="136">
        <f t="shared" si="0"/>
        <v>51310.333546363676</v>
      </c>
      <c r="J9" s="137">
        <f>+E121</f>
        <v>53621275.821350008</v>
      </c>
      <c r="K9" s="137">
        <f t="shared" si="1"/>
        <v>53621275.821350001</v>
      </c>
      <c r="L9" s="137">
        <f t="shared" si="2"/>
        <v>0</v>
      </c>
      <c r="M9" s="54" t="s">
        <v>146</v>
      </c>
      <c r="N9" s="54">
        <v>8</v>
      </c>
      <c r="P9" s="140">
        <v>2011</v>
      </c>
      <c r="Q9" s="240"/>
      <c r="R9" s="240"/>
      <c r="S9" s="240"/>
      <c r="T9" s="239">
        <v>13238663.296255277</v>
      </c>
      <c r="U9" s="239">
        <v>13133317.915198933</v>
      </c>
      <c r="V9" s="239">
        <v>13123211.3106</v>
      </c>
      <c r="W9" s="239">
        <v>12936022.0944</v>
      </c>
      <c r="X9" s="239">
        <v>12318158.171800001</v>
      </c>
      <c r="Y9" s="239">
        <v>11872233.1602</v>
      </c>
      <c r="Z9" s="239">
        <v>11206433.6822</v>
      </c>
      <c r="AA9" s="239">
        <v>11199432.9967</v>
      </c>
      <c r="AB9" s="239">
        <v>10960077.782500001</v>
      </c>
      <c r="AC9" s="239">
        <v>10531707.2552</v>
      </c>
    </row>
    <row r="10" spans="1:29" x14ac:dyDescent="0.2">
      <c r="A10">
        <v>2013</v>
      </c>
      <c r="B10" s="139">
        <v>75626820.638019115</v>
      </c>
      <c r="C10" s="139">
        <v>61309444.238899998</v>
      </c>
      <c r="D10" s="136">
        <f t="shared" si="3"/>
        <v>4687272.5168999955</v>
      </c>
      <c r="E10" s="136">
        <f t="shared" si="4"/>
        <v>58965807.980450004</v>
      </c>
      <c r="F10" s="136">
        <f>E10-F121</f>
        <v>1958050.1450399905</v>
      </c>
      <c r="G10" s="136">
        <f t="shared" si="0"/>
        <v>25103.206987692185</v>
      </c>
      <c r="J10" s="137">
        <f>+E133</f>
        <v>58965807.980449989</v>
      </c>
      <c r="K10" s="137">
        <f t="shared" si="1"/>
        <v>58965807.980450004</v>
      </c>
      <c r="L10" s="137">
        <f t="shared" si="2"/>
        <v>0</v>
      </c>
      <c r="M10" s="54" t="s">
        <v>147</v>
      </c>
      <c r="N10" s="54">
        <v>9</v>
      </c>
      <c r="P10" s="140">
        <v>2012</v>
      </c>
      <c r="Q10" s="240"/>
      <c r="R10" s="240"/>
      <c r="S10" s="240"/>
      <c r="T10" s="240">
        <v>6755.7999879999998</v>
      </c>
      <c r="U10" s="239">
        <v>6949090.2650679238</v>
      </c>
      <c r="V10" s="239">
        <v>6754594.3976999996</v>
      </c>
      <c r="W10" s="239">
        <v>6679287.3123000003</v>
      </c>
      <c r="X10" s="239">
        <v>6359017.5565999998</v>
      </c>
      <c r="Y10" s="239">
        <v>6093072.5433</v>
      </c>
      <c r="Z10" s="239">
        <v>5398744.0356999999</v>
      </c>
      <c r="AA10" s="239">
        <v>5172456.5310000004</v>
      </c>
      <c r="AB10" s="239">
        <v>5168161.9002999999</v>
      </c>
      <c r="AC10" s="239">
        <v>4975668.3777000001</v>
      </c>
    </row>
    <row r="11" spans="1:29" x14ac:dyDescent="0.2">
      <c r="A11">
        <v>2014</v>
      </c>
      <c r="B11" s="139">
        <v>83853805.558608472</v>
      </c>
      <c r="C11" s="139">
        <v>70275491.078600004</v>
      </c>
      <c r="D11" s="136">
        <f t="shared" si="3"/>
        <v>8966046.8397000059</v>
      </c>
      <c r="E11" s="136">
        <f t="shared" si="4"/>
        <v>65792467.658749998</v>
      </c>
      <c r="F11" s="136">
        <f>E11-F133</f>
        <v>5169848.0171123296</v>
      </c>
      <c r="G11" s="136">
        <f t="shared" si="0"/>
        <v>66280.102783491398</v>
      </c>
      <c r="J11" s="137">
        <f>+E145</f>
        <v>65792467.658750027</v>
      </c>
      <c r="K11" s="137">
        <f t="shared" si="1"/>
        <v>65792467.658749998</v>
      </c>
      <c r="L11" s="137">
        <f t="shared" si="2"/>
        <v>0</v>
      </c>
      <c r="M11" s="54" t="s">
        <v>148</v>
      </c>
      <c r="N11" s="54">
        <v>10</v>
      </c>
      <c r="P11" s="140">
        <v>2013</v>
      </c>
      <c r="Q11" s="240"/>
      <c r="R11" s="240"/>
      <c r="S11" s="240"/>
      <c r="T11" s="240"/>
      <c r="U11" s="239"/>
      <c r="V11" s="239">
        <v>10156432.2688</v>
      </c>
      <c r="W11" s="239">
        <v>9881775.2895</v>
      </c>
      <c r="X11" s="239">
        <v>8950597.4055000003</v>
      </c>
      <c r="Y11" s="239">
        <v>8751965.6677000001</v>
      </c>
      <c r="Z11" s="239">
        <v>8052439.2747</v>
      </c>
      <c r="AA11" s="239">
        <v>7902937.3174999999</v>
      </c>
      <c r="AB11" s="239">
        <v>7889635.523</v>
      </c>
      <c r="AC11" s="239">
        <v>7876805.2653999999</v>
      </c>
    </row>
    <row r="12" spans="1:29" x14ac:dyDescent="0.2">
      <c r="A12">
        <v>2015</v>
      </c>
      <c r="B12" s="139">
        <v>102523021.441873</v>
      </c>
      <c r="C12" s="139">
        <v>90753702.113999993</v>
      </c>
      <c r="D12" s="136">
        <f t="shared" si="3"/>
        <v>20478211.035399988</v>
      </c>
      <c r="E12" s="136">
        <f t="shared" si="4"/>
        <v>80514596.596300006</v>
      </c>
      <c r="F12" s="136">
        <f>E12-F145</f>
        <v>10347642.153839514</v>
      </c>
      <c r="G12" s="136">
        <f t="shared" si="0"/>
        <v>132662.07889537839</v>
      </c>
      <c r="J12" s="137">
        <f>+E157</f>
        <v>80514596.596300021</v>
      </c>
      <c r="K12" s="137">
        <f t="shared" si="1"/>
        <v>80514596.596300006</v>
      </c>
      <c r="L12" s="137">
        <f t="shared" si="2"/>
        <v>0</v>
      </c>
      <c r="M12" s="54" t="s">
        <v>149</v>
      </c>
      <c r="N12" s="54">
        <v>11</v>
      </c>
      <c r="P12" s="138">
        <v>2014</v>
      </c>
      <c r="Q12" s="240"/>
      <c r="R12" s="240"/>
      <c r="S12" s="240"/>
      <c r="T12" s="240"/>
      <c r="U12" s="239"/>
      <c r="V12" s="239"/>
      <c r="W12" s="239">
        <v>10262354.370999999</v>
      </c>
      <c r="X12" s="239">
        <v>9722970.0168999992</v>
      </c>
      <c r="Y12" s="239">
        <v>9493633.9157999996</v>
      </c>
      <c r="Z12" s="239">
        <v>9308069.9998000003</v>
      </c>
      <c r="AA12" s="239">
        <v>8464732.3550000004</v>
      </c>
      <c r="AB12" s="239">
        <v>8417313.9642999992</v>
      </c>
      <c r="AC12" s="239">
        <v>8197711.0080000004</v>
      </c>
    </row>
    <row r="13" spans="1:29" x14ac:dyDescent="0.2">
      <c r="A13">
        <v>2016</v>
      </c>
      <c r="B13" s="139">
        <v>121091398.36652932</v>
      </c>
      <c r="C13" s="139">
        <v>110125229.0936</v>
      </c>
      <c r="D13" s="136">
        <f t="shared" si="3"/>
        <v>19371526.979600012</v>
      </c>
      <c r="E13" s="136">
        <f t="shared" si="4"/>
        <v>100439465.6038</v>
      </c>
      <c r="F13" s="136">
        <f>E13-F157</f>
        <v>11169171.800404966</v>
      </c>
      <c r="G13" s="136">
        <f t="shared" si="0"/>
        <v>143194.51026160212</v>
      </c>
      <c r="J13" s="137">
        <f>+E169</f>
        <v>100439465.6038</v>
      </c>
      <c r="K13" s="137">
        <f t="shared" si="1"/>
        <v>100439465.6038</v>
      </c>
      <c r="L13" s="137">
        <f t="shared" si="2"/>
        <v>0</v>
      </c>
      <c r="M13" s="54" t="s">
        <v>150</v>
      </c>
      <c r="N13" s="54">
        <v>12</v>
      </c>
      <c r="P13" s="138">
        <v>2015</v>
      </c>
      <c r="Q13" s="240"/>
      <c r="R13" s="240"/>
      <c r="S13" s="240"/>
      <c r="T13" s="240"/>
      <c r="U13" s="239"/>
      <c r="V13" s="239"/>
      <c r="W13" s="239"/>
      <c r="X13" s="239">
        <v>26122981</v>
      </c>
      <c r="Y13" s="239">
        <v>26071643</v>
      </c>
      <c r="Z13" s="239">
        <v>26001608</v>
      </c>
      <c r="AA13" s="239">
        <v>26015673</v>
      </c>
      <c r="AB13" s="239">
        <v>26003647</v>
      </c>
      <c r="AC13" s="239">
        <v>25991840</v>
      </c>
    </row>
    <row r="14" spans="1:29" x14ac:dyDescent="0.2">
      <c r="A14">
        <v>2017</v>
      </c>
      <c r="B14" s="139">
        <v>157976515.12677801</v>
      </c>
      <c r="C14" s="139">
        <v>147697956.01800001</v>
      </c>
      <c r="D14" s="136">
        <f t="shared" si="3"/>
        <v>37572726.924400002</v>
      </c>
      <c r="E14" s="136">
        <f t="shared" si="4"/>
        <v>128911592.55580001</v>
      </c>
      <c r="F14" s="136">
        <f>E14-F169</f>
        <v>19021289.274734244</v>
      </c>
      <c r="G14" s="136">
        <f t="shared" si="0"/>
        <v>243862.68300941339</v>
      </c>
      <c r="J14" s="137">
        <f>+E181</f>
        <v>128911592.55580005</v>
      </c>
      <c r="K14" s="137">
        <f t="shared" si="1"/>
        <v>128911592.55580001</v>
      </c>
      <c r="L14" s="137">
        <f t="shared" si="2"/>
        <v>0</v>
      </c>
      <c r="M14" s="54" t="s">
        <v>3</v>
      </c>
      <c r="N14" s="54">
        <f>SUM(N2:N13)</f>
        <v>78</v>
      </c>
      <c r="P14" s="138">
        <v>2016</v>
      </c>
      <c r="Q14" s="240"/>
      <c r="R14" s="240"/>
      <c r="S14" s="240"/>
      <c r="T14" s="240"/>
      <c r="U14" s="239"/>
      <c r="V14" s="239"/>
      <c r="W14" s="239"/>
      <c r="X14" s="239"/>
      <c r="Y14" s="239">
        <v>21628788</v>
      </c>
      <c r="Z14" s="239">
        <v>21628788</v>
      </c>
      <c r="AA14" s="239">
        <v>22395334</v>
      </c>
      <c r="AB14" s="239">
        <v>22395334</v>
      </c>
      <c r="AC14" s="239">
        <v>22395334</v>
      </c>
    </row>
    <row r="15" spans="1:29" x14ac:dyDescent="0.2">
      <c r="A15">
        <v>2018</v>
      </c>
      <c r="B15" s="139">
        <v>149693567.55672708</v>
      </c>
      <c r="C15" s="139">
        <v>139710565.4429</v>
      </c>
      <c r="D15" s="136">
        <f t="shared" si="3"/>
        <v>-7987390.5751000047</v>
      </c>
      <c r="E15" s="136">
        <f t="shared" si="4"/>
        <v>143704260.73045</v>
      </c>
      <c r="F15" s="136">
        <f>E15-F181</f>
        <v>-1302268.903971374</v>
      </c>
      <c r="G15" s="136">
        <f t="shared" si="0"/>
        <v>-16695.75517912018</v>
      </c>
      <c r="J15" s="137">
        <f>+E193</f>
        <v>143704260.73044997</v>
      </c>
      <c r="K15" s="137">
        <f t="shared" si="1"/>
        <v>143704260.73045</v>
      </c>
      <c r="L15" s="137">
        <f t="shared" si="2"/>
        <v>0</v>
      </c>
      <c r="M15" s="10"/>
      <c r="N15" s="10"/>
      <c r="P15" s="138">
        <v>2017</v>
      </c>
      <c r="Q15" s="240"/>
      <c r="R15" s="240"/>
      <c r="S15" s="240"/>
      <c r="T15" s="240"/>
      <c r="U15" s="239"/>
      <c r="V15" s="239"/>
      <c r="W15" s="239"/>
      <c r="X15" s="239"/>
      <c r="Y15" s="239"/>
      <c r="Z15" s="239">
        <v>43015770</v>
      </c>
      <c r="AA15" s="239">
        <v>39769271</v>
      </c>
      <c r="AB15" s="239">
        <v>39769271</v>
      </c>
      <c r="AC15" s="239">
        <v>39768618</v>
      </c>
    </row>
    <row r="16" spans="1:29" x14ac:dyDescent="0.2">
      <c r="A16">
        <v>2019</v>
      </c>
      <c r="B16" s="139">
        <v>142835737.37036848</v>
      </c>
      <c r="C16" s="139">
        <v>135825138.46700001</v>
      </c>
      <c r="D16" s="136">
        <f t="shared" si="3"/>
        <v>-3885426.9758999944</v>
      </c>
      <c r="E16" s="136">
        <f t="shared" si="4"/>
        <v>137767851.95495</v>
      </c>
      <c r="F16" s="136">
        <f>E16-F193</f>
        <v>-4834488.9336780608</v>
      </c>
      <c r="G16" s="136">
        <f t="shared" si="0"/>
        <v>-61980.627354846933</v>
      </c>
      <c r="J16" s="137">
        <f>+E205</f>
        <v>137767851.95494998</v>
      </c>
      <c r="K16" s="137">
        <f t="shared" si="1"/>
        <v>137767851.95495</v>
      </c>
      <c r="L16" s="137"/>
      <c r="M16" s="10"/>
      <c r="N16" s="10"/>
      <c r="P16" s="138">
        <v>2018</v>
      </c>
      <c r="Q16" s="240"/>
      <c r="R16" s="240"/>
      <c r="S16" s="240"/>
      <c r="T16" s="240"/>
      <c r="U16" s="239"/>
      <c r="V16" s="239"/>
      <c r="W16" s="239"/>
      <c r="X16" s="239"/>
      <c r="Y16" s="239"/>
      <c r="Z16" s="239"/>
      <c r="AA16" s="239"/>
      <c r="AB16" s="239"/>
      <c r="AC16" s="239"/>
    </row>
    <row r="17" spans="1:29" x14ac:dyDescent="0.2">
      <c r="A17">
        <v>2020</v>
      </c>
      <c r="B17" s="139">
        <v>137021968.69829354</v>
      </c>
      <c r="C17" s="139">
        <v>132002384.4823</v>
      </c>
      <c r="D17" s="136">
        <f t="shared" si="3"/>
        <v>-3822753.9847000092</v>
      </c>
      <c r="E17" s="136">
        <f t="shared" si="4"/>
        <v>133913761.47465</v>
      </c>
      <c r="F17" s="136">
        <f>E17-F205</f>
        <v>236630.92511993647</v>
      </c>
      <c r="G17" s="136">
        <f t="shared" si="0"/>
        <v>3033.7298092299548</v>
      </c>
      <c r="J17" s="137">
        <f>+E217</f>
        <v>133913761.47465001</v>
      </c>
      <c r="K17" s="137">
        <f t="shared" si="1"/>
        <v>133913761.47465</v>
      </c>
      <c r="L17" s="137"/>
      <c r="M17" s="10"/>
      <c r="N17" s="10"/>
      <c r="P17" s="140">
        <v>2019</v>
      </c>
      <c r="Q17" s="240"/>
      <c r="R17" s="240"/>
      <c r="S17" s="240"/>
      <c r="T17" s="240"/>
      <c r="U17" s="239"/>
      <c r="V17" s="239"/>
      <c r="W17" s="239"/>
      <c r="X17" s="239"/>
      <c r="Y17" s="239"/>
      <c r="Z17" s="239"/>
      <c r="AA17" s="239"/>
      <c r="AB17" s="239"/>
      <c r="AC17" s="239"/>
    </row>
    <row r="18" spans="1:29" x14ac:dyDescent="0.2">
      <c r="C18" s="136"/>
      <c r="D18" s="136"/>
      <c r="E18" s="136"/>
      <c r="F18" s="136"/>
      <c r="G18" s="136"/>
      <c r="J18" s="137"/>
      <c r="K18" s="137"/>
      <c r="L18" s="137"/>
      <c r="M18" s="10"/>
      <c r="N18" s="10"/>
      <c r="P18" s="140">
        <v>2020</v>
      </c>
      <c r="Q18" s="240"/>
      <c r="R18" s="240"/>
      <c r="S18" s="240"/>
      <c r="T18" s="240"/>
      <c r="U18" s="239"/>
      <c r="V18" s="239"/>
      <c r="W18" s="239"/>
      <c r="X18" s="239"/>
      <c r="Y18" s="239"/>
      <c r="Z18" s="239"/>
      <c r="AA18" s="239"/>
      <c r="AB18" s="239"/>
      <c r="AC18" s="239"/>
    </row>
    <row r="19" spans="1:29" x14ac:dyDescent="0.2">
      <c r="A19" s="49" t="s">
        <v>3</v>
      </c>
      <c r="B19" s="49"/>
      <c r="C19" s="136">
        <f>SUM(C2:C17)</f>
        <v>1130781684.7535</v>
      </c>
      <c r="D19" s="136"/>
      <c r="E19" s="136">
        <f>SUM(E2:E17)</f>
        <v>1064780492.5123501</v>
      </c>
      <c r="F19" s="136"/>
      <c r="G19" s="136"/>
      <c r="J19" s="136">
        <f>SUM(J2:J17)</f>
        <v>1064780492.5123501</v>
      </c>
      <c r="K19" s="136">
        <f>SUM(K2:K17)</f>
        <v>1064780492.5123501</v>
      </c>
      <c r="P19" s="140"/>
      <c r="Q19" s="240"/>
      <c r="R19" s="240"/>
      <c r="S19" s="240"/>
      <c r="T19" s="240"/>
      <c r="U19" s="239"/>
      <c r="V19" s="239"/>
      <c r="W19" s="239"/>
      <c r="X19" s="239"/>
      <c r="Y19" s="239"/>
      <c r="Z19" s="239"/>
      <c r="AA19" s="239"/>
      <c r="AB19" s="239"/>
      <c r="AC19" s="239"/>
    </row>
    <row r="20" spans="1:29" x14ac:dyDescent="0.2">
      <c r="D20" s="136"/>
      <c r="E20" s="136"/>
      <c r="F20" s="136"/>
      <c r="G20" s="136"/>
      <c r="P20" s="138" t="s">
        <v>3</v>
      </c>
      <c r="Q20" s="240">
        <f t="shared" ref="Q20:U20" si="5">SUM(Q3:Q19)</f>
        <v>27058909.222072836</v>
      </c>
      <c r="R20" s="240">
        <f t="shared" si="5"/>
        <v>36655515.333385736</v>
      </c>
      <c r="S20" s="240">
        <f t="shared" si="5"/>
        <v>39643598.097250164</v>
      </c>
      <c r="T20" s="240">
        <f t="shared" si="5"/>
        <v>50620379.920703232</v>
      </c>
      <c r="U20" s="240">
        <f t="shared" si="5"/>
        <v>56622171.72205469</v>
      </c>
      <c r="V20" s="240">
        <f>SUM(V3:V19)</f>
        <v>61309444.238899991</v>
      </c>
      <c r="W20" s="240">
        <f t="shared" ref="W20:AC20" si="6">SUM(W3:W19)</f>
        <v>70275491.078500003</v>
      </c>
      <c r="X20" s="240">
        <f t="shared" si="6"/>
        <v>90753702.113900006</v>
      </c>
      <c r="Y20" s="240">
        <f t="shared" si="6"/>
        <v>110125229.0935</v>
      </c>
      <c r="Z20" s="240">
        <f t="shared" si="6"/>
        <v>147697956.01800001</v>
      </c>
      <c r="AA20" s="240">
        <f t="shared" si="6"/>
        <v>139710565.44279999</v>
      </c>
      <c r="AB20" s="240">
        <f t="shared" si="6"/>
        <v>135825138.46700001</v>
      </c>
      <c r="AC20" s="240">
        <f t="shared" si="6"/>
        <v>132002384.48229328</v>
      </c>
    </row>
    <row r="21" spans="1:29" x14ac:dyDescent="0.2">
      <c r="C21" s="137"/>
      <c r="D21" s="136"/>
      <c r="E21" s="136"/>
      <c r="F21" s="136"/>
      <c r="G21" s="136"/>
      <c r="Q21" s="241">
        <f>ROUND((Q20-$C5),2)</f>
        <v>0</v>
      </c>
      <c r="R21" s="241">
        <f>ROUND((R20-$C6),2)</f>
        <v>0</v>
      </c>
      <c r="S21" s="241">
        <f>ROUND((S20-$C7),2)</f>
        <v>0</v>
      </c>
      <c r="T21" s="241">
        <f>ROUND((T20-$C8),2)</f>
        <v>0</v>
      </c>
      <c r="U21" s="241">
        <f>ROUND((U20-$C9),2)</f>
        <v>0</v>
      </c>
      <c r="V21" s="241">
        <f>ROUND((V20-$C10),2)</f>
        <v>0</v>
      </c>
      <c r="W21" s="241">
        <f>ROUND((W20-$C11),2)</f>
        <v>0</v>
      </c>
      <c r="X21" s="241">
        <f>ROUND((X20-$C12),2)</f>
        <v>0</v>
      </c>
      <c r="Y21" s="241">
        <f>ROUND((Y20-$C13),2)</f>
        <v>0</v>
      </c>
      <c r="Z21" s="241">
        <f>ROUND((Z20-$C14),2)</f>
        <v>0</v>
      </c>
      <c r="AA21" s="241">
        <f>ROUND((AA20-$C15),2)</f>
        <v>0</v>
      </c>
      <c r="AB21" s="241">
        <f>ROUND((AB20-$C16),2)</f>
        <v>0</v>
      </c>
      <c r="AC21" s="241">
        <f>ROUND((AC20-$C17),2)</f>
        <v>0</v>
      </c>
    </row>
    <row r="22" spans="1:29" x14ac:dyDescent="0.2">
      <c r="C22" s="43"/>
      <c r="D22" s="136"/>
      <c r="E22" s="136"/>
      <c r="F22" s="136"/>
      <c r="G22" s="136"/>
      <c r="K22" s="135"/>
    </row>
    <row r="23" spans="1:29" x14ac:dyDescent="0.2">
      <c r="C23" s="43"/>
      <c r="D23" s="136"/>
      <c r="E23" s="136"/>
      <c r="F23" s="136"/>
      <c r="G23" s="136"/>
      <c r="K23" s="135"/>
    </row>
    <row r="24" spans="1:29" x14ac:dyDescent="0.2">
      <c r="C24" s="43"/>
      <c r="D24" s="136" t="s">
        <v>151</v>
      </c>
      <c r="G24" s="136"/>
      <c r="K24" s="135"/>
    </row>
    <row r="25" spans="1:29" x14ac:dyDescent="0.2">
      <c r="C25" s="43"/>
      <c r="D25" s="136"/>
      <c r="K25" s="135"/>
      <c r="P25" s="232" t="s">
        <v>169</v>
      </c>
      <c r="Q25" s="232"/>
      <c r="R25" s="232"/>
    </row>
    <row r="26" spans="1:29" x14ac:dyDescent="0.2">
      <c r="A26" s="43">
        <v>38353</v>
      </c>
      <c r="B26" s="43"/>
      <c r="C26" s="43"/>
      <c r="D26" s="136">
        <f>$G$2</f>
        <v>1875.5320512820513</v>
      </c>
      <c r="K26" s="135"/>
      <c r="P26" s="233">
        <v>105710000</v>
      </c>
      <c r="Q26" s="233"/>
      <c r="R26" s="233"/>
    </row>
    <row r="27" spans="1:29" ht="13.5" thickBot="1" x14ac:dyDescent="0.25">
      <c r="A27" s="43">
        <v>38384</v>
      </c>
      <c r="B27" s="43"/>
      <c r="C27" s="43"/>
      <c r="D27" s="136">
        <f>D26+$G$2</f>
        <v>3751.0641025641025</v>
      </c>
      <c r="K27" s="135"/>
    </row>
    <row r="28" spans="1:29" x14ac:dyDescent="0.2">
      <c r="A28" s="43">
        <v>38412</v>
      </c>
      <c r="B28" s="43"/>
      <c r="C28" s="43"/>
      <c r="D28" s="136">
        <f t="shared" ref="D28:D34" si="7">D27+$G$2</f>
        <v>5626.5961538461543</v>
      </c>
      <c r="K28" s="135"/>
      <c r="P28" s="228" t="s">
        <v>168</v>
      </c>
      <c r="Q28" s="229"/>
      <c r="R28" s="229"/>
      <c r="S28" s="229"/>
      <c r="T28" s="229"/>
      <c r="U28" s="229"/>
      <c r="V28" s="230"/>
    </row>
    <row r="29" spans="1:29" x14ac:dyDescent="0.2">
      <c r="A29" s="43">
        <v>38443</v>
      </c>
      <c r="B29" s="43"/>
      <c r="C29" s="43"/>
      <c r="D29" s="136">
        <f t="shared" si="7"/>
        <v>7502.1282051282051</v>
      </c>
      <c r="K29" s="135"/>
      <c r="P29" s="151">
        <v>2015</v>
      </c>
      <c r="Q29" s="54">
        <v>2016</v>
      </c>
      <c r="R29" s="54">
        <v>2017</v>
      </c>
      <c r="S29" s="54">
        <v>2018</v>
      </c>
      <c r="T29" s="54">
        <v>2019</v>
      </c>
      <c r="U29" s="54">
        <v>2020</v>
      </c>
      <c r="V29" s="152" t="s">
        <v>3</v>
      </c>
    </row>
    <row r="30" spans="1:29" x14ac:dyDescent="0.2">
      <c r="A30" s="43">
        <v>38473</v>
      </c>
      <c r="B30" s="43"/>
      <c r="C30" s="43"/>
      <c r="D30" s="136">
        <f t="shared" si="7"/>
        <v>9377.6602564102559</v>
      </c>
      <c r="K30" s="135"/>
      <c r="P30" s="153">
        <f>P37/$P$26</f>
        <v>2.777777777788289E-2</v>
      </c>
      <c r="Q30" s="154">
        <f t="shared" ref="Q30:U33" si="8">Q37/$P$26</f>
        <v>2.777777777788289E-2</v>
      </c>
      <c r="R30" s="154">
        <f t="shared" si="8"/>
        <v>2.777777777788289E-2</v>
      </c>
      <c r="S30" s="154">
        <f t="shared" si="8"/>
        <v>2.777777777788289E-2</v>
      </c>
      <c r="T30" s="154">
        <f t="shared" si="8"/>
        <v>2.777777777788289E-2</v>
      </c>
      <c r="U30" s="154">
        <f t="shared" si="8"/>
        <v>2.777777777788289E-2</v>
      </c>
      <c r="V30" s="155">
        <f>SUM(P30:U30)</f>
        <v>0.16666666666729735</v>
      </c>
    </row>
    <row r="31" spans="1:29" x14ac:dyDescent="0.2">
      <c r="A31" s="43">
        <v>38504</v>
      </c>
      <c r="B31" s="43"/>
      <c r="C31" s="43"/>
      <c r="D31" s="136">
        <f t="shared" si="7"/>
        <v>11253.192307692307</v>
      </c>
      <c r="K31" s="135"/>
      <c r="P31" s="153"/>
      <c r="Q31" s="154">
        <f t="shared" si="8"/>
        <v>3.3333333333648664E-2</v>
      </c>
      <c r="R31" s="154">
        <f t="shared" si="8"/>
        <v>3.3333333333648664E-2</v>
      </c>
      <c r="S31" s="154">
        <f t="shared" si="8"/>
        <v>3.3333333333648664E-2</v>
      </c>
      <c r="T31" s="154">
        <f t="shared" si="8"/>
        <v>3.3333333333648664E-2</v>
      </c>
      <c r="U31" s="154">
        <f t="shared" si="8"/>
        <v>3.3333333333648664E-2</v>
      </c>
      <c r="V31" s="155">
        <f t="shared" ref="V31:V35" si="9">SUM(P31:U31)</f>
        <v>0.16666666666824331</v>
      </c>
    </row>
    <row r="32" spans="1:29" x14ac:dyDescent="0.2">
      <c r="A32" s="43">
        <v>38534</v>
      </c>
      <c r="B32" s="43"/>
      <c r="C32" s="43"/>
      <c r="D32" s="136">
        <f t="shared" si="7"/>
        <v>13128.724358974358</v>
      </c>
      <c r="K32" s="135"/>
      <c r="P32" s="153"/>
      <c r="Q32" s="154"/>
      <c r="R32" s="154">
        <f t="shared" si="8"/>
        <v>4.166666666635134E-2</v>
      </c>
      <c r="S32" s="154">
        <f t="shared" si="8"/>
        <v>4.166666666635134E-2</v>
      </c>
      <c r="T32" s="154">
        <f t="shared" ref="T32:U35" si="10">T39/$P$26</f>
        <v>4.166666666635134E-2</v>
      </c>
      <c r="U32" s="154">
        <f t="shared" si="10"/>
        <v>4.166666666635134E-2</v>
      </c>
      <c r="V32" s="155">
        <f t="shared" si="9"/>
        <v>0.16666666666540536</v>
      </c>
      <c r="X32" s="167"/>
      <c r="Y32" s="167"/>
      <c r="Z32" s="167"/>
      <c r="AA32" s="167"/>
      <c r="AB32" s="167"/>
      <c r="AC32" s="167"/>
    </row>
    <row r="33" spans="1:29" x14ac:dyDescent="0.2">
      <c r="A33" s="43">
        <v>38565</v>
      </c>
      <c r="B33" s="43"/>
      <c r="C33" s="43"/>
      <c r="D33" s="136">
        <f t="shared" si="7"/>
        <v>15004.256410256408</v>
      </c>
      <c r="K33" s="135"/>
      <c r="P33" s="153"/>
      <c r="Q33" s="154"/>
      <c r="R33" s="154"/>
      <c r="S33" s="154">
        <f t="shared" si="8"/>
        <v>5.555555555576578E-2</v>
      </c>
      <c r="T33" s="154">
        <f t="shared" si="10"/>
        <v>5.555555555576578E-2</v>
      </c>
      <c r="U33" s="154">
        <f t="shared" si="10"/>
        <v>5.555555555576578E-2</v>
      </c>
      <c r="V33" s="155">
        <f t="shared" si="9"/>
        <v>0.16666666666729735</v>
      </c>
      <c r="X33" s="168"/>
      <c r="Y33" s="168"/>
      <c r="Z33" s="168"/>
      <c r="AA33" s="168"/>
      <c r="AB33" s="168"/>
      <c r="AC33" s="168"/>
    </row>
    <row r="34" spans="1:29" x14ac:dyDescent="0.2">
      <c r="A34" s="43">
        <v>38596</v>
      </c>
      <c r="B34" s="43"/>
      <c r="C34" s="43"/>
      <c r="D34" s="136">
        <f t="shared" si="7"/>
        <v>16879.788461538461</v>
      </c>
      <c r="K34" s="135"/>
      <c r="P34" s="153"/>
      <c r="Q34" s="154"/>
      <c r="R34" s="154"/>
      <c r="S34" s="154"/>
      <c r="T34" s="154">
        <f t="shared" si="10"/>
        <v>8.333333333364866E-2</v>
      </c>
      <c r="U34" s="154">
        <f t="shared" si="10"/>
        <v>8.333333333364866E-2</v>
      </c>
      <c r="V34" s="155">
        <f t="shared" si="9"/>
        <v>0.16666666666729732</v>
      </c>
      <c r="X34" s="168"/>
      <c r="Y34" s="168"/>
      <c r="Z34" s="168"/>
      <c r="AA34" s="168"/>
      <c r="AB34" s="168"/>
      <c r="AC34" s="168"/>
    </row>
    <row r="35" spans="1:29" x14ac:dyDescent="0.2">
      <c r="A35" s="43">
        <v>38626</v>
      </c>
      <c r="B35" s="43"/>
      <c r="C35" s="43"/>
      <c r="D35" s="136">
        <f>D34+$G$2</f>
        <v>18755.320512820512</v>
      </c>
      <c r="K35" s="135"/>
      <c r="P35" s="153"/>
      <c r="Q35" s="154"/>
      <c r="R35" s="154"/>
      <c r="S35" s="154"/>
      <c r="T35" s="154"/>
      <c r="U35" s="154">
        <f t="shared" si="10"/>
        <v>0.16666666666635133</v>
      </c>
      <c r="V35" s="155">
        <f t="shared" si="9"/>
        <v>0.16666666666635133</v>
      </c>
      <c r="X35" s="146"/>
      <c r="Y35" s="146"/>
      <c r="Z35" s="146"/>
      <c r="AA35" s="146"/>
      <c r="AB35" s="146"/>
      <c r="AC35" s="146"/>
    </row>
    <row r="36" spans="1:29" x14ac:dyDescent="0.2">
      <c r="A36" s="43">
        <v>38657</v>
      </c>
      <c r="B36" s="43"/>
      <c r="C36" s="43"/>
      <c r="D36" s="136">
        <f>D35+$G$2</f>
        <v>20630.852564102563</v>
      </c>
      <c r="E36" s="49" t="s">
        <v>137</v>
      </c>
      <c r="F36" s="49"/>
      <c r="K36" s="135"/>
      <c r="P36" s="235" t="s">
        <v>65</v>
      </c>
      <c r="Q36" s="236"/>
      <c r="R36" s="236"/>
      <c r="S36" s="236"/>
      <c r="T36" s="236"/>
      <c r="U36" s="236"/>
      <c r="V36" s="237"/>
    </row>
    <row r="37" spans="1:29" x14ac:dyDescent="0.2">
      <c r="A37" s="43">
        <v>38687</v>
      </c>
      <c r="B37" s="43"/>
      <c r="C37" s="43"/>
      <c r="D37" s="136">
        <f>D36+$G$2</f>
        <v>22506.384615384613</v>
      </c>
      <c r="E37" s="136">
        <f>SUM(D26:D37)</f>
        <v>146291.5</v>
      </c>
      <c r="F37" s="136">
        <f>D37*12</f>
        <v>270076.61538461538</v>
      </c>
      <c r="K37" s="135"/>
      <c r="O37">
        <v>2015</v>
      </c>
      <c r="P37" s="156">
        <f>ROUND((V37/6),4)</f>
        <v>2936388.8889000001</v>
      </c>
      <c r="Q37" s="157">
        <f>ROUND((V37/6),4)</f>
        <v>2936388.8889000001</v>
      </c>
      <c r="R37" s="157">
        <f>ROUND((V37/6),4)</f>
        <v>2936388.8889000001</v>
      </c>
      <c r="S37" s="157">
        <f>ROUND((V37/6),4)</f>
        <v>2936388.8889000001</v>
      </c>
      <c r="T37" s="157">
        <f>ROUND((V37/6),4)</f>
        <v>2936388.8889000001</v>
      </c>
      <c r="U37" s="157">
        <f>ROUND((V37/6),4)</f>
        <v>2936388.8889000001</v>
      </c>
      <c r="V37" s="158">
        <f>ROUND((P26/6),4)</f>
        <v>17618333.333299998</v>
      </c>
    </row>
    <row r="38" spans="1:29" x14ac:dyDescent="0.2">
      <c r="A38" s="43">
        <v>38718</v>
      </c>
      <c r="B38" s="43"/>
      <c r="C38" s="43"/>
      <c r="D38" s="136">
        <f>+D37+$G$3</f>
        <v>89668.287246351087</v>
      </c>
      <c r="K38" s="135"/>
      <c r="O38">
        <v>2016</v>
      </c>
      <c r="P38" s="159"/>
      <c r="Q38" s="157">
        <f>ROUND((V38/5),4)</f>
        <v>3523666.6666999999</v>
      </c>
      <c r="R38" s="157">
        <f>ROUND((V38/5),4)</f>
        <v>3523666.6666999999</v>
      </c>
      <c r="S38" s="157">
        <f>ROUND((V38/5),4)</f>
        <v>3523666.6666999999</v>
      </c>
      <c r="T38" s="157">
        <f>ROUND((V38/5),4)</f>
        <v>3523666.6666999999</v>
      </c>
      <c r="U38" s="157">
        <f>ROUND((V38/5),4)</f>
        <v>3523666.6666999999</v>
      </c>
      <c r="V38" s="158">
        <f>ROUND((P26/6),4)</f>
        <v>17618333.333299998</v>
      </c>
    </row>
    <row r="39" spans="1:29" x14ac:dyDescent="0.2">
      <c r="A39" s="43">
        <v>38749</v>
      </c>
      <c r="B39" s="43"/>
      <c r="C39" s="43"/>
      <c r="D39" s="136">
        <f>+D38+$G$3</f>
        <v>156830.18987731758</v>
      </c>
      <c r="K39" s="135"/>
      <c r="O39">
        <v>2017</v>
      </c>
      <c r="P39" s="159"/>
      <c r="Q39" s="160"/>
      <c r="R39" s="157">
        <f>ROUND((V39/4),4)</f>
        <v>4404583.3333000001</v>
      </c>
      <c r="S39" s="157">
        <f>ROUND((V39/4),4)</f>
        <v>4404583.3333000001</v>
      </c>
      <c r="T39" s="157">
        <f>ROUND((V39/4),4)</f>
        <v>4404583.3333000001</v>
      </c>
      <c r="U39" s="157">
        <f>ROUND((V39/4),4)</f>
        <v>4404583.3333000001</v>
      </c>
      <c r="V39" s="158">
        <f>ROUND((P26/6),4)</f>
        <v>17618333.333299998</v>
      </c>
      <c r="W39" s="47"/>
    </row>
    <row r="40" spans="1:29" x14ac:dyDescent="0.2">
      <c r="A40" s="43">
        <v>38777</v>
      </c>
      <c r="B40" s="43"/>
      <c r="C40" s="43"/>
      <c r="D40" s="136">
        <f>+D39+$G$3</f>
        <v>223992.09250828405</v>
      </c>
      <c r="K40" s="135"/>
      <c r="O40">
        <v>2018</v>
      </c>
      <c r="P40" s="159"/>
      <c r="Q40" s="160"/>
      <c r="R40" s="160"/>
      <c r="S40" s="160">
        <f>ROUND((V40/3),4)</f>
        <v>5872777.7778000003</v>
      </c>
      <c r="T40" s="160">
        <f>ROUND((V40/3),4)</f>
        <v>5872777.7778000003</v>
      </c>
      <c r="U40" s="160">
        <f>ROUND((V40/3),4)</f>
        <v>5872777.7778000003</v>
      </c>
      <c r="V40" s="158">
        <f>ROUND((P26/6),4)</f>
        <v>17618333.333299998</v>
      </c>
      <c r="W40" s="47"/>
    </row>
    <row r="41" spans="1:29" x14ac:dyDescent="0.2">
      <c r="A41" s="43">
        <v>38808</v>
      </c>
      <c r="B41" s="43"/>
      <c r="C41" s="43"/>
      <c r="D41" s="136">
        <f t="shared" ref="D41:D49" si="11">+D40+$G$3</f>
        <v>291153.99513925053</v>
      </c>
      <c r="K41" s="135"/>
      <c r="O41">
        <v>2019</v>
      </c>
      <c r="P41" s="164"/>
      <c r="Q41" s="165"/>
      <c r="R41" s="165"/>
      <c r="S41" s="165"/>
      <c r="T41" s="160">
        <f>ROUND((V41/2),4)</f>
        <v>8809166.6666999999</v>
      </c>
      <c r="U41" s="160">
        <f>ROUND((V41/2),4)</f>
        <v>8809166.6666999999</v>
      </c>
      <c r="V41" s="166">
        <f>ROUND((P26/6),4)</f>
        <v>17618333.333299998</v>
      </c>
      <c r="W41" s="47"/>
    </row>
    <row r="42" spans="1:29" ht="13.5" thickBot="1" x14ac:dyDescent="0.25">
      <c r="A42" s="43">
        <v>38838</v>
      </c>
      <c r="B42" s="43"/>
      <c r="C42" s="43"/>
      <c r="D42" s="136">
        <f t="shared" si="11"/>
        <v>358315.89777021704</v>
      </c>
      <c r="K42" s="135"/>
      <c r="O42">
        <v>2020</v>
      </c>
      <c r="P42" s="161"/>
      <c r="Q42" s="162"/>
      <c r="R42" s="162"/>
      <c r="S42" s="162"/>
      <c r="T42" s="162"/>
      <c r="U42" s="162">
        <f>ROUND((V42),4)</f>
        <v>17618333.333299998</v>
      </c>
      <c r="V42" s="163">
        <f>ROUND((P26/6),4)</f>
        <v>17618333.333299998</v>
      </c>
      <c r="W42" s="47"/>
    </row>
    <row r="43" spans="1:29" x14ac:dyDescent="0.2">
      <c r="A43" s="43">
        <v>38869</v>
      </c>
      <c r="B43" s="43"/>
      <c r="C43" s="43"/>
      <c r="D43" s="136">
        <f t="shared" si="11"/>
        <v>425477.80040118354</v>
      </c>
      <c r="K43" s="135"/>
      <c r="Q43" s="43"/>
      <c r="R43" s="43"/>
      <c r="S43" s="72"/>
      <c r="T43" s="72"/>
    </row>
    <row r="44" spans="1:29" x14ac:dyDescent="0.2">
      <c r="A44" s="43">
        <v>38899</v>
      </c>
      <c r="B44" s="43"/>
      <c r="C44" s="43"/>
      <c r="D44" s="136">
        <f t="shared" si="11"/>
        <v>492639.70303215005</v>
      </c>
      <c r="K44" s="135"/>
      <c r="Q44" s="43"/>
      <c r="T44" s="234" t="s">
        <v>170</v>
      </c>
      <c r="U44" s="234"/>
    </row>
    <row r="45" spans="1:29" x14ac:dyDescent="0.2">
      <c r="A45" s="43">
        <v>38930</v>
      </c>
      <c r="B45" s="43"/>
      <c r="C45" s="43"/>
      <c r="D45" s="136">
        <f t="shared" si="11"/>
        <v>559801.60566311656</v>
      </c>
      <c r="K45" s="135"/>
      <c r="Q45" s="43"/>
      <c r="T45" s="28">
        <f>ROUND((T40),4)</f>
        <v>5872777.7778000003</v>
      </c>
      <c r="U45" s="28">
        <f>ROUND((U40),4)</f>
        <v>5872777.7778000003</v>
      </c>
    </row>
    <row r="46" spans="1:29" x14ac:dyDescent="0.2">
      <c r="A46" s="43">
        <v>38961</v>
      </c>
      <c r="B46" s="43"/>
      <c r="C46" s="43"/>
      <c r="D46" s="136">
        <f t="shared" si="11"/>
        <v>626963.50829408306</v>
      </c>
      <c r="Q46" s="43"/>
      <c r="T46" s="28">
        <f>ROUND((T41/2),4)</f>
        <v>4404583.3333999999</v>
      </c>
      <c r="U46" s="28">
        <f>ROUND((U41),4)</f>
        <v>8809166.6666999999</v>
      </c>
      <c r="V46" s="13"/>
    </row>
    <row r="47" spans="1:29" x14ac:dyDescent="0.2">
      <c r="A47" s="43">
        <v>38991</v>
      </c>
      <c r="B47" s="43"/>
      <c r="C47" s="43"/>
      <c r="D47" s="136">
        <f t="shared" si="11"/>
        <v>694125.41092504957</v>
      </c>
      <c r="Q47" s="43"/>
      <c r="T47" s="43"/>
      <c r="U47" s="28">
        <f>ROUND((U42/2),2)</f>
        <v>8809166.6699999999</v>
      </c>
    </row>
    <row r="48" spans="1:29" ht="13.5" thickBot="1" x14ac:dyDescent="0.25">
      <c r="A48" s="43">
        <v>39022</v>
      </c>
      <c r="B48" s="43"/>
      <c r="C48" s="43"/>
      <c r="D48" s="136">
        <f t="shared" si="11"/>
        <v>761287.31355601607</v>
      </c>
      <c r="T48" s="170">
        <f>ROUND((SUM(T45:T47)),4)</f>
        <v>10277361.111199999</v>
      </c>
      <c r="U48" s="170">
        <f>ROUND((SUM(U45:U47)),4)</f>
        <v>23491111.114500001</v>
      </c>
    </row>
    <row r="49" spans="1:6" ht="13.5" thickTop="1" x14ac:dyDescent="0.2">
      <c r="A49" s="43">
        <v>39052</v>
      </c>
      <c r="B49" s="43"/>
      <c r="C49" s="43"/>
      <c r="D49" s="136">
        <f t="shared" si="11"/>
        <v>828449.21618698258</v>
      </c>
      <c r="E49" s="136">
        <f>SUM(D38:D49)</f>
        <v>5508705.0206000023</v>
      </c>
      <c r="F49" s="136">
        <f>D49*12</f>
        <v>9941390.594243791</v>
      </c>
    </row>
    <row r="50" spans="1:6" x14ac:dyDescent="0.2">
      <c r="A50" s="43">
        <v>39083</v>
      </c>
      <c r="B50" s="43"/>
      <c r="C50" s="43"/>
      <c r="D50" s="136">
        <f>+D49+$G$4</f>
        <v>907332.77602167754</v>
      </c>
    </row>
    <row r="51" spans="1:6" x14ac:dyDescent="0.2">
      <c r="A51" s="43">
        <v>39114</v>
      </c>
      <c r="B51" s="43"/>
      <c r="C51" s="43"/>
      <c r="D51" s="136">
        <f t="shared" ref="D51:D61" si="12">+D50+$G$4</f>
        <v>986216.33585637249</v>
      </c>
    </row>
    <row r="52" spans="1:6" ht="12.75" customHeight="1" x14ac:dyDescent="0.2">
      <c r="A52" s="43">
        <v>39142</v>
      </c>
      <c r="B52" s="43"/>
      <c r="C52" s="43"/>
      <c r="D52" s="136">
        <f t="shared" si="12"/>
        <v>1065099.8956910674</v>
      </c>
    </row>
    <row r="53" spans="1:6" ht="12.75" customHeight="1" x14ac:dyDescent="0.2">
      <c r="A53" s="43">
        <v>39173</v>
      </c>
      <c r="B53" s="43"/>
      <c r="C53" s="43"/>
      <c r="D53" s="136">
        <f t="shared" si="12"/>
        <v>1143983.4555257624</v>
      </c>
    </row>
    <row r="54" spans="1:6" ht="12.75" customHeight="1" x14ac:dyDescent="0.2">
      <c r="A54" s="43">
        <v>39203</v>
      </c>
      <c r="B54" s="43"/>
      <c r="C54" s="43"/>
      <c r="D54" s="136">
        <f t="shared" si="12"/>
        <v>1222867.0153604574</v>
      </c>
    </row>
    <row r="55" spans="1:6" ht="12.75" customHeight="1" x14ac:dyDescent="0.2">
      <c r="A55" s="43">
        <v>39234</v>
      </c>
      <c r="B55" s="43"/>
      <c r="C55" s="43"/>
      <c r="D55" s="136">
        <f t="shared" si="12"/>
        <v>1301750.5751951523</v>
      </c>
    </row>
    <row r="56" spans="1:6" ht="12.75" customHeight="1" x14ac:dyDescent="0.2">
      <c r="A56" s="43">
        <v>39264</v>
      </c>
      <c r="B56" s="43"/>
      <c r="C56" s="43"/>
      <c r="D56" s="136">
        <f t="shared" si="12"/>
        <v>1380634.1350298473</v>
      </c>
    </row>
    <row r="57" spans="1:6" ht="12.75" customHeight="1" x14ac:dyDescent="0.2">
      <c r="A57" s="43">
        <v>39295</v>
      </c>
      <c r="B57" s="43"/>
      <c r="C57" s="43"/>
      <c r="D57" s="136">
        <f t="shared" si="12"/>
        <v>1459517.6948645422</v>
      </c>
    </row>
    <row r="58" spans="1:6" ht="12.75" customHeight="1" x14ac:dyDescent="0.2">
      <c r="A58" s="43">
        <v>39326</v>
      </c>
      <c r="B58" s="43"/>
      <c r="C58" s="43"/>
      <c r="D58" s="136">
        <f t="shared" si="12"/>
        <v>1538401.2546992372</v>
      </c>
    </row>
    <row r="59" spans="1:6" ht="12.75" customHeight="1" x14ac:dyDescent="0.2">
      <c r="A59" s="43">
        <v>39356</v>
      </c>
      <c r="B59" s="43"/>
      <c r="C59" s="43"/>
      <c r="D59" s="136">
        <f t="shared" si="12"/>
        <v>1617284.8145339321</v>
      </c>
    </row>
    <row r="60" spans="1:6" ht="12.75" customHeight="1" x14ac:dyDescent="0.2">
      <c r="A60" s="43">
        <v>39387</v>
      </c>
      <c r="B60" s="43"/>
      <c r="C60" s="43"/>
      <c r="D60" s="136">
        <f t="shared" si="12"/>
        <v>1696168.3743686271</v>
      </c>
    </row>
    <row r="61" spans="1:6" ht="12.75" customHeight="1" x14ac:dyDescent="0.2">
      <c r="A61" s="43">
        <v>39417</v>
      </c>
      <c r="B61" s="43"/>
      <c r="C61" s="43"/>
      <c r="D61" s="136">
        <f t="shared" si="12"/>
        <v>1775051.934203322</v>
      </c>
      <c r="E61" s="136">
        <f>SUM(D50:D61)</f>
        <v>16094308.261349995</v>
      </c>
      <c r="F61" s="136">
        <f>D61*12</f>
        <v>21300623.210439865</v>
      </c>
    </row>
    <row r="62" spans="1:6" ht="12.75" customHeight="1" x14ac:dyDescent="0.2">
      <c r="A62" s="43">
        <v>39448</v>
      </c>
      <c r="B62" s="43"/>
      <c r="C62" s="43"/>
      <c r="D62" s="136">
        <f>D61+$G$5</f>
        <v>1813009.9616553751</v>
      </c>
    </row>
    <row r="63" spans="1:6" x14ac:dyDescent="0.2">
      <c r="A63" s="43">
        <v>39479</v>
      </c>
      <c r="B63" s="43"/>
      <c r="C63" s="43"/>
      <c r="D63" s="136">
        <f t="shared" ref="D63:D73" si="13">D62+$G$5</f>
        <v>1850967.9891074281</v>
      </c>
    </row>
    <row r="64" spans="1:6" ht="12.75" customHeight="1" x14ac:dyDescent="0.2">
      <c r="A64" s="43">
        <v>39508</v>
      </c>
      <c r="B64" s="43"/>
      <c r="C64" s="43"/>
      <c r="D64" s="136">
        <f t="shared" si="13"/>
        <v>1888926.0165594812</v>
      </c>
    </row>
    <row r="65" spans="1:6" ht="12.75" customHeight="1" x14ac:dyDescent="0.2">
      <c r="A65" s="43">
        <v>39539</v>
      </c>
      <c r="B65" s="43"/>
      <c r="C65" s="43"/>
      <c r="D65" s="136">
        <f t="shared" si="13"/>
        <v>1926884.0440115342</v>
      </c>
    </row>
    <row r="66" spans="1:6" ht="13.5" customHeight="1" x14ac:dyDescent="0.2">
      <c r="A66" s="43">
        <v>39569</v>
      </c>
      <c r="B66" s="43"/>
      <c r="C66" s="43"/>
      <c r="D66" s="136">
        <f t="shared" si="13"/>
        <v>1964842.0714635872</v>
      </c>
    </row>
    <row r="67" spans="1:6" ht="12.75" customHeight="1" x14ac:dyDescent="0.2">
      <c r="A67" s="43">
        <v>39600</v>
      </c>
      <c r="B67" s="43"/>
      <c r="C67" s="43"/>
      <c r="D67" s="136">
        <f t="shared" si="13"/>
        <v>2002800.0989156403</v>
      </c>
    </row>
    <row r="68" spans="1:6" ht="12.75" customHeight="1" x14ac:dyDescent="0.2">
      <c r="A68" s="43">
        <v>39630</v>
      </c>
      <c r="B68" s="43"/>
      <c r="C68" s="43"/>
      <c r="D68" s="136">
        <f t="shared" si="13"/>
        <v>2040758.1263676933</v>
      </c>
    </row>
    <row r="69" spans="1:6" ht="12.75" customHeight="1" x14ac:dyDescent="0.2">
      <c r="A69" s="43">
        <v>39661</v>
      </c>
      <c r="B69" s="43"/>
      <c r="C69" s="43"/>
      <c r="D69" s="136">
        <f t="shared" si="13"/>
        <v>2078716.1538197463</v>
      </c>
    </row>
    <row r="70" spans="1:6" ht="12.75" customHeight="1" x14ac:dyDescent="0.2">
      <c r="A70" s="43">
        <v>39692</v>
      </c>
      <c r="B70" s="43"/>
      <c r="C70" s="43"/>
      <c r="D70" s="136">
        <f t="shared" si="13"/>
        <v>2116674.1812717994</v>
      </c>
    </row>
    <row r="71" spans="1:6" ht="12.75" customHeight="1" x14ac:dyDescent="0.2">
      <c r="A71" s="43">
        <v>39722</v>
      </c>
      <c r="B71" s="43"/>
      <c r="C71" s="43"/>
      <c r="D71" s="136">
        <f t="shared" si="13"/>
        <v>2154632.2087238524</v>
      </c>
    </row>
    <row r="72" spans="1:6" x14ac:dyDescent="0.2">
      <c r="A72" s="43">
        <v>39753</v>
      </c>
      <c r="B72" s="43"/>
      <c r="C72" s="43"/>
      <c r="D72" s="136">
        <f t="shared" si="13"/>
        <v>2192590.2361759054</v>
      </c>
    </row>
    <row r="73" spans="1:6" x14ac:dyDescent="0.2">
      <c r="A73" s="43">
        <v>39783</v>
      </c>
      <c r="B73" s="43"/>
      <c r="C73" s="43"/>
      <c r="D73" s="136">
        <f t="shared" si="13"/>
        <v>2230548.2636279585</v>
      </c>
      <c r="E73" s="136">
        <f>SUM(D62:D73)</f>
        <v>24261349.3517</v>
      </c>
      <c r="F73" s="136">
        <f>D73*12</f>
        <v>26766579.163535502</v>
      </c>
    </row>
    <row r="74" spans="1:6" x14ac:dyDescent="0.2">
      <c r="A74" s="43">
        <v>39814</v>
      </c>
      <c r="B74" s="43"/>
      <c r="C74" s="43"/>
      <c r="D74" s="136">
        <f>D73+$G$6</f>
        <v>2295812.7907332727</v>
      </c>
    </row>
    <row r="75" spans="1:6" x14ac:dyDescent="0.2">
      <c r="A75" s="43">
        <v>39845</v>
      </c>
      <c r="B75" s="43"/>
      <c r="C75" s="43"/>
      <c r="D75" s="136">
        <f t="shared" ref="D75:D85" si="14">D74+$G$6</f>
        <v>2361077.3178385869</v>
      </c>
    </row>
    <row r="76" spans="1:6" x14ac:dyDescent="0.2">
      <c r="A76" s="43">
        <v>39873</v>
      </c>
      <c r="B76" s="43"/>
      <c r="C76" s="43"/>
      <c r="D76" s="136">
        <f t="shared" si="14"/>
        <v>2426341.8449439011</v>
      </c>
    </row>
    <row r="77" spans="1:6" x14ac:dyDescent="0.2">
      <c r="A77" s="43">
        <v>39904</v>
      </c>
      <c r="B77" s="43"/>
      <c r="C77" s="43"/>
      <c r="D77" s="136">
        <f t="shared" si="14"/>
        <v>2491606.3720492152</v>
      </c>
    </row>
    <row r="78" spans="1:6" x14ac:dyDescent="0.2">
      <c r="A78" s="43">
        <v>39934</v>
      </c>
      <c r="B78" s="43"/>
      <c r="C78" s="43"/>
      <c r="D78" s="136">
        <f t="shared" si="14"/>
        <v>2556870.8991545294</v>
      </c>
    </row>
    <row r="79" spans="1:6" x14ac:dyDescent="0.2">
      <c r="A79" s="43">
        <v>39965</v>
      </c>
      <c r="B79" s="43"/>
      <c r="C79" s="43"/>
      <c r="D79" s="136">
        <f t="shared" si="14"/>
        <v>2622135.4262598436</v>
      </c>
    </row>
    <row r="80" spans="1:6" x14ac:dyDescent="0.2">
      <c r="A80" s="43">
        <v>39995</v>
      </c>
      <c r="B80" s="43"/>
      <c r="C80" s="43"/>
      <c r="D80" s="136">
        <f t="shared" si="14"/>
        <v>2687399.9533651578</v>
      </c>
    </row>
    <row r="81" spans="1:6" x14ac:dyDescent="0.2">
      <c r="A81" s="43">
        <v>40026</v>
      </c>
      <c r="B81" s="43"/>
      <c r="C81" s="43"/>
      <c r="D81" s="136">
        <f t="shared" si="14"/>
        <v>2752664.480470472</v>
      </c>
    </row>
    <row r="82" spans="1:6" x14ac:dyDescent="0.2">
      <c r="A82" s="43">
        <v>40057</v>
      </c>
      <c r="B82" s="43"/>
      <c r="C82" s="43"/>
      <c r="D82" s="136">
        <f t="shared" si="14"/>
        <v>2817929.0075757862</v>
      </c>
    </row>
    <row r="83" spans="1:6" x14ac:dyDescent="0.2">
      <c r="A83" s="43">
        <v>40087</v>
      </c>
      <c r="B83" s="43"/>
      <c r="C83" s="43"/>
      <c r="D83" s="136">
        <f t="shared" si="14"/>
        <v>2883193.5346811004</v>
      </c>
    </row>
    <row r="84" spans="1:6" x14ac:dyDescent="0.2">
      <c r="A84" s="43">
        <v>40118</v>
      </c>
      <c r="B84" s="43"/>
      <c r="C84" s="43"/>
      <c r="D84" s="136">
        <f t="shared" si="14"/>
        <v>2948458.0617864146</v>
      </c>
    </row>
    <row r="85" spans="1:6" x14ac:dyDescent="0.2">
      <c r="A85" s="43">
        <v>40148</v>
      </c>
      <c r="B85" s="43"/>
      <c r="C85" s="43"/>
      <c r="D85" s="136">
        <f t="shared" si="14"/>
        <v>3013722.5888917288</v>
      </c>
      <c r="E85" s="136">
        <f>SUM(D74:D85)</f>
        <v>31857212.277750008</v>
      </c>
      <c r="F85" s="136">
        <f>D85*12</f>
        <v>36164671.066700742</v>
      </c>
    </row>
    <row r="86" spans="1:6" x14ac:dyDescent="0.2">
      <c r="A86" s="43">
        <v>40179</v>
      </c>
      <c r="B86" s="43"/>
      <c r="C86" s="43"/>
      <c r="D86" s="136">
        <f>D85+$G$7</f>
        <v>3039169.8407987705</v>
      </c>
    </row>
    <row r="87" spans="1:6" x14ac:dyDescent="0.2">
      <c r="A87" s="43">
        <v>40210</v>
      </c>
      <c r="B87" s="43"/>
      <c r="C87" s="43"/>
      <c r="D87" s="136">
        <f t="shared" ref="D87:D97" si="15">D86+$G$7</f>
        <v>3064617.0927058123</v>
      </c>
    </row>
    <row r="88" spans="1:6" x14ac:dyDescent="0.2">
      <c r="A88" s="43">
        <v>40238</v>
      </c>
      <c r="B88" s="43"/>
      <c r="C88" s="43"/>
      <c r="D88" s="136">
        <f t="shared" si="15"/>
        <v>3090064.3446128541</v>
      </c>
    </row>
    <row r="89" spans="1:6" x14ac:dyDescent="0.2">
      <c r="A89" s="43">
        <v>40269</v>
      </c>
      <c r="B89" s="43"/>
      <c r="C89" s="43"/>
      <c r="D89" s="136">
        <f t="shared" si="15"/>
        <v>3115511.5965198958</v>
      </c>
    </row>
    <row r="90" spans="1:6" x14ac:dyDescent="0.2">
      <c r="A90" s="43">
        <v>40299</v>
      </c>
      <c r="B90" s="43"/>
      <c r="C90" s="43"/>
      <c r="D90" s="136">
        <f t="shared" si="15"/>
        <v>3140958.8484269376</v>
      </c>
    </row>
    <row r="91" spans="1:6" x14ac:dyDescent="0.2">
      <c r="A91" s="43">
        <v>40330</v>
      </c>
      <c r="B91" s="43"/>
      <c r="C91" s="43"/>
      <c r="D91" s="136">
        <f t="shared" si="15"/>
        <v>3166406.1003339794</v>
      </c>
    </row>
    <row r="92" spans="1:6" x14ac:dyDescent="0.2">
      <c r="A92" s="43">
        <v>40360</v>
      </c>
      <c r="B92" s="43"/>
      <c r="C92" s="43"/>
      <c r="D92" s="136">
        <f t="shared" si="15"/>
        <v>3191853.3522410211</v>
      </c>
    </row>
    <row r="93" spans="1:6" x14ac:dyDescent="0.2">
      <c r="A93" s="43">
        <v>40391</v>
      </c>
      <c r="B93" s="43"/>
      <c r="C93" s="43"/>
      <c r="D93" s="136">
        <f t="shared" si="15"/>
        <v>3217300.6041480629</v>
      </c>
    </row>
    <row r="94" spans="1:6" x14ac:dyDescent="0.2">
      <c r="A94" s="43">
        <v>40422</v>
      </c>
      <c r="B94" s="43"/>
      <c r="C94" s="43"/>
      <c r="D94" s="136">
        <f t="shared" si="15"/>
        <v>3242747.8560551046</v>
      </c>
    </row>
    <row r="95" spans="1:6" x14ac:dyDescent="0.2">
      <c r="A95" s="43">
        <v>40452</v>
      </c>
      <c r="B95" s="43"/>
      <c r="C95" s="43"/>
      <c r="D95" s="136">
        <f t="shared" si="15"/>
        <v>3268195.1079621464</v>
      </c>
    </row>
    <row r="96" spans="1:6" x14ac:dyDescent="0.2">
      <c r="A96" s="43">
        <v>40483</v>
      </c>
      <c r="B96" s="43"/>
      <c r="C96" s="43"/>
      <c r="D96" s="136">
        <f t="shared" si="15"/>
        <v>3293642.3598691882</v>
      </c>
    </row>
    <row r="97" spans="1:6" x14ac:dyDescent="0.2">
      <c r="A97" s="43">
        <v>40513</v>
      </c>
      <c r="B97" s="43"/>
      <c r="C97" s="43"/>
      <c r="D97" s="136">
        <f t="shared" si="15"/>
        <v>3319089.6117762299</v>
      </c>
      <c r="E97" s="136">
        <f>SUM(D86:D97)</f>
        <v>38149556.715450004</v>
      </c>
      <c r="F97" s="136">
        <f>D97*12</f>
        <v>39829075.341314763</v>
      </c>
    </row>
    <row r="98" spans="1:6" x14ac:dyDescent="0.2">
      <c r="A98" s="43">
        <v>40544</v>
      </c>
      <c r="B98" s="43"/>
      <c r="C98" s="43"/>
      <c r="D98" s="136">
        <f>D97+$G$8</f>
        <v>3387075.684438861</v>
      </c>
    </row>
    <row r="99" spans="1:6" x14ac:dyDescent="0.2">
      <c r="A99" s="43">
        <v>40575</v>
      </c>
      <c r="B99" s="43"/>
      <c r="C99" s="43"/>
      <c r="D99" s="136">
        <f t="shared" ref="D99:D109" si="16">D98+$G$8</f>
        <v>3455061.757101492</v>
      </c>
    </row>
    <row r="100" spans="1:6" x14ac:dyDescent="0.2">
      <c r="A100" s="43">
        <v>40603</v>
      </c>
      <c r="B100" s="43"/>
      <c r="C100" s="43"/>
      <c r="D100" s="136">
        <f t="shared" si="16"/>
        <v>3523047.8297641231</v>
      </c>
    </row>
    <row r="101" spans="1:6" x14ac:dyDescent="0.2">
      <c r="A101" s="43">
        <v>40634</v>
      </c>
      <c r="B101" s="43"/>
      <c r="D101" s="136">
        <f t="shared" si="16"/>
        <v>3591033.9024267541</v>
      </c>
    </row>
    <row r="102" spans="1:6" x14ac:dyDescent="0.2">
      <c r="A102" s="43">
        <v>40664</v>
      </c>
      <c r="B102" s="43"/>
      <c r="D102" s="136">
        <f t="shared" si="16"/>
        <v>3659019.9750893852</v>
      </c>
    </row>
    <row r="103" spans="1:6" x14ac:dyDescent="0.2">
      <c r="A103" s="43">
        <v>40695</v>
      </c>
      <c r="B103" s="43"/>
      <c r="D103" s="136">
        <f t="shared" si="16"/>
        <v>3727006.0477520162</v>
      </c>
    </row>
    <row r="104" spans="1:6" x14ac:dyDescent="0.2">
      <c r="A104" s="43">
        <v>40725</v>
      </c>
      <c r="B104" s="43"/>
      <c r="D104" s="136">
        <f t="shared" si="16"/>
        <v>3794992.1204146473</v>
      </c>
    </row>
    <row r="105" spans="1:6" x14ac:dyDescent="0.2">
      <c r="A105" s="43">
        <v>40756</v>
      </c>
      <c r="B105" s="43"/>
      <c r="D105" s="136">
        <f t="shared" si="16"/>
        <v>3862978.1930772783</v>
      </c>
    </row>
    <row r="106" spans="1:6" x14ac:dyDescent="0.2">
      <c r="A106" s="43">
        <v>40787</v>
      </c>
      <c r="B106" s="43"/>
      <c r="D106" s="136">
        <f t="shared" si="16"/>
        <v>3930964.2657399094</v>
      </c>
    </row>
    <row r="107" spans="1:6" x14ac:dyDescent="0.2">
      <c r="A107" s="43">
        <v>40817</v>
      </c>
      <c r="B107" s="43"/>
      <c r="D107" s="136">
        <f t="shared" si="16"/>
        <v>3998950.3384025404</v>
      </c>
    </row>
    <row r="108" spans="1:6" x14ac:dyDescent="0.2">
      <c r="A108" s="43">
        <v>40848</v>
      </c>
      <c r="B108" s="43"/>
      <c r="D108" s="136">
        <f t="shared" si="16"/>
        <v>4066936.4110651715</v>
      </c>
    </row>
    <row r="109" spans="1:6" x14ac:dyDescent="0.2">
      <c r="A109" s="43">
        <v>40878</v>
      </c>
      <c r="B109" s="43"/>
      <c r="D109" s="136">
        <f t="shared" si="16"/>
        <v>4134922.4837278025</v>
      </c>
      <c r="E109" s="136">
        <f>SUM(D98:D109)</f>
        <v>45131989.008999981</v>
      </c>
      <c r="F109" s="136">
        <f>D109*12</f>
        <v>49619069.804733634</v>
      </c>
    </row>
    <row r="110" spans="1:6" x14ac:dyDescent="0.2">
      <c r="A110" s="43">
        <v>40909</v>
      </c>
      <c r="B110" s="43"/>
      <c r="D110" s="136">
        <f>D109+$G$9</f>
        <v>4186232.8172741663</v>
      </c>
    </row>
    <row r="111" spans="1:6" x14ac:dyDescent="0.2">
      <c r="A111" s="43">
        <v>40940</v>
      </c>
      <c r="B111" s="43"/>
      <c r="D111" s="136">
        <f t="shared" ref="D111:D121" si="17">D110+$G$9</f>
        <v>4237543.15082053</v>
      </c>
    </row>
    <row r="112" spans="1:6" x14ac:dyDescent="0.2">
      <c r="A112" s="43">
        <v>40969</v>
      </c>
      <c r="B112" s="43"/>
      <c r="D112" s="136">
        <f t="shared" si="17"/>
        <v>4288853.4843668938</v>
      </c>
    </row>
    <row r="113" spans="1:6" x14ac:dyDescent="0.2">
      <c r="A113" s="43">
        <v>41000</v>
      </c>
      <c r="B113" s="43"/>
      <c r="D113" s="136">
        <f t="shared" si="17"/>
        <v>4340163.8179132575</v>
      </c>
    </row>
    <row r="114" spans="1:6" x14ac:dyDescent="0.2">
      <c r="A114" s="43">
        <v>41030</v>
      </c>
      <c r="B114" s="43"/>
      <c r="D114" s="136">
        <f t="shared" si="17"/>
        <v>4391474.1514596213</v>
      </c>
    </row>
    <row r="115" spans="1:6" x14ac:dyDescent="0.2">
      <c r="A115" s="43">
        <v>41061</v>
      </c>
      <c r="B115" s="43"/>
      <c r="D115" s="136">
        <f t="shared" si="17"/>
        <v>4442784.485005985</v>
      </c>
    </row>
    <row r="116" spans="1:6" x14ac:dyDescent="0.2">
      <c r="A116" s="43">
        <v>41091</v>
      </c>
      <c r="B116" s="43"/>
      <c r="D116" s="136">
        <f t="shared" si="17"/>
        <v>4494094.8185523488</v>
      </c>
    </row>
    <row r="117" spans="1:6" x14ac:dyDescent="0.2">
      <c r="A117" s="43">
        <v>41122</v>
      </c>
      <c r="B117" s="43"/>
      <c r="D117" s="136">
        <f t="shared" si="17"/>
        <v>4545405.1520987125</v>
      </c>
    </row>
    <row r="118" spans="1:6" x14ac:dyDescent="0.2">
      <c r="A118" s="43">
        <v>41153</v>
      </c>
      <c r="B118" s="43"/>
      <c r="D118" s="136">
        <f t="shared" si="17"/>
        <v>4596715.4856450763</v>
      </c>
    </row>
    <row r="119" spans="1:6" x14ac:dyDescent="0.2">
      <c r="A119" s="43">
        <v>41183</v>
      </c>
      <c r="B119" s="43"/>
      <c r="D119" s="136">
        <f t="shared" si="17"/>
        <v>4648025.81919144</v>
      </c>
    </row>
    <row r="120" spans="1:6" x14ac:dyDescent="0.2">
      <c r="A120" s="43">
        <v>41214</v>
      </c>
      <c r="B120" s="43"/>
      <c r="D120" s="136">
        <f t="shared" si="17"/>
        <v>4699336.1527378038</v>
      </c>
    </row>
    <row r="121" spans="1:6" x14ac:dyDescent="0.2">
      <c r="A121" s="43">
        <v>41244</v>
      </c>
      <c r="B121" s="43"/>
      <c r="D121" s="136">
        <f t="shared" si="17"/>
        <v>4750646.4862841675</v>
      </c>
      <c r="E121" s="136">
        <f>SUM(D110:D121)</f>
        <v>53621275.821350008</v>
      </c>
      <c r="F121" s="136">
        <f>D121*12</f>
        <v>57007757.835410014</v>
      </c>
    </row>
    <row r="122" spans="1:6" x14ac:dyDescent="0.2">
      <c r="A122" s="43">
        <v>41275</v>
      </c>
      <c r="B122" s="43"/>
      <c r="D122" s="137">
        <f>D121+$G$10</f>
        <v>4775749.6932718595</v>
      </c>
    </row>
    <row r="123" spans="1:6" x14ac:dyDescent="0.2">
      <c r="A123" s="43">
        <v>41306</v>
      </c>
      <c r="B123" s="43"/>
      <c r="D123" s="137">
        <f t="shared" ref="D123:D133" si="18">D122+$G$10</f>
        <v>4800852.9002595516</v>
      </c>
    </row>
    <row r="124" spans="1:6" x14ac:dyDescent="0.2">
      <c r="A124" s="43">
        <v>41334</v>
      </c>
      <c r="B124" s="43"/>
      <c r="D124" s="137">
        <f t="shared" si="18"/>
        <v>4825956.1072472436</v>
      </c>
    </row>
    <row r="125" spans="1:6" x14ac:dyDescent="0.2">
      <c r="A125" s="43">
        <v>41365</v>
      </c>
      <c r="B125" s="43"/>
      <c r="D125" s="137">
        <f t="shared" si="18"/>
        <v>4851059.3142349357</v>
      </c>
    </row>
    <row r="126" spans="1:6" x14ac:dyDescent="0.2">
      <c r="A126" s="43">
        <v>41395</v>
      </c>
      <c r="B126" s="43"/>
      <c r="D126" s="137">
        <f t="shared" si="18"/>
        <v>4876162.5212226277</v>
      </c>
    </row>
    <row r="127" spans="1:6" x14ac:dyDescent="0.2">
      <c r="A127" s="43">
        <v>41426</v>
      </c>
      <c r="B127" s="43"/>
      <c r="D127" s="137">
        <f t="shared" si="18"/>
        <v>4901265.7282103198</v>
      </c>
    </row>
    <row r="128" spans="1:6" x14ac:dyDescent="0.2">
      <c r="A128" s="43">
        <v>41456</v>
      </c>
      <c r="B128" s="43"/>
      <c r="D128" s="137">
        <f t="shared" si="18"/>
        <v>4926368.9351980118</v>
      </c>
    </row>
    <row r="129" spans="1:6" x14ac:dyDescent="0.2">
      <c r="A129" s="43">
        <v>41487</v>
      </c>
      <c r="B129" s="43"/>
      <c r="D129" s="137">
        <f t="shared" si="18"/>
        <v>4951472.1421857039</v>
      </c>
    </row>
    <row r="130" spans="1:6" x14ac:dyDescent="0.2">
      <c r="A130" s="43">
        <v>41518</v>
      </c>
      <c r="B130" s="43"/>
      <c r="D130" s="137">
        <f t="shared" si="18"/>
        <v>4976575.3491733959</v>
      </c>
    </row>
    <row r="131" spans="1:6" x14ac:dyDescent="0.2">
      <c r="A131" s="43">
        <v>41548</v>
      </c>
      <c r="B131" s="43"/>
      <c r="D131" s="137">
        <f t="shared" si="18"/>
        <v>5001678.5561610879</v>
      </c>
    </row>
    <row r="132" spans="1:6" x14ac:dyDescent="0.2">
      <c r="A132" s="43">
        <v>41579</v>
      </c>
      <c r="B132" s="43"/>
      <c r="D132" s="137">
        <f t="shared" si="18"/>
        <v>5026781.76314878</v>
      </c>
    </row>
    <row r="133" spans="1:6" x14ac:dyDescent="0.2">
      <c r="A133" s="43">
        <v>41609</v>
      </c>
      <c r="B133" s="43"/>
      <c r="D133" s="137">
        <f t="shared" si="18"/>
        <v>5051884.970136472</v>
      </c>
      <c r="E133" s="136">
        <f>SUM(D122:D133)</f>
        <v>58965807.980449989</v>
      </c>
      <c r="F133" s="136">
        <f>D133*12</f>
        <v>60622619.641637668</v>
      </c>
    </row>
    <row r="134" spans="1:6" x14ac:dyDescent="0.2">
      <c r="A134" s="43">
        <v>41640</v>
      </c>
      <c r="B134" s="43"/>
      <c r="D134" s="137">
        <f>D133+$G$11</f>
        <v>5118165.0729199639</v>
      </c>
    </row>
    <row r="135" spans="1:6" x14ac:dyDescent="0.2">
      <c r="A135" s="43">
        <v>41671</v>
      </c>
      <c r="B135" s="43"/>
      <c r="D135" s="137">
        <f t="shared" ref="D135:D145" si="19">D134+$G$11</f>
        <v>5184445.1757034557</v>
      </c>
    </row>
    <row r="136" spans="1:6" x14ac:dyDescent="0.2">
      <c r="A136" s="43">
        <v>41699</v>
      </c>
      <c r="B136" s="43"/>
      <c r="D136" s="137">
        <f t="shared" si="19"/>
        <v>5250725.2784869475</v>
      </c>
    </row>
    <row r="137" spans="1:6" x14ac:dyDescent="0.2">
      <c r="A137" s="43">
        <v>41730</v>
      </c>
      <c r="B137" s="43"/>
      <c r="D137" s="137">
        <f t="shared" si="19"/>
        <v>5317005.3812704394</v>
      </c>
    </row>
    <row r="138" spans="1:6" x14ac:dyDescent="0.2">
      <c r="A138" s="43">
        <v>41760</v>
      </c>
      <c r="B138" s="43"/>
      <c r="D138" s="137">
        <f t="shared" si="19"/>
        <v>5383285.4840539312</v>
      </c>
    </row>
    <row r="139" spans="1:6" x14ac:dyDescent="0.2">
      <c r="A139" s="43">
        <v>41791</v>
      </c>
      <c r="B139" s="43"/>
      <c r="D139" s="137">
        <f t="shared" si="19"/>
        <v>5449565.586837423</v>
      </c>
    </row>
    <row r="140" spans="1:6" x14ac:dyDescent="0.2">
      <c r="A140" s="43">
        <v>41821</v>
      </c>
      <c r="B140" s="43"/>
      <c r="D140" s="137">
        <f t="shared" si="19"/>
        <v>5515845.6896209149</v>
      </c>
    </row>
    <row r="141" spans="1:6" x14ac:dyDescent="0.2">
      <c r="A141" s="43">
        <v>41852</v>
      </c>
      <c r="B141" s="43"/>
      <c r="D141" s="137">
        <f t="shared" si="19"/>
        <v>5582125.7924044067</v>
      </c>
    </row>
    <row r="142" spans="1:6" x14ac:dyDescent="0.2">
      <c r="A142" s="43">
        <v>41883</v>
      </c>
      <c r="B142" s="43"/>
      <c r="D142" s="137">
        <f t="shared" si="19"/>
        <v>5648405.8951878985</v>
      </c>
    </row>
    <row r="143" spans="1:6" x14ac:dyDescent="0.2">
      <c r="A143" s="43">
        <v>41913</v>
      </c>
      <c r="B143" s="43"/>
      <c r="D143" s="137">
        <f t="shared" si="19"/>
        <v>5714685.9979713904</v>
      </c>
    </row>
    <row r="144" spans="1:6" x14ac:dyDescent="0.2">
      <c r="A144" s="43">
        <v>41944</v>
      </c>
      <c r="B144" s="43"/>
      <c r="D144" s="137">
        <f t="shared" si="19"/>
        <v>5780966.1007548822</v>
      </c>
    </row>
    <row r="145" spans="1:6" x14ac:dyDescent="0.2">
      <c r="A145" s="43">
        <v>41974</v>
      </c>
      <c r="B145" s="43"/>
      <c r="D145" s="137">
        <f t="shared" si="19"/>
        <v>5847246.203538374</v>
      </c>
      <c r="E145" s="137">
        <f>SUM(D134:D145)</f>
        <v>65792467.658750027</v>
      </c>
      <c r="F145" s="136">
        <f>+D145*12</f>
        <v>70166954.442460492</v>
      </c>
    </row>
    <row r="146" spans="1:6" x14ac:dyDescent="0.2">
      <c r="A146" s="43">
        <v>42005</v>
      </c>
      <c r="B146" s="43"/>
      <c r="D146" s="137">
        <f>+D145+$G$12</f>
        <v>5979908.282433752</v>
      </c>
      <c r="E146" s="137"/>
      <c r="F146" s="136"/>
    </row>
    <row r="147" spans="1:6" x14ac:dyDescent="0.2">
      <c r="A147" s="43">
        <v>42036</v>
      </c>
      <c r="B147" s="43"/>
      <c r="D147" s="137">
        <f t="shared" ref="D147:D157" si="20">+D146+$G$12</f>
        <v>6112570.3613291308</v>
      </c>
      <c r="E147" s="137"/>
      <c r="F147" s="136"/>
    </row>
    <row r="148" spans="1:6" x14ac:dyDescent="0.2">
      <c r="A148" s="43">
        <v>42064</v>
      </c>
      <c r="B148" s="43"/>
      <c r="D148" s="137">
        <f t="shared" si="20"/>
        <v>6245232.4402245097</v>
      </c>
      <c r="E148" s="137"/>
      <c r="F148" s="136"/>
    </row>
    <row r="149" spans="1:6" x14ac:dyDescent="0.2">
      <c r="A149" s="43">
        <v>42095</v>
      </c>
      <c r="B149" s="43"/>
      <c r="D149" s="137">
        <f t="shared" si="20"/>
        <v>6377894.5191198885</v>
      </c>
      <c r="E149" s="137"/>
      <c r="F149" s="136"/>
    </row>
    <row r="150" spans="1:6" x14ac:dyDescent="0.2">
      <c r="A150" s="43">
        <v>42125</v>
      </c>
      <c r="B150" s="43"/>
      <c r="D150" s="137">
        <f t="shared" si="20"/>
        <v>6510556.5980152674</v>
      </c>
      <c r="E150" s="137"/>
      <c r="F150" s="136"/>
    </row>
    <row r="151" spans="1:6" x14ac:dyDescent="0.2">
      <c r="A151" s="43">
        <v>42156</v>
      </c>
      <c r="B151" s="43"/>
      <c r="D151" s="137">
        <f t="shared" si="20"/>
        <v>6643218.6769106463</v>
      </c>
      <c r="E151" s="137"/>
      <c r="F151" s="136"/>
    </row>
    <row r="152" spans="1:6" x14ac:dyDescent="0.2">
      <c r="A152" s="43">
        <v>42186</v>
      </c>
      <c r="B152" s="43"/>
      <c r="D152" s="137">
        <f t="shared" si="20"/>
        <v>6775880.7558060251</v>
      </c>
      <c r="E152" s="137"/>
      <c r="F152" s="136"/>
    </row>
    <row r="153" spans="1:6" x14ac:dyDescent="0.2">
      <c r="A153" s="43">
        <v>42217</v>
      </c>
      <c r="B153" s="43"/>
      <c r="D153" s="137">
        <f t="shared" si="20"/>
        <v>6908542.834701404</v>
      </c>
      <c r="E153" s="137"/>
      <c r="F153" s="136"/>
    </row>
    <row r="154" spans="1:6" x14ac:dyDescent="0.2">
      <c r="A154" s="43">
        <v>42248</v>
      </c>
      <c r="B154" s="43"/>
      <c r="D154" s="137">
        <f t="shared" si="20"/>
        <v>7041204.9135967828</v>
      </c>
      <c r="E154" s="137"/>
      <c r="F154" s="136"/>
    </row>
    <row r="155" spans="1:6" x14ac:dyDescent="0.2">
      <c r="A155" s="43">
        <v>42278</v>
      </c>
      <c r="B155" s="43"/>
      <c r="D155" s="137">
        <f t="shared" si="20"/>
        <v>7173866.9924921617</v>
      </c>
      <c r="E155" s="137"/>
      <c r="F155" s="136"/>
    </row>
    <row r="156" spans="1:6" x14ac:dyDescent="0.2">
      <c r="A156" s="43">
        <v>42309</v>
      </c>
      <c r="B156" s="43"/>
      <c r="D156" s="137">
        <f t="shared" si="20"/>
        <v>7306529.0713875405</v>
      </c>
      <c r="E156" s="137"/>
      <c r="F156" s="136"/>
    </row>
    <row r="157" spans="1:6" x14ac:dyDescent="0.2">
      <c r="A157" s="43">
        <v>42339</v>
      </c>
      <c r="B157" s="43"/>
      <c r="D157" s="137">
        <f t="shared" si="20"/>
        <v>7439191.1502829194</v>
      </c>
      <c r="E157" s="137">
        <f>SUM(D146:D157)</f>
        <v>80514596.596300021</v>
      </c>
      <c r="F157" s="136">
        <f>+D157*12</f>
        <v>89270293.803395033</v>
      </c>
    </row>
    <row r="158" spans="1:6" x14ac:dyDescent="0.2">
      <c r="A158" s="43">
        <v>42370</v>
      </c>
      <c r="B158" s="43"/>
      <c r="D158" s="137">
        <f>+D157+$G$13</f>
        <v>7582385.6605445212</v>
      </c>
      <c r="E158" s="137"/>
      <c r="F158" s="136"/>
    </row>
    <row r="159" spans="1:6" x14ac:dyDescent="0.2">
      <c r="A159" s="43">
        <v>42401</v>
      </c>
      <c r="B159" s="43"/>
      <c r="D159" s="137">
        <f t="shared" ref="D159:D169" si="21">+D158+$G$13</f>
        <v>7725580.1708061229</v>
      </c>
      <c r="E159" s="137"/>
      <c r="F159" s="136"/>
    </row>
    <row r="160" spans="1:6" x14ac:dyDescent="0.2">
      <c r="A160" s="43">
        <v>42430</v>
      </c>
      <c r="B160" s="43"/>
      <c r="D160" s="137">
        <f t="shared" si="21"/>
        <v>7868774.6810677247</v>
      </c>
      <c r="E160" s="137"/>
      <c r="F160" s="136"/>
    </row>
    <row r="161" spans="1:6" x14ac:dyDescent="0.2">
      <c r="A161" s="43">
        <v>42461</v>
      </c>
      <c r="B161" s="43"/>
      <c r="D161" s="137">
        <f t="shared" si="21"/>
        <v>8011969.1913293265</v>
      </c>
      <c r="E161" s="137"/>
      <c r="F161" s="136"/>
    </row>
    <row r="162" spans="1:6" x14ac:dyDescent="0.2">
      <c r="A162" s="43">
        <v>42491</v>
      </c>
      <c r="B162" s="43"/>
      <c r="D162" s="137">
        <f t="shared" si="21"/>
        <v>8155163.7015909282</v>
      </c>
      <c r="E162" s="137"/>
      <c r="F162" s="136"/>
    </row>
    <row r="163" spans="1:6" x14ac:dyDescent="0.2">
      <c r="A163" s="43">
        <v>42522</v>
      </c>
      <c r="B163" s="43"/>
      <c r="D163" s="137">
        <f t="shared" si="21"/>
        <v>8298358.21185253</v>
      </c>
      <c r="E163" s="137"/>
      <c r="F163" s="136"/>
    </row>
    <row r="164" spans="1:6" x14ac:dyDescent="0.2">
      <c r="A164" s="43">
        <v>42552</v>
      </c>
      <c r="B164" s="43"/>
      <c r="D164" s="137">
        <f t="shared" si="21"/>
        <v>8441552.7221141327</v>
      </c>
      <c r="E164" s="137"/>
      <c r="F164" s="136"/>
    </row>
    <row r="165" spans="1:6" x14ac:dyDescent="0.2">
      <c r="A165" s="43">
        <v>42583</v>
      </c>
      <c r="B165" s="43"/>
      <c r="D165" s="137">
        <f t="shared" si="21"/>
        <v>8584747.2323757354</v>
      </c>
      <c r="E165" s="137"/>
      <c r="F165" s="136"/>
    </row>
    <row r="166" spans="1:6" x14ac:dyDescent="0.2">
      <c r="A166" s="43">
        <v>42614</v>
      </c>
      <c r="B166" s="43"/>
      <c r="D166" s="137">
        <f t="shared" si="21"/>
        <v>8727941.7426373381</v>
      </c>
      <c r="E166" s="137"/>
      <c r="F166" s="136"/>
    </row>
    <row r="167" spans="1:6" x14ac:dyDescent="0.2">
      <c r="A167" s="43">
        <v>42644</v>
      </c>
      <c r="B167" s="43"/>
      <c r="D167" s="137">
        <f t="shared" si="21"/>
        <v>8871136.2528989408</v>
      </c>
      <c r="E167" s="137"/>
      <c r="F167" s="136"/>
    </row>
    <row r="168" spans="1:6" x14ac:dyDescent="0.2">
      <c r="A168" s="43">
        <v>42675</v>
      </c>
      <c r="B168" s="43"/>
      <c r="D168" s="137">
        <f t="shared" si="21"/>
        <v>9014330.7631605435</v>
      </c>
      <c r="E168" s="137"/>
      <c r="F168" s="136"/>
    </row>
    <row r="169" spans="1:6" x14ac:dyDescent="0.2">
      <c r="A169" s="43">
        <v>42705</v>
      </c>
      <c r="B169" s="43"/>
      <c r="D169" s="137">
        <f t="shared" si="21"/>
        <v>9157525.2734221462</v>
      </c>
      <c r="E169" s="137">
        <f>SUM(D158:D169)</f>
        <v>100439465.6038</v>
      </c>
      <c r="F169" s="136">
        <f>+D169*12</f>
        <v>109890303.28106576</v>
      </c>
    </row>
    <row r="170" spans="1:6" x14ac:dyDescent="0.2">
      <c r="A170" s="43">
        <v>42736</v>
      </c>
      <c r="B170" s="43"/>
      <c r="D170" s="137">
        <f>+D169+$G$14</f>
        <v>9401387.9564315602</v>
      </c>
      <c r="E170" s="137"/>
      <c r="F170" s="136"/>
    </row>
    <row r="171" spans="1:6" x14ac:dyDescent="0.2">
      <c r="A171" s="43">
        <v>42767</v>
      </c>
      <c r="B171" s="43"/>
      <c r="D171" s="137">
        <f t="shared" ref="D171:D181" si="22">+D170+$G$14</f>
        <v>9645250.6394409742</v>
      </c>
      <c r="E171" s="137"/>
      <c r="F171" s="136"/>
    </row>
    <row r="172" spans="1:6" x14ac:dyDescent="0.2">
      <c r="A172" s="43">
        <v>42795</v>
      </c>
      <c r="B172" s="43"/>
      <c r="D172" s="137">
        <f t="shared" si="22"/>
        <v>9889113.3224503882</v>
      </c>
      <c r="E172" s="137"/>
      <c r="F172" s="136"/>
    </row>
    <row r="173" spans="1:6" x14ac:dyDescent="0.2">
      <c r="A173" s="43">
        <v>42826</v>
      </c>
      <c r="B173" s="43"/>
      <c r="D173" s="137">
        <f t="shared" si="22"/>
        <v>10132976.005459802</v>
      </c>
      <c r="E173" s="137"/>
      <c r="F173" s="136"/>
    </row>
    <row r="174" spans="1:6" x14ac:dyDescent="0.2">
      <c r="A174" s="43">
        <v>42856</v>
      </c>
      <c r="B174" s="43"/>
      <c r="D174" s="137">
        <f t="shared" si="22"/>
        <v>10376838.688469216</v>
      </c>
      <c r="E174" s="137"/>
      <c r="F174" s="136"/>
    </row>
    <row r="175" spans="1:6" x14ac:dyDescent="0.2">
      <c r="A175" s="43">
        <v>42887</v>
      </c>
      <c r="B175" s="43"/>
      <c r="D175" s="137">
        <f t="shared" si="22"/>
        <v>10620701.37147863</v>
      </c>
      <c r="E175" s="137"/>
      <c r="F175" s="136"/>
    </row>
    <row r="176" spans="1:6" x14ac:dyDescent="0.2">
      <c r="A176" s="43">
        <v>42917</v>
      </c>
      <c r="B176" s="43"/>
      <c r="D176" s="137">
        <f t="shared" si="22"/>
        <v>10864564.054488044</v>
      </c>
      <c r="E176" s="137"/>
      <c r="F176" s="136"/>
    </row>
    <row r="177" spans="1:6" x14ac:dyDescent="0.2">
      <c r="A177" s="43">
        <v>42948</v>
      </c>
      <c r="B177" s="43"/>
      <c r="D177" s="137">
        <f t="shared" si="22"/>
        <v>11108426.737497458</v>
      </c>
      <c r="E177" s="137"/>
      <c r="F177" s="136"/>
    </row>
    <row r="178" spans="1:6" x14ac:dyDescent="0.2">
      <c r="A178" s="43">
        <v>42979</v>
      </c>
      <c r="B178" s="43"/>
      <c r="D178" s="137">
        <f t="shared" si="22"/>
        <v>11352289.420506872</v>
      </c>
      <c r="E178" s="137"/>
      <c r="F178" s="136"/>
    </row>
    <row r="179" spans="1:6" x14ac:dyDescent="0.2">
      <c r="A179" s="43">
        <v>43009</v>
      </c>
      <c r="B179" s="43"/>
      <c r="D179" s="137">
        <f t="shared" si="22"/>
        <v>11596152.103516286</v>
      </c>
      <c r="E179" s="137"/>
      <c r="F179" s="136"/>
    </row>
    <row r="180" spans="1:6" x14ac:dyDescent="0.2">
      <c r="A180" s="43">
        <v>43040</v>
      </c>
      <c r="B180" s="43"/>
      <c r="D180" s="137">
        <f t="shared" si="22"/>
        <v>11840014.7865257</v>
      </c>
      <c r="E180" s="137"/>
      <c r="F180" s="136"/>
    </row>
    <row r="181" spans="1:6" x14ac:dyDescent="0.2">
      <c r="A181" s="43">
        <v>43070</v>
      </c>
      <c r="B181" s="43"/>
      <c r="D181" s="137">
        <f t="shared" si="22"/>
        <v>12083877.469535114</v>
      </c>
      <c r="E181" s="137">
        <f>SUM(D170:D181)</f>
        <v>128911592.55580005</v>
      </c>
      <c r="F181" s="136">
        <f>+D181*12</f>
        <v>145006529.63442138</v>
      </c>
    </row>
    <row r="182" spans="1:6" x14ac:dyDescent="0.2">
      <c r="A182" s="43">
        <v>43101</v>
      </c>
      <c r="B182" s="43"/>
      <c r="D182" s="137">
        <f>+D181+$G$15</f>
        <v>12067181.714355994</v>
      </c>
      <c r="E182" s="137"/>
      <c r="F182" s="136"/>
    </row>
    <row r="183" spans="1:6" x14ac:dyDescent="0.2">
      <c r="A183" s="43">
        <v>43132</v>
      </c>
      <c r="B183" s="43"/>
      <c r="D183" s="137">
        <f t="shared" ref="D183:D193" si="23">+D182+$G$15</f>
        <v>12050485.959176874</v>
      </c>
      <c r="E183" s="137"/>
      <c r="F183" s="136"/>
    </row>
    <row r="184" spans="1:6" x14ac:dyDescent="0.2">
      <c r="A184" s="43">
        <v>43160</v>
      </c>
      <c r="B184" s="43"/>
      <c r="D184" s="137">
        <f t="shared" si="23"/>
        <v>12033790.203997754</v>
      </c>
      <c r="E184" s="137"/>
      <c r="F184" s="136"/>
    </row>
    <row r="185" spans="1:6" x14ac:dyDescent="0.2">
      <c r="A185" s="43">
        <v>43191</v>
      </c>
      <c r="B185" s="43"/>
      <c r="D185" s="137">
        <f t="shared" si="23"/>
        <v>12017094.448818633</v>
      </c>
      <c r="E185" s="137"/>
      <c r="F185" s="136"/>
    </row>
    <row r="186" spans="1:6" x14ac:dyDescent="0.2">
      <c r="A186" s="43">
        <v>43221</v>
      </c>
      <c r="B186" s="43"/>
      <c r="D186" s="137">
        <f t="shared" si="23"/>
        <v>12000398.693639513</v>
      </c>
      <c r="E186" s="137"/>
      <c r="F186" s="136"/>
    </row>
    <row r="187" spans="1:6" x14ac:dyDescent="0.2">
      <c r="A187" s="43">
        <v>43252</v>
      </c>
      <c r="B187" s="43"/>
      <c r="D187" s="137">
        <f t="shared" si="23"/>
        <v>11983702.938460393</v>
      </c>
      <c r="E187" s="137"/>
      <c r="F187" s="136"/>
    </row>
    <row r="188" spans="1:6" x14ac:dyDescent="0.2">
      <c r="A188" s="43">
        <v>43282</v>
      </c>
      <c r="B188" s="43"/>
      <c r="D188" s="137">
        <f t="shared" si="23"/>
        <v>11967007.183281273</v>
      </c>
      <c r="E188" s="137"/>
      <c r="F188" s="136"/>
    </row>
    <row r="189" spans="1:6" x14ac:dyDescent="0.2">
      <c r="A189" s="43">
        <v>43313</v>
      </c>
      <c r="B189" s="43"/>
      <c r="D189" s="137">
        <f t="shared" si="23"/>
        <v>11950311.428102152</v>
      </c>
      <c r="E189" s="137"/>
      <c r="F189" s="136"/>
    </row>
    <row r="190" spans="1:6" x14ac:dyDescent="0.2">
      <c r="A190" s="43">
        <v>43344</v>
      </c>
      <c r="B190" s="43"/>
      <c r="D190" s="137">
        <f t="shared" si="23"/>
        <v>11933615.672923032</v>
      </c>
      <c r="E190" s="137"/>
      <c r="F190" s="136"/>
    </row>
    <row r="191" spans="1:6" x14ac:dyDescent="0.2">
      <c r="A191" s="43">
        <v>43374</v>
      </c>
      <c r="B191" s="43"/>
      <c r="D191" s="137">
        <f t="shared" si="23"/>
        <v>11916919.917743912</v>
      </c>
      <c r="E191" s="137"/>
      <c r="F191" s="136"/>
    </row>
    <row r="192" spans="1:6" x14ac:dyDescent="0.2">
      <c r="A192" s="43">
        <v>43405</v>
      </c>
      <c r="B192" s="43"/>
      <c r="D192" s="137">
        <f t="shared" si="23"/>
        <v>11900224.162564792</v>
      </c>
      <c r="E192" s="137"/>
      <c r="F192" s="136"/>
    </row>
    <row r="193" spans="1:6" x14ac:dyDescent="0.2">
      <c r="A193" s="43">
        <v>43435</v>
      </c>
      <c r="B193" s="43"/>
      <c r="D193" s="137">
        <f t="shared" si="23"/>
        <v>11883528.407385672</v>
      </c>
      <c r="E193" s="137">
        <f>SUM(D182:D193)</f>
        <v>143704260.73044997</v>
      </c>
      <c r="F193" s="136">
        <f>+D193*12</f>
        <v>142602340.88862807</v>
      </c>
    </row>
    <row r="194" spans="1:6" x14ac:dyDescent="0.2">
      <c r="A194" s="43">
        <v>43466</v>
      </c>
      <c r="B194" s="43"/>
      <c r="D194" s="137">
        <f>+D193+$G$16</f>
        <v>11821547.780030824</v>
      </c>
    </row>
    <row r="195" spans="1:6" x14ac:dyDescent="0.2">
      <c r="A195" s="43">
        <v>43497</v>
      </c>
      <c r="B195" s="43"/>
      <c r="D195" s="137">
        <f t="shared" ref="D195:D205" si="24">+D194+$G$16</f>
        <v>11759567.152675977</v>
      </c>
    </row>
    <row r="196" spans="1:6" x14ac:dyDescent="0.2">
      <c r="A196" s="43">
        <v>43525</v>
      </c>
      <c r="B196" s="43"/>
      <c r="D196" s="137">
        <f t="shared" si="24"/>
        <v>11697586.52532113</v>
      </c>
    </row>
    <row r="197" spans="1:6" x14ac:dyDescent="0.2">
      <c r="A197" s="43">
        <v>43556</v>
      </c>
      <c r="B197" s="43"/>
      <c r="D197" s="137">
        <f t="shared" si="24"/>
        <v>11635605.897966282</v>
      </c>
    </row>
    <row r="198" spans="1:6" x14ac:dyDescent="0.2">
      <c r="A198" s="43">
        <v>43586</v>
      </c>
      <c r="B198" s="43"/>
      <c r="D198" s="137">
        <f t="shared" si="24"/>
        <v>11573625.270611435</v>
      </c>
    </row>
    <row r="199" spans="1:6" x14ac:dyDescent="0.2">
      <c r="A199" s="43">
        <v>43617</v>
      </c>
      <c r="B199" s="43"/>
      <c r="D199" s="137">
        <f t="shared" si="24"/>
        <v>11511644.643256588</v>
      </c>
    </row>
    <row r="200" spans="1:6" x14ac:dyDescent="0.2">
      <c r="A200" s="43">
        <v>43647</v>
      </c>
      <c r="B200" s="43"/>
      <c r="D200" s="137">
        <f t="shared" si="24"/>
        <v>11449664.015901741</v>
      </c>
    </row>
    <row r="201" spans="1:6" x14ac:dyDescent="0.2">
      <c r="A201" s="43">
        <v>43678</v>
      </c>
      <c r="B201" s="43"/>
      <c r="D201" s="137">
        <f t="shared" si="24"/>
        <v>11387683.388546893</v>
      </c>
    </row>
    <row r="202" spans="1:6" x14ac:dyDescent="0.2">
      <c r="A202" s="43">
        <v>43709</v>
      </c>
      <c r="B202" s="43"/>
      <c r="D202" s="137">
        <f t="shared" si="24"/>
        <v>11325702.761192046</v>
      </c>
    </row>
    <row r="203" spans="1:6" x14ac:dyDescent="0.2">
      <c r="A203" s="43">
        <v>43739</v>
      </c>
      <c r="B203" s="43"/>
      <c r="D203" s="137">
        <f t="shared" si="24"/>
        <v>11263722.133837199</v>
      </c>
    </row>
    <row r="204" spans="1:6" x14ac:dyDescent="0.2">
      <c r="A204" s="43">
        <v>43770</v>
      </c>
      <c r="B204" s="43"/>
      <c r="D204" s="137">
        <f t="shared" si="24"/>
        <v>11201741.506482352</v>
      </c>
    </row>
    <row r="205" spans="1:6" x14ac:dyDescent="0.2">
      <c r="A205" s="43">
        <v>43800</v>
      </c>
      <c r="B205" s="43"/>
      <c r="D205" s="137">
        <f t="shared" si="24"/>
        <v>11139760.879127504</v>
      </c>
      <c r="E205" s="137">
        <f>SUM(D194:D205)</f>
        <v>137767851.95494998</v>
      </c>
      <c r="F205" s="136">
        <f>+D205*12</f>
        <v>133677130.54953006</v>
      </c>
    </row>
    <row r="206" spans="1:6" x14ac:dyDescent="0.2">
      <c r="A206" s="43">
        <v>43831</v>
      </c>
      <c r="B206" s="43"/>
      <c r="D206" s="137">
        <f>+D205+$G$17</f>
        <v>11142794.608936734</v>
      </c>
    </row>
    <row r="207" spans="1:6" x14ac:dyDescent="0.2">
      <c r="A207" s="43">
        <v>43862</v>
      </c>
      <c r="B207" s="43"/>
      <c r="D207" s="137">
        <f t="shared" ref="D207:D217" si="25">+D206+$G$17</f>
        <v>11145828.338745965</v>
      </c>
    </row>
    <row r="208" spans="1:6" x14ac:dyDescent="0.2">
      <c r="A208" s="43">
        <v>43891</v>
      </c>
      <c r="B208" s="43"/>
      <c r="D208" s="137">
        <f t="shared" si="25"/>
        <v>11148862.068555195</v>
      </c>
    </row>
    <row r="209" spans="1:6" x14ac:dyDescent="0.2">
      <c r="A209" s="43">
        <v>43922</v>
      </c>
      <c r="B209" s="43"/>
      <c r="D209" s="137">
        <f t="shared" si="25"/>
        <v>11151895.798364425</v>
      </c>
    </row>
    <row r="210" spans="1:6" x14ac:dyDescent="0.2">
      <c r="A210" s="43">
        <v>43952</v>
      </c>
      <c r="B210" s="43"/>
      <c r="D210" s="137">
        <f t="shared" si="25"/>
        <v>11154929.528173655</v>
      </c>
    </row>
    <row r="211" spans="1:6" x14ac:dyDescent="0.2">
      <c r="A211" s="43">
        <v>43983</v>
      </c>
      <c r="B211" s="43"/>
      <c r="D211" s="137">
        <f t="shared" si="25"/>
        <v>11157963.257982885</v>
      </c>
    </row>
    <row r="212" spans="1:6" x14ac:dyDescent="0.2">
      <c r="A212" s="43">
        <v>44013</v>
      </c>
      <c r="B212" s="43"/>
      <c r="D212" s="137">
        <f t="shared" si="25"/>
        <v>11160996.987792116</v>
      </c>
    </row>
    <row r="213" spans="1:6" x14ac:dyDescent="0.2">
      <c r="A213" s="43">
        <v>44044</v>
      </c>
      <c r="B213" s="43"/>
      <c r="D213" s="137">
        <f t="shared" si="25"/>
        <v>11164030.717601346</v>
      </c>
    </row>
    <row r="214" spans="1:6" x14ac:dyDescent="0.2">
      <c r="A214" s="43">
        <v>44075</v>
      </c>
      <c r="B214" s="43"/>
      <c r="D214" s="137">
        <f t="shared" si="25"/>
        <v>11167064.447410576</v>
      </c>
    </row>
    <row r="215" spans="1:6" x14ac:dyDescent="0.2">
      <c r="A215" s="43">
        <v>44105</v>
      </c>
      <c r="B215" s="43"/>
      <c r="D215" s="137">
        <f t="shared" si="25"/>
        <v>11170098.177219806</v>
      </c>
    </row>
    <row r="216" spans="1:6" x14ac:dyDescent="0.2">
      <c r="A216" s="43">
        <v>44136</v>
      </c>
      <c r="B216" s="43"/>
      <c r="D216" s="137">
        <f t="shared" si="25"/>
        <v>11173131.907029036</v>
      </c>
    </row>
    <row r="217" spans="1:6" x14ac:dyDescent="0.2">
      <c r="A217" s="43">
        <v>44166</v>
      </c>
      <c r="B217" s="43"/>
      <c r="D217" s="137">
        <f t="shared" si="25"/>
        <v>11176165.636838267</v>
      </c>
      <c r="E217" s="137">
        <f>SUM(D206:D217)</f>
        <v>133913761.47465001</v>
      </c>
      <c r="F217" s="136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AC1"/>
  </mergeCell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topLeftCell="A52" workbookViewId="0">
      <selection activeCell="H64" sqref="H64"/>
    </sheetView>
  </sheetViews>
  <sheetFormatPr defaultRowHeight="12.75" x14ac:dyDescent="0.2"/>
  <cols>
    <col min="1" max="1" width="8.5703125" bestFit="1" customWidth="1"/>
    <col min="2" max="3" width="18" style="10" customWidth="1"/>
    <col min="4" max="4" width="10.85546875" style="10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8" t="s">
        <v>58</v>
      </c>
      <c r="C2" s="18" t="s">
        <v>39</v>
      </c>
      <c r="D2" s="18" t="s">
        <v>40</v>
      </c>
      <c r="E2" s="32" t="s">
        <v>41</v>
      </c>
      <c r="F2" s="32"/>
      <c r="G2" s="33" t="s">
        <v>42</v>
      </c>
      <c r="H2" s="33" t="s">
        <v>43</v>
      </c>
      <c r="I2" s="33" t="s">
        <v>44</v>
      </c>
      <c r="J2" s="33" t="s">
        <v>157</v>
      </c>
      <c r="K2" s="33" t="s">
        <v>158</v>
      </c>
      <c r="L2" s="33" t="s">
        <v>45</v>
      </c>
      <c r="M2" s="33" t="s">
        <v>46</v>
      </c>
      <c r="N2" s="33" t="s">
        <v>47</v>
      </c>
    </row>
    <row r="4" spans="1:26" ht="13.5" thickBot="1" x14ac:dyDescent="0.25">
      <c r="A4" s="58"/>
      <c r="B4" s="26" t="s">
        <v>48</v>
      </c>
    </row>
    <row r="5" spans="1:26" ht="13.5" thickBot="1" x14ac:dyDescent="0.25">
      <c r="G5" s="198" t="s">
        <v>49</v>
      </c>
      <c r="H5" s="199"/>
      <c r="I5" s="199"/>
      <c r="J5" s="199"/>
      <c r="K5" s="199"/>
      <c r="L5" s="199"/>
      <c r="M5" s="199"/>
      <c r="N5" s="200"/>
      <c r="Q5" s="207" t="s">
        <v>176</v>
      </c>
      <c r="R5" s="208"/>
      <c r="S5" s="208"/>
      <c r="T5" s="208"/>
      <c r="U5" s="208"/>
      <c r="V5" s="208"/>
      <c r="W5" s="208"/>
      <c r="X5" s="209"/>
    </row>
    <row r="6" spans="1:26" x14ac:dyDescent="0.2">
      <c r="A6">
        <v>2009</v>
      </c>
      <c r="B6" s="1">
        <f>ROUND((SUM(Power!B2:C13)),4)</f>
        <v>1839302872.6294999</v>
      </c>
      <c r="C6" s="1">
        <f>ROUND((Power!N149),4)</f>
        <v>1788850575.6854</v>
      </c>
      <c r="D6" s="35">
        <f t="shared" ref="D6:D15" si="0">ROUND((1 +(B6-E6)/E6),4)</f>
        <v>1.0347999999999999</v>
      </c>
      <c r="E6" s="36">
        <f t="shared" ref="E6:E15" si="1">ROUND((SUM(G6:N6)),4)</f>
        <v>1777401233</v>
      </c>
      <c r="F6" s="36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38"/>
    </row>
    <row r="7" spans="1:26" x14ac:dyDescent="0.2">
      <c r="A7">
        <v>2010</v>
      </c>
      <c r="B7" s="1">
        <f>ROUND((SUM(Power!B14:C25)),4)</f>
        <v>1896172479.9761</v>
      </c>
      <c r="C7" s="1">
        <f>ROUND((Power!N150),4)</f>
        <v>1809418735.0629001</v>
      </c>
      <c r="D7" s="35">
        <f t="shared" si="0"/>
        <v>1.0364</v>
      </c>
      <c r="E7" s="36">
        <f t="shared" si="1"/>
        <v>1829500492</v>
      </c>
      <c r="F7" s="36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38"/>
    </row>
    <row r="8" spans="1:26" x14ac:dyDescent="0.2">
      <c r="A8">
        <v>2011</v>
      </c>
      <c r="B8" s="1">
        <f>ROUND((SUM(Power!B26:C37)),4)</f>
        <v>1897274570.3845999</v>
      </c>
      <c r="C8" s="1">
        <f>ROUND((Power!N151),4)</f>
        <v>1788430284.4275</v>
      </c>
      <c r="D8" s="35">
        <f t="shared" si="0"/>
        <v>1.0346</v>
      </c>
      <c r="E8" s="36">
        <f t="shared" si="1"/>
        <v>1833881352</v>
      </c>
      <c r="F8" s="36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38"/>
    </row>
    <row r="9" spans="1:26" x14ac:dyDescent="0.2">
      <c r="A9">
        <v>2012</v>
      </c>
      <c r="B9" s="1">
        <f>ROUND((SUM(Power!B38:C49)),4)</f>
        <v>1887430252.5181</v>
      </c>
      <c r="C9" s="1">
        <f>ROUND((Power!N152),4)</f>
        <v>1769998554.4463</v>
      </c>
      <c r="D9" s="35">
        <f t="shared" si="0"/>
        <v>1.0341</v>
      </c>
      <c r="E9" s="36">
        <f t="shared" si="1"/>
        <v>1825234090</v>
      </c>
      <c r="F9" s="36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38"/>
    </row>
    <row r="10" spans="1:26" x14ac:dyDescent="0.2">
      <c r="A10">
        <v>2013</v>
      </c>
      <c r="B10" s="1">
        <f>ROUND((SUM(Power!B50:C61)),4)</f>
        <v>1871565173.3492</v>
      </c>
      <c r="C10" s="1">
        <f>ROUND((Power!N153),4)</f>
        <v>1757127461.8122001</v>
      </c>
      <c r="D10" s="35">
        <f t="shared" si="0"/>
        <v>1.0322</v>
      </c>
      <c r="E10" s="36">
        <f t="shared" si="1"/>
        <v>1813262316.5969999</v>
      </c>
      <c r="F10" s="36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7" t="s">
        <v>137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ROUND((Power!N154),4)</f>
        <v>1727499485.0481</v>
      </c>
      <c r="D11" s="35">
        <f t="shared" si="0"/>
        <v>1.0279</v>
      </c>
      <c r="E11" s="36">
        <f t="shared" si="1"/>
        <v>1803531650.6849</v>
      </c>
      <c r="F11" s="36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X11" si="3">ROUND(((+G11/$E11*$C11)),4)</f>
        <v>610324521.68640006</v>
      </c>
      <c r="R11" s="1">
        <f t="shared" si="3"/>
        <v>231975933.80930001</v>
      </c>
      <c r="S11" s="1">
        <f t="shared" si="3"/>
        <v>763647478.75</v>
      </c>
      <c r="T11" s="1">
        <f t="shared" si="3"/>
        <v>16355425.095000001</v>
      </c>
      <c r="U11" s="1">
        <f t="shared" si="3"/>
        <v>25195096.251899999</v>
      </c>
      <c r="V11" s="1">
        <f t="shared" si="3"/>
        <v>60768323.7073</v>
      </c>
      <c r="W11" s="1">
        <f t="shared" si="3"/>
        <v>15363078.6142</v>
      </c>
      <c r="X11" s="1">
        <f t="shared" si="3"/>
        <v>3869627.1340000001</v>
      </c>
      <c r="Y11" s="72">
        <f>ROUND((SUM(Q11:X11)),4)</f>
        <v>1727499485.0481</v>
      </c>
      <c r="Z11" s="13">
        <f>ROUND((+Y11-C11),0)</f>
        <v>0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ROUND((Power!N155),4)</f>
        <v>1716363012.444</v>
      </c>
      <c r="D12" s="35">
        <f t="shared" si="0"/>
        <v>1.0293000000000001</v>
      </c>
      <c r="E12" s="36">
        <f t="shared" si="1"/>
        <v>1762488283.8699999</v>
      </c>
      <c r="F12" s="36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4">ROUND(((+G12/$E12*$C12)),4)</f>
        <v>619086590.63160002</v>
      </c>
      <c r="R12" s="1">
        <f t="shared" ref="R12:R15" si="5">ROUND(((+H12/$E12*$C12)),4)</f>
        <v>231737295.1476</v>
      </c>
      <c r="S12" s="1">
        <f t="shared" ref="S12:S15" si="6">ROUND(((+I12/$E12*$C12)),4)</f>
        <v>770353530.77320004</v>
      </c>
      <c r="T12" s="1">
        <f t="shared" ref="T12:T15" si="7">ROUND(((+J12/$E12*$C12)),4)</f>
        <v>16253573.684599999</v>
      </c>
      <c r="U12" s="1">
        <f t="shared" ref="U12:U15" si="8">ROUND(((+K12/$E12*$C12)),4)</f>
        <v>24479458.350200001</v>
      </c>
      <c r="V12" s="1">
        <f t="shared" ref="V12:V15" si="9">ROUND(((+L12/$E12*$C12)),4)</f>
        <v>34833301.020800002</v>
      </c>
      <c r="W12" s="1">
        <f t="shared" ref="W12:W15" si="10">ROUND(((+M12/$E12*$C12)),4)</f>
        <v>15779363.685699999</v>
      </c>
      <c r="X12" s="1">
        <f t="shared" ref="X12:X15" si="11">ROUND(((+N12/$E12*$C12)),4)</f>
        <v>3839899.1502</v>
      </c>
      <c r="Y12" s="72">
        <f t="shared" ref="Y12:Y15" si="12">ROUND((SUM(Q12:X12)),4)</f>
        <v>1716363012.4439001</v>
      </c>
      <c r="Z12" s="13">
        <f t="shared" ref="Z12:Z15" si="13">ROUND((+Y12-C12),0)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ROUND((Power!N156),4)</f>
        <v>1720762663.3994999</v>
      </c>
      <c r="D13" s="35">
        <f t="shared" si="0"/>
        <v>1.0307999999999999</v>
      </c>
      <c r="E13" s="36">
        <f>ROUND((SUM(G13:N13)),4)</f>
        <v>1765790195.1571</v>
      </c>
      <c r="F13" s="36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4"/>
        <v>634080414.02139997</v>
      </c>
      <c r="R13" s="1">
        <f t="shared" si="5"/>
        <v>232994546.85479999</v>
      </c>
      <c r="S13" s="1">
        <f t="shared" si="6"/>
        <v>768540786.02890003</v>
      </c>
      <c r="T13" s="1">
        <f t="shared" si="7"/>
        <v>16412599.4811</v>
      </c>
      <c r="U13" s="1">
        <f t="shared" si="8"/>
        <v>20900653.996100001</v>
      </c>
      <c r="V13" s="1">
        <f t="shared" si="9"/>
        <v>28169451.6842</v>
      </c>
      <c r="W13" s="1">
        <f t="shared" si="10"/>
        <v>15846205.8268</v>
      </c>
      <c r="X13" s="1">
        <f t="shared" si="11"/>
        <v>3818005.5063</v>
      </c>
      <c r="Y13" s="72">
        <f t="shared" si="12"/>
        <v>1720762663.3996</v>
      </c>
      <c r="Z13" s="13">
        <f t="shared" si="13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ROUND((Power!N157),4)</f>
        <v>1653539654.8863001</v>
      </c>
      <c r="D14" s="35">
        <f t="shared" si="0"/>
        <v>1.0330999999999999</v>
      </c>
      <c r="E14" s="36">
        <f t="shared" si="1"/>
        <v>1709004939.8992</v>
      </c>
      <c r="F14" s="36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4"/>
        <v>601809940.69210005</v>
      </c>
      <c r="R14" s="1">
        <f t="shared" si="5"/>
        <v>225039868.77579999</v>
      </c>
      <c r="S14" s="1">
        <f t="shared" si="6"/>
        <v>664373979.16030002</v>
      </c>
      <c r="T14" s="1">
        <f t="shared" si="7"/>
        <v>15124378.5857</v>
      </c>
      <c r="U14" s="1">
        <f t="shared" si="8"/>
        <v>98620243.819199994</v>
      </c>
      <c r="V14" s="1">
        <f t="shared" si="9"/>
        <v>30405723.473700002</v>
      </c>
      <c r="W14" s="1">
        <f t="shared" si="10"/>
        <v>14384632.096999999</v>
      </c>
      <c r="X14" s="1">
        <f t="shared" si="11"/>
        <v>3780888.2823999999</v>
      </c>
      <c r="Y14" s="72">
        <f t="shared" si="12"/>
        <v>1653539654.8862</v>
      </c>
      <c r="Z14" s="13">
        <f t="shared" si="13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ROUND((Power!N158),4)</f>
        <v>1696397549.7090001</v>
      </c>
      <c r="D15" s="35">
        <f t="shared" si="0"/>
        <v>1.0283</v>
      </c>
      <c r="E15" s="1">
        <f t="shared" si="1"/>
        <v>1805957382.2454</v>
      </c>
      <c r="F15" s="36"/>
      <c r="G15" s="36">
        <v>680846102.83019996</v>
      </c>
      <c r="H15" s="36">
        <v>240602996.91260001</v>
      </c>
      <c r="I15" s="36">
        <f>839662732.86-J15-K15</f>
        <v>616139317.53429997</v>
      </c>
      <c r="J15" s="36">
        <v>14788959.359999998</v>
      </c>
      <c r="K15" s="1">
        <v>208734455.96570003</v>
      </c>
      <c r="L15" s="36">
        <v>33369028.32</v>
      </c>
      <c r="M15" s="36">
        <v>7466579.3225999996</v>
      </c>
      <c r="N15" s="36">
        <v>4009942</v>
      </c>
      <c r="O15" s="1">
        <f t="shared" si="2"/>
        <v>1805957382.2454</v>
      </c>
      <c r="Q15" s="1">
        <f t="shared" si="4"/>
        <v>639542035.66760004</v>
      </c>
      <c r="R15" s="1">
        <f t="shared" si="5"/>
        <v>226006625.86379999</v>
      </c>
      <c r="S15" s="1">
        <f t="shared" si="6"/>
        <v>578760738.66429996</v>
      </c>
      <c r="T15" s="1">
        <f t="shared" si="7"/>
        <v>13891775.447000001</v>
      </c>
      <c r="U15" s="1">
        <f t="shared" si="8"/>
        <v>196071415.1514</v>
      </c>
      <c r="V15" s="1">
        <f t="shared" si="9"/>
        <v>31344669.832600001</v>
      </c>
      <c r="W15" s="1">
        <f t="shared" si="10"/>
        <v>7013613.3843</v>
      </c>
      <c r="X15" s="1">
        <f t="shared" si="11"/>
        <v>3766675.6979999999</v>
      </c>
      <c r="Y15" s="72">
        <f t="shared" si="12"/>
        <v>1696397549.7090001</v>
      </c>
      <c r="Z15" s="13">
        <f t="shared" si="13"/>
        <v>0</v>
      </c>
    </row>
    <row r="16" spans="1:26" x14ac:dyDescent="0.2">
      <c r="A16">
        <v>2019</v>
      </c>
      <c r="B16" s="1"/>
      <c r="C16" s="58">
        <f>ROUND((Power!N159),4)</f>
        <v>1644972502.0639999</v>
      </c>
      <c r="E16" s="1">
        <f>ROUND((C16/D18),4)</f>
        <v>1593656754.5669</v>
      </c>
      <c r="F16" s="36"/>
    </row>
    <row r="17" spans="1:14" x14ac:dyDescent="0.2">
      <c r="A17">
        <v>2020</v>
      </c>
      <c r="B17" s="1"/>
      <c r="C17" s="58">
        <f>ROUND((Power!N160),4)</f>
        <v>1632949447.0381999</v>
      </c>
      <c r="E17" s="1">
        <f>ROUND((C17/D18),4)</f>
        <v>1582008764.8113</v>
      </c>
      <c r="F17" s="36"/>
    </row>
    <row r="18" spans="1:14" x14ac:dyDescent="0.2">
      <c r="A18" s="40" t="s">
        <v>50</v>
      </c>
      <c r="D18" s="35">
        <f>ROUND((AVERAGE(D6:D15)),4)</f>
        <v>1.0322</v>
      </c>
      <c r="F18" s="36"/>
      <c r="G18" s="36"/>
    </row>
    <row r="19" spans="1:14" x14ac:dyDescent="0.2">
      <c r="D19"/>
      <c r="E19"/>
      <c r="F19" s="36"/>
      <c r="G19" s="36"/>
    </row>
    <row r="20" spans="1:14" x14ac:dyDescent="0.2">
      <c r="G20"/>
    </row>
    <row r="21" spans="1:14" ht="25.5" x14ac:dyDescent="0.2">
      <c r="B21" s="41"/>
      <c r="C21" s="1"/>
      <c r="F21" s="150" t="s">
        <v>160</v>
      </c>
      <c r="G21" s="33" t="s">
        <v>42</v>
      </c>
      <c r="H21" s="33" t="s">
        <v>43</v>
      </c>
      <c r="I21" s="33" t="s">
        <v>44</v>
      </c>
      <c r="J21" s="33" t="s">
        <v>157</v>
      </c>
      <c r="K21" s="33" t="s">
        <v>181</v>
      </c>
      <c r="L21" s="33" t="s">
        <v>45</v>
      </c>
      <c r="M21" s="33" t="s">
        <v>46</v>
      </c>
      <c r="N21" s="33" t="s">
        <v>47</v>
      </c>
    </row>
    <row r="22" spans="1:14" x14ac:dyDescent="0.2">
      <c r="F22">
        <f t="shared" ref="F22:F33" si="14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F23">
        <f t="shared" si="14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F24">
        <f t="shared" si="14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F25">
        <f t="shared" si="14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F26">
        <f t="shared" si="14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F27">
        <f t="shared" si="14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F28">
        <f t="shared" si="14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F29">
        <f t="shared" si="14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F30">
        <f t="shared" si="14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F31">
        <f t="shared" si="14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F32" s="57">
        <f t="shared" si="14"/>
        <v>2019</v>
      </c>
      <c r="G32" s="58">
        <f t="shared" ref="G32:L32" si="15">ROUND((G31*G48),4)</f>
        <v>7743.7042000000001</v>
      </c>
      <c r="H32" s="58">
        <f t="shared" si="15"/>
        <v>30015.849300000002</v>
      </c>
      <c r="I32" s="58">
        <f t="shared" si="15"/>
        <v>662265.22470000002</v>
      </c>
      <c r="J32" s="58">
        <f t="shared" si="15"/>
        <v>2725605.21</v>
      </c>
      <c r="K32" s="58">
        <f t="shared" si="15"/>
        <v>6176084.1971000005</v>
      </c>
      <c r="L32" s="58">
        <f t="shared" si="15"/>
        <v>34219938.542199999</v>
      </c>
      <c r="M32" s="58">
        <f t="shared" ref="M32:N32" si="16">ROUND((M31*M48),4)</f>
        <v>4394.3464000000004</v>
      </c>
      <c r="N32" s="58">
        <f t="shared" si="16"/>
        <v>4338.5763999999999</v>
      </c>
    </row>
    <row r="33" spans="1:23" x14ac:dyDescent="0.2">
      <c r="F33" s="57">
        <f t="shared" si="14"/>
        <v>2020</v>
      </c>
      <c r="G33" s="58">
        <f t="shared" ref="G33:L33" si="17">ROUND((G32*G48),4)</f>
        <v>7697.2420000000002</v>
      </c>
      <c r="H33" s="58">
        <f t="shared" si="17"/>
        <v>29892.784299999999</v>
      </c>
      <c r="I33" s="58">
        <f t="shared" si="17"/>
        <v>648490.10800000001</v>
      </c>
      <c r="J33" s="58">
        <f t="shared" si="17"/>
        <v>2511645.2009999999</v>
      </c>
      <c r="K33" s="58">
        <f t="shared" si="17"/>
        <v>6213140.7023</v>
      </c>
      <c r="L33" s="58">
        <f t="shared" si="17"/>
        <v>35092546.975000001</v>
      </c>
      <c r="M33" s="58">
        <f>ROUND((M32*M48),4)</f>
        <v>4308.6566000000003</v>
      </c>
      <c r="N33" s="58">
        <f>ROUND((N32*N48),4)</f>
        <v>4370.2479999999996</v>
      </c>
    </row>
    <row r="34" spans="1:23" x14ac:dyDescent="0.2">
      <c r="F34"/>
    </row>
    <row r="35" spans="1:23" x14ac:dyDescent="0.2">
      <c r="F35"/>
      <c r="G35" s="37"/>
      <c r="H35" s="37"/>
      <c r="I35" s="37"/>
      <c r="K35" s="37"/>
      <c r="L35" s="37"/>
      <c r="M35" s="37"/>
      <c r="N35" s="37"/>
      <c r="O35" s="37"/>
      <c r="P35" s="42"/>
      <c r="Q35" s="42"/>
      <c r="R35" s="42"/>
      <c r="S35" s="42"/>
      <c r="T35" s="42"/>
      <c r="U35" s="42"/>
      <c r="V35" s="42"/>
      <c r="W35" s="42"/>
    </row>
    <row r="36" spans="1:23" x14ac:dyDescent="0.2">
      <c r="F36">
        <v>2010</v>
      </c>
      <c r="G36" s="37">
        <f t="shared" ref="G36:I44" si="18">ROUND((G23/G22),4)</f>
        <v>1.0212000000000001</v>
      </c>
      <c r="H36" s="37">
        <f t="shared" si="18"/>
        <v>1.0132000000000001</v>
      </c>
      <c r="I36" s="37">
        <f t="shared" si="18"/>
        <v>1.0854999999999999</v>
      </c>
      <c r="J36" s="37">
        <v>0</v>
      </c>
      <c r="K36" s="37">
        <v>0</v>
      </c>
      <c r="L36" s="37">
        <f t="shared" ref="L36:L44" si="19">ROUND((L23/L22),4)</f>
        <v>1.75</v>
      </c>
      <c r="M36" s="37">
        <f t="shared" ref="M36:N36" si="20">ROUND((M23/M22),4)</f>
        <v>0.99250000000000005</v>
      </c>
      <c r="N36" s="37">
        <f t="shared" si="20"/>
        <v>0.99929999999999997</v>
      </c>
      <c r="O36" s="37"/>
      <c r="P36" s="42"/>
      <c r="Q36" s="42"/>
      <c r="R36" s="42"/>
      <c r="S36" s="42"/>
      <c r="T36" s="42"/>
      <c r="U36" s="42"/>
      <c r="V36" s="42"/>
      <c r="W36" s="42"/>
    </row>
    <row r="37" spans="1:23" x14ac:dyDescent="0.2">
      <c r="F37">
        <v>2011</v>
      </c>
      <c r="G37" s="37">
        <f t="shared" si="18"/>
        <v>0.97899999999999998</v>
      </c>
      <c r="H37" s="37">
        <f t="shared" si="18"/>
        <v>1.0049999999999999</v>
      </c>
      <c r="I37" s="37">
        <f t="shared" si="18"/>
        <v>1.0078</v>
      </c>
      <c r="J37" s="37">
        <v>0</v>
      </c>
      <c r="K37" s="37">
        <v>0</v>
      </c>
      <c r="L37" s="37">
        <f t="shared" si="19"/>
        <v>0.60150000000000003</v>
      </c>
      <c r="M37" s="37">
        <f t="shared" ref="M37:N37" si="21">ROUND((M24/M23),4)</f>
        <v>0.99270000000000003</v>
      </c>
      <c r="N37" s="37">
        <f t="shared" si="21"/>
        <v>0.97899999999999998</v>
      </c>
      <c r="O37" s="37"/>
      <c r="P37" s="42"/>
      <c r="Q37" s="42"/>
      <c r="R37" s="42"/>
      <c r="S37" s="42"/>
      <c r="T37" s="42"/>
      <c r="U37" s="42"/>
      <c r="V37" s="42"/>
      <c r="W37" s="42"/>
    </row>
    <row r="38" spans="1:23" x14ac:dyDescent="0.2">
      <c r="F38">
        <v>2012</v>
      </c>
      <c r="G38" s="37">
        <f t="shared" si="18"/>
        <v>0.98029999999999995</v>
      </c>
      <c r="H38" s="37">
        <f t="shared" si="18"/>
        <v>0.98939999999999995</v>
      </c>
      <c r="I38" s="37">
        <f t="shared" si="18"/>
        <v>0.98760000000000003</v>
      </c>
      <c r="J38" s="37">
        <v>0</v>
      </c>
      <c r="K38" s="37">
        <v>0</v>
      </c>
      <c r="L38" s="37">
        <f t="shared" si="19"/>
        <v>1.2382</v>
      </c>
      <c r="M38" s="37">
        <f t="shared" ref="M38:N38" si="22">ROUND((M25/M24),4)</f>
        <v>1.0022</v>
      </c>
      <c r="N38" s="37">
        <f t="shared" si="22"/>
        <v>1.0782</v>
      </c>
      <c r="O38" s="37"/>
      <c r="P38" s="42"/>
      <c r="Q38" s="42"/>
      <c r="R38" s="42"/>
      <c r="S38" s="42"/>
      <c r="T38" s="42"/>
      <c r="U38" s="42"/>
      <c r="V38" s="42"/>
      <c r="W38" s="42"/>
    </row>
    <row r="39" spans="1:23" x14ac:dyDescent="0.2">
      <c r="F39">
        <v>2013</v>
      </c>
      <c r="G39" s="37">
        <f t="shared" si="18"/>
        <v>0.98260000000000003</v>
      </c>
      <c r="H39" s="37">
        <f t="shared" si="18"/>
        <v>0.99529999999999996</v>
      </c>
      <c r="I39" s="37">
        <f t="shared" si="18"/>
        <v>0.95899999999999996</v>
      </c>
      <c r="J39" s="37">
        <v>0</v>
      </c>
      <c r="K39" s="37">
        <v>0</v>
      </c>
      <c r="L39" s="37">
        <f t="shared" si="19"/>
        <v>0.85070000000000001</v>
      </c>
      <c r="M39" s="37">
        <f t="shared" ref="M39:N39" si="23">ROUND((M26/M25),4)</f>
        <v>1.0166999999999999</v>
      </c>
      <c r="N39" s="37">
        <f t="shared" si="23"/>
        <v>1.0321</v>
      </c>
      <c r="O39" s="37"/>
      <c r="P39" s="42"/>
      <c r="Q39" s="42"/>
      <c r="R39" s="42"/>
      <c r="S39" s="42"/>
      <c r="T39" s="42"/>
      <c r="U39" s="42"/>
      <c r="V39" s="42"/>
      <c r="W39" s="42"/>
    </row>
    <row r="40" spans="1:23" x14ac:dyDescent="0.2">
      <c r="F40">
        <v>2014</v>
      </c>
      <c r="G40" s="37">
        <f t="shared" si="18"/>
        <v>0.98319999999999996</v>
      </c>
      <c r="H40" s="37">
        <f t="shared" si="18"/>
        <v>0.99690000000000001</v>
      </c>
      <c r="I40" s="37">
        <f t="shared" si="18"/>
        <v>1.0032000000000001</v>
      </c>
      <c r="J40" s="37">
        <f t="shared" ref="J40:K40" si="24">ROUND((J27/J26),4)</f>
        <v>0.9587</v>
      </c>
      <c r="K40" s="37">
        <f t="shared" si="24"/>
        <v>4.4143999999999997</v>
      </c>
      <c r="L40" s="37">
        <f t="shared" si="19"/>
        <v>1.0751999999999999</v>
      </c>
      <c r="M40" s="37">
        <f t="shared" ref="M40:N40" si="25">ROUND((M27/M26),4)</f>
        <v>0.96319999999999995</v>
      </c>
      <c r="N40" s="37">
        <f t="shared" si="25"/>
        <v>1.0492999999999999</v>
      </c>
      <c r="O40" s="37"/>
      <c r="P40" s="42"/>
      <c r="Q40" s="42"/>
      <c r="R40" s="42"/>
      <c r="S40" s="42"/>
      <c r="T40" s="42"/>
      <c r="U40" s="42"/>
      <c r="V40" s="42"/>
      <c r="W40" s="42"/>
    </row>
    <row r="41" spans="1:23" x14ac:dyDescent="0.2">
      <c r="F41">
        <v>2015</v>
      </c>
      <c r="G41" s="37">
        <f t="shared" si="18"/>
        <v>0.98280000000000001</v>
      </c>
      <c r="H41" s="37">
        <f t="shared" si="18"/>
        <v>0.97599999999999998</v>
      </c>
      <c r="I41" s="37">
        <f t="shared" si="18"/>
        <v>0.99750000000000005</v>
      </c>
      <c r="J41" s="37">
        <f t="shared" ref="J41:K41" si="26">ROUND((J28/J27),4)</f>
        <v>0.97750000000000004</v>
      </c>
      <c r="K41" s="37">
        <f t="shared" si="26"/>
        <v>0.9556</v>
      </c>
      <c r="L41" s="37">
        <f t="shared" si="19"/>
        <v>1.1275999999999999</v>
      </c>
      <c r="M41" s="37">
        <f t="shared" ref="M41:N41" si="27">ROUND((M28/M27),4)</f>
        <v>0.99729999999999996</v>
      </c>
      <c r="N41" s="37">
        <f t="shared" si="27"/>
        <v>0.96040000000000003</v>
      </c>
      <c r="O41" s="37"/>
      <c r="P41" s="42"/>
      <c r="Q41" s="42"/>
      <c r="R41" s="42"/>
      <c r="S41" s="42"/>
      <c r="T41" s="42"/>
      <c r="U41" s="42"/>
      <c r="V41" s="42"/>
      <c r="W41" s="42"/>
    </row>
    <row r="42" spans="1:23" x14ac:dyDescent="0.2">
      <c r="F42">
        <v>2016</v>
      </c>
      <c r="G42" s="37">
        <f t="shared" si="18"/>
        <v>1.0063</v>
      </c>
      <c r="H42" s="37">
        <f t="shared" si="18"/>
        <v>0.99850000000000005</v>
      </c>
      <c r="I42" s="37">
        <f t="shared" si="18"/>
        <v>0.99590000000000001</v>
      </c>
      <c r="J42" s="37">
        <f t="shared" ref="J42:K42" si="28">ROUND((J29/J28),4)</f>
        <v>1.0091000000000001</v>
      </c>
      <c r="K42" s="37">
        <f t="shared" si="28"/>
        <v>0.85319999999999996</v>
      </c>
      <c r="L42" s="37">
        <f t="shared" si="19"/>
        <v>0.80810000000000004</v>
      </c>
      <c r="M42" s="37">
        <f t="shared" ref="M42:N42" si="29">ROUND((M29/M28),4)</f>
        <v>0.99380000000000002</v>
      </c>
      <c r="N42" s="37">
        <f t="shared" si="29"/>
        <v>1.0219</v>
      </c>
      <c r="O42" s="37"/>
      <c r="P42" s="42"/>
      <c r="Q42" s="42"/>
      <c r="R42" s="42"/>
      <c r="S42" s="42"/>
      <c r="T42" s="42"/>
      <c r="U42" s="42"/>
      <c r="V42" s="42"/>
      <c r="W42" s="42"/>
    </row>
    <row r="43" spans="1:23" x14ac:dyDescent="0.2">
      <c r="F43">
        <v>2017</v>
      </c>
      <c r="G43" s="37">
        <f t="shared" si="18"/>
        <v>0.93889999999999996</v>
      </c>
      <c r="H43" s="37">
        <f t="shared" si="18"/>
        <v>0.96160000000000001</v>
      </c>
      <c r="I43" s="37">
        <f t="shared" si="18"/>
        <v>0.89949999999999997</v>
      </c>
      <c r="J43" s="37">
        <f t="shared" ref="J43:K43" si="30">ROUND((J30/J29),4)</f>
        <v>0.92810000000000004</v>
      </c>
      <c r="K43" s="37">
        <f t="shared" si="30"/>
        <v>0.17599999999999999</v>
      </c>
      <c r="L43" s="37">
        <f t="shared" si="19"/>
        <v>1.0871</v>
      </c>
      <c r="M43" s="37">
        <f t="shared" ref="M43:N43" si="31">ROUND((M30/M29),4)</f>
        <v>0.8911</v>
      </c>
      <c r="N43" s="37">
        <f t="shared" si="31"/>
        <v>0.97519999999999996</v>
      </c>
      <c r="O43" s="37"/>
      <c r="P43" s="42"/>
      <c r="Q43" s="42"/>
      <c r="R43" s="42"/>
      <c r="S43" s="42"/>
      <c r="T43" s="42"/>
      <c r="U43" s="42"/>
      <c r="V43" s="42"/>
      <c r="W43" s="42"/>
    </row>
    <row r="44" spans="1:23" x14ac:dyDescent="0.2">
      <c r="F44">
        <v>2018</v>
      </c>
      <c r="G44" s="37">
        <f t="shared" si="18"/>
        <v>1.0779000000000001</v>
      </c>
      <c r="H44" s="37">
        <f t="shared" si="18"/>
        <v>1.0284</v>
      </c>
      <c r="I44" s="37">
        <f t="shared" si="18"/>
        <v>0.89139999999999997</v>
      </c>
      <c r="J44" s="37">
        <f t="shared" ref="J44:K44" si="32">ROUND((J31/J30),4)</f>
        <v>0.75690000000000002</v>
      </c>
      <c r="K44" s="37">
        <f t="shared" si="32"/>
        <v>1.6262000000000001</v>
      </c>
      <c r="L44" s="37">
        <f t="shared" si="19"/>
        <v>1.0618000000000001</v>
      </c>
      <c r="M44" s="37">
        <f t="shared" ref="M44:N44" si="33">ROUND((M31/M30),4)</f>
        <v>0.51129999999999998</v>
      </c>
      <c r="N44" s="37">
        <f t="shared" si="33"/>
        <v>0.97670000000000001</v>
      </c>
      <c r="O44" s="37"/>
      <c r="P44" s="42"/>
      <c r="Q44" s="42"/>
      <c r="R44" s="42"/>
      <c r="S44" s="42"/>
      <c r="T44" s="42"/>
      <c r="U44" s="42"/>
      <c r="V44" s="42"/>
      <c r="W44" s="42"/>
    </row>
    <row r="45" spans="1:23" x14ac:dyDescent="0.2">
      <c r="F45">
        <v>2019</v>
      </c>
      <c r="G45" s="37"/>
      <c r="H45" s="37"/>
      <c r="I45" s="37"/>
      <c r="K45" s="37"/>
      <c r="L45" s="37"/>
      <c r="M45" s="37"/>
      <c r="N45" s="37"/>
      <c r="O45" s="37"/>
      <c r="P45" s="42"/>
      <c r="Q45" s="42"/>
      <c r="R45" s="42"/>
      <c r="S45" s="42"/>
      <c r="T45" s="42"/>
      <c r="U45" s="42"/>
      <c r="V45" s="42"/>
      <c r="W45" s="42"/>
    </row>
    <row r="46" spans="1:23" x14ac:dyDescent="0.2">
      <c r="F46">
        <v>2020</v>
      </c>
      <c r="G46" s="37"/>
      <c r="H46" s="37"/>
      <c r="I46" s="37"/>
      <c r="K46" s="37"/>
      <c r="L46" s="37"/>
      <c r="M46" s="37"/>
      <c r="N46" s="37"/>
      <c r="O46" s="37"/>
      <c r="P46" s="42"/>
      <c r="Q46" s="42"/>
      <c r="R46" s="42"/>
      <c r="S46" s="42"/>
      <c r="T46" s="42"/>
      <c r="U46" s="42"/>
      <c r="V46" s="42"/>
      <c r="W46" s="42"/>
    </row>
    <row r="47" spans="1:23" x14ac:dyDescent="0.2">
      <c r="A47" s="43"/>
      <c r="D47" s="1"/>
    </row>
    <row r="48" spans="1:23" x14ac:dyDescent="0.2">
      <c r="F48" s="49" t="s">
        <v>51</v>
      </c>
      <c r="G48" s="59">
        <f t="shared" ref="G48:L48" si="34">G50</f>
        <v>0.99399999999999999</v>
      </c>
      <c r="H48" s="59">
        <f t="shared" si="34"/>
        <v>0.99590000000000001</v>
      </c>
      <c r="I48" s="59">
        <f t="shared" si="34"/>
        <v>0.97919999999999996</v>
      </c>
      <c r="J48" s="59">
        <f t="shared" si="34"/>
        <v>0.92149999999999999</v>
      </c>
      <c r="K48" s="59">
        <f t="shared" si="34"/>
        <v>1.006</v>
      </c>
      <c r="L48" s="59">
        <f t="shared" si="34"/>
        <v>1.0255000000000001</v>
      </c>
      <c r="M48" s="59">
        <v>0.98050000000000004</v>
      </c>
      <c r="N48" s="59">
        <f t="shared" ref="N48" si="35">N50</f>
        <v>1.0073000000000001</v>
      </c>
    </row>
    <row r="49" spans="1:23" x14ac:dyDescent="0.2">
      <c r="A49" s="43"/>
      <c r="F49" s="181"/>
      <c r="G49" s="41"/>
      <c r="H49" s="41"/>
      <c r="M49" s="36"/>
      <c r="N49" s="36"/>
    </row>
    <row r="50" spans="1:23" x14ac:dyDescent="0.2">
      <c r="F50" s="49" t="s">
        <v>52</v>
      </c>
      <c r="G50" s="37">
        <f>ROUND((GEOMEAN(G36:G44)),4)</f>
        <v>0.99399999999999999</v>
      </c>
      <c r="H50" s="37">
        <f>ROUND((GEOMEAN(H36:H44)),4)</f>
        <v>0.99590000000000001</v>
      </c>
      <c r="I50" s="37">
        <f>ROUND((GEOMEAN(I36:I44)),4)</f>
        <v>0.97919999999999996</v>
      </c>
      <c r="J50" s="37">
        <f>ROUND((GEOMEAN(J40:J44)),4)</f>
        <v>0.92149999999999999</v>
      </c>
      <c r="K50" s="37">
        <f>ROUND((GEOMEAN(K40:K44)),4)</f>
        <v>1.006</v>
      </c>
      <c r="L50" s="37">
        <f>ROUND((GEOMEAN(L36:L44)),4)</f>
        <v>1.0255000000000001</v>
      </c>
      <c r="M50" s="37">
        <f>ROUND((GEOMEAN(M36:M44)),4)</f>
        <v>0.91200000000000003</v>
      </c>
      <c r="N50" s="37">
        <f t="shared" ref="N50" si="36">ROUND((GEOMEAN(N36:N44)),4)</f>
        <v>1.0073000000000001</v>
      </c>
      <c r="P50" s="42"/>
      <c r="Q50" s="42"/>
      <c r="R50" s="42"/>
      <c r="S50" s="42"/>
      <c r="T50" s="42"/>
      <c r="U50" s="42"/>
      <c r="V50" s="42"/>
      <c r="W50" s="42"/>
    </row>
    <row r="51" spans="1:23" x14ac:dyDescent="0.2">
      <c r="F51" s="181"/>
      <c r="H51" s="37"/>
      <c r="I51" s="37"/>
      <c r="J51" s="37"/>
      <c r="K51" s="37"/>
      <c r="L51" s="37"/>
      <c r="M51" s="37"/>
      <c r="N51" s="37"/>
    </row>
    <row r="53" spans="1:23" x14ac:dyDescent="0.2">
      <c r="B53"/>
      <c r="C53"/>
    </row>
    <row r="57" spans="1:23" x14ac:dyDescent="0.2">
      <c r="H57" s="44" t="s">
        <v>42</v>
      </c>
      <c r="I57" s="45" t="s">
        <v>43</v>
      </c>
      <c r="J57" s="45" t="s">
        <v>44</v>
      </c>
      <c r="K57" s="143" t="s">
        <v>84</v>
      </c>
      <c r="L57" s="143" t="s">
        <v>86</v>
      </c>
      <c r="M57" s="45" t="s">
        <v>45</v>
      </c>
      <c r="N57" s="45" t="s">
        <v>46</v>
      </c>
      <c r="O57" s="45" t="s">
        <v>47</v>
      </c>
    </row>
    <row r="58" spans="1:23" x14ac:dyDescent="0.2">
      <c r="F58" s="142" t="s">
        <v>53</v>
      </c>
      <c r="G58" s="142"/>
      <c r="H58" s="142"/>
      <c r="P58" s="36" t="s">
        <v>3</v>
      </c>
    </row>
    <row r="59" spans="1:23" x14ac:dyDescent="0.2">
      <c r="F59">
        <v>2019</v>
      </c>
      <c r="G59" s="144">
        <f>ROUND((SUM(H59:O59)),4)</f>
        <v>1796800081.4992001</v>
      </c>
      <c r="H59" s="144">
        <f>ROUND((G32*Customer!B14),4)</f>
        <v>686239322.49979997</v>
      </c>
      <c r="I59" s="144">
        <f>ROUND((H32*Customer!C14),4)</f>
        <v>241897729.50870001</v>
      </c>
      <c r="J59" s="144">
        <f>ROUND((I32*Customer!D14),4)</f>
        <v>599350028.35350001</v>
      </c>
      <c r="K59" s="144">
        <f>ROUND((J32*Customer!E14),4)</f>
        <v>13628026.050000001</v>
      </c>
      <c r="L59" s="144">
        <f>ROUND((K32*Customer!F14),4)</f>
        <v>209986862.70140001</v>
      </c>
      <c r="M59" s="144">
        <f>ROUND((L32*Customer!G14),4)</f>
        <v>34219938.542199999</v>
      </c>
      <c r="N59" s="144">
        <f>ROUND((M32*Customer!H14),4)</f>
        <v>7386896.2983999997</v>
      </c>
      <c r="O59" s="144">
        <f>ROUND((N32*Customer!I14),4)</f>
        <v>4091277.5452000001</v>
      </c>
      <c r="P59" s="34">
        <f>ROUND((SUM(H59:O59)),4)</f>
        <v>1796800081.4992001</v>
      </c>
    </row>
    <row r="60" spans="1:23" x14ac:dyDescent="0.2">
      <c r="F60">
        <v>2020</v>
      </c>
      <c r="G60" s="144">
        <f>ROUND((SUM(H60:O60)),4)</f>
        <v>1788253091.5685999</v>
      </c>
      <c r="H60" s="144">
        <f>ROUND((G33*Customer!B15),4)</f>
        <v>691674166.12</v>
      </c>
      <c r="I60" s="144">
        <f>ROUND((H33*Customer!C15),4)</f>
        <v>243207693.06479999</v>
      </c>
      <c r="J60" s="144">
        <f>ROUND((I33*Customer!D15),4)</f>
        <v>582992607.09200001</v>
      </c>
      <c r="K60" s="144">
        <f>ROUND((J33*Customer!E15),4)</f>
        <v>12558226.005000001</v>
      </c>
      <c r="L60" s="144">
        <f>ROUND((K33*Customer!F15),4)</f>
        <v>211246783.87819999</v>
      </c>
      <c r="M60" s="144">
        <f>ROUND((L33*Customer!G15),4)</f>
        <v>35092546.975000001</v>
      </c>
      <c r="N60" s="144">
        <f>ROUND((M33*Customer!H15),4)</f>
        <v>7307481.5936000003</v>
      </c>
      <c r="O60" s="144">
        <f>ROUND((N33*Customer!I15),4)</f>
        <v>4173586.84</v>
      </c>
      <c r="P60" s="34">
        <f>ROUND((SUM(H60:O60)),4)</f>
        <v>1788253091.5685999</v>
      </c>
    </row>
    <row r="61" spans="1:23" x14ac:dyDescent="0.2">
      <c r="F61" s="10"/>
      <c r="G61" s="34"/>
      <c r="H61" s="34"/>
      <c r="I61" s="34"/>
      <c r="J61" s="34"/>
      <c r="M61" s="34"/>
      <c r="N61" s="34"/>
      <c r="O61" s="34"/>
    </row>
    <row r="62" spans="1:23" x14ac:dyDescent="0.2">
      <c r="F62" s="142" t="s">
        <v>83</v>
      </c>
      <c r="G62" s="142"/>
      <c r="H62" s="142"/>
      <c r="I62" s="142"/>
      <c r="J62" s="142"/>
      <c r="M62" s="34"/>
      <c r="N62" s="34"/>
      <c r="P62" s="34" t="s">
        <v>3</v>
      </c>
    </row>
    <row r="63" spans="1:23" x14ac:dyDescent="0.2">
      <c r="F63">
        <v>2019</v>
      </c>
      <c r="G63" s="34">
        <f>ROUND((E16),4)</f>
        <v>1593656754.5669</v>
      </c>
      <c r="H63" s="34">
        <f t="shared" ref="H63:O64" si="37">ROUND((H59+H72),4)</f>
        <v>587128695.65409994</v>
      </c>
      <c r="I63" s="34">
        <f t="shared" si="37"/>
        <v>206961469.20109999</v>
      </c>
      <c r="J63" s="34">
        <f t="shared" si="37"/>
        <v>531789774.2087</v>
      </c>
      <c r="K63" s="34">
        <f t="shared" si="37"/>
        <v>12091840.4158</v>
      </c>
      <c r="L63" s="34">
        <f t="shared" ref="L63" si="38">ROUND((L59+L72),4)</f>
        <v>209986862.70140001</v>
      </c>
      <c r="M63" s="34">
        <f t="shared" si="37"/>
        <v>34219938.542199999</v>
      </c>
      <c r="N63" s="34">
        <f t="shared" si="37"/>
        <v>7386896.2983999997</v>
      </c>
      <c r="O63" s="34">
        <f t="shared" si="37"/>
        <v>4091277.5452000001</v>
      </c>
      <c r="P63" s="46">
        <f>ROUND((SUM(H63:O63)),4)</f>
        <v>1593656754.5669</v>
      </c>
    </row>
    <row r="64" spans="1:23" ht="12" customHeight="1" x14ac:dyDescent="0.2">
      <c r="F64">
        <v>2020</v>
      </c>
      <c r="G64" s="34">
        <f>ROUND((E17),4)</f>
        <v>1582008764.8113</v>
      </c>
      <c r="H64" s="34">
        <f t="shared" si="37"/>
        <v>589756850.48769999</v>
      </c>
      <c r="I64" s="34">
        <f t="shared" si="37"/>
        <v>207371346.368</v>
      </c>
      <c r="J64" s="34">
        <f t="shared" si="37"/>
        <v>515946187.54659998</v>
      </c>
      <c r="K64" s="34">
        <f t="shared" si="37"/>
        <v>11113981.122199999</v>
      </c>
      <c r="L64" s="34">
        <f t="shared" ref="L64" si="39">ROUND((L60+L73),4)</f>
        <v>211246783.87819999</v>
      </c>
      <c r="M64" s="34">
        <f t="shared" si="37"/>
        <v>35092546.975000001</v>
      </c>
      <c r="N64" s="34">
        <f t="shared" si="37"/>
        <v>7307481.5936000003</v>
      </c>
      <c r="O64" s="34">
        <f t="shared" si="37"/>
        <v>4173586.84</v>
      </c>
      <c r="P64" s="46">
        <f>ROUND((SUM(H64:O64)),4)</f>
        <v>1582008764.8113</v>
      </c>
    </row>
    <row r="65" spans="2:17" ht="13.5" thickBot="1" x14ac:dyDescent="0.25">
      <c r="F65" s="10"/>
      <c r="G65" s="10"/>
      <c r="H65" s="34"/>
      <c r="I65" s="34"/>
      <c r="J65" s="34"/>
      <c r="K65" s="34"/>
      <c r="L65" s="34"/>
      <c r="M65" s="34"/>
      <c r="N65" s="34"/>
      <c r="O65" s="34"/>
      <c r="P65" s="34"/>
    </row>
    <row r="66" spans="2:17" ht="13.5" thickBot="1" x14ac:dyDescent="0.25">
      <c r="B66"/>
      <c r="C66"/>
      <c r="F66" s="10"/>
      <c r="G66" s="10"/>
      <c r="H66" s="201" t="s">
        <v>54</v>
      </c>
      <c r="I66" s="202"/>
      <c r="J66" s="202"/>
      <c r="K66" s="202"/>
      <c r="L66" s="202"/>
      <c r="M66" s="202"/>
      <c r="N66" s="202"/>
      <c r="O66" s="203"/>
      <c r="P66" s="34"/>
    </row>
    <row r="67" spans="2:17" x14ac:dyDescent="0.2">
      <c r="F67" s="47" t="s">
        <v>55</v>
      </c>
      <c r="G67" s="34"/>
      <c r="H67" s="60">
        <f>(100%+J67)/2</f>
        <v>0.82000000000000006</v>
      </c>
      <c r="I67" s="60">
        <f>H67</f>
        <v>0.82000000000000006</v>
      </c>
      <c r="J67" s="60">
        <v>0.64</v>
      </c>
      <c r="K67" s="60">
        <v>0.64</v>
      </c>
      <c r="L67" s="52"/>
      <c r="M67" s="52"/>
      <c r="N67" s="52"/>
      <c r="O67" s="52"/>
      <c r="P67" s="34" t="s">
        <v>56</v>
      </c>
    </row>
    <row r="68" spans="2:17" x14ac:dyDescent="0.2">
      <c r="F68">
        <v>2019</v>
      </c>
      <c r="G68" s="46">
        <f>ROUND((G63-G59),4)</f>
        <v>-203143326.9323</v>
      </c>
      <c r="H68" s="46">
        <f t="shared" ref="H68:O68" si="40">ROUND((H59*H$67),4)</f>
        <v>562716244.44980001</v>
      </c>
      <c r="I68" s="46">
        <f t="shared" si="40"/>
        <v>198356138.19710001</v>
      </c>
      <c r="J68" s="46">
        <f>ROUND((J59*J$67),4)</f>
        <v>383584018.1462</v>
      </c>
      <c r="K68" s="46">
        <f t="shared" si="40"/>
        <v>8721936.6720000003</v>
      </c>
      <c r="L68" s="46">
        <v>0</v>
      </c>
      <c r="M68" s="46">
        <f t="shared" si="40"/>
        <v>0</v>
      </c>
      <c r="N68" s="46">
        <f t="shared" si="40"/>
        <v>0</v>
      </c>
      <c r="O68" s="46">
        <f t="shared" si="40"/>
        <v>0</v>
      </c>
      <c r="P68" s="46">
        <f>ROUND((SUM(H68:O68)),4)</f>
        <v>1153378337.4651</v>
      </c>
    </row>
    <row r="69" spans="2:17" x14ac:dyDescent="0.2">
      <c r="F69">
        <v>2020</v>
      </c>
      <c r="G69" s="46">
        <f>ROUND((G64-G60),4)</f>
        <v>-206244326.75729999</v>
      </c>
      <c r="H69" s="46">
        <f t="shared" ref="H69:O69" si="41">ROUND((H60*H67),4)</f>
        <v>567172816.2184</v>
      </c>
      <c r="I69" s="46">
        <f t="shared" si="41"/>
        <v>199430308.31310001</v>
      </c>
      <c r="J69" s="46">
        <f t="shared" si="41"/>
        <v>373115268.53890002</v>
      </c>
      <c r="K69" s="46">
        <f t="shared" si="41"/>
        <v>8037264.6431999998</v>
      </c>
      <c r="L69" s="46">
        <v>0</v>
      </c>
      <c r="M69" s="46">
        <f t="shared" si="41"/>
        <v>0</v>
      </c>
      <c r="N69" s="46">
        <f t="shared" si="41"/>
        <v>0</v>
      </c>
      <c r="O69" s="46">
        <f t="shared" si="41"/>
        <v>0</v>
      </c>
      <c r="P69" s="46">
        <f>ROUND((SUM(H69:O69)),4)</f>
        <v>1147755657.7135999</v>
      </c>
    </row>
    <row r="70" spans="2:17" x14ac:dyDescent="0.2">
      <c r="F70" s="10"/>
      <c r="G70" s="34"/>
      <c r="H70" s="46"/>
      <c r="I70" s="46"/>
      <c r="J70" s="46"/>
      <c r="K70" s="46"/>
      <c r="L70" s="46"/>
      <c r="M70" s="46"/>
      <c r="N70" s="46"/>
      <c r="O70" s="48"/>
      <c r="P70" s="34"/>
    </row>
    <row r="71" spans="2:17" x14ac:dyDescent="0.2">
      <c r="F71" s="121" t="s">
        <v>57</v>
      </c>
      <c r="G71" s="10"/>
      <c r="H71" s="10"/>
      <c r="I71" s="46"/>
      <c r="J71" s="46"/>
      <c r="K71" s="46"/>
      <c r="L71" s="46"/>
      <c r="M71" s="46"/>
      <c r="N71" s="46"/>
      <c r="O71" s="48"/>
      <c r="P71" s="34"/>
    </row>
    <row r="72" spans="2:17" x14ac:dyDescent="0.2">
      <c r="F72">
        <v>2019</v>
      </c>
      <c r="H72" s="46">
        <f>ROUND((H68/$P$68*$G$68),4)</f>
        <v>-99110626.845699996</v>
      </c>
      <c r="I72" s="46">
        <f>ROUND((I68/$P$68*$G$68),4)</f>
        <v>-34936260.307599999</v>
      </c>
      <c r="J72" s="46">
        <f>ROUND((J68/$P$68*$G$68),4)</f>
        <v>-67560254.144800007</v>
      </c>
      <c r="K72" s="46">
        <f>ROUND((K68/$P$68*$G$68),4)</f>
        <v>-1536185.6342</v>
      </c>
      <c r="L72" s="46">
        <v>0</v>
      </c>
      <c r="M72" s="46">
        <f t="shared" ref="M72:O72" si="42">ROUND((M68/$P$68*$H$68),4)</f>
        <v>0</v>
      </c>
      <c r="N72" s="46">
        <f t="shared" si="42"/>
        <v>0</v>
      </c>
      <c r="O72" s="46">
        <f t="shared" si="42"/>
        <v>0</v>
      </c>
      <c r="P72" s="46">
        <f>ROUND((SUM(H72:O72)),4)</f>
        <v>-203143326.9323</v>
      </c>
    </row>
    <row r="73" spans="2:17" x14ac:dyDescent="0.2">
      <c r="F73">
        <v>2020</v>
      </c>
      <c r="H73" s="46">
        <f>ROUND((H69/$P$69*$G$69),4)</f>
        <v>-101917315.6323</v>
      </c>
      <c r="I73" s="46">
        <f>ROUND((I69/$P$69*$G$69),4)</f>
        <v>-35836346.696800001</v>
      </c>
      <c r="J73" s="46">
        <f>ROUND((J69/$P$69*$G$69),4)</f>
        <v>-67046419.545400001</v>
      </c>
      <c r="K73" s="46">
        <f>ROUND((K69/$P$69*$G$69),4)</f>
        <v>-1444244.8828</v>
      </c>
      <c r="L73" s="46">
        <v>0</v>
      </c>
      <c r="M73" s="46">
        <f t="shared" ref="M73:O73" si="43">ROUND((M69/$P$69*$H$69),4)</f>
        <v>0</v>
      </c>
      <c r="N73" s="46">
        <f t="shared" si="43"/>
        <v>0</v>
      </c>
      <c r="O73" s="46">
        <f t="shared" si="43"/>
        <v>0</v>
      </c>
      <c r="P73" s="46">
        <f>ROUND((SUM(H73:O73)),4)</f>
        <v>-206244326.75729999</v>
      </c>
    </row>
    <row r="74" spans="2:17" x14ac:dyDescent="0.2">
      <c r="F74" s="10"/>
      <c r="G74" s="10"/>
    </row>
    <row r="75" spans="2:17" x14ac:dyDescent="0.2">
      <c r="I75" s="173" t="s">
        <v>172</v>
      </c>
      <c r="J75" s="1">
        <f>ROUND((J64+K64),4)</f>
        <v>527060168.6688</v>
      </c>
    </row>
    <row r="76" spans="2:17" ht="13.5" thickBot="1" x14ac:dyDescent="0.25"/>
    <row r="77" spans="2:17" ht="13.5" thickBot="1" x14ac:dyDescent="0.25">
      <c r="F77" t="s">
        <v>91</v>
      </c>
      <c r="H77" s="204" t="s">
        <v>171</v>
      </c>
      <c r="I77" s="205"/>
      <c r="J77" s="205"/>
      <c r="K77" s="205"/>
      <c r="L77" s="205"/>
      <c r="M77" s="205"/>
      <c r="N77" s="205"/>
      <c r="O77" s="206"/>
    </row>
    <row r="78" spans="2:17" x14ac:dyDescent="0.2">
      <c r="F78"/>
      <c r="H78" s="60">
        <v>0.05</v>
      </c>
      <c r="I78" s="60">
        <v>0.25</v>
      </c>
      <c r="J78" s="60">
        <v>0.7</v>
      </c>
      <c r="K78" s="171"/>
      <c r="L78" s="171"/>
      <c r="M78" s="172"/>
    </row>
    <row r="79" spans="2:17" x14ac:dyDescent="0.2">
      <c r="F79">
        <v>2019</v>
      </c>
      <c r="G79" s="46">
        <f>ROUND((CDM!T48*-1),4)</f>
        <v>-10277361.111199999</v>
      </c>
      <c r="H79" s="46">
        <f>ROUND((G79*H78),4)</f>
        <v>-513868.05560000002</v>
      </c>
      <c r="I79" s="46">
        <f>ROUND((G79*I78),4)</f>
        <v>-2569340.2777999998</v>
      </c>
      <c r="J79" s="46">
        <f>ROUND((G79*J78),4)</f>
        <v>-7194152.7778000003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f>ROUND((SUM(H79:O79)),4)</f>
        <v>-10277361.111199999</v>
      </c>
      <c r="Q79" s="34"/>
    </row>
    <row r="80" spans="2:17" x14ac:dyDescent="0.2">
      <c r="F80">
        <v>2020</v>
      </c>
      <c r="G80" s="46">
        <f>ROUND((CDM!U48*-1),4)</f>
        <v>-23491111.114500001</v>
      </c>
      <c r="H80" s="46">
        <f>ROUND((G80*H78),4)</f>
        <v>-1174555.5556999999</v>
      </c>
      <c r="I80" s="46">
        <f>ROUND((G80*I78),4)</f>
        <v>-5872777.7785999998</v>
      </c>
      <c r="J80" s="46">
        <f>ROUND((G80*J78),4)</f>
        <v>-16443777.780200001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f>ROUND((SUM(H80:O80)),4)</f>
        <v>-23491111.114500001</v>
      </c>
      <c r="Q80" s="34"/>
    </row>
    <row r="81" spans="6:17" x14ac:dyDescent="0.2">
      <c r="F81" s="10"/>
    </row>
    <row r="82" spans="6:17" x14ac:dyDescent="0.2">
      <c r="F82" s="40" t="s">
        <v>173</v>
      </c>
      <c r="G82" s="40"/>
      <c r="H82" s="40"/>
      <c r="I82" s="40"/>
      <c r="J82" s="34"/>
      <c r="K82" s="34"/>
      <c r="L82" s="34"/>
      <c r="P82" s="34" t="s">
        <v>3</v>
      </c>
    </row>
    <row r="83" spans="6:17" x14ac:dyDescent="0.2">
      <c r="F83">
        <v>2019</v>
      </c>
      <c r="G83" s="144">
        <f t="shared" ref="G83:O83" si="44">ROUND((G63+G79),4)</f>
        <v>1583379393.4556999</v>
      </c>
      <c r="H83" s="46">
        <f t="shared" si="44"/>
        <v>586614827.59850001</v>
      </c>
      <c r="I83" s="46">
        <f t="shared" si="44"/>
        <v>204392128.9233</v>
      </c>
      <c r="J83" s="46">
        <f t="shared" si="44"/>
        <v>524595621.43089998</v>
      </c>
      <c r="K83" s="46">
        <f t="shared" si="44"/>
        <v>12091840.4158</v>
      </c>
      <c r="L83" s="46">
        <f t="shared" si="44"/>
        <v>209986862.70140001</v>
      </c>
      <c r="M83" s="46">
        <f t="shared" si="44"/>
        <v>34219938.542199999</v>
      </c>
      <c r="N83" s="46">
        <f t="shared" si="44"/>
        <v>7386896.2983999997</v>
      </c>
      <c r="O83" s="46">
        <f t="shared" si="44"/>
        <v>4091277.5452000001</v>
      </c>
      <c r="P83" s="46">
        <f>ROUND((SUM(H83:O83)),4)</f>
        <v>1583379393.4556999</v>
      </c>
      <c r="Q83" s="28">
        <f>P83-G83</f>
        <v>0</v>
      </c>
    </row>
    <row r="84" spans="6:17" x14ac:dyDescent="0.2">
      <c r="F84">
        <v>2020</v>
      </c>
      <c r="G84" s="144">
        <f t="shared" ref="G84:O84" si="45">ROUND((G64+G80),4)</f>
        <v>1558517653.6968</v>
      </c>
      <c r="H84" s="46">
        <f t="shared" si="45"/>
        <v>588582294.93200004</v>
      </c>
      <c r="I84" s="46">
        <f t="shared" si="45"/>
        <v>201498568.58939999</v>
      </c>
      <c r="J84" s="46">
        <f t="shared" si="45"/>
        <v>499502409.76639998</v>
      </c>
      <c r="K84" s="46">
        <f t="shared" si="45"/>
        <v>11113981.122199999</v>
      </c>
      <c r="L84" s="46">
        <f t="shared" si="45"/>
        <v>211246783.87819999</v>
      </c>
      <c r="M84" s="46">
        <f t="shared" si="45"/>
        <v>35092546.975000001</v>
      </c>
      <c r="N84" s="46">
        <f t="shared" si="45"/>
        <v>7307481.5936000003</v>
      </c>
      <c r="O84" s="46">
        <f t="shared" si="45"/>
        <v>4173586.84</v>
      </c>
      <c r="P84" s="46">
        <f>ROUND((SUM(H84:O84)),4)</f>
        <v>1558517653.6968</v>
      </c>
      <c r="Q84" s="28">
        <f>P84-G84</f>
        <v>0</v>
      </c>
    </row>
    <row r="86" spans="6:17" x14ac:dyDescent="0.2">
      <c r="I86" s="173" t="s">
        <v>172</v>
      </c>
      <c r="J86" s="1">
        <f>ROUND((J84+K84),4)</f>
        <v>510616390.88859999</v>
      </c>
      <c r="P86" s="174">
        <f>ROUND((+ED!C14),4)</f>
        <v>19053029.030000001</v>
      </c>
    </row>
    <row r="87" spans="6:17" x14ac:dyDescent="0.2">
      <c r="H87" s="42"/>
      <c r="I87" s="178" t="s">
        <v>179</v>
      </c>
      <c r="J87" s="1">
        <f>ROUND((J84+L84),4)</f>
        <v>710749193.64460003</v>
      </c>
      <c r="K87" s="42"/>
      <c r="L87" s="42"/>
      <c r="M87" s="42"/>
      <c r="P87" s="46">
        <f>ROUND((P84+P86),4)</f>
        <v>1577570682.7268</v>
      </c>
    </row>
    <row r="88" spans="6:17" x14ac:dyDescent="0.2">
      <c r="H88" s="46"/>
      <c r="I88" s="178" t="s">
        <v>3</v>
      </c>
      <c r="J88" s="1">
        <f>ROUND((J84+K84+L84),4)</f>
        <v>721863174.76680005</v>
      </c>
      <c r="K88" s="46"/>
      <c r="L88" s="46"/>
      <c r="M88" s="46"/>
      <c r="N88" s="46"/>
      <c r="O88" s="46"/>
      <c r="P88" s="175"/>
    </row>
    <row r="89" spans="6:17" x14ac:dyDescent="0.2">
      <c r="H89" s="46"/>
      <c r="I89" s="46"/>
      <c r="J89" s="46"/>
      <c r="K89" s="46"/>
      <c r="L89" s="46"/>
      <c r="M89" s="46"/>
      <c r="N89" s="46"/>
      <c r="O89" s="46"/>
      <c r="P89" s="176"/>
    </row>
    <row r="90" spans="6:17" x14ac:dyDescent="0.2">
      <c r="H90" s="46"/>
      <c r="I90" s="46"/>
      <c r="J90" s="46"/>
      <c r="K90" s="46"/>
      <c r="L90" s="46"/>
      <c r="M90" s="46"/>
      <c r="N90" s="46"/>
    </row>
    <row r="91" spans="6:17" x14ac:dyDescent="0.2">
      <c r="H91" s="46"/>
      <c r="I91" s="46"/>
      <c r="J91" s="46"/>
      <c r="K91" s="46"/>
      <c r="L91" s="46"/>
      <c r="M91" s="46"/>
      <c r="N91" s="46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3441-7FF7-4074-A2F9-65407CE3EF7F}">
  <dimension ref="A1:H5"/>
  <sheetViews>
    <sheetView tabSelected="1" workbookViewId="0">
      <selection sqref="A1:H5"/>
    </sheetView>
  </sheetViews>
  <sheetFormatPr defaultRowHeight="12.75" x14ac:dyDescent="0.2"/>
  <cols>
    <col min="1" max="1" width="53.28515625" bestFit="1" customWidth="1"/>
    <col min="2" max="2" width="12.5703125" customWidth="1"/>
    <col min="3" max="3" width="10.85546875" customWidth="1"/>
    <col min="4" max="4" width="10.28515625" customWidth="1"/>
    <col min="5" max="5" width="7.140625" bestFit="1" customWidth="1"/>
    <col min="6" max="6" width="9.42578125" customWidth="1"/>
    <col min="7" max="7" width="7.140625" bestFit="1" customWidth="1"/>
    <col min="8" max="8" width="7.85546875" bestFit="1" customWidth="1"/>
  </cols>
  <sheetData>
    <row r="1" spans="1:8" ht="15" x14ac:dyDescent="0.2">
      <c r="A1" s="210" t="s">
        <v>187</v>
      </c>
      <c r="B1" s="211"/>
      <c r="C1" s="211"/>
      <c r="D1" s="211"/>
      <c r="E1" s="211"/>
      <c r="F1" s="211"/>
      <c r="G1" s="211"/>
      <c r="H1" s="212"/>
    </row>
    <row r="2" spans="1:8" ht="30" x14ac:dyDescent="0.2">
      <c r="A2" s="169" t="s">
        <v>182</v>
      </c>
      <c r="B2" s="186" t="s">
        <v>42</v>
      </c>
      <c r="C2" s="186" t="s">
        <v>43</v>
      </c>
      <c r="D2" s="186" t="s">
        <v>44</v>
      </c>
      <c r="E2" s="186" t="s">
        <v>186</v>
      </c>
      <c r="F2" s="186" t="s">
        <v>38</v>
      </c>
      <c r="G2" s="186" t="s">
        <v>47</v>
      </c>
      <c r="H2" s="187" t="s">
        <v>3</v>
      </c>
    </row>
    <row r="3" spans="1:8" ht="15" x14ac:dyDescent="0.2">
      <c r="A3" s="188" t="s">
        <v>183</v>
      </c>
      <c r="B3" s="188"/>
      <c r="C3" s="188"/>
      <c r="D3" s="188"/>
      <c r="E3" s="188"/>
      <c r="F3" s="188"/>
      <c r="G3" s="188"/>
      <c r="H3" s="188"/>
    </row>
    <row r="4" spans="1:8" ht="14.25" x14ac:dyDescent="0.2">
      <c r="A4" s="189" t="s">
        <v>184</v>
      </c>
      <c r="B4" s="190">
        <f>ROUND((Energy!H63/1000000),1)</f>
        <v>587.1</v>
      </c>
      <c r="C4" s="190">
        <f>ROUND((Energy!I63/1000000),1)</f>
        <v>207</v>
      </c>
      <c r="D4" s="190">
        <f>ROUND(((Energy!J63+Energy!K63+Energy!L63)/1000000),1)</f>
        <v>753.9</v>
      </c>
      <c r="E4" s="190">
        <f>ROUND((Energy!M63/1000000),1)</f>
        <v>34.200000000000003</v>
      </c>
      <c r="F4" s="190">
        <f>ROUND((Energy!N63/1000000),1)</f>
        <v>7.4</v>
      </c>
      <c r="G4" s="190">
        <f>ROUND((Energy!O63/1000000),1)</f>
        <v>4.0999999999999996</v>
      </c>
      <c r="H4" s="190">
        <f>ROUND((SUM(B4:G4)),1)</f>
        <v>1593.7</v>
      </c>
    </row>
    <row r="5" spans="1:8" ht="14.25" x14ac:dyDescent="0.2">
      <c r="A5" s="189" t="s">
        <v>185</v>
      </c>
      <c r="B5" s="190">
        <f>ROUND((Energy!H64/1000000),1)</f>
        <v>589.79999999999995</v>
      </c>
      <c r="C5" s="190">
        <f>ROUND((Energy!I64/1000000),1)</f>
        <v>207.4</v>
      </c>
      <c r="D5" s="190">
        <f>ROUND(((Energy!J64+Energy!K64+Energy!L64)/1000000),1)</f>
        <v>738.3</v>
      </c>
      <c r="E5" s="190">
        <f>ROUND((Energy!M64/1000000),1)</f>
        <v>35.1</v>
      </c>
      <c r="F5" s="190">
        <f>ROUND((Energy!N64/1000000),1)</f>
        <v>7.3</v>
      </c>
      <c r="G5" s="190">
        <f>ROUND((Energy!O64/1000000),1)</f>
        <v>4.2</v>
      </c>
      <c r="H5" s="190">
        <f>ROUND((SUM(B5:G5)),1)</f>
        <v>1582.1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90"/>
  <sheetViews>
    <sheetView workbookViewId="0">
      <selection activeCell="J34" sqref="J34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13" t="s">
        <v>59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4" ht="25.5" x14ac:dyDescent="0.2">
      <c r="A2" s="185"/>
      <c r="B2" s="191" t="s">
        <v>42</v>
      </c>
      <c r="C2" s="191" t="s">
        <v>43</v>
      </c>
      <c r="D2" s="191" t="s">
        <v>44</v>
      </c>
      <c r="E2" s="191" t="s">
        <v>84</v>
      </c>
      <c r="F2" s="191" t="s">
        <v>158</v>
      </c>
      <c r="G2" s="191" t="s">
        <v>45</v>
      </c>
      <c r="H2" s="191" t="s">
        <v>46</v>
      </c>
      <c r="I2" s="191" t="s">
        <v>47</v>
      </c>
      <c r="J2" s="192" t="s">
        <v>60</v>
      </c>
      <c r="K2" s="191" t="s">
        <v>61</v>
      </c>
      <c r="L2" s="191" t="s">
        <v>3</v>
      </c>
    </row>
    <row r="3" spans="1:14" x14ac:dyDescent="0.2">
      <c r="A3" s="193">
        <v>2008</v>
      </c>
      <c r="B3" s="194">
        <v>75154</v>
      </c>
      <c r="C3" s="194">
        <v>7265</v>
      </c>
      <c r="D3" s="194">
        <v>1014</v>
      </c>
      <c r="E3" s="194"/>
      <c r="F3" s="194"/>
      <c r="G3" s="194">
        <v>4</v>
      </c>
      <c r="H3" s="194">
        <v>1522</v>
      </c>
      <c r="I3" s="194">
        <v>820</v>
      </c>
      <c r="J3" s="194">
        <f t="shared" ref="J3:J13" si="0">ROUND((SUM(B3:I3)),0)</f>
        <v>85779</v>
      </c>
      <c r="K3" s="194">
        <v>1</v>
      </c>
      <c r="L3" s="194">
        <f t="shared" ref="L3:L13" si="1">ROUND((J3+K3),0)</f>
        <v>85780</v>
      </c>
      <c r="M3"/>
    </row>
    <row r="4" spans="1:14" x14ac:dyDescent="0.2">
      <c r="A4" s="193">
        <v>2009</v>
      </c>
      <c r="B4" s="194">
        <v>76255</v>
      </c>
      <c r="C4" s="194">
        <v>7370</v>
      </c>
      <c r="D4" s="194">
        <v>1005</v>
      </c>
      <c r="E4" s="194"/>
      <c r="F4" s="194"/>
      <c r="G4" s="194">
        <v>3</v>
      </c>
      <c r="H4" s="194">
        <v>1551</v>
      </c>
      <c r="I4" s="194">
        <v>817</v>
      </c>
      <c r="J4" s="194">
        <f t="shared" si="0"/>
        <v>87001</v>
      </c>
      <c r="K4" s="194">
        <v>1</v>
      </c>
      <c r="L4" s="194">
        <f t="shared" si="1"/>
        <v>87002</v>
      </c>
      <c r="M4"/>
    </row>
    <row r="5" spans="1:14" x14ac:dyDescent="0.2">
      <c r="A5" s="193">
        <v>2010</v>
      </c>
      <c r="B5" s="194">
        <v>77506</v>
      </c>
      <c r="C5" s="194">
        <v>7448</v>
      </c>
      <c r="D5" s="194">
        <v>989</v>
      </c>
      <c r="E5" s="194"/>
      <c r="F5" s="194"/>
      <c r="G5" s="194">
        <v>1</v>
      </c>
      <c r="H5" s="194">
        <v>1574</v>
      </c>
      <c r="I5" s="194">
        <v>811</v>
      </c>
      <c r="J5" s="194">
        <f t="shared" si="0"/>
        <v>88329</v>
      </c>
      <c r="K5" s="194">
        <v>1</v>
      </c>
      <c r="L5" s="194">
        <f t="shared" si="1"/>
        <v>88330</v>
      </c>
    </row>
    <row r="6" spans="1:14" x14ac:dyDescent="0.2">
      <c r="A6" s="193">
        <v>2011</v>
      </c>
      <c r="B6" s="194">
        <v>78761</v>
      </c>
      <c r="C6" s="194">
        <v>7538</v>
      </c>
      <c r="D6" s="194">
        <v>975</v>
      </c>
      <c r="E6" s="194"/>
      <c r="F6" s="194"/>
      <c r="G6" s="194">
        <v>2</v>
      </c>
      <c r="H6" s="194">
        <v>1568</v>
      </c>
      <c r="I6" s="194">
        <f>+(818+864)/2</f>
        <v>841</v>
      </c>
      <c r="J6" s="194">
        <f t="shared" si="0"/>
        <v>89685</v>
      </c>
      <c r="K6" s="194">
        <v>1</v>
      </c>
      <c r="L6" s="194">
        <f t="shared" si="1"/>
        <v>89686</v>
      </c>
    </row>
    <row r="7" spans="1:14" x14ac:dyDescent="0.2">
      <c r="A7" s="193">
        <v>2012</v>
      </c>
      <c r="B7" s="194">
        <v>79997</v>
      </c>
      <c r="C7" s="194">
        <v>7645</v>
      </c>
      <c r="D7" s="194">
        <f>952-E7-F7</f>
        <v>947</v>
      </c>
      <c r="E7" s="194">
        <v>4</v>
      </c>
      <c r="F7" s="194">
        <v>1</v>
      </c>
      <c r="G7" s="194">
        <v>2</v>
      </c>
      <c r="H7" s="194">
        <v>1573</v>
      </c>
      <c r="I7" s="194">
        <f>(865+868+871+871)/4</f>
        <v>868.75</v>
      </c>
      <c r="J7" s="194">
        <f t="shared" si="0"/>
        <v>91038</v>
      </c>
      <c r="K7" s="194">
        <v>1</v>
      </c>
      <c r="L7" s="194">
        <f t="shared" si="1"/>
        <v>91039</v>
      </c>
    </row>
    <row r="8" spans="1:14" x14ac:dyDescent="0.2">
      <c r="A8" s="193">
        <v>2013</v>
      </c>
      <c r="B8" s="194">
        <v>80893</v>
      </c>
      <c r="C8" s="194">
        <v>7687</v>
      </c>
      <c r="D8" s="194">
        <f>950-E8-F8</f>
        <v>945</v>
      </c>
      <c r="E8" s="194">
        <v>4</v>
      </c>
      <c r="F8" s="194">
        <v>1</v>
      </c>
      <c r="G8" s="194">
        <v>3</v>
      </c>
      <c r="H8" s="194">
        <v>1551</v>
      </c>
      <c r="I8" s="194">
        <v>843.5</v>
      </c>
      <c r="J8" s="194">
        <f t="shared" si="0"/>
        <v>91928</v>
      </c>
      <c r="K8" s="194">
        <v>1</v>
      </c>
      <c r="L8" s="194">
        <f t="shared" si="1"/>
        <v>91929</v>
      </c>
    </row>
    <row r="9" spans="1:14" x14ac:dyDescent="0.2">
      <c r="A9" s="193">
        <v>2014</v>
      </c>
      <c r="B9" s="194">
        <v>81868</v>
      </c>
      <c r="C9" s="194">
        <v>7744</v>
      </c>
      <c r="D9" s="194">
        <f>944-E9-F9</f>
        <v>939</v>
      </c>
      <c r="E9" s="194">
        <v>4</v>
      </c>
      <c r="F9" s="194">
        <v>1</v>
      </c>
      <c r="G9" s="194">
        <v>2</v>
      </c>
      <c r="H9" s="194">
        <v>1616</v>
      </c>
      <c r="I9" s="194">
        <v>876.75</v>
      </c>
      <c r="J9" s="194">
        <f t="shared" si="0"/>
        <v>93051</v>
      </c>
      <c r="K9" s="194">
        <v>1</v>
      </c>
      <c r="L9" s="194">
        <f t="shared" si="1"/>
        <v>93052</v>
      </c>
      <c r="N9" s="50"/>
    </row>
    <row r="10" spans="1:14" x14ac:dyDescent="0.2">
      <c r="A10" s="193">
        <v>2015</v>
      </c>
      <c r="B10" s="194">
        <v>83106</v>
      </c>
      <c r="C10" s="194">
        <v>7796</v>
      </c>
      <c r="D10" s="194">
        <f>939-E10-F10</f>
        <v>934</v>
      </c>
      <c r="E10" s="194">
        <v>4</v>
      </c>
      <c r="F10" s="194">
        <v>1</v>
      </c>
      <c r="G10" s="194">
        <v>1</v>
      </c>
      <c r="H10" s="194">
        <v>1637</v>
      </c>
      <c r="I10" s="194">
        <v>891</v>
      </c>
      <c r="J10" s="194">
        <f t="shared" si="0"/>
        <v>94370</v>
      </c>
      <c r="K10" s="194">
        <v>1</v>
      </c>
      <c r="L10" s="194">
        <f t="shared" si="1"/>
        <v>94371</v>
      </c>
      <c r="N10" s="50"/>
    </row>
    <row r="11" spans="1:14" x14ac:dyDescent="0.2">
      <c r="A11" s="193">
        <v>2016</v>
      </c>
      <c r="B11" s="194">
        <v>84530</v>
      </c>
      <c r="C11" s="194">
        <v>7845</v>
      </c>
      <c r="D11" s="194">
        <f>940-E11-F11</f>
        <v>935</v>
      </c>
      <c r="E11" s="194">
        <v>4</v>
      </c>
      <c r="F11" s="194">
        <v>1</v>
      </c>
      <c r="G11" s="194">
        <v>1</v>
      </c>
      <c r="H11" s="194">
        <v>1653</v>
      </c>
      <c r="I11" s="194">
        <v>866.33333333333337</v>
      </c>
      <c r="J11" s="194">
        <f t="shared" si="0"/>
        <v>95835</v>
      </c>
      <c r="K11" s="194">
        <v>1</v>
      </c>
      <c r="L11" s="194">
        <f t="shared" si="1"/>
        <v>95836</v>
      </c>
      <c r="N11" s="50"/>
    </row>
    <row r="12" spans="1:14" x14ac:dyDescent="0.2">
      <c r="A12" s="193">
        <v>2017</v>
      </c>
      <c r="B12" s="194">
        <v>86064</v>
      </c>
      <c r="C12" s="194">
        <v>7936</v>
      </c>
      <c r="D12" s="194">
        <f>936-E12-F12</f>
        <v>905</v>
      </c>
      <c r="E12" s="194">
        <v>4</v>
      </c>
      <c r="F12" s="194">
        <v>27</v>
      </c>
      <c r="G12" s="194">
        <v>1</v>
      </c>
      <c r="H12" s="194">
        <v>1696</v>
      </c>
      <c r="I12" s="194">
        <v>886.08333333333337</v>
      </c>
      <c r="J12" s="194">
        <f t="shared" si="0"/>
        <v>97519</v>
      </c>
      <c r="K12" s="194">
        <v>1</v>
      </c>
      <c r="L12" s="194">
        <f t="shared" si="1"/>
        <v>97520</v>
      </c>
      <c r="N12" s="50"/>
    </row>
    <row r="13" spans="1:14" x14ac:dyDescent="0.2">
      <c r="A13" s="193">
        <v>2018</v>
      </c>
      <c r="B13" s="194">
        <v>87395</v>
      </c>
      <c r="C13" s="194">
        <v>7983</v>
      </c>
      <c r="D13" s="194">
        <f>950-E13-F13</f>
        <v>911</v>
      </c>
      <c r="E13" s="194">
        <v>5</v>
      </c>
      <c r="F13" s="194">
        <v>34</v>
      </c>
      <c r="G13" s="194">
        <v>1</v>
      </c>
      <c r="H13" s="194">
        <v>1666</v>
      </c>
      <c r="I13" s="194">
        <v>931</v>
      </c>
      <c r="J13" s="194">
        <f t="shared" si="0"/>
        <v>98926</v>
      </c>
      <c r="K13" s="194">
        <v>1</v>
      </c>
      <c r="L13" s="194">
        <f t="shared" si="1"/>
        <v>98927</v>
      </c>
      <c r="N13" s="50"/>
    </row>
    <row r="14" spans="1:14" x14ac:dyDescent="0.2">
      <c r="A14" s="195">
        <v>2019</v>
      </c>
      <c r="B14" s="196">
        <f t="shared" ref="B14:I14" si="2">ROUND((B13*B33),0)</f>
        <v>88619</v>
      </c>
      <c r="C14" s="196">
        <f t="shared" si="2"/>
        <v>8059</v>
      </c>
      <c r="D14" s="196">
        <f t="shared" si="2"/>
        <v>905</v>
      </c>
      <c r="E14" s="196">
        <f t="shared" si="2"/>
        <v>5</v>
      </c>
      <c r="F14" s="196">
        <f t="shared" si="2"/>
        <v>34</v>
      </c>
      <c r="G14" s="196">
        <f t="shared" si="2"/>
        <v>1</v>
      </c>
      <c r="H14" s="196">
        <f t="shared" si="2"/>
        <v>1681</v>
      </c>
      <c r="I14" s="196">
        <f t="shared" si="2"/>
        <v>943</v>
      </c>
      <c r="J14" s="196">
        <f>ROUND((SUM(B14:I14)),0)</f>
        <v>100247</v>
      </c>
      <c r="K14" s="196">
        <v>1</v>
      </c>
      <c r="L14" s="196">
        <f>ROUND((J14+K14),0)</f>
        <v>100248</v>
      </c>
      <c r="N14" s="50"/>
    </row>
    <row r="15" spans="1:14" x14ac:dyDescent="0.2">
      <c r="A15" s="195">
        <v>2020</v>
      </c>
      <c r="B15" s="196">
        <f t="shared" ref="B15:I15" si="3">ROUND((B14*B33),0)</f>
        <v>89860</v>
      </c>
      <c r="C15" s="196">
        <f t="shared" si="3"/>
        <v>8136</v>
      </c>
      <c r="D15" s="196">
        <f t="shared" si="3"/>
        <v>899</v>
      </c>
      <c r="E15" s="196">
        <f t="shared" si="3"/>
        <v>5</v>
      </c>
      <c r="F15" s="196">
        <f t="shared" si="3"/>
        <v>34</v>
      </c>
      <c r="G15" s="196">
        <f t="shared" si="3"/>
        <v>1</v>
      </c>
      <c r="H15" s="196">
        <f t="shared" si="3"/>
        <v>1696</v>
      </c>
      <c r="I15" s="196">
        <f t="shared" si="3"/>
        <v>955</v>
      </c>
      <c r="J15" s="196">
        <f>ROUND((SUM(B15:I15)),0)</f>
        <v>101586</v>
      </c>
      <c r="K15" s="196">
        <v>1</v>
      </c>
      <c r="L15" s="196">
        <f>ROUND((J15+K15),0)</f>
        <v>101587</v>
      </c>
      <c r="N15" s="50"/>
    </row>
    <row r="16" spans="1:14" x14ac:dyDescent="0.2">
      <c r="A16" s="197"/>
      <c r="B16" s="214" t="s">
        <v>188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143"/>
    </row>
    <row r="17" spans="1:19" x14ac:dyDescent="0.2">
      <c r="A17" s="197"/>
      <c r="B17" s="194">
        <v>88154</v>
      </c>
      <c r="C17" s="194">
        <v>8082</v>
      </c>
      <c r="D17" s="194">
        <f>951-E17-F17</f>
        <v>912</v>
      </c>
      <c r="E17" s="194">
        <v>5</v>
      </c>
      <c r="F17" s="194">
        <v>34</v>
      </c>
      <c r="G17" s="194">
        <v>1</v>
      </c>
      <c r="H17" s="194">
        <v>1680.9333333333334</v>
      </c>
      <c r="I17" s="194">
        <v>929</v>
      </c>
      <c r="J17" s="194">
        <f>ROUND((SUM(B17:I17)),0)</f>
        <v>99798</v>
      </c>
      <c r="K17" s="194"/>
      <c r="L17" s="194">
        <f>ROUND((J17+K17),0)</f>
        <v>99798</v>
      </c>
      <c r="M17" s="143"/>
    </row>
    <row r="18" spans="1:19" x14ac:dyDescent="0.2">
      <c r="A18" s="40"/>
      <c r="K18" s="1">
        <v>1</v>
      </c>
      <c r="M18" s="143"/>
    </row>
    <row r="19" spans="1:19" x14ac:dyDescent="0.2">
      <c r="A19" s="40" t="s">
        <v>62</v>
      </c>
      <c r="B19" s="39"/>
      <c r="C19" s="39"/>
      <c r="D19" s="39"/>
      <c r="E19" s="39"/>
      <c r="F19" s="39"/>
      <c r="G19" s="39"/>
      <c r="H19" s="39"/>
      <c r="I19" s="39"/>
    </row>
    <row r="20" spans="1:19" x14ac:dyDescent="0.2">
      <c r="A20" s="49">
        <v>2009</v>
      </c>
      <c r="B20" s="35">
        <f t="shared" ref="B20:D29" si="4">ROUND((B4/B3),4)</f>
        <v>1.0145999999999999</v>
      </c>
      <c r="C20" s="35">
        <f t="shared" si="4"/>
        <v>1.0145</v>
      </c>
      <c r="D20" s="35">
        <f t="shared" si="4"/>
        <v>0.99109999999999998</v>
      </c>
      <c r="E20" s="35"/>
      <c r="F20" s="35"/>
      <c r="G20" s="35">
        <f t="shared" ref="G20:I29" si="5">ROUND((G4/G3),4)</f>
        <v>0.75</v>
      </c>
      <c r="H20" s="35">
        <f t="shared" si="5"/>
        <v>1.0190999999999999</v>
      </c>
      <c r="I20" s="35">
        <f t="shared" si="5"/>
        <v>0.99629999999999996</v>
      </c>
      <c r="K20" s="35">
        <f t="shared" ref="K20:K29" si="6">K4/K3</f>
        <v>1</v>
      </c>
      <c r="L20" s="42"/>
      <c r="M20" s="42"/>
      <c r="N20" s="42"/>
      <c r="O20" s="42"/>
      <c r="P20" s="42"/>
      <c r="Q20" s="42"/>
      <c r="R20" s="42"/>
      <c r="S20" s="42"/>
    </row>
    <row r="21" spans="1:19" x14ac:dyDescent="0.2">
      <c r="A21" s="49">
        <v>2010</v>
      </c>
      <c r="B21" s="35">
        <f t="shared" si="4"/>
        <v>1.0164</v>
      </c>
      <c r="C21" s="35">
        <f t="shared" si="4"/>
        <v>1.0105999999999999</v>
      </c>
      <c r="D21" s="35">
        <f t="shared" si="4"/>
        <v>0.98409999999999997</v>
      </c>
      <c r="E21" s="35"/>
      <c r="F21" s="35"/>
      <c r="G21" s="35">
        <f t="shared" si="5"/>
        <v>0.33329999999999999</v>
      </c>
      <c r="H21" s="35">
        <f t="shared" si="5"/>
        <v>1.0147999999999999</v>
      </c>
      <c r="I21" s="35">
        <f t="shared" si="5"/>
        <v>0.99270000000000003</v>
      </c>
      <c r="K21" s="35">
        <f t="shared" si="6"/>
        <v>1</v>
      </c>
      <c r="L21" s="42"/>
      <c r="M21" s="42"/>
      <c r="N21" s="42"/>
      <c r="O21" s="42"/>
      <c r="P21" s="42"/>
      <c r="Q21" s="42"/>
      <c r="R21" s="42"/>
      <c r="S21" s="42"/>
    </row>
    <row r="22" spans="1:19" x14ac:dyDescent="0.2">
      <c r="A22" s="49">
        <v>2011</v>
      </c>
      <c r="B22" s="35">
        <f t="shared" si="4"/>
        <v>1.0162</v>
      </c>
      <c r="C22" s="35">
        <f t="shared" si="4"/>
        <v>1.0121</v>
      </c>
      <c r="D22" s="35">
        <f t="shared" si="4"/>
        <v>0.98580000000000001</v>
      </c>
      <c r="E22" s="35"/>
      <c r="F22" s="35"/>
      <c r="G22" s="35">
        <f t="shared" si="5"/>
        <v>2</v>
      </c>
      <c r="H22" s="35">
        <f t="shared" si="5"/>
        <v>0.99619999999999997</v>
      </c>
      <c r="I22" s="35">
        <f t="shared" si="5"/>
        <v>1.0369999999999999</v>
      </c>
      <c r="K22" s="35">
        <f t="shared" si="6"/>
        <v>1</v>
      </c>
      <c r="L22" s="42"/>
      <c r="M22" s="42"/>
      <c r="N22" s="42"/>
      <c r="O22" s="42"/>
      <c r="P22" s="42"/>
      <c r="Q22" s="42"/>
      <c r="R22" s="42"/>
      <c r="S22" s="42"/>
    </row>
    <row r="23" spans="1:19" x14ac:dyDescent="0.2">
      <c r="A23" s="49">
        <v>2012</v>
      </c>
      <c r="B23" s="35">
        <f t="shared" si="4"/>
        <v>1.0157</v>
      </c>
      <c r="C23" s="35">
        <f t="shared" si="4"/>
        <v>1.0142</v>
      </c>
      <c r="D23" s="35">
        <f t="shared" si="4"/>
        <v>0.97130000000000005</v>
      </c>
      <c r="E23" s="35"/>
      <c r="F23" s="35"/>
      <c r="G23" s="35">
        <f t="shared" si="5"/>
        <v>1</v>
      </c>
      <c r="H23" s="35">
        <f t="shared" si="5"/>
        <v>1.0032000000000001</v>
      </c>
      <c r="I23" s="35">
        <f t="shared" si="5"/>
        <v>1.0329999999999999</v>
      </c>
      <c r="K23" s="35">
        <f t="shared" si="6"/>
        <v>1</v>
      </c>
      <c r="L23" s="42"/>
      <c r="M23" s="42"/>
      <c r="N23" s="42"/>
      <c r="O23" s="42"/>
      <c r="P23" s="42"/>
      <c r="Q23" s="42"/>
      <c r="R23" s="42"/>
      <c r="S23" s="42"/>
    </row>
    <row r="24" spans="1:19" x14ac:dyDescent="0.2">
      <c r="A24" s="49">
        <v>2013</v>
      </c>
      <c r="B24" s="35">
        <f t="shared" si="4"/>
        <v>1.0112000000000001</v>
      </c>
      <c r="C24" s="35">
        <f t="shared" si="4"/>
        <v>1.0055000000000001</v>
      </c>
      <c r="D24" s="35">
        <f t="shared" si="4"/>
        <v>0.99790000000000001</v>
      </c>
      <c r="E24" s="35">
        <f t="shared" ref="E24:F29" si="7">ROUND((E8/E7),4)</f>
        <v>1</v>
      </c>
      <c r="F24" s="35">
        <f t="shared" si="7"/>
        <v>1</v>
      </c>
      <c r="G24" s="35">
        <f t="shared" si="5"/>
        <v>1.5</v>
      </c>
      <c r="H24" s="35">
        <f t="shared" si="5"/>
        <v>0.98599999999999999</v>
      </c>
      <c r="I24" s="35">
        <f t="shared" si="5"/>
        <v>0.97089999999999999</v>
      </c>
      <c r="K24" s="35">
        <f t="shared" si="6"/>
        <v>1</v>
      </c>
      <c r="L24" s="42"/>
      <c r="M24" s="42"/>
      <c r="N24" s="42"/>
      <c r="O24" s="42"/>
      <c r="P24" s="42"/>
      <c r="Q24" s="42"/>
      <c r="R24" s="42"/>
      <c r="S24" s="42"/>
    </row>
    <row r="25" spans="1:19" x14ac:dyDescent="0.2">
      <c r="A25" s="49">
        <v>2014</v>
      </c>
      <c r="B25" s="35">
        <f t="shared" si="4"/>
        <v>1.0121</v>
      </c>
      <c r="C25" s="35">
        <f t="shared" si="4"/>
        <v>1.0074000000000001</v>
      </c>
      <c r="D25" s="35">
        <f t="shared" si="4"/>
        <v>0.99370000000000003</v>
      </c>
      <c r="E25" s="35">
        <f t="shared" si="7"/>
        <v>1</v>
      </c>
      <c r="F25" s="35">
        <f t="shared" si="7"/>
        <v>1</v>
      </c>
      <c r="G25" s="35">
        <f t="shared" si="5"/>
        <v>0.66669999999999996</v>
      </c>
      <c r="H25" s="35">
        <f t="shared" si="5"/>
        <v>1.0419</v>
      </c>
      <c r="I25" s="35">
        <f t="shared" si="5"/>
        <v>1.0394000000000001</v>
      </c>
      <c r="K25" s="35">
        <f t="shared" si="6"/>
        <v>1</v>
      </c>
      <c r="L25" s="42"/>
      <c r="M25" s="42"/>
      <c r="N25" s="42"/>
      <c r="O25" s="42"/>
      <c r="P25" s="42"/>
      <c r="Q25" s="42"/>
      <c r="R25" s="42"/>
      <c r="S25" s="42"/>
    </row>
    <row r="26" spans="1:19" x14ac:dyDescent="0.2">
      <c r="A26" s="49">
        <v>2015</v>
      </c>
      <c r="B26" s="35">
        <f t="shared" si="4"/>
        <v>1.0150999999999999</v>
      </c>
      <c r="C26" s="35">
        <f t="shared" si="4"/>
        <v>1.0066999999999999</v>
      </c>
      <c r="D26" s="35">
        <f t="shared" si="4"/>
        <v>0.99470000000000003</v>
      </c>
      <c r="E26" s="35">
        <f t="shared" si="7"/>
        <v>1</v>
      </c>
      <c r="F26" s="35">
        <f t="shared" si="7"/>
        <v>1</v>
      </c>
      <c r="G26" s="35">
        <f t="shared" si="5"/>
        <v>0.5</v>
      </c>
      <c r="H26" s="35">
        <f t="shared" si="5"/>
        <v>1.0129999999999999</v>
      </c>
      <c r="I26" s="35">
        <f t="shared" si="5"/>
        <v>1.0163</v>
      </c>
      <c r="K26" s="35">
        <f t="shared" si="6"/>
        <v>1</v>
      </c>
      <c r="L26" s="42"/>
      <c r="M26" s="42"/>
      <c r="N26" s="42"/>
      <c r="O26" s="42"/>
      <c r="P26" s="42"/>
      <c r="Q26" s="42"/>
      <c r="R26" s="42"/>
      <c r="S26" s="42"/>
    </row>
    <row r="27" spans="1:19" x14ac:dyDescent="0.2">
      <c r="A27" s="49">
        <v>2016</v>
      </c>
      <c r="B27" s="35">
        <f t="shared" si="4"/>
        <v>1.0170999999999999</v>
      </c>
      <c r="C27" s="35">
        <f t="shared" si="4"/>
        <v>1.0063</v>
      </c>
      <c r="D27" s="35">
        <f t="shared" si="4"/>
        <v>1.0011000000000001</v>
      </c>
      <c r="E27" s="35">
        <f t="shared" si="7"/>
        <v>1</v>
      </c>
      <c r="F27" s="35">
        <f t="shared" si="7"/>
        <v>1</v>
      </c>
      <c r="G27" s="35">
        <f t="shared" si="5"/>
        <v>1</v>
      </c>
      <c r="H27" s="35">
        <f t="shared" si="5"/>
        <v>1.0098</v>
      </c>
      <c r="I27" s="35">
        <f t="shared" si="5"/>
        <v>0.97230000000000005</v>
      </c>
      <c r="K27" s="35">
        <f t="shared" si="6"/>
        <v>1</v>
      </c>
      <c r="L27" s="42"/>
      <c r="M27" s="42"/>
      <c r="N27" s="42"/>
      <c r="O27" s="42"/>
      <c r="P27" s="42"/>
      <c r="Q27" s="42"/>
      <c r="R27" s="42"/>
      <c r="S27" s="42"/>
    </row>
    <row r="28" spans="1:19" x14ac:dyDescent="0.2">
      <c r="A28" s="49">
        <v>2017</v>
      </c>
      <c r="B28" s="35">
        <f t="shared" si="4"/>
        <v>1.0181</v>
      </c>
      <c r="C28" s="35">
        <f t="shared" si="4"/>
        <v>1.0116000000000001</v>
      </c>
      <c r="D28" s="35">
        <f t="shared" si="4"/>
        <v>0.96789999999999998</v>
      </c>
      <c r="E28" s="35">
        <f t="shared" si="7"/>
        <v>1</v>
      </c>
      <c r="F28" s="149">
        <f t="shared" si="7"/>
        <v>27</v>
      </c>
      <c r="G28" s="35">
        <f t="shared" si="5"/>
        <v>1</v>
      </c>
      <c r="H28" s="35">
        <f t="shared" si="5"/>
        <v>1.026</v>
      </c>
      <c r="I28" s="35">
        <f t="shared" si="5"/>
        <v>1.0227999999999999</v>
      </c>
      <c r="K28" s="35">
        <f t="shared" si="6"/>
        <v>1</v>
      </c>
      <c r="L28" s="42"/>
      <c r="M28" s="42"/>
      <c r="N28" s="42"/>
      <c r="O28" s="42"/>
      <c r="P28" s="42"/>
      <c r="Q28" s="42"/>
      <c r="R28" s="42"/>
      <c r="S28" s="42"/>
    </row>
    <row r="29" spans="1:19" x14ac:dyDescent="0.2">
      <c r="A29" s="49">
        <v>2018</v>
      </c>
      <c r="B29" s="35">
        <f t="shared" si="4"/>
        <v>1.0155000000000001</v>
      </c>
      <c r="C29" s="35">
        <f t="shared" si="4"/>
        <v>1.0059</v>
      </c>
      <c r="D29" s="35">
        <f t="shared" si="4"/>
        <v>1.0065999999999999</v>
      </c>
      <c r="E29" s="35">
        <f t="shared" si="7"/>
        <v>1.25</v>
      </c>
      <c r="F29" s="35">
        <f t="shared" si="7"/>
        <v>1.2593000000000001</v>
      </c>
      <c r="G29" s="35">
        <f t="shared" si="5"/>
        <v>1</v>
      </c>
      <c r="H29" s="35">
        <f t="shared" si="5"/>
        <v>0.98229999999999995</v>
      </c>
      <c r="I29" s="35">
        <f t="shared" si="5"/>
        <v>1.0507</v>
      </c>
      <c r="K29" s="35">
        <f t="shared" si="6"/>
        <v>1</v>
      </c>
      <c r="L29" s="42"/>
      <c r="M29" s="42"/>
      <c r="N29" s="42"/>
      <c r="O29" s="42"/>
      <c r="P29" s="42"/>
      <c r="Q29" s="42"/>
      <c r="R29" s="42"/>
      <c r="S29" s="42"/>
    </row>
    <row r="30" spans="1:19" x14ac:dyDescent="0.2">
      <c r="A30" s="49"/>
      <c r="B30" s="35"/>
      <c r="C30" s="35"/>
      <c r="D30" s="35"/>
      <c r="E30" s="35"/>
      <c r="F30" s="35"/>
      <c r="G30" s="35"/>
      <c r="H30" s="35"/>
      <c r="I30" s="35"/>
      <c r="K30" s="35"/>
      <c r="L30" s="42"/>
      <c r="M30" s="42"/>
      <c r="N30" s="42"/>
      <c r="O30" s="42"/>
      <c r="P30" s="42"/>
      <c r="Q30" s="42"/>
      <c r="R30" s="42"/>
      <c r="S30" s="42"/>
    </row>
    <row r="31" spans="1:19" x14ac:dyDescent="0.2">
      <c r="A31" s="49"/>
      <c r="B31" s="35"/>
      <c r="C31" s="35"/>
      <c r="D31" s="35"/>
      <c r="E31" s="35"/>
      <c r="F31" s="35"/>
      <c r="G31" s="35"/>
      <c r="H31" s="35"/>
      <c r="I31" s="35"/>
      <c r="K31" s="35"/>
      <c r="L31" s="42"/>
      <c r="M31" s="42"/>
      <c r="N31" s="42"/>
      <c r="O31" s="42"/>
      <c r="P31" s="42"/>
      <c r="Q31" s="42"/>
      <c r="R31" s="42"/>
      <c r="S31" s="42"/>
    </row>
    <row r="33" spans="1:11" x14ac:dyDescent="0.2">
      <c r="A33" s="49" t="s">
        <v>63</v>
      </c>
      <c r="B33" s="59">
        <v>1.014</v>
      </c>
      <c r="C33" s="59">
        <f t="shared" ref="C33:I33" si="8">C35</f>
        <v>1.0095000000000001</v>
      </c>
      <c r="D33" s="59">
        <f t="shared" si="8"/>
        <v>0.99360000000000004</v>
      </c>
      <c r="E33" s="59">
        <v>1</v>
      </c>
      <c r="F33" s="59">
        <v>1</v>
      </c>
      <c r="G33" s="59">
        <f>G35</f>
        <v>0.87050000000000005</v>
      </c>
      <c r="H33" s="59">
        <f t="shared" si="8"/>
        <v>1.0091000000000001</v>
      </c>
      <c r="I33" s="59">
        <f t="shared" si="8"/>
        <v>1.0127999999999999</v>
      </c>
      <c r="J33" s="17"/>
      <c r="K33" s="59">
        <f>K35</f>
        <v>1</v>
      </c>
    </row>
    <row r="34" spans="1:11" x14ac:dyDescent="0.2">
      <c r="A34" s="49"/>
      <c r="B34" s="37"/>
      <c r="C34" s="37"/>
      <c r="D34" s="37"/>
      <c r="E34" s="37"/>
      <c r="F34" s="37"/>
      <c r="G34" s="37"/>
      <c r="H34" s="37"/>
      <c r="I34" s="37"/>
      <c r="K34" s="37"/>
    </row>
    <row r="35" spans="1:11" x14ac:dyDescent="0.2">
      <c r="A35" s="49" t="s">
        <v>52</v>
      </c>
      <c r="B35" s="37">
        <f t="shared" ref="B35:I35" si="9">ROUND((GEOMEAN(B20:B29)),4)</f>
        <v>1.0152000000000001</v>
      </c>
      <c r="C35" s="37">
        <f t="shared" si="9"/>
        <v>1.0095000000000001</v>
      </c>
      <c r="D35" s="37">
        <f>ROUND((GEOMEAN(D24:D29)),4)</f>
        <v>0.99360000000000004</v>
      </c>
      <c r="E35" s="37">
        <f>ROUND((GEOMEAN(E24:E29)),4)</f>
        <v>1.0379</v>
      </c>
      <c r="F35" s="37">
        <f>ROUND((GEOMEAN(F24:F29)),4)</f>
        <v>1.7999000000000001</v>
      </c>
      <c r="G35" s="37">
        <f>ROUND((GEOMEAN(G20:G29)),4)</f>
        <v>0.87050000000000005</v>
      </c>
      <c r="H35" s="37">
        <f t="shared" si="9"/>
        <v>1.0091000000000001</v>
      </c>
      <c r="I35" s="37">
        <f t="shared" si="9"/>
        <v>1.0127999999999999</v>
      </c>
      <c r="K35" s="37">
        <f>GEOMEAN(K20:K29)</f>
        <v>1</v>
      </c>
    </row>
    <row r="36" spans="1:11" x14ac:dyDescent="0.2">
      <c r="A36" s="49"/>
      <c r="B36" s="37"/>
      <c r="C36" s="37"/>
      <c r="D36" s="37"/>
      <c r="E36" s="37"/>
      <c r="F36" s="37"/>
      <c r="G36" s="37"/>
      <c r="H36" s="37"/>
      <c r="I36" s="37"/>
    </row>
    <row r="37" spans="1:11" x14ac:dyDescent="0.2">
      <c r="A37" s="49"/>
      <c r="B37" s="37"/>
      <c r="C37" s="37"/>
      <c r="D37" s="37"/>
      <c r="E37" s="37"/>
      <c r="F37" s="37"/>
      <c r="G37" s="37"/>
      <c r="H37" s="37"/>
      <c r="I37" s="37"/>
    </row>
    <row r="38" spans="1:11" x14ac:dyDescent="0.2">
      <c r="A38" s="49"/>
      <c r="B38" s="37"/>
      <c r="C38" s="37"/>
      <c r="D38" s="37"/>
      <c r="E38" s="37"/>
      <c r="F38" s="37"/>
      <c r="G38" s="37"/>
      <c r="H38" s="37"/>
      <c r="I38" s="37"/>
    </row>
    <row r="39" spans="1:11" x14ac:dyDescent="0.2">
      <c r="A39" s="49"/>
      <c r="B39" s="37"/>
      <c r="C39" s="37"/>
      <c r="D39" s="37"/>
      <c r="E39" s="37"/>
      <c r="F39" s="37"/>
      <c r="G39" s="37"/>
      <c r="H39" s="37"/>
      <c r="I39" s="37"/>
    </row>
    <row r="40" spans="1:11" x14ac:dyDescent="0.2">
      <c r="A40" s="49"/>
      <c r="B40" s="37"/>
      <c r="C40" s="37"/>
      <c r="D40" s="37"/>
      <c r="E40" s="37"/>
      <c r="F40" s="37"/>
      <c r="G40" s="37"/>
      <c r="H40" s="37"/>
      <c r="I40" s="37"/>
    </row>
    <row r="41" spans="1:11" x14ac:dyDescent="0.2">
      <c r="A41" s="49"/>
      <c r="B41" s="37"/>
      <c r="C41" s="37"/>
      <c r="D41" s="37"/>
      <c r="E41" s="37"/>
      <c r="F41" s="37"/>
      <c r="G41" s="37"/>
      <c r="H41" s="37"/>
      <c r="I41" s="37"/>
    </row>
    <row r="42" spans="1:11" x14ac:dyDescent="0.2">
      <c r="A42" s="49"/>
      <c r="B42" s="37"/>
      <c r="C42" s="37"/>
      <c r="D42" s="37"/>
      <c r="E42" s="37"/>
      <c r="F42" s="37"/>
      <c r="G42" s="37"/>
      <c r="H42" s="37"/>
      <c r="I42" s="37"/>
    </row>
    <row r="43" spans="1:11" x14ac:dyDescent="0.2">
      <c r="A43" s="49"/>
      <c r="B43" s="37"/>
      <c r="C43" s="37"/>
      <c r="D43" s="37"/>
      <c r="E43" s="37"/>
      <c r="F43" s="37"/>
      <c r="G43" s="37"/>
      <c r="H43" s="37"/>
      <c r="I43" s="37"/>
    </row>
    <row r="44" spans="1:11" x14ac:dyDescent="0.2">
      <c r="B44" s="37"/>
      <c r="C44" s="37"/>
      <c r="D44" s="37"/>
      <c r="E44" s="37"/>
      <c r="F44" s="37"/>
      <c r="G44" s="37"/>
      <c r="H44" s="37"/>
      <c r="I44" s="37"/>
    </row>
    <row r="45" spans="1:11" x14ac:dyDescent="0.2">
      <c r="B45" s="37"/>
      <c r="C45" s="37"/>
      <c r="D45" s="37"/>
      <c r="E45" s="37"/>
      <c r="F45" s="37"/>
      <c r="G45" s="37"/>
      <c r="H45" s="37"/>
      <c r="I45" s="37"/>
    </row>
    <row r="46" spans="1:11" x14ac:dyDescent="0.2">
      <c r="B46" s="37"/>
      <c r="C46" s="37"/>
      <c r="D46" s="37"/>
      <c r="E46" s="37"/>
      <c r="F46" s="37"/>
      <c r="G46" s="37"/>
      <c r="H46" s="37"/>
      <c r="I46" s="37"/>
    </row>
    <row r="47" spans="1:11" x14ac:dyDescent="0.2">
      <c r="B47" s="37"/>
      <c r="C47" s="37"/>
      <c r="D47" s="37"/>
      <c r="E47" s="37"/>
      <c r="F47" s="37"/>
      <c r="G47" s="37"/>
      <c r="H47" s="37"/>
      <c r="I47" s="37"/>
    </row>
    <row r="48" spans="1:11" x14ac:dyDescent="0.2">
      <c r="B48" s="37"/>
      <c r="C48" s="37"/>
      <c r="D48" s="37"/>
      <c r="E48" s="37"/>
      <c r="F48" s="37"/>
      <c r="G48" s="37"/>
      <c r="H48" s="37"/>
      <c r="I48" s="37"/>
    </row>
    <row r="49" spans="2:9" x14ac:dyDescent="0.2">
      <c r="B49" s="37"/>
      <c r="C49" s="37"/>
      <c r="D49" s="37"/>
      <c r="E49" s="37"/>
      <c r="F49" s="37"/>
      <c r="G49" s="37"/>
      <c r="H49" s="37"/>
      <c r="I49" s="37"/>
    </row>
    <row r="50" spans="2:9" x14ac:dyDescent="0.2">
      <c r="B50" s="37"/>
      <c r="C50" s="37"/>
      <c r="D50" s="37"/>
      <c r="E50" s="37"/>
      <c r="F50" s="37"/>
      <c r="G50" s="37"/>
      <c r="H50" s="37"/>
      <c r="I50" s="37"/>
    </row>
    <row r="51" spans="2:9" x14ac:dyDescent="0.2">
      <c r="B51" s="37"/>
      <c r="C51" s="37"/>
      <c r="D51" s="37"/>
      <c r="E51" s="37"/>
      <c r="F51" s="37"/>
      <c r="G51" s="37"/>
      <c r="H51" s="37"/>
      <c r="I51" s="37"/>
    </row>
    <row r="52" spans="2:9" x14ac:dyDescent="0.2">
      <c r="B52" s="37"/>
      <c r="C52" s="37"/>
      <c r="D52" s="37"/>
      <c r="E52" s="37"/>
      <c r="F52" s="37"/>
      <c r="G52" s="37"/>
      <c r="H52" s="37"/>
      <c r="I52" s="37"/>
    </row>
    <row r="53" spans="2:9" x14ac:dyDescent="0.2">
      <c r="B53" s="37"/>
      <c r="C53" s="37"/>
      <c r="D53" s="37"/>
      <c r="E53" s="37"/>
      <c r="F53" s="37"/>
      <c r="G53" s="37"/>
      <c r="H53" s="37"/>
      <c r="I53" s="37"/>
    </row>
    <row r="54" spans="2:9" x14ac:dyDescent="0.2">
      <c r="B54" s="37"/>
      <c r="C54" s="37"/>
      <c r="D54" s="37"/>
      <c r="E54" s="37"/>
      <c r="F54" s="37"/>
      <c r="G54" s="37"/>
      <c r="H54" s="37"/>
      <c r="I54" s="37"/>
    </row>
    <row r="55" spans="2:9" x14ac:dyDescent="0.2">
      <c r="B55" s="37"/>
      <c r="C55" s="37"/>
      <c r="D55" s="37"/>
      <c r="E55" s="37"/>
      <c r="F55" s="37"/>
      <c r="G55" s="37"/>
      <c r="H55" s="37"/>
      <c r="I55" s="37"/>
    </row>
    <row r="56" spans="2:9" x14ac:dyDescent="0.2">
      <c r="B56" s="37"/>
      <c r="C56" s="37"/>
      <c r="D56" s="37"/>
      <c r="E56" s="37"/>
      <c r="F56" s="37"/>
      <c r="G56" s="37"/>
      <c r="H56" s="37"/>
      <c r="I56" s="37"/>
    </row>
    <row r="57" spans="2:9" x14ac:dyDescent="0.2">
      <c r="B57" s="37"/>
      <c r="C57" s="37"/>
      <c r="D57" s="37"/>
      <c r="E57" s="37"/>
      <c r="F57" s="37"/>
      <c r="G57" s="37"/>
      <c r="H57" s="37"/>
      <c r="I57" s="37"/>
    </row>
    <row r="58" spans="2:9" x14ac:dyDescent="0.2">
      <c r="B58" s="37"/>
      <c r="C58" s="37"/>
      <c r="D58" s="37"/>
      <c r="E58" s="37"/>
      <c r="F58" s="37"/>
      <c r="G58" s="37"/>
      <c r="H58" s="37"/>
      <c r="I58" s="37"/>
    </row>
    <row r="59" spans="2:9" x14ac:dyDescent="0.2">
      <c r="B59" s="37"/>
      <c r="C59" s="37"/>
      <c r="D59" s="37"/>
      <c r="E59" s="37"/>
      <c r="F59" s="37"/>
      <c r="G59" s="37"/>
      <c r="H59" s="37"/>
      <c r="I59" s="37"/>
    </row>
    <row r="60" spans="2:9" x14ac:dyDescent="0.2">
      <c r="B60" s="37"/>
      <c r="C60" s="37"/>
      <c r="D60" s="37"/>
      <c r="E60" s="37"/>
      <c r="F60" s="37"/>
      <c r="G60" s="37"/>
      <c r="H60" s="37"/>
      <c r="I60" s="37"/>
    </row>
    <row r="61" spans="2:9" x14ac:dyDescent="0.2">
      <c r="B61" s="37"/>
      <c r="C61" s="37"/>
      <c r="D61" s="37"/>
      <c r="E61" s="37"/>
      <c r="F61" s="37"/>
      <c r="G61" s="37"/>
      <c r="H61" s="37"/>
      <c r="I61" s="37"/>
    </row>
    <row r="62" spans="2:9" x14ac:dyDescent="0.2">
      <c r="B62" s="37"/>
      <c r="C62" s="37"/>
      <c r="H62" s="37"/>
      <c r="I62" s="37"/>
    </row>
    <row r="68" spans="2:9" x14ac:dyDescent="0.2">
      <c r="D68" s="51"/>
      <c r="E68" s="51"/>
      <c r="F68" s="51"/>
      <c r="G68" s="51"/>
    </row>
    <row r="69" spans="2:9" x14ac:dyDescent="0.2">
      <c r="B69" s="51"/>
      <c r="C69" s="51"/>
      <c r="D69" s="51"/>
      <c r="E69" s="51"/>
      <c r="F69" s="51"/>
      <c r="G69" s="51"/>
      <c r="H69" s="51"/>
      <c r="I69" s="51"/>
    </row>
    <row r="70" spans="2:9" x14ac:dyDescent="0.2">
      <c r="B70" s="51"/>
      <c r="C70" s="51"/>
      <c r="H70" s="51"/>
      <c r="I70" s="51"/>
    </row>
    <row r="88" spans="2:9" x14ac:dyDescent="0.2">
      <c r="D88" s="52"/>
      <c r="E88" s="52"/>
      <c r="F88" s="52"/>
      <c r="G88" s="52"/>
    </row>
    <row r="89" spans="2:9" x14ac:dyDescent="0.2">
      <c r="B89" s="52"/>
      <c r="C89" s="52"/>
      <c r="D89" s="52"/>
      <c r="E89" s="52"/>
      <c r="F89" s="52"/>
      <c r="G89" s="52"/>
      <c r="H89" s="52"/>
      <c r="I89" s="52"/>
    </row>
    <row r="90" spans="2:9" x14ac:dyDescent="0.2">
      <c r="B90" s="52"/>
      <c r="C90" s="52"/>
      <c r="H90" s="52"/>
      <c r="I90" s="52"/>
    </row>
  </sheetData>
  <mergeCells count="2">
    <mergeCell ref="A1:L1"/>
    <mergeCell ref="B16:L16"/>
  </mergeCells>
  <pageMargins left="0.7" right="0.7" top="0.75" bottom="0.75" header="0.3" footer="0.3"/>
  <pageSetup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sqref="A1:D21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15" t="s">
        <v>127</v>
      </c>
      <c r="B1" s="215"/>
      <c r="C1" s="215"/>
      <c r="D1" s="215"/>
    </row>
    <row r="2" spans="1:4" ht="15" x14ac:dyDescent="0.25">
      <c r="A2" s="127" t="s">
        <v>128</v>
      </c>
      <c r="B2" s="127" t="s">
        <v>66</v>
      </c>
      <c r="C2" s="128" t="s">
        <v>65</v>
      </c>
      <c r="D2" s="128" t="s">
        <v>129</v>
      </c>
    </row>
    <row r="3" spans="1:4" ht="14.25" x14ac:dyDescent="0.2">
      <c r="A3" s="129">
        <v>2009</v>
      </c>
      <c r="B3" s="130">
        <v>49918.169999999991</v>
      </c>
      <c r="C3" s="130">
        <v>22622441.550000001</v>
      </c>
      <c r="D3" s="130">
        <f>ROUND((C3/12),2)</f>
        <v>1885203.46</v>
      </c>
    </row>
    <row r="4" spans="1:4" ht="14.25" x14ac:dyDescent="0.2">
      <c r="A4" s="129">
        <v>2010</v>
      </c>
      <c r="B4" s="130">
        <v>53143.520000000004</v>
      </c>
      <c r="C4" s="130">
        <v>24190281.489999998</v>
      </c>
      <c r="D4" s="130">
        <f t="shared" ref="D4:D14" si="0">ROUND((C4/12),2)</f>
        <v>2015856.79</v>
      </c>
    </row>
    <row r="5" spans="1:4" ht="14.25" x14ac:dyDescent="0.2">
      <c r="A5" s="129">
        <v>2011</v>
      </c>
      <c r="B5" s="130">
        <v>49138.899999999994</v>
      </c>
      <c r="C5" s="130">
        <v>21309995.489999998</v>
      </c>
      <c r="D5" s="130">
        <f t="shared" si="0"/>
        <v>1775832.96</v>
      </c>
    </row>
    <row r="6" spans="1:4" ht="14.25" x14ac:dyDescent="0.2">
      <c r="A6" s="129">
        <v>2012</v>
      </c>
      <c r="B6" s="130">
        <v>37866.879999999997</v>
      </c>
      <c r="C6" s="130">
        <v>17590423.550000001</v>
      </c>
      <c r="D6" s="130">
        <f t="shared" si="0"/>
        <v>1465868.63</v>
      </c>
    </row>
    <row r="7" spans="1:4" ht="14.25" x14ac:dyDescent="0.2">
      <c r="A7" s="129">
        <v>2013</v>
      </c>
      <c r="B7" s="130">
        <v>32780.5</v>
      </c>
      <c r="C7" s="130">
        <v>15021820.6</v>
      </c>
      <c r="D7" s="130">
        <f t="shared" si="0"/>
        <v>1251818.3799999999</v>
      </c>
    </row>
    <row r="8" spans="1:4" ht="14.25" x14ac:dyDescent="0.2">
      <c r="A8" s="129">
        <v>2014</v>
      </c>
      <c r="B8" s="130">
        <v>32611.380000000005</v>
      </c>
      <c r="C8" s="130">
        <v>14039293.18</v>
      </c>
      <c r="D8" s="130">
        <f t="shared" si="0"/>
        <v>1169941.1000000001</v>
      </c>
    </row>
    <row r="9" spans="1:4" ht="14.25" x14ac:dyDescent="0.2">
      <c r="A9" s="129">
        <v>2015</v>
      </c>
      <c r="B9" s="130">
        <v>49708.520000000004</v>
      </c>
      <c r="C9" s="130">
        <v>23075916.899999999</v>
      </c>
      <c r="D9" s="130">
        <f t="shared" si="0"/>
        <v>1922993.08</v>
      </c>
    </row>
    <row r="10" spans="1:4" ht="14.25" x14ac:dyDescent="0.2">
      <c r="A10" s="129">
        <v>2016</v>
      </c>
      <c r="B10" s="130">
        <v>49930.489999999991</v>
      </c>
      <c r="C10" s="130">
        <v>19564437.330000002</v>
      </c>
      <c r="D10" s="130">
        <f t="shared" si="0"/>
        <v>1630369.78</v>
      </c>
    </row>
    <row r="11" spans="1:4" ht="14.25" x14ac:dyDescent="0.2">
      <c r="A11" s="129">
        <v>2017</v>
      </c>
      <c r="B11" s="130">
        <v>44998.2</v>
      </c>
      <c r="C11" s="130">
        <v>20383811.499999996</v>
      </c>
      <c r="D11" s="130">
        <f t="shared" si="0"/>
        <v>1698650.96</v>
      </c>
    </row>
    <row r="12" spans="1:4" ht="14.25" x14ac:dyDescent="0.2">
      <c r="A12" s="129">
        <v>2018</v>
      </c>
      <c r="B12" s="130">
        <v>33065.300000000003</v>
      </c>
      <c r="C12" s="130">
        <v>12731868.73</v>
      </c>
      <c r="D12" s="130">
        <f t="shared" si="0"/>
        <v>1060989.06</v>
      </c>
    </row>
    <row r="13" spans="1:4" ht="14.25" x14ac:dyDescent="0.2">
      <c r="A13" s="129" t="s">
        <v>133</v>
      </c>
      <c r="B13" s="130">
        <f>ROUND((AVERAGE(B3:B12)),2)</f>
        <v>43316.19</v>
      </c>
      <c r="C13" s="130">
        <f>ROUND((AVERAGE(C3:C12)),2)</f>
        <v>19053029.030000001</v>
      </c>
      <c r="D13" s="130">
        <f t="shared" si="0"/>
        <v>1587752.42</v>
      </c>
    </row>
    <row r="14" spans="1:4" ht="14.25" x14ac:dyDescent="0.2">
      <c r="A14" s="129" t="s">
        <v>134</v>
      </c>
      <c r="B14" s="130">
        <f>ROUND((AVERAGE(B3:B12)),2)</f>
        <v>43316.19</v>
      </c>
      <c r="C14" s="130">
        <f>ROUND((AVERAGE(C3:C12)),2)</f>
        <v>19053029.030000001</v>
      </c>
      <c r="D14" s="130">
        <f t="shared" si="0"/>
        <v>1587752.42</v>
      </c>
    </row>
    <row r="15" spans="1:4" ht="14.25" x14ac:dyDescent="0.2">
      <c r="A15" s="129"/>
      <c r="B15" s="130"/>
      <c r="C15" s="130"/>
      <c r="D15" s="130"/>
    </row>
    <row r="16" spans="1:4" ht="14.25" x14ac:dyDescent="0.2">
      <c r="A16" s="129"/>
      <c r="B16" s="129"/>
      <c r="C16" s="131"/>
      <c r="D16" s="132"/>
    </row>
    <row r="17" spans="1:4" ht="14.25" x14ac:dyDescent="0.2">
      <c r="A17" s="129"/>
      <c r="B17" s="129"/>
      <c r="C17" s="131"/>
      <c r="D17" s="132"/>
    </row>
    <row r="18" spans="1:4" ht="15" x14ac:dyDescent="0.25">
      <c r="A18" s="127" t="s">
        <v>130</v>
      </c>
      <c r="B18" s="128" t="s">
        <v>131</v>
      </c>
      <c r="C18" s="128" t="s">
        <v>132</v>
      </c>
      <c r="D18" s="132"/>
    </row>
    <row r="19" spans="1:4" ht="14.25" x14ac:dyDescent="0.2">
      <c r="A19" s="133">
        <v>244192680</v>
      </c>
      <c r="B19" s="134">
        <v>37347</v>
      </c>
      <c r="C19" s="134">
        <v>38359</v>
      </c>
      <c r="D19" s="132"/>
    </row>
    <row r="20" spans="1:4" ht="14.25" x14ac:dyDescent="0.2">
      <c r="A20" s="133">
        <v>1000023320</v>
      </c>
      <c r="B20" s="134">
        <v>38360</v>
      </c>
      <c r="C20" s="134">
        <v>40908</v>
      </c>
      <c r="D20" s="132"/>
    </row>
    <row r="21" spans="1:4" ht="14.25" x14ac:dyDescent="0.2">
      <c r="A21" s="133">
        <v>1000023650</v>
      </c>
      <c r="B21" s="134">
        <v>40909</v>
      </c>
      <c r="C21" s="134">
        <v>41274</v>
      </c>
      <c r="D21" s="132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H27" sqref="H27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6" t="s">
        <v>64</v>
      </c>
      <c r="B1" s="116"/>
      <c r="C1" s="116"/>
      <c r="D1" s="116"/>
      <c r="E1" s="116"/>
      <c r="F1" s="116"/>
    </row>
    <row r="2" spans="1:13" ht="42" customHeight="1" x14ac:dyDescent="0.2">
      <c r="B2" s="53" t="s">
        <v>44</v>
      </c>
      <c r="C2" s="53" t="s">
        <v>156</v>
      </c>
      <c r="D2" s="53" t="s">
        <v>159</v>
      </c>
      <c r="E2" s="53" t="s">
        <v>45</v>
      </c>
      <c r="F2" s="53" t="s">
        <v>46</v>
      </c>
      <c r="G2" s="53" t="s">
        <v>3</v>
      </c>
      <c r="H2" s="53" t="s">
        <v>154</v>
      </c>
      <c r="I2" s="53" t="s">
        <v>155</v>
      </c>
      <c r="J2" s="53"/>
    </row>
    <row r="3" spans="1:13" x14ac:dyDescent="0.2">
      <c r="A3" s="54">
        <v>2009</v>
      </c>
      <c r="B3" s="106">
        <v>2169096</v>
      </c>
      <c r="C3" s="106"/>
      <c r="D3" s="106"/>
      <c r="E3" s="106">
        <v>171311</v>
      </c>
      <c r="F3" s="106">
        <v>44226</v>
      </c>
      <c r="G3" s="106">
        <f t="shared" ref="G3:G12" si="0">SUM(B3:F3)</f>
        <v>2384633</v>
      </c>
      <c r="H3" s="106">
        <v>1029080.11</v>
      </c>
      <c r="I3" s="106">
        <v>171310.71</v>
      </c>
      <c r="J3" s="50">
        <f>(H3+C3)/B3</f>
        <v>0.47442810737745122</v>
      </c>
    </row>
    <row r="4" spans="1:13" x14ac:dyDescent="0.2">
      <c r="A4" s="54">
        <v>2010</v>
      </c>
      <c r="B4" s="106">
        <v>2260312</v>
      </c>
      <c r="C4" s="106"/>
      <c r="D4" s="106"/>
      <c r="E4" s="106">
        <v>95621</v>
      </c>
      <c r="F4" s="106">
        <v>44895</v>
      </c>
      <c r="G4" s="106">
        <f t="shared" si="0"/>
        <v>2400828</v>
      </c>
      <c r="H4" s="106">
        <v>1114073.81</v>
      </c>
      <c r="I4" s="106">
        <v>95621.02</v>
      </c>
      <c r="J4" s="50">
        <f t="shared" ref="J4:J12" si="1">(H4+C4)/B4</f>
        <v>0.49288496897773409</v>
      </c>
    </row>
    <row r="5" spans="1:13" x14ac:dyDescent="0.2">
      <c r="A5" s="54">
        <v>2011</v>
      </c>
      <c r="B5" s="106">
        <v>2244883</v>
      </c>
      <c r="C5" s="106"/>
      <c r="D5" s="106"/>
      <c r="E5" s="106">
        <v>105771</v>
      </c>
      <c r="F5" s="106">
        <v>44252</v>
      </c>
      <c r="G5" s="106">
        <f t="shared" si="0"/>
        <v>2394906</v>
      </c>
      <c r="H5" s="106">
        <v>1109674.6200000001</v>
      </c>
      <c r="I5" s="106">
        <v>105771.07</v>
      </c>
      <c r="J5" s="50">
        <f t="shared" si="1"/>
        <v>0.49431289737594347</v>
      </c>
    </row>
    <row r="6" spans="1:13" x14ac:dyDescent="0.2">
      <c r="A6" s="54">
        <v>2012</v>
      </c>
      <c r="B6" s="106">
        <f>2227931-C6-D6</f>
        <v>2191041.8129999996</v>
      </c>
      <c r="C6" s="106">
        <v>4890.768</v>
      </c>
      <c r="D6" s="106">
        <v>31998.419000000002</v>
      </c>
      <c r="E6" s="106">
        <v>136790</v>
      </c>
      <c r="F6" s="106">
        <v>44229</v>
      </c>
      <c r="G6" s="106">
        <f t="shared" si="0"/>
        <v>2408950</v>
      </c>
      <c r="H6" s="106">
        <v>1090918.6399999999</v>
      </c>
      <c r="I6" s="106">
        <v>136790.35999999999</v>
      </c>
      <c r="J6" s="50">
        <f t="shared" si="1"/>
        <v>0.50013167320600105</v>
      </c>
    </row>
    <row r="7" spans="1:13" x14ac:dyDescent="0.2">
      <c r="A7" s="54">
        <v>2013</v>
      </c>
      <c r="B7" s="106">
        <f>2225335.99-C7-D7</f>
        <v>2172493.1097000004</v>
      </c>
      <c r="C7" s="106">
        <v>36056.200400000002</v>
      </c>
      <c r="D7" s="106">
        <v>16786.679899999999</v>
      </c>
      <c r="E7" s="106">
        <v>181960.6</v>
      </c>
      <c r="F7" s="106">
        <v>44582.02</v>
      </c>
      <c r="G7" s="106">
        <f t="shared" si="0"/>
        <v>2451878.6100000003</v>
      </c>
      <c r="H7" s="106">
        <v>1097384.2276999999</v>
      </c>
      <c r="I7" s="106">
        <v>181960.59980000003</v>
      </c>
      <c r="J7" s="50">
        <f t="shared" si="1"/>
        <v>0.5217233707390293</v>
      </c>
    </row>
    <row r="8" spans="1:13" x14ac:dyDescent="0.2">
      <c r="A8" s="54">
        <v>2014</v>
      </c>
      <c r="B8" s="106">
        <f>2159270.96-C8-D8</f>
        <v>2072802.4709999999</v>
      </c>
      <c r="C8" s="106">
        <v>31006.339600000003</v>
      </c>
      <c r="D8" s="106">
        <v>55462.149399999995</v>
      </c>
      <c r="E8" s="106">
        <v>126219.41</v>
      </c>
      <c r="F8" s="106">
        <v>44711.85</v>
      </c>
      <c r="G8" s="106">
        <f t="shared" si="0"/>
        <v>2330202.2200000002</v>
      </c>
      <c r="H8" s="106">
        <v>1057011.3</v>
      </c>
      <c r="I8" s="106">
        <v>126219.41179999997</v>
      </c>
      <c r="J8" s="50">
        <f t="shared" si="1"/>
        <v>0.52490174766874842</v>
      </c>
    </row>
    <row r="9" spans="1:13" x14ac:dyDescent="0.2">
      <c r="A9" s="54">
        <v>2015</v>
      </c>
      <c r="B9" s="106">
        <f>2147080.08-C9-D9</f>
        <v>2063302.6587</v>
      </c>
      <c r="C9" s="106">
        <v>30561.897200000003</v>
      </c>
      <c r="D9" s="106">
        <v>53215.524099999995</v>
      </c>
      <c r="E9" s="106">
        <v>62997.91</v>
      </c>
      <c r="F9" s="106">
        <v>45213.11</v>
      </c>
      <c r="G9" s="106">
        <f t="shared" si="0"/>
        <v>2255291.1</v>
      </c>
      <c r="H9" s="106">
        <v>1071480.1832999999</v>
      </c>
      <c r="I9" s="106">
        <v>74090.267500000002</v>
      </c>
      <c r="J9" s="50">
        <f t="shared" si="1"/>
        <v>0.53411557235832297</v>
      </c>
    </row>
    <row r="10" spans="1:13" x14ac:dyDescent="0.2">
      <c r="A10" s="54">
        <v>2016</v>
      </c>
      <c r="B10" s="106">
        <f>2170742.11-C10-D10</f>
        <v>2088279.5105999999</v>
      </c>
      <c r="C10" s="106">
        <v>31132.920500000004</v>
      </c>
      <c r="D10" s="106">
        <v>51329.678899999992</v>
      </c>
      <c r="E10" s="106">
        <v>62931.33</v>
      </c>
      <c r="F10" s="106">
        <v>45218.23</v>
      </c>
      <c r="G10" s="106">
        <f t="shared" si="0"/>
        <v>2278891.67</v>
      </c>
      <c r="H10" s="106">
        <v>1072433.5667000001</v>
      </c>
      <c r="I10" s="106">
        <v>62478.332399999992</v>
      </c>
      <c r="J10" s="50">
        <f t="shared" si="1"/>
        <v>0.52845726905730439</v>
      </c>
    </row>
    <row r="11" spans="1:13" x14ac:dyDescent="0.2">
      <c r="A11" s="54">
        <v>2017</v>
      </c>
      <c r="B11" s="106">
        <f>2109153.15-C11-D11</f>
        <v>1832120.3498</v>
      </c>
      <c r="C11" s="106">
        <v>30205.531800000008</v>
      </c>
      <c r="D11" s="106">
        <v>246827.2684</v>
      </c>
      <c r="E11" s="106">
        <v>58806.46</v>
      </c>
      <c r="F11" s="106">
        <v>42035.72</v>
      </c>
      <c r="G11" s="106">
        <f t="shared" si="0"/>
        <v>2209995.33</v>
      </c>
      <c r="H11" s="106">
        <v>1056503.9194999998</v>
      </c>
      <c r="I11" s="106">
        <v>58119.461999999992</v>
      </c>
      <c r="J11" s="50">
        <f t="shared" si="1"/>
        <v>0.59314304948287289</v>
      </c>
    </row>
    <row r="12" spans="1:13" x14ac:dyDescent="0.2">
      <c r="A12" s="54">
        <v>2018</v>
      </c>
      <c r="B12" s="106">
        <f>2202763.0515-C12-D12</f>
        <v>1663598.9622000002</v>
      </c>
      <c r="C12" s="106">
        <v>34080.072999999997</v>
      </c>
      <c r="D12" s="106">
        <v>505084.01630000002</v>
      </c>
      <c r="E12" s="106">
        <v>69010.508700000006</v>
      </c>
      <c r="F12" s="106">
        <v>20808.9388</v>
      </c>
      <c r="G12" s="106">
        <f t="shared" si="0"/>
        <v>2292582.4990000003</v>
      </c>
      <c r="H12" s="106">
        <v>1081229.5778000001</v>
      </c>
      <c r="I12" s="106">
        <v>68264.508699999991</v>
      </c>
      <c r="J12" s="50">
        <f t="shared" si="1"/>
        <v>0.67041978033280125</v>
      </c>
    </row>
    <row r="13" spans="1:13" x14ac:dyDescent="0.2">
      <c r="A13" s="54">
        <v>2019</v>
      </c>
      <c r="B13" s="107">
        <f>ROUND((Energy!J83*Load!B31),4)</f>
        <v>1393731.6534</v>
      </c>
      <c r="C13" s="107">
        <f>+C12</f>
        <v>34080.072999999997</v>
      </c>
      <c r="D13" s="107">
        <f>ROUND((Energy!L63*Load!D31),4)</f>
        <v>499673.06400000001</v>
      </c>
      <c r="E13" s="107">
        <f>ROUND((Energy!M63*Load!E31),4)</f>
        <v>68382.8269</v>
      </c>
      <c r="F13" s="107">
        <f>ROUND((Energy!N63*Load!F31),4)</f>
        <v>20613.041099999999</v>
      </c>
      <c r="G13" s="107">
        <f>ROUND((SUM(B13:F13)),4)</f>
        <v>2016480.6584000001</v>
      </c>
      <c r="H13" s="107">
        <f>ROUND(((B13+C13+D13)*J13),4)</f>
        <v>1028220.3151</v>
      </c>
      <c r="I13" s="107">
        <f>ROUND((E13),4)</f>
        <v>68382.8269</v>
      </c>
      <c r="J13" s="50">
        <f>AVERAGE(J3:J12)</f>
        <v>0.53345184365762077</v>
      </c>
      <c r="L13" s="72">
        <f>ROUND((B14+C14),4)</f>
        <v>1361144.7509999999</v>
      </c>
      <c r="M13" s="47" t="s">
        <v>177</v>
      </c>
    </row>
    <row r="14" spans="1:13" x14ac:dyDescent="0.2">
      <c r="A14" s="54">
        <v>2020</v>
      </c>
      <c r="B14" s="107">
        <f>ROUND((Energy!J84*Load!B31),4)</f>
        <v>1327064.6780000001</v>
      </c>
      <c r="C14" s="107">
        <f>+C13</f>
        <v>34080.072999999997</v>
      </c>
      <c r="D14" s="107">
        <f>ROUND((Energy!L64*Load!D31),4)</f>
        <v>502671.10230000003</v>
      </c>
      <c r="E14" s="107">
        <f>ROUND((Energy!M64*Load!E31),4)</f>
        <v>70126.589000000007</v>
      </c>
      <c r="F14" s="107">
        <f>ROUND((Energy!N64*Load!F31),4)</f>
        <v>20391.435300000001</v>
      </c>
      <c r="G14" s="107">
        <f>ROUND((SUM(B14:F14)),4)</f>
        <v>1954333.8776</v>
      </c>
      <c r="H14" s="107">
        <f>ROUND(((B14+C14+D14)*J13),4)</f>
        <v>994256.00320000004</v>
      </c>
      <c r="I14" s="107">
        <f>ROUND((E14),4)</f>
        <v>70126.589000000007</v>
      </c>
      <c r="J14" s="50">
        <f>AVERAGE(J4:J13)</f>
        <v>0.53935421728563782</v>
      </c>
      <c r="L14" s="72">
        <f>ROUND((B14+C14+D14),4)</f>
        <v>1863815.8533000001</v>
      </c>
      <c r="M14" s="47" t="s">
        <v>178</v>
      </c>
    </row>
    <row r="15" spans="1:13" x14ac:dyDescent="0.2">
      <c r="A15" s="40"/>
      <c r="E15" s="55"/>
      <c r="G15" s="36">
        <f>ROUND((ED!B14),4)</f>
        <v>43316.19</v>
      </c>
      <c r="I15" s="1"/>
      <c r="L15" s="116"/>
    </row>
    <row r="16" spans="1:13" x14ac:dyDescent="0.2">
      <c r="A16" s="40" t="s">
        <v>67</v>
      </c>
      <c r="B16" s="39"/>
      <c r="E16" s="39"/>
      <c r="F16" s="39"/>
      <c r="G16" s="36">
        <f>ROUND((G14+G15),4)</f>
        <v>1997650.0676</v>
      </c>
      <c r="I16" s="1"/>
    </row>
    <row r="17" spans="1:12" x14ac:dyDescent="0.2">
      <c r="A17" s="10">
        <v>2009</v>
      </c>
      <c r="B17" s="55">
        <f>+B3/Energy!I6</f>
        <v>2.642274511612796E-3</v>
      </c>
      <c r="C17" s="55"/>
      <c r="D17" s="55"/>
      <c r="E17" s="55">
        <f>+E3/Energy!L6</f>
        <v>2.1461523606441978E-3</v>
      </c>
      <c r="F17" s="55">
        <f>+F3/Energy!M6</f>
        <v>2.7778555929640725E-3</v>
      </c>
      <c r="H17" s="55"/>
      <c r="I17" s="55"/>
      <c r="L17" s="179">
        <f>(B3+C3+D3)/(Energy!I6+Energy!J6+Energy!K6)</f>
        <v>2.642274511612796E-3</v>
      </c>
    </row>
    <row r="18" spans="1:12" x14ac:dyDescent="0.2">
      <c r="A18" s="10">
        <v>2010</v>
      </c>
      <c r="B18" s="55">
        <f>+B4/Energy!I7</f>
        <v>2.5776612434298585E-3</v>
      </c>
      <c r="C18" s="55"/>
      <c r="D18" s="55"/>
      <c r="E18" s="55">
        <f>+E4/Energy!L7</f>
        <v>2.0535557089132192E-3</v>
      </c>
      <c r="F18" s="55">
        <f>+F4/Energy!M7</f>
        <v>2.7997924804664663E-3</v>
      </c>
      <c r="H18" s="55"/>
      <c r="I18" s="55"/>
      <c r="J18" s="147"/>
      <c r="L18" s="179">
        <f>(B4+C4+D4)/(Energy!I7+Energy!J7+Energy!K7)</f>
        <v>2.5776612434298585E-3</v>
      </c>
    </row>
    <row r="19" spans="1:12" x14ac:dyDescent="0.2">
      <c r="A19" s="10">
        <v>2011</v>
      </c>
      <c r="B19" s="55">
        <f>+B5/Energy!I8</f>
        <v>2.576611271021607E-3</v>
      </c>
      <c r="C19" s="55"/>
      <c r="D19" s="55"/>
      <c r="E19" s="55">
        <f>+E5/Energy!L8</f>
        <v>1.8882530047298353E-3</v>
      </c>
      <c r="F19" s="55">
        <f>+F5/Energy!M8</f>
        <v>2.7906006475918867E-3</v>
      </c>
      <c r="H19" s="55"/>
      <c r="I19" s="55"/>
      <c r="L19" s="179">
        <f>(B5+C5+D5)/(Energy!I8+Energy!J8+Energy!K8)</f>
        <v>2.576611271021607E-3</v>
      </c>
    </row>
    <row r="20" spans="1:12" x14ac:dyDescent="0.2">
      <c r="A20" s="10">
        <v>2012</v>
      </c>
      <c r="B20" s="55">
        <f>+B6/Energy!I9</f>
        <v>2.6217520613837516E-3</v>
      </c>
      <c r="C20" s="55">
        <f>+C6/Energy!J9</f>
        <v>1.9262127734185591E-3</v>
      </c>
      <c r="D20" s="55">
        <f>+D6/Energy!K9</f>
        <v>2.5531764360811021E-3</v>
      </c>
      <c r="E20" s="55">
        <f>+E6/Energy!L9</f>
        <v>1.9722772135614469E-3</v>
      </c>
      <c r="F20" s="55">
        <f>+F6/Energy!M9</f>
        <v>2.7741083968947596E-3</v>
      </c>
      <c r="H20" s="55"/>
      <c r="I20" s="55"/>
      <c r="L20" s="179">
        <f>(B6+C6+D6)/(Energy!I9+Energy!J9+Energy!K9)</f>
        <v>2.6186661485402361E-3</v>
      </c>
    </row>
    <row r="21" spans="1:12" x14ac:dyDescent="0.2">
      <c r="A21" s="10">
        <v>2013</v>
      </c>
      <c r="B21" s="55">
        <f>+B7/Energy!I10</f>
        <v>2.7163213752015298E-3</v>
      </c>
      <c r="C21" s="55">
        <f>+C7/Energy!J10</f>
        <v>2.0242948661780644E-3</v>
      </c>
      <c r="D21" s="55">
        <f>+D7/Energy!K10</f>
        <v>2.8171819151831998E-3</v>
      </c>
      <c r="E21" s="55">
        <f>+E7/Energy!L10</f>
        <v>2.0559207695721965E-3</v>
      </c>
      <c r="F21" s="55">
        <f>+F7/Energy!M10</f>
        <v>2.7893495256385578E-3</v>
      </c>
      <c r="H21" s="55"/>
      <c r="I21" s="55"/>
      <c r="L21" s="179">
        <f>(B7+C7+D7)/(Energy!I10+Energy!J10+Energy!K10)</f>
        <v>2.7020842138757968E-3</v>
      </c>
    </row>
    <row r="22" spans="1:12" x14ac:dyDescent="0.2">
      <c r="A22" s="10">
        <v>2014</v>
      </c>
      <c r="B22" s="55">
        <f>+B8/Energy!I11</f>
        <v>2.5999150247194573E-3</v>
      </c>
      <c r="C22" s="55">
        <f>+C8/Energy!J11</f>
        <v>1.8158619202389486E-3</v>
      </c>
      <c r="D22" s="55">
        <f>+D8/Energy!K11</f>
        <v>2.108505959605044E-3</v>
      </c>
      <c r="E22" s="55">
        <f>+E8/Energy!L11</f>
        <v>1.9894958958666118E-3</v>
      </c>
      <c r="F22" s="55">
        <f>+F8/Energy!M11</f>
        <v>2.7876519225899336E-3</v>
      </c>
      <c r="H22" s="55"/>
      <c r="I22" s="55"/>
      <c r="L22" s="179">
        <f>(B8+C8+D8)/(Energy!I11+Energy!J11+Energy!K11)</f>
        <v>2.5686126363474305E-3</v>
      </c>
    </row>
    <row r="23" spans="1:12" x14ac:dyDescent="0.2">
      <c r="A23" s="10">
        <v>2015</v>
      </c>
      <c r="B23" s="55">
        <f>+B9/Energy!I12</f>
        <v>2.6082893530812112E-3</v>
      </c>
      <c r="C23" s="55">
        <f>+C9/Energy!J12</f>
        <v>1.8311096625228391E-3</v>
      </c>
      <c r="D23" s="55">
        <f>+D9/Energy!K12</f>
        <v>2.1169931261300957E-3</v>
      </c>
      <c r="E23" s="55">
        <f>+E9/Energy!L12</f>
        <v>1.7612232786520065E-3</v>
      </c>
      <c r="F23" s="55">
        <f>+F9/Energy!M12</f>
        <v>2.7903443598840576E-3</v>
      </c>
      <c r="H23" s="55"/>
      <c r="I23" s="55"/>
      <c r="L23" s="179">
        <f>(B9+C9+D9)/(Energy!I12+Energy!J12+Energy!K12)</f>
        <v>2.5778874033724271E-3</v>
      </c>
    </row>
    <row r="24" spans="1:12" x14ac:dyDescent="0.2">
      <c r="A24" s="10">
        <v>2016</v>
      </c>
      <c r="B24" s="55">
        <f>+B10/Energy!I13</f>
        <v>2.6479121991745676E-3</v>
      </c>
      <c r="C24" s="55">
        <f>+C10/Energy!J13</f>
        <v>1.848520896800277E-3</v>
      </c>
      <c r="D24" s="55">
        <f>+D10/Energy!K13</f>
        <v>2.3932636526091781E-3</v>
      </c>
      <c r="E24" s="55">
        <f>+E10/Energy!L13</f>
        <v>2.1770599579231131E-3</v>
      </c>
      <c r="F24" s="55">
        <f>+F10/Energy!M13</f>
        <v>2.780802461097606E-3</v>
      </c>
      <c r="H24" s="55"/>
      <c r="I24" s="55"/>
      <c r="L24" s="179">
        <f>(B10+C10+D10)/(Energy!I13+Energy!J13+Energy!K13)</f>
        <v>2.6250266522482336E-3</v>
      </c>
    </row>
    <row r="25" spans="1:12" x14ac:dyDescent="0.2">
      <c r="A25" s="10">
        <v>2017</v>
      </c>
      <c r="B25" s="55">
        <f>+B11/Energy!I14</f>
        <v>2.668164984847953E-3</v>
      </c>
      <c r="C25" s="55">
        <f>+C11/Energy!J14</f>
        <v>1.9323253125546459E-3</v>
      </c>
      <c r="D25" s="55">
        <f>+D11/Energy!K14</f>
        <v>2.4215774376700038E-3</v>
      </c>
      <c r="E25" s="55">
        <f>+E11/Energy!L14</f>
        <v>1.8712895476136534E-3</v>
      </c>
      <c r="F25" s="55">
        <f>+F11/Energy!M14</f>
        <v>2.8274245737568309E-3</v>
      </c>
      <c r="H25" s="55"/>
      <c r="I25" s="55"/>
      <c r="L25" s="179">
        <f>(B11+C11+D11)/(Energy!I14+Energy!J14+Energy!K14)</f>
        <v>2.62260940792649E-3</v>
      </c>
    </row>
    <row r="26" spans="1:12" x14ac:dyDescent="0.2">
      <c r="A26" s="10">
        <v>2018</v>
      </c>
      <c r="B26" s="55">
        <f>+B12/Energy!I15</f>
        <v>2.7000370125014606E-3</v>
      </c>
      <c r="C26" s="55">
        <f>+C12/Energy!J15</f>
        <v>2.3044267125499765E-3</v>
      </c>
      <c r="D26" s="55">
        <f>+D12/Energy!K15</f>
        <v>2.4197443300065283E-3</v>
      </c>
      <c r="E26" s="55">
        <f>+E12/Energy!L15</f>
        <v>2.0681006362609005E-3</v>
      </c>
      <c r="F26" s="55">
        <f>+F12/Energy!M15</f>
        <v>2.7869440477267904E-3</v>
      </c>
      <c r="H26" s="55"/>
      <c r="I26" s="55"/>
      <c r="L26" s="179">
        <f>(B12+C12+D12)/(Energy!I15+Energy!J15+Energy!K15)</f>
        <v>2.6233902795674922E-3</v>
      </c>
    </row>
    <row r="27" spans="1:12" x14ac:dyDescent="0.2">
      <c r="A27" s="10">
        <v>2019</v>
      </c>
      <c r="B27" s="55"/>
      <c r="C27" s="55"/>
      <c r="D27" s="55"/>
      <c r="E27" s="55"/>
      <c r="F27" s="55"/>
      <c r="H27" s="55"/>
      <c r="I27" s="55"/>
    </row>
    <row r="28" spans="1:12" x14ac:dyDescent="0.2">
      <c r="A28" s="10">
        <v>2020</v>
      </c>
      <c r="B28" s="55"/>
      <c r="C28" s="55"/>
      <c r="D28" s="55"/>
      <c r="E28" s="55"/>
      <c r="F28" s="55"/>
      <c r="H28" s="55"/>
      <c r="I28" s="55"/>
    </row>
    <row r="29" spans="1:12" x14ac:dyDescent="0.2">
      <c r="A29" s="10">
        <v>2021</v>
      </c>
      <c r="B29" s="55"/>
      <c r="C29" s="55"/>
      <c r="D29" s="55"/>
      <c r="E29" s="55"/>
      <c r="F29" s="55"/>
      <c r="H29" s="55"/>
      <c r="I29" s="55"/>
    </row>
    <row r="30" spans="1:12" x14ac:dyDescent="0.2">
      <c r="A30" s="10">
        <v>2022</v>
      </c>
      <c r="B30" s="55"/>
      <c r="C30" s="55"/>
      <c r="D30" s="55"/>
      <c r="E30" s="55"/>
      <c r="F30" s="55"/>
      <c r="H30" s="55"/>
      <c r="I30" s="55"/>
    </row>
    <row r="31" spans="1:12" x14ac:dyDescent="0.2">
      <c r="A31" s="10" t="s">
        <v>50</v>
      </c>
      <c r="B31" s="55">
        <f>AVERAGE(B21:B26)</f>
        <v>2.65677332492103E-3</v>
      </c>
      <c r="C31" s="55">
        <f>AVERAGE(C21:C26)</f>
        <v>1.9594232284741251E-3</v>
      </c>
      <c r="D31" s="55">
        <f>AVERAGE(D21:D26)</f>
        <v>2.3795444035340082E-3</v>
      </c>
      <c r="E31" s="55">
        <f>AVERAGE(E17:E26)</f>
        <v>1.9983328373737183E-3</v>
      </c>
      <c r="F31" s="55">
        <f>AVERAGE(F17:F26)</f>
        <v>2.7904874008610964E-3</v>
      </c>
      <c r="H31" s="55"/>
      <c r="I31" s="55"/>
      <c r="L31" s="55">
        <f>AVERAGE(L21:L26)</f>
        <v>2.6199350988896446E-3</v>
      </c>
    </row>
    <row r="32" spans="1:12" x14ac:dyDescent="0.2">
      <c r="C32" s="55"/>
    </row>
    <row r="35" spans="2:5" x14ac:dyDescent="0.2">
      <c r="B35" s="52"/>
      <c r="C35" s="52"/>
      <c r="D35" s="52"/>
      <c r="E35" s="52"/>
    </row>
    <row r="36" spans="2:5" x14ac:dyDescent="0.2">
      <c r="B36" s="52"/>
      <c r="C36" s="52"/>
      <c r="D36" s="52"/>
      <c r="E36" s="52"/>
    </row>
  </sheetData>
  <pageMargins left="0.46" right="0.4" top="0.75" bottom="0.75" header="0.3" footer="0.3"/>
  <pageSetup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F18" sqref="F1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1" t="s">
        <v>87</v>
      </c>
      <c r="B1" s="62" t="s">
        <v>65</v>
      </c>
      <c r="C1" s="62" t="s">
        <v>66</v>
      </c>
      <c r="D1" s="62" t="s">
        <v>163</v>
      </c>
      <c r="F1" s="62"/>
      <c r="G1" s="62"/>
    </row>
    <row r="2" spans="1:14" x14ac:dyDescent="0.2">
      <c r="A2" s="63" t="s">
        <v>42</v>
      </c>
      <c r="B2" s="64">
        <f>ROUND((Energy!$H$83),4)</f>
        <v>586614827.59850001</v>
      </c>
      <c r="C2" s="65"/>
      <c r="D2" s="105">
        <v>0.98092866786078092</v>
      </c>
    </row>
    <row r="3" spans="1:14" x14ac:dyDescent="0.2">
      <c r="A3" s="63" t="s">
        <v>43</v>
      </c>
      <c r="B3" s="64">
        <f>ROUND((Energy!$I$83),4)</f>
        <v>204392128.9233</v>
      </c>
      <c r="C3" s="65"/>
      <c r="D3" s="105">
        <v>0.84741264163513119</v>
      </c>
      <c r="F3" s="3"/>
      <c r="G3" s="56"/>
      <c r="H3" s="111"/>
    </row>
    <row r="4" spans="1:14" x14ac:dyDescent="0.2">
      <c r="A4" s="63" t="s">
        <v>44</v>
      </c>
      <c r="B4" s="64">
        <f>ROUND((Energy!$J$83),4)</f>
        <v>524595621.43089998</v>
      </c>
      <c r="C4" s="67">
        <f>ROUND((Load!$B$13),4)</f>
        <v>1393731.6534</v>
      </c>
      <c r="D4" s="105">
        <v>0.14686416109839648</v>
      </c>
      <c r="E4" s="117"/>
      <c r="F4" s="116"/>
      <c r="G4" s="72"/>
    </row>
    <row r="5" spans="1:14" x14ac:dyDescent="0.2">
      <c r="A5" s="69" t="s">
        <v>161</v>
      </c>
      <c r="B5" s="64">
        <f>ROUND((Energy!$K$83),4)</f>
        <v>12091840.4158</v>
      </c>
      <c r="C5" s="67">
        <f>ROUND((Load!$C$13),4)</f>
        <v>34080.072999999997</v>
      </c>
      <c r="D5" s="105">
        <v>0</v>
      </c>
      <c r="E5" s="117"/>
      <c r="F5" s="116" t="s">
        <v>180</v>
      </c>
      <c r="G5" s="182"/>
    </row>
    <row r="6" spans="1:14" x14ac:dyDescent="0.2">
      <c r="A6" s="69" t="s">
        <v>162</v>
      </c>
      <c r="B6" s="64">
        <f>ROUND((Energy!$L$83),4)</f>
        <v>209986862.70140001</v>
      </c>
      <c r="C6" s="67">
        <f>ROUND((Load!$D$13),4)</f>
        <v>499673.06400000001</v>
      </c>
      <c r="D6" s="105">
        <v>0</v>
      </c>
      <c r="E6" s="117"/>
      <c r="F6" s="116">
        <f>ROUND((B6*1.0351),4)</f>
        <v>217357401.58219999</v>
      </c>
      <c r="G6" s="182"/>
    </row>
    <row r="7" spans="1:14" x14ac:dyDescent="0.2">
      <c r="A7" s="63" t="s">
        <v>45</v>
      </c>
      <c r="B7" s="64">
        <f>ROUND((Energy!$M$83),4)</f>
        <v>34219938.542199999</v>
      </c>
      <c r="C7" s="67">
        <f>ROUND((Load!$E$13),4)</f>
        <v>68382.8269</v>
      </c>
      <c r="D7" s="105">
        <v>0</v>
      </c>
      <c r="E7" s="117"/>
      <c r="F7" s="116"/>
      <c r="G7" s="182"/>
      <c r="K7" s="68"/>
    </row>
    <row r="8" spans="1:14" x14ac:dyDescent="0.2">
      <c r="A8" s="63" t="s">
        <v>46</v>
      </c>
      <c r="B8" s="64">
        <f>ROUND((Energy!$N$83),4)</f>
        <v>7386896.2983999997</v>
      </c>
      <c r="C8" s="67">
        <f>ROUND((Load!$F$13),4)</f>
        <v>20613.041099999999</v>
      </c>
      <c r="D8" s="105">
        <v>1.270590326270077E-2</v>
      </c>
      <c r="F8" s="62"/>
      <c r="G8" s="145"/>
    </row>
    <row r="9" spans="1:14" x14ac:dyDescent="0.2">
      <c r="A9" s="63" t="s">
        <v>47</v>
      </c>
      <c r="B9" s="64">
        <f>ROUND((Energy!$O$83),4)</f>
        <v>4091277.5452000001</v>
      </c>
      <c r="C9" s="65"/>
      <c r="D9" s="105">
        <v>1</v>
      </c>
      <c r="F9" s="183"/>
      <c r="G9" s="145" t="s">
        <v>94</v>
      </c>
      <c r="I9" s="108"/>
    </row>
    <row r="10" spans="1:14" x14ac:dyDescent="0.2">
      <c r="A10" s="69" t="s">
        <v>61</v>
      </c>
      <c r="B10" s="64">
        <f>ROUND((ED!$C$13),4)</f>
        <v>19053029.030000001</v>
      </c>
      <c r="C10" s="67">
        <f>ROUND((ED!$B$13),4)</f>
        <v>43316.19</v>
      </c>
      <c r="D10" s="66">
        <v>0</v>
      </c>
      <c r="F10" s="183"/>
      <c r="G10" s="145" t="s">
        <v>95</v>
      </c>
      <c r="I10" s="108"/>
    </row>
    <row r="11" spans="1:14" x14ac:dyDescent="0.2">
      <c r="A11" s="70" t="s">
        <v>68</v>
      </c>
      <c r="B11" s="71">
        <f>ROUND((SUM(B2:B10)),4)</f>
        <v>1602432422.4856999</v>
      </c>
      <c r="C11" s="71">
        <f>ROUND((SUM(C2:C10)),4)</f>
        <v>2059796.8484</v>
      </c>
      <c r="D11" s="71"/>
      <c r="F11" s="183"/>
      <c r="G11" s="145"/>
      <c r="I11" s="108"/>
    </row>
    <row r="12" spans="1:14" x14ac:dyDescent="0.2">
      <c r="B12" s="72"/>
      <c r="C12" s="72"/>
    </row>
    <row r="13" spans="1:14" x14ac:dyDescent="0.2">
      <c r="J13" s="148"/>
      <c r="K13" s="47"/>
    </row>
    <row r="14" spans="1:14" x14ac:dyDescent="0.2">
      <c r="A14" s="61" t="s">
        <v>164</v>
      </c>
      <c r="B14" s="221" t="s">
        <v>88</v>
      </c>
      <c r="C14" s="221" t="s">
        <v>165</v>
      </c>
      <c r="D14" s="73"/>
      <c r="E14" s="74"/>
      <c r="F14" s="75"/>
    </row>
    <row r="15" spans="1:14" x14ac:dyDescent="0.2">
      <c r="A15" s="76" t="s">
        <v>69</v>
      </c>
      <c r="B15" s="222"/>
      <c r="C15" s="223"/>
      <c r="D15" s="224">
        <v>2019</v>
      </c>
      <c r="E15" s="225"/>
      <c r="F15" s="226"/>
    </row>
    <row r="16" spans="1:14" x14ac:dyDescent="0.2">
      <c r="A16" s="63" t="str">
        <f>A2</f>
        <v xml:space="preserve">Residential </v>
      </c>
      <c r="B16" s="64">
        <f>+B2</f>
        <v>586614827.59850001</v>
      </c>
      <c r="C16" s="95">
        <v>1.0350999999999999</v>
      </c>
      <c r="D16" s="64">
        <f t="shared" ref="D16:D22" si="0">ROUND((B16*C16),4)</f>
        <v>607205008.04719996</v>
      </c>
      <c r="E16" s="96">
        <v>9.4299999999999995E-2</v>
      </c>
      <c r="F16" s="78">
        <f t="shared" ref="F16:F22" si="1">ROUND((D16*E16),2)</f>
        <v>57259432.259999998</v>
      </c>
      <c r="G16" s="114"/>
      <c r="H16" s="47"/>
      <c r="J16" s="109"/>
      <c r="L16" s="113"/>
      <c r="N16" s="113"/>
    </row>
    <row r="17" spans="1:14" x14ac:dyDescent="0.2">
      <c r="A17" s="63" t="str">
        <f>A3</f>
        <v>GS&lt;50 kW</v>
      </c>
      <c r="B17" s="64">
        <f>+B3</f>
        <v>204392128.9233</v>
      </c>
      <c r="C17" s="77">
        <f t="shared" ref="C17:C22" si="2">$C$16</f>
        <v>1.0350999999999999</v>
      </c>
      <c r="D17" s="64">
        <f t="shared" si="0"/>
        <v>211566292.6485</v>
      </c>
      <c r="E17" s="110">
        <f t="shared" ref="E17" si="3">E16</f>
        <v>9.4299999999999995E-2</v>
      </c>
      <c r="F17" s="78">
        <f t="shared" si="1"/>
        <v>19950701.399999999</v>
      </c>
      <c r="H17" s="112"/>
      <c r="J17" s="109"/>
      <c r="L17" s="113"/>
      <c r="N17" s="113"/>
    </row>
    <row r="18" spans="1:14" x14ac:dyDescent="0.2">
      <c r="A18" s="63" t="str">
        <f>A4</f>
        <v>GS&gt;50 kW</v>
      </c>
      <c r="B18" s="64">
        <f>+B4+B6</f>
        <v>734582484.13230002</v>
      </c>
      <c r="C18" s="77">
        <f t="shared" si="2"/>
        <v>1.0350999999999999</v>
      </c>
      <c r="D18" s="64">
        <f t="shared" si="0"/>
        <v>760366329.32529998</v>
      </c>
      <c r="E18" s="110">
        <v>9.1252511815409318E-2</v>
      </c>
      <c r="F18" s="78">
        <v>74116024.609999999</v>
      </c>
      <c r="H18" t="s">
        <v>93</v>
      </c>
      <c r="J18" s="109"/>
      <c r="L18" s="113"/>
      <c r="N18" s="113"/>
    </row>
    <row r="19" spans="1:14" x14ac:dyDescent="0.2">
      <c r="A19" s="63" t="str">
        <f>A7</f>
        <v>Large User</v>
      </c>
      <c r="B19" s="64">
        <f>+B7</f>
        <v>34219938.542199999</v>
      </c>
      <c r="C19" s="95">
        <v>1.0053000000000001</v>
      </c>
      <c r="D19" s="64">
        <f t="shared" si="0"/>
        <v>34401304.216499999</v>
      </c>
      <c r="E19" s="110">
        <v>2.4730598048260801E-2</v>
      </c>
      <c r="F19" s="78">
        <v>851796.87</v>
      </c>
      <c r="J19" s="108"/>
      <c r="L19" s="113"/>
      <c r="N19" s="113"/>
    </row>
    <row r="20" spans="1:14" x14ac:dyDescent="0.2">
      <c r="A20" s="63" t="str">
        <f>A8</f>
        <v xml:space="preserve">Streetlights </v>
      </c>
      <c r="B20" s="64">
        <f>+B8</f>
        <v>7386896.2983999997</v>
      </c>
      <c r="C20" s="77">
        <f t="shared" si="2"/>
        <v>1.0350999999999999</v>
      </c>
      <c r="D20" s="64">
        <f t="shared" si="0"/>
        <v>7646176.3585000001</v>
      </c>
      <c r="E20" s="110">
        <f>+E16</f>
        <v>9.4299999999999995E-2</v>
      </c>
      <c r="F20" s="78">
        <f t="shared" si="1"/>
        <v>721034.43</v>
      </c>
      <c r="L20" s="113"/>
      <c r="N20" s="113"/>
    </row>
    <row r="21" spans="1:14" x14ac:dyDescent="0.2">
      <c r="A21" s="63" t="str">
        <f>A9</f>
        <v>USL</v>
      </c>
      <c r="B21" s="64">
        <f>B9*D9</f>
        <v>4091277.5452000001</v>
      </c>
      <c r="C21" s="77">
        <f t="shared" si="2"/>
        <v>1.0350999999999999</v>
      </c>
      <c r="D21" s="64">
        <f t="shared" si="0"/>
        <v>4234881.3870000001</v>
      </c>
      <c r="E21" s="110">
        <f>+E16</f>
        <v>9.4299999999999995E-2</v>
      </c>
      <c r="F21" s="78">
        <f t="shared" si="1"/>
        <v>399349.31</v>
      </c>
      <c r="N21" s="113"/>
    </row>
    <row r="22" spans="1:14" x14ac:dyDescent="0.2">
      <c r="A22" s="63" t="str">
        <f>A10</f>
        <v>Embedded Distributor</v>
      </c>
      <c r="B22" s="64">
        <f>B10*D10</f>
        <v>0</v>
      </c>
      <c r="C22" s="77">
        <f t="shared" si="2"/>
        <v>1.0350999999999999</v>
      </c>
      <c r="D22" s="64">
        <f t="shared" si="0"/>
        <v>0</v>
      </c>
      <c r="E22" s="110">
        <f>+E16</f>
        <v>9.4299999999999995E-2</v>
      </c>
      <c r="F22" s="78">
        <f t="shared" si="1"/>
        <v>0</v>
      </c>
      <c r="L22" s="113"/>
      <c r="N22" s="113"/>
    </row>
    <row r="23" spans="1:14" x14ac:dyDescent="0.2">
      <c r="A23" s="70" t="s">
        <v>68</v>
      </c>
      <c r="B23" s="71">
        <f>SUM(B16:B21)</f>
        <v>1571287553.0399001</v>
      </c>
      <c r="C23" s="76"/>
      <c r="D23" s="71">
        <f>SUM(D16:D21)</f>
        <v>1625419991.983</v>
      </c>
      <c r="E23" s="79"/>
      <c r="F23" s="80">
        <f>ROUND((SUM(F16:F21)),2)</f>
        <v>153298338.88</v>
      </c>
      <c r="L23" s="113"/>
    </row>
    <row r="24" spans="1:14" x14ac:dyDescent="0.2">
      <c r="A24" s="81"/>
      <c r="B24" s="82"/>
      <c r="C24" s="40"/>
      <c r="D24" s="82"/>
      <c r="E24" s="83"/>
      <c r="F24" s="84"/>
      <c r="L24" s="113"/>
    </row>
    <row r="25" spans="1:14" x14ac:dyDescent="0.2">
      <c r="A25" s="85" t="s">
        <v>71</v>
      </c>
      <c r="B25" s="86"/>
      <c r="C25" s="87" t="s">
        <v>72</v>
      </c>
      <c r="D25" s="88"/>
      <c r="E25" s="89"/>
      <c r="F25" s="86"/>
    </row>
    <row r="26" spans="1:14" x14ac:dyDescent="0.2">
      <c r="A26" s="76" t="s">
        <v>70</v>
      </c>
      <c r="B26" s="91"/>
      <c r="C26" s="90" t="s">
        <v>73</v>
      </c>
      <c r="D26" s="216">
        <f>$D$15</f>
        <v>2019</v>
      </c>
      <c r="E26" s="217"/>
      <c r="F26" s="220"/>
    </row>
    <row r="27" spans="1:14" x14ac:dyDescent="0.2">
      <c r="A27" s="63" t="str">
        <f>+A16</f>
        <v xml:space="preserve">Residential </v>
      </c>
      <c r="B27" s="64"/>
      <c r="C27" s="77" t="s">
        <v>65</v>
      </c>
      <c r="D27" s="64">
        <f>D16</f>
        <v>607205008.04719996</v>
      </c>
      <c r="E27" s="92">
        <v>5.8999999999999999E-3</v>
      </c>
      <c r="F27" s="78">
        <f t="shared" ref="F27:F33" si="4">ROUND((D27*E27),2)</f>
        <v>3582509.55</v>
      </c>
      <c r="H27" s="47"/>
    </row>
    <row r="28" spans="1:14" x14ac:dyDescent="0.2">
      <c r="A28" s="63" t="str">
        <f t="shared" ref="A28:A32" si="5">+A17</f>
        <v>GS&lt;50 kW</v>
      </c>
      <c r="B28" s="64"/>
      <c r="C28" s="77" t="s">
        <v>65</v>
      </c>
      <c r="D28" s="64">
        <f>D17</f>
        <v>211566292.6485</v>
      </c>
      <c r="E28" s="92">
        <v>5.1000000000000004E-3</v>
      </c>
      <c r="F28" s="78">
        <f t="shared" si="4"/>
        <v>1078988.0900000001</v>
      </c>
    </row>
    <row r="29" spans="1:14" x14ac:dyDescent="0.2">
      <c r="A29" s="63" t="str">
        <f t="shared" si="5"/>
        <v>GS&gt;50 kW</v>
      </c>
      <c r="B29" s="64"/>
      <c r="C29" s="77" t="s">
        <v>66</v>
      </c>
      <c r="D29" s="64">
        <f>+C4+C5+C6</f>
        <v>1927484.7904000001</v>
      </c>
      <c r="E29" s="92">
        <v>2.7204999999999999</v>
      </c>
      <c r="F29" s="78">
        <f t="shared" si="4"/>
        <v>5243722.37</v>
      </c>
      <c r="H29" s="47" t="s">
        <v>92</v>
      </c>
    </row>
    <row r="30" spans="1:14" x14ac:dyDescent="0.2">
      <c r="A30" s="63" t="str">
        <f t="shared" si="5"/>
        <v>Large User</v>
      </c>
      <c r="B30" s="64"/>
      <c r="C30" s="77" t="s">
        <v>66</v>
      </c>
      <c r="D30" s="64">
        <f>C7</f>
        <v>68382.8269</v>
      </c>
      <c r="E30" s="92">
        <v>2.5569000000000002</v>
      </c>
      <c r="F30" s="78">
        <f t="shared" si="4"/>
        <v>174848.05</v>
      </c>
    </row>
    <row r="31" spans="1:14" x14ac:dyDescent="0.2">
      <c r="A31" s="63" t="str">
        <f t="shared" si="5"/>
        <v xml:space="preserve">Streetlights </v>
      </c>
      <c r="B31" s="64"/>
      <c r="C31" s="77" t="s">
        <v>66</v>
      </c>
      <c r="D31" s="64">
        <f>C8</f>
        <v>20613.041099999999</v>
      </c>
      <c r="E31" s="92">
        <v>1.6543000000000001</v>
      </c>
      <c r="F31" s="78">
        <f t="shared" si="4"/>
        <v>34100.15</v>
      </c>
    </row>
    <row r="32" spans="1:14" x14ac:dyDescent="0.2">
      <c r="A32" s="63" t="str">
        <f t="shared" si="5"/>
        <v>USL</v>
      </c>
      <c r="B32" s="64"/>
      <c r="C32" s="77" t="s">
        <v>65</v>
      </c>
      <c r="D32" s="64">
        <f>D21</f>
        <v>4234881.3870000001</v>
      </c>
      <c r="E32" s="92">
        <v>5.1000000000000004E-3</v>
      </c>
      <c r="F32" s="78">
        <f t="shared" si="4"/>
        <v>21597.9</v>
      </c>
    </row>
    <row r="33" spans="1:8" x14ac:dyDescent="0.2">
      <c r="A33" s="93" t="str">
        <f>+A22</f>
        <v>Embedded Distributor</v>
      </c>
      <c r="B33" s="94"/>
      <c r="C33" s="95" t="s">
        <v>66</v>
      </c>
      <c r="D33" s="94">
        <f>+C10</f>
        <v>43316.19</v>
      </c>
      <c r="E33" s="96">
        <v>2.5649999999999999</v>
      </c>
      <c r="F33" s="97">
        <f t="shared" si="4"/>
        <v>111106.03</v>
      </c>
    </row>
    <row r="34" spans="1:8" x14ac:dyDescent="0.2">
      <c r="A34" s="70" t="s">
        <v>68</v>
      </c>
      <c r="B34" s="71"/>
      <c r="C34" s="76"/>
      <c r="D34" s="71"/>
      <c r="E34" s="79"/>
      <c r="F34" s="80">
        <f>ROUND((SUM(F27:F33)),2)</f>
        <v>10246872.140000001</v>
      </c>
    </row>
    <row r="36" spans="1:8" x14ac:dyDescent="0.2">
      <c r="A36" s="85" t="s">
        <v>74</v>
      </c>
      <c r="B36" s="86"/>
      <c r="C36" s="98" t="s">
        <v>72</v>
      </c>
      <c r="D36" s="88"/>
      <c r="E36" s="89"/>
      <c r="F36" s="86"/>
    </row>
    <row r="37" spans="1:8" x14ac:dyDescent="0.2">
      <c r="A37" s="76" t="s">
        <v>70</v>
      </c>
      <c r="B37" s="91"/>
      <c r="C37" s="99" t="s">
        <v>73</v>
      </c>
      <c r="D37" s="216">
        <f>$D$15</f>
        <v>2019</v>
      </c>
      <c r="E37" s="217"/>
      <c r="F37" s="220"/>
    </row>
    <row r="38" spans="1:8" x14ac:dyDescent="0.2">
      <c r="A38" s="63" t="str">
        <f>+A16</f>
        <v xml:space="preserve">Residential </v>
      </c>
      <c r="B38" s="64"/>
      <c r="C38" s="77" t="str">
        <f t="shared" ref="C38:D43" si="6">C27</f>
        <v>kWh</v>
      </c>
      <c r="D38" s="64">
        <f t="shared" si="6"/>
        <v>607205008.04719996</v>
      </c>
      <c r="E38" s="92">
        <v>1.6999999999999999E-3</v>
      </c>
      <c r="F38" s="78">
        <f t="shared" ref="F38:F44" si="7">ROUND((D38*E38),2)</f>
        <v>1032248.51</v>
      </c>
    </row>
    <row r="39" spans="1:8" x14ac:dyDescent="0.2">
      <c r="A39" s="63" t="str">
        <f t="shared" ref="A39:A44" si="8">+A17</f>
        <v>GS&lt;50 kW</v>
      </c>
      <c r="B39" s="64"/>
      <c r="C39" s="77" t="str">
        <f t="shared" si="6"/>
        <v>kWh</v>
      </c>
      <c r="D39" s="64">
        <f t="shared" si="6"/>
        <v>211566292.6485</v>
      </c>
      <c r="E39" s="92">
        <v>1.5E-3</v>
      </c>
      <c r="F39" s="78">
        <f t="shared" si="7"/>
        <v>317349.44</v>
      </c>
    </row>
    <row r="40" spans="1:8" x14ac:dyDescent="0.2">
      <c r="A40" s="63" t="str">
        <f t="shared" si="8"/>
        <v>GS&gt;50 kW</v>
      </c>
      <c r="B40" s="64"/>
      <c r="C40" s="77" t="str">
        <f t="shared" si="6"/>
        <v>kW</v>
      </c>
      <c r="D40" s="64">
        <f>D29</f>
        <v>1927484.7904000001</v>
      </c>
      <c r="E40" s="92">
        <v>0.84489999999999998</v>
      </c>
      <c r="F40" s="78">
        <f t="shared" si="7"/>
        <v>1628531.9</v>
      </c>
      <c r="H40" s="47" t="s">
        <v>92</v>
      </c>
    </row>
    <row r="41" spans="1:8" x14ac:dyDescent="0.2">
      <c r="A41" s="63" t="str">
        <f t="shared" si="8"/>
        <v>Large User</v>
      </c>
      <c r="B41" s="64"/>
      <c r="C41" s="77" t="str">
        <f t="shared" si="6"/>
        <v>kW</v>
      </c>
      <c r="D41" s="64">
        <f t="shared" si="6"/>
        <v>68382.8269</v>
      </c>
      <c r="E41" s="92">
        <v>0.79430000000000001</v>
      </c>
      <c r="F41" s="78">
        <f t="shared" si="7"/>
        <v>54316.480000000003</v>
      </c>
    </row>
    <row r="42" spans="1:8" x14ac:dyDescent="0.2">
      <c r="A42" s="63" t="str">
        <f t="shared" si="8"/>
        <v xml:space="preserve">Streetlights </v>
      </c>
      <c r="B42" s="64"/>
      <c r="C42" s="77" t="str">
        <f t="shared" si="6"/>
        <v>kW</v>
      </c>
      <c r="D42" s="64">
        <f t="shared" si="6"/>
        <v>20613.041099999999</v>
      </c>
      <c r="E42" s="92">
        <v>0.51429999999999998</v>
      </c>
      <c r="F42" s="78">
        <f t="shared" si="7"/>
        <v>10601.29</v>
      </c>
    </row>
    <row r="43" spans="1:8" x14ac:dyDescent="0.2">
      <c r="A43" s="63" t="str">
        <f t="shared" si="8"/>
        <v>USL</v>
      </c>
      <c r="B43" s="64"/>
      <c r="C43" s="77" t="str">
        <f t="shared" si="6"/>
        <v>kWh</v>
      </c>
      <c r="D43" s="64">
        <f t="shared" si="6"/>
        <v>4234881.3870000001</v>
      </c>
      <c r="E43" s="92">
        <v>1.5E-3</v>
      </c>
      <c r="F43" s="78">
        <f t="shared" si="7"/>
        <v>6352.32</v>
      </c>
    </row>
    <row r="44" spans="1:8" x14ac:dyDescent="0.2">
      <c r="A44" s="93" t="str">
        <f t="shared" si="8"/>
        <v>Embedded Distributor</v>
      </c>
      <c r="B44" s="94"/>
      <c r="C44" s="95" t="s">
        <v>66</v>
      </c>
      <c r="D44" s="94">
        <f>D33</f>
        <v>43316.19</v>
      </c>
      <c r="E44" s="96">
        <v>0.79700000000000004</v>
      </c>
      <c r="F44" s="97">
        <f t="shared" si="7"/>
        <v>34523</v>
      </c>
    </row>
    <row r="45" spans="1:8" x14ac:dyDescent="0.2">
      <c r="A45" s="70" t="s">
        <v>68</v>
      </c>
      <c r="B45" s="71"/>
      <c r="C45" s="76"/>
      <c r="D45" s="71"/>
      <c r="E45" s="79"/>
      <c r="F45" s="80">
        <f>ROUND((SUM(F38:F44)),2)</f>
        <v>3083922.94</v>
      </c>
    </row>
    <row r="47" spans="1:8" x14ac:dyDescent="0.2">
      <c r="A47" s="85" t="s">
        <v>75</v>
      </c>
      <c r="B47" s="86"/>
      <c r="C47" s="87" t="s">
        <v>72</v>
      </c>
      <c r="D47" s="88"/>
      <c r="E47" s="89"/>
      <c r="F47" s="86"/>
    </row>
    <row r="48" spans="1:8" x14ac:dyDescent="0.2">
      <c r="A48" s="76" t="s">
        <v>70</v>
      </c>
      <c r="B48" s="91"/>
      <c r="C48" s="90" t="s">
        <v>73</v>
      </c>
      <c r="D48" s="216">
        <f>$D$15</f>
        <v>2019</v>
      </c>
      <c r="E48" s="217"/>
      <c r="F48" s="218"/>
    </row>
    <row r="49" spans="1:12" x14ac:dyDescent="0.2">
      <c r="A49" s="63" t="str">
        <f>+A16</f>
        <v xml:space="preserve">Residential </v>
      </c>
      <c r="B49" s="64"/>
      <c r="C49" s="77" t="s">
        <v>65</v>
      </c>
      <c r="D49" s="64">
        <f>+D16</f>
        <v>607205008.04719996</v>
      </c>
      <c r="E49" s="92">
        <v>3.0000000000000001E-3</v>
      </c>
      <c r="F49" s="78">
        <f t="shared" ref="F49:F55" si="9">ROUND((D49*E49),2)</f>
        <v>1821615.02</v>
      </c>
      <c r="L49" s="113"/>
    </row>
    <row r="50" spans="1:12" x14ac:dyDescent="0.2">
      <c r="A50" s="63" t="str">
        <f t="shared" ref="A50:A55" si="10">+A17</f>
        <v>GS&lt;50 kW</v>
      </c>
      <c r="B50" s="64"/>
      <c r="C50" s="77" t="s">
        <v>65</v>
      </c>
      <c r="D50" s="64">
        <f t="shared" ref="D50:D55" si="11">+D17</f>
        <v>211566292.6485</v>
      </c>
      <c r="E50" s="92">
        <f>+E49</f>
        <v>3.0000000000000001E-3</v>
      </c>
      <c r="F50" s="78">
        <f t="shared" si="9"/>
        <v>634698.88</v>
      </c>
      <c r="L50" s="113"/>
    </row>
    <row r="51" spans="1:12" x14ac:dyDescent="0.2">
      <c r="A51" s="63" t="str">
        <f t="shared" si="10"/>
        <v>GS&gt;50 kW</v>
      </c>
      <c r="B51" s="64"/>
      <c r="C51" s="77" t="s">
        <v>65</v>
      </c>
      <c r="D51" s="64">
        <f t="shared" si="11"/>
        <v>760366329.32529998</v>
      </c>
      <c r="E51" s="92">
        <f>+E49</f>
        <v>3.0000000000000001E-3</v>
      </c>
      <c r="F51" s="78">
        <f t="shared" si="9"/>
        <v>2281098.9900000002</v>
      </c>
      <c r="H51" s="47" t="s">
        <v>93</v>
      </c>
      <c r="L51" s="113"/>
    </row>
    <row r="52" spans="1:12" x14ac:dyDescent="0.2">
      <c r="A52" s="63" t="str">
        <f t="shared" si="10"/>
        <v>Large User</v>
      </c>
      <c r="B52" s="64"/>
      <c r="C52" s="77" t="s">
        <v>65</v>
      </c>
      <c r="D52" s="64">
        <f t="shared" si="11"/>
        <v>34401304.216499999</v>
      </c>
      <c r="E52" s="92">
        <f>+E49</f>
        <v>3.0000000000000001E-3</v>
      </c>
      <c r="F52" s="78">
        <f t="shared" si="9"/>
        <v>103203.91</v>
      </c>
      <c r="L52" s="113"/>
    </row>
    <row r="53" spans="1:12" x14ac:dyDescent="0.2">
      <c r="A53" s="63" t="str">
        <f t="shared" si="10"/>
        <v xml:space="preserve">Streetlights </v>
      </c>
      <c r="B53" s="64"/>
      <c r="C53" s="77" t="s">
        <v>65</v>
      </c>
      <c r="D53" s="64">
        <f t="shared" si="11"/>
        <v>7646176.3585000001</v>
      </c>
      <c r="E53" s="92">
        <f>+E49</f>
        <v>3.0000000000000001E-3</v>
      </c>
      <c r="F53" s="78">
        <f t="shared" si="9"/>
        <v>22938.53</v>
      </c>
      <c r="L53" s="113"/>
    </row>
    <row r="54" spans="1:12" x14ac:dyDescent="0.2">
      <c r="A54" s="63" t="str">
        <f t="shared" si="10"/>
        <v>USL</v>
      </c>
      <c r="B54" s="64"/>
      <c r="C54" s="77" t="s">
        <v>65</v>
      </c>
      <c r="D54" s="64">
        <f t="shared" si="11"/>
        <v>4234881.3870000001</v>
      </c>
      <c r="E54" s="92">
        <f>+E49</f>
        <v>3.0000000000000001E-3</v>
      </c>
      <c r="F54" s="78">
        <f t="shared" si="9"/>
        <v>12704.64</v>
      </c>
      <c r="L54" s="113"/>
    </row>
    <row r="55" spans="1:12" x14ac:dyDescent="0.2">
      <c r="A55" s="69" t="str">
        <f t="shared" si="10"/>
        <v>Embedded Distributor</v>
      </c>
      <c r="B55" s="64"/>
      <c r="C55" s="77" t="s">
        <v>65</v>
      </c>
      <c r="D55" s="64">
        <f t="shared" si="11"/>
        <v>0</v>
      </c>
      <c r="E55" s="92">
        <f>+E49</f>
        <v>3.0000000000000001E-3</v>
      </c>
      <c r="F55" s="78">
        <f t="shared" si="9"/>
        <v>0</v>
      </c>
      <c r="L55" s="113"/>
    </row>
    <row r="56" spans="1:12" x14ac:dyDescent="0.2">
      <c r="A56" s="70" t="s">
        <v>68</v>
      </c>
      <c r="B56" s="71"/>
      <c r="C56" s="76"/>
      <c r="D56" s="71">
        <f>SUM(D49:D55)</f>
        <v>1625419991.983</v>
      </c>
      <c r="E56" s="79"/>
      <c r="F56" s="80">
        <f>ROUND((SUM(F49:F55)),2)</f>
        <v>4876259.97</v>
      </c>
    </row>
    <row r="58" spans="1:12" x14ac:dyDescent="0.2">
      <c r="A58" s="85" t="s">
        <v>85</v>
      </c>
      <c r="B58" s="86"/>
      <c r="C58" s="87" t="s">
        <v>72</v>
      </c>
      <c r="D58" s="88"/>
      <c r="E58" s="89"/>
      <c r="F58" s="86"/>
    </row>
    <row r="59" spans="1:12" x14ac:dyDescent="0.2">
      <c r="A59" s="76" t="s">
        <v>70</v>
      </c>
      <c r="B59" s="91"/>
      <c r="C59" s="90" t="s">
        <v>73</v>
      </c>
      <c r="D59" s="216">
        <f>$D$15</f>
        <v>2019</v>
      </c>
      <c r="E59" s="217"/>
      <c r="F59" s="218"/>
    </row>
    <row r="60" spans="1:12" x14ac:dyDescent="0.2">
      <c r="A60" s="63" t="str">
        <f>+A16</f>
        <v xml:space="preserve">Residential </v>
      </c>
      <c r="B60" s="64"/>
      <c r="C60" s="77" t="s">
        <v>65</v>
      </c>
      <c r="D60" s="64">
        <f>+D49</f>
        <v>607205008.04719996</v>
      </c>
      <c r="E60" s="92">
        <v>4.0000000000000002E-4</v>
      </c>
      <c r="F60" s="78">
        <f t="shared" ref="F60:F66" si="12">ROUND((D60*E60),2)</f>
        <v>242882</v>
      </c>
    </row>
    <row r="61" spans="1:12" x14ac:dyDescent="0.2">
      <c r="A61" s="63" t="str">
        <f t="shared" ref="A61:A66" si="13">+A17</f>
        <v>GS&lt;50 kW</v>
      </c>
      <c r="B61" s="64"/>
      <c r="C61" s="77" t="s">
        <v>65</v>
      </c>
      <c r="D61" s="64">
        <f>+D50</f>
        <v>211566292.6485</v>
      </c>
      <c r="E61" s="92">
        <f>+E60</f>
        <v>4.0000000000000002E-4</v>
      </c>
      <c r="F61" s="78">
        <f t="shared" si="12"/>
        <v>84626.52</v>
      </c>
    </row>
    <row r="62" spans="1:12" x14ac:dyDescent="0.2">
      <c r="A62" s="63" t="str">
        <f t="shared" si="13"/>
        <v>GS&gt;50 kW</v>
      </c>
      <c r="B62" s="64"/>
      <c r="C62" s="77" t="s">
        <v>65</v>
      </c>
      <c r="D62" s="64">
        <f>+D51-F6</f>
        <v>543008927.74309993</v>
      </c>
      <c r="E62" s="92">
        <f>+E60</f>
        <v>4.0000000000000002E-4</v>
      </c>
      <c r="F62" s="78">
        <f t="shared" si="12"/>
        <v>217203.57</v>
      </c>
      <c r="H62" s="47" t="s">
        <v>93</v>
      </c>
    </row>
    <row r="63" spans="1:12" x14ac:dyDescent="0.2">
      <c r="A63" s="63" t="str">
        <f t="shared" si="13"/>
        <v>Large User</v>
      </c>
      <c r="B63" s="64"/>
      <c r="C63" s="77" t="s">
        <v>65</v>
      </c>
      <c r="D63" s="64">
        <v>0</v>
      </c>
      <c r="E63" s="92">
        <f>+E60</f>
        <v>4.0000000000000002E-4</v>
      </c>
      <c r="F63" s="78">
        <f t="shared" si="12"/>
        <v>0</v>
      </c>
      <c r="H63" t="s">
        <v>175</v>
      </c>
    </row>
    <row r="64" spans="1:12" x14ac:dyDescent="0.2">
      <c r="A64" s="63" t="str">
        <f t="shared" si="13"/>
        <v xml:space="preserve">Streetlights </v>
      </c>
      <c r="B64" s="64"/>
      <c r="C64" s="77" t="s">
        <v>65</v>
      </c>
      <c r="D64" s="64">
        <f>+D53</f>
        <v>7646176.3585000001</v>
      </c>
      <c r="E64" s="92">
        <f>+E60</f>
        <v>4.0000000000000002E-4</v>
      </c>
      <c r="F64" s="78">
        <f t="shared" si="12"/>
        <v>3058.47</v>
      </c>
    </row>
    <row r="65" spans="1:8" x14ac:dyDescent="0.2">
      <c r="A65" s="63" t="str">
        <f t="shared" si="13"/>
        <v>USL</v>
      </c>
      <c r="B65" s="64"/>
      <c r="C65" s="77" t="s">
        <v>65</v>
      </c>
      <c r="D65" s="64">
        <f>+D54</f>
        <v>4234881.3870000001</v>
      </c>
      <c r="E65" s="92">
        <f>+E60</f>
        <v>4.0000000000000002E-4</v>
      </c>
      <c r="F65" s="78">
        <f t="shared" si="12"/>
        <v>1693.95</v>
      </c>
    </row>
    <row r="66" spans="1:8" x14ac:dyDescent="0.2">
      <c r="A66" s="69" t="str">
        <f t="shared" si="13"/>
        <v>Embedded Distributor</v>
      </c>
      <c r="B66" s="64"/>
      <c r="C66" s="77" t="s">
        <v>65</v>
      </c>
      <c r="D66" s="64">
        <f>+D55</f>
        <v>0</v>
      </c>
      <c r="E66" s="92">
        <f>+E60</f>
        <v>4.0000000000000002E-4</v>
      </c>
      <c r="F66" s="78">
        <f t="shared" si="12"/>
        <v>0</v>
      </c>
    </row>
    <row r="67" spans="1:8" x14ac:dyDescent="0.2">
      <c r="A67" s="70" t="s">
        <v>68</v>
      </c>
      <c r="B67" s="71"/>
      <c r="C67" s="76"/>
      <c r="D67" s="71">
        <f>SUM(D60:D66)</f>
        <v>1373661286.1842999</v>
      </c>
      <c r="E67" s="79"/>
      <c r="F67" s="80">
        <f>ROUND((SUM(F60:F66)),2)</f>
        <v>549464.51</v>
      </c>
    </row>
    <row r="69" spans="1:8" x14ac:dyDescent="0.2">
      <c r="A69" s="85" t="s">
        <v>76</v>
      </c>
      <c r="B69" s="86"/>
      <c r="C69" s="87" t="s">
        <v>72</v>
      </c>
      <c r="D69" s="88"/>
      <c r="E69" s="89"/>
      <c r="F69" s="86"/>
    </row>
    <row r="70" spans="1:8" x14ac:dyDescent="0.2">
      <c r="A70" s="76" t="s">
        <v>70</v>
      </c>
      <c r="B70" s="91"/>
      <c r="C70" s="90" t="s">
        <v>73</v>
      </c>
      <c r="D70" s="219">
        <f>$D$15</f>
        <v>2019</v>
      </c>
      <c r="E70" s="217"/>
      <c r="F70" s="220"/>
    </row>
    <row r="71" spans="1:8" x14ac:dyDescent="0.2">
      <c r="A71" s="63" t="str">
        <f>+A16</f>
        <v xml:space="preserve">Residential </v>
      </c>
      <c r="B71" s="64"/>
      <c r="C71" s="77" t="s">
        <v>65</v>
      </c>
      <c r="D71" s="64">
        <f t="shared" ref="D71:D77" si="14">D49</f>
        <v>607205008.04719996</v>
      </c>
      <c r="E71" s="92">
        <v>5.0000000000000001E-4</v>
      </c>
      <c r="F71" s="78">
        <f t="shared" ref="F71:F77" si="15">ROUND((D71*E71),2)</f>
        <v>303602.5</v>
      </c>
    </row>
    <row r="72" spans="1:8" x14ac:dyDescent="0.2">
      <c r="A72" s="63" t="str">
        <f t="shared" ref="A72:A77" si="16">+A17</f>
        <v>GS&lt;50 kW</v>
      </c>
      <c r="B72" s="64"/>
      <c r="C72" s="77" t="s">
        <v>65</v>
      </c>
      <c r="D72" s="64">
        <f t="shared" si="14"/>
        <v>211566292.6485</v>
      </c>
      <c r="E72" s="92">
        <f>+E71</f>
        <v>5.0000000000000001E-4</v>
      </c>
      <c r="F72" s="78">
        <f t="shared" si="15"/>
        <v>105783.15</v>
      </c>
      <c r="H72" s="47"/>
    </row>
    <row r="73" spans="1:8" x14ac:dyDescent="0.2">
      <c r="A73" s="63" t="str">
        <f t="shared" si="16"/>
        <v>GS&gt;50 kW</v>
      </c>
      <c r="B73" s="64"/>
      <c r="C73" s="77" t="s">
        <v>65</v>
      </c>
      <c r="D73" s="64">
        <f t="shared" si="14"/>
        <v>760366329.32529998</v>
      </c>
      <c r="E73" s="92">
        <f>+E71</f>
        <v>5.0000000000000001E-4</v>
      </c>
      <c r="F73" s="78">
        <f t="shared" si="15"/>
        <v>380183.16</v>
      </c>
      <c r="H73" s="47" t="s">
        <v>93</v>
      </c>
    </row>
    <row r="74" spans="1:8" x14ac:dyDescent="0.2">
      <c r="A74" s="63" t="str">
        <f t="shared" si="16"/>
        <v>Large User</v>
      </c>
      <c r="B74" s="64"/>
      <c r="C74" s="77" t="s">
        <v>65</v>
      </c>
      <c r="D74" s="64">
        <f t="shared" si="14"/>
        <v>34401304.216499999</v>
      </c>
      <c r="E74" s="92">
        <f>+E71</f>
        <v>5.0000000000000001E-4</v>
      </c>
      <c r="F74" s="78">
        <f t="shared" si="15"/>
        <v>17200.650000000001</v>
      </c>
    </row>
    <row r="75" spans="1:8" x14ac:dyDescent="0.2">
      <c r="A75" s="63" t="str">
        <f t="shared" si="16"/>
        <v xml:space="preserve">Streetlights </v>
      </c>
      <c r="B75" s="64"/>
      <c r="C75" s="77" t="s">
        <v>65</v>
      </c>
      <c r="D75" s="64">
        <f t="shared" si="14"/>
        <v>7646176.3585000001</v>
      </c>
      <c r="E75" s="92">
        <f>+E71</f>
        <v>5.0000000000000001E-4</v>
      </c>
      <c r="F75" s="78">
        <f t="shared" si="15"/>
        <v>3823.09</v>
      </c>
    </row>
    <row r="76" spans="1:8" x14ac:dyDescent="0.2">
      <c r="A76" s="63" t="str">
        <f t="shared" si="16"/>
        <v>USL</v>
      </c>
      <c r="B76" s="64"/>
      <c r="C76" s="77" t="s">
        <v>65</v>
      </c>
      <c r="D76" s="64">
        <f t="shared" si="14"/>
        <v>4234881.3870000001</v>
      </c>
      <c r="E76" s="92">
        <f>+E71</f>
        <v>5.0000000000000001E-4</v>
      </c>
      <c r="F76" s="78">
        <f t="shared" si="15"/>
        <v>2117.44</v>
      </c>
    </row>
    <row r="77" spans="1:8" x14ac:dyDescent="0.2">
      <c r="A77" s="69" t="str">
        <f t="shared" si="16"/>
        <v>Embedded Distributor</v>
      </c>
      <c r="B77" s="64"/>
      <c r="C77" s="77" t="s">
        <v>65</v>
      </c>
      <c r="D77" s="64">
        <f t="shared" si="14"/>
        <v>0</v>
      </c>
      <c r="E77" s="92">
        <f>+E71</f>
        <v>5.0000000000000001E-4</v>
      </c>
      <c r="F77" s="78">
        <f t="shared" si="15"/>
        <v>0</v>
      </c>
    </row>
    <row r="78" spans="1:8" x14ac:dyDescent="0.2">
      <c r="A78" s="70" t="s">
        <v>68</v>
      </c>
      <c r="B78" s="71"/>
      <c r="C78" s="76"/>
      <c r="D78" s="71">
        <f>SUM(D71:D77)</f>
        <v>1625419991.983</v>
      </c>
      <c r="E78" s="79"/>
      <c r="F78" s="80">
        <f>ROUND((SUM(F71:F77)),2)</f>
        <v>812709.99</v>
      </c>
    </row>
    <row r="80" spans="1:8" x14ac:dyDescent="0.2">
      <c r="A80" s="85" t="s">
        <v>77</v>
      </c>
      <c r="B80" s="86"/>
      <c r="C80" s="98"/>
      <c r="D80" s="88"/>
      <c r="E80" s="89"/>
      <c r="F80" s="86"/>
    </row>
    <row r="81" spans="1:6" x14ac:dyDescent="0.2">
      <c r="A81" s="76" t="s">
        <v>70</v>
      </c>
      <c r="B81" s="91"/>
      <c r="C81" s="99"/>
      <c r="D81" s="219">
        <f>$D$15</f>
        <v>2019</v>
      </c>
      <c r="E81" s="217"/>
      <c r="F81" s="220"/>
    </row>
    <row r="82" spans="1:6" x14ac:dyDescent="0.2">
      <c r="A82" s="63" t="str">
        <f>+A16</f>
        <v xml:space="preserve">Residential </v>
      </c>
      <c r="B82" s="64"/>
      <c r="C82" s="77"/>
      <c r="D82" s="64">
        <f>ROUND((Customer!B14*12),0)</f>
        <v>1063428</v>
      </c>
      <c r="E82" s="92">
        <v>0.56999999999999995</v>
      </c>
      <c r="F82" s="78">
        <f>ROUND((D82*E82),2)</f>
        <v>606153.96</v>
      </c>
    </row>
    <row r="83" spans="1:6" x14ac:dyDescent="0.2">
      <c r="A83" s="63" t="str">
        <f>A17</f>
        <v>GS&lt;50 kW</v>
      </c>
      <c r="B83" s="64"/>
      <c r="C83" s="77"/>
      <c r="D83" s="64">
        <f>ROUND((Customer!C14*12),0)</f>
        <v>96708</v>
      </c>
      <c r="E83" s="92">
        <f>+E82</f>
        <v>0.56999999999999995</v>
      </c>
      <c r="F83" s="78">
        <f>ROUND((D83*E83),2)</f>
        <v>55123.56</v>
      </c>
    </row>
    <row r="84" spans="1:6" x14ac:dyDescent="0.2">
      <c r="A84" s="70" t="s">
        <v>68</v>
      </c>
      <c r="B84" s="71"/>
      <c r="C84" s="76"/>
      <c r="D84" s="71">
        <f>SUM(D82:D83)</f>
        <v>1160136</v>
      </c>
      <c r="E84" s="79"/>
      <c r="F84" s="80">
        <f>ROUND((SUM(F82:F83)),2)</f>
        <v>661277.52</v>
      </c>
    </row>
    <row r="85" spans="1:6" x14ac:dyDescent="0.2">
      <c r="A85" s="100"/>
      <c r="B85" s="101">
        <f>$D$15</f>
        <v>2019</v>
      </c>
    </row>
    <row r="86" spans="1:6" x14ac:dyDescent="0.2">
      <c r="A86" s="102" t="s">
        <v>78</v>
      </c>
      <c r="B86" s="103">
        <f>F23</f>
        <v>153298338.88</v>
      </c>
    </row>
    <row r="87" spans="1:6" x14ac:dyDescent="0.2">
      <c r="A87" s="102" t="s">
        <v>79</v>
      </c>
      <c r="B87" s="103">
        <f>F56+F67</f>
        <v>5425724.4799999995</v>
      </c>
    </row>
    <row r="88" spans="1:6" x14ac:dyDescent="0.2">
      <c r="A88" s="102" t="s">
        <v>80</v>
      </c>
      <c r="B88" s="103">
        <f>F34</f>
        <v>10246872.140000001</v>
      </c>
    </row>
    <row r="89" spans="1:6" x14ac:dyDescent="0.2">
      <c r="A89" s="102" t="s">
        <v>81</v>
      </c>
      <c r="B89" s="103">
        <f>F45</f>
        <v>3083922.94</v>
      </c>
    </row>
    <row r="90" spans="1:6" x14ac:dyDescent="0.2">
      <c r="A90" s="102" t="s">
        <v>167</v>
      </c>
      <c r="B90" s="103">
        <f>F78</f>
        <v>812709.99</v>
      </c>
    </row>
    <row r="91" spans="1:6" x14ac:dyDescent="0.2">
      <c r="A91" s="104" t="s">
        <v>82</v>
      </c>
      <c r="B91" s="103">
        <f>+F84</f>
        <v>661277.52</v>
      </c>
    </row>
    <row r="92" spans="1:6" x14ac:dyDescent="0.2">
      <c r="A92" s="73" t="s">
        <v>68</v>
      </c>
      <c r="B92" s="80">
        <f>SUM(B86:B91)</f>
        <v>173528845.95000002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topLeftCell="A61" workbookViewId="0">
      <selection sqref="A1:F92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1" t="s">
        <v>89</v>
      </c>
      <c r="B1" s="62" t="s">
        <v>65</v>
      </c>
      <c r="C1" s="62" t="s">
        <v>66</v>
      </c>
      <c r="D1" s="62" t="s">
        <v>163</v>
      </c>
      <c r="F1" s="62"/>
      <c r="G1" s="62"/>
    </row>
    <row r="2" spans="1:14" x14ac:dyDescent="0.2">
      <c r="A2" s="63" t="s">
        <v>42</v>
      </c>
      <c r="B2" s="64">
        <f>ROUND((Energy!$H$84),4)</f>
        <v>588582294.93200004</v>
      </c>
      <c r="C2" s="65"/>
      <c r="D2" s="105">
        <v>0.98092866786078092</v>
      </c>
    </row>
    <row r="3" spans="1:14" x14ac:dyDescent="0.2">
      <c r="A3" s="63" t="s">
        <v>43</v>
      </c>
      <c r="B3" s="64">
        <f>ROUND((Energy!$I$84),4)</f>
        <v>201498568.58939999</v>
      </c>
      <c r="C3" s="65"/>
      <c r="D3" s="105">
        <v>0.84741264163513119</v>
      </c>
      <c r="F3" s="3"/>
      <c r="G3" s="56"/>
      <c r="H3" s="111"/>
    </row>
    <row r="4" spans="1:14" x14ac:dyDescent="0.2">
      <c r="A4" s="63" t="s">
        <v>44</v>
      </c>
      <c r="B4" s="64">
        <f>ROUND((Energy!$J$84),4)</f>
        <v>499502409.76639998</v>
      </c>
      <c r="C4" s="67">
        <f>ROUND((Load!$B$14),4)</f>
        <v>1327064.6780000001</v>
      </c>
      <c r="D4" s="105">
        <v>0.14686416109839648</v>
      </c>
      <c r="E4" s="117"/>
      <c r="F4" s="72"/>
      <c r="G4" s="72"/>
    </row>
    <row r="5" spans="1:14" x14ac:dyDescent="0.2">
      <c r="A5" s="69" t="s">
        <v>161</v>
      </c>
      <c r="B5" s="64">
        <f>ROUND((Energy!$K$84),4)</f>
        <v>11113981.122199999</v>
      </c>
      <c r="C5" s="67">
        <f>ROUND((Load!$C$14),4)</f>
        <v>34080.072999999997</v>
      </c>
      <c r="D5" s="105">
        <v>0</v>
      </c>
      <c r="E5" s="117"/>
      <c r="F5" s="72" t="s">
        <v>180</v>
      </c>
      <c r="G5" s="72"/>
    </row>
    <row r="6" spans="1:14" x14ac:dyDescent="0.2">
      <c r="A6" s="69" t="s">
        <v>162</v>
      </c>
      <c r="B6" s="64">
        <f>ROUND((Energy!$L$84),4)</f>
        <v>211246783.87819999</v>
      </c>
      <c r="C6" s="67">
        <f>ROUND((Load!$D$14),4)</f>
        <v>502671.10230000003</v>
      </c>
      <c r="D6" s="105">
        <v>0</v>
      </c>
      <c r="E6" s="117"/>
      <c r="F6" s="72">
        <f>ROUND((B6*1.0322),4)</f>
        <v>218048930.31909999</v>
      </c>
      <c r="G6" s="72"/>
    </row>
    <row r="7" spans="1:14" x14ac:dyDescent="0.2">
      <c r="A7" s="63" t="s">
        <v>45</v>
      </c>
      <c r="B7" s="64">
        <f>ROUND((Energy!$M$84),4)</f>
        <v>35092546.975000001</v>
      </c>
      <c r="C7" s="67">
        <f>ROUND((Load!$E$14),4)</f>
        <v>70126.589000000007</v>
      </c>
      <c r="D7" s="105">
        <v>0</v>
      </c>
      <c r="E7" s="117"/>
      <c r="F7" s="72"/>
      <c r="G7" s="72"/>
      <c r="K7" s="68"/>
    </row>
    <row r="8" spans="1:14" x14ac:dyDescent="0.2">
      <c r="A8" s="63" t="s">
        <v>46</v>
      </c>
      <c r="B8" s="64">
        <f>ROUND((Energy!$N$84),4)</f>
        <v>7307481.5936000003</v>
      </c>
      <c r="C8" s="67">
        <f>ROUND((Load!$F$14),4)</f>
        <v>20391.435300000001</v>
      </c>
      <c r="D8" s="105">
        <v>1.270590326270077E-2</v>
      </c>
      <c r="F8" s="62"/>
    </row>
    <row r="9" spans="1:14" x14ac:dyDescent="0.2">
      <c r="A9" s="63" t="s">
        <v>47</v>
      </c>
      <c r="B9" s="64">
        <f>ROUND((Energy!$O$84),4)</f>
        <v>4173586.84</v>
      </c>
      <c r="C9" s="65"/>
      <c r="D9" s="105">
        <v>1</v>
      </c>
      <c r="F9" s="113"/>
      <c r="G9" s="47"/>
    </row>
    <row r="10" spans="1:14" x14ac:dyDescent="0.2">
      <c r="A10" s="69" t="s">
        <v>61</v>
      </c>
      <c r="B10" s="64">
        <f>ROUND((ED!C14),4)</f>
        <v>19053029.030000001</v>
      </c>
      <c r="C10" s="67">
        <f>ROUND((ED!$B$14),4)</f>
        <v>43316.19</v>
      </c>
      <c r="D10" s="66">
        <v>0</v>
      </c>
      <c r="F10" s="113"/>
      <c r="G10" s="47"/>
    </row>
    <row r="11" spans="1:14" x14ac:dyDescent="0.2">
      <c r="A11" s="70" t="s">
        <v>68</v>
      </c>
      <c r="B11" s="71">
        <f>ROUND((SUM(B2:B10)),4)</f>
        <v>1577570682.7268</v>
      </c>
      <c r="C11" s="71">
        <f>ROUND((SUM(C2:C10)),4)</f>
        <v>1997650.0676</v>
      </c>
      <c r="D11" s="71"/>
      <c r="F11" s="113"/>
      <c r="G11" s="47"/>
    </row>
    <row r="12" spans="1:14" x14ac:dyDescent="0.2">
      <c r="B12" s="72"/>
      <c r="C12" s="72"/>
    </row>
    <row r="14" spans="1:14" x14ac:dyDescent="0.2">
      <c r="A14" s="61" t="s">
        <v>164</v>
      </c>
      <c r="B14" s="221" t="s">
        <v>90</v>
      </c>
      <c r="C14" s="221" t="s">
        <v>166</v>
      </c>
      <c r="D14" s="73"/>
      <c r="E14" s="74"/>
      <c r="F14" s="75"/>
    </row>
    <row r="15" spans="1:14" x14ac:dyDescent="0.2">
      <c r="A15" s="76" t="s">
        <v>69</v>
      </c>
      <c r="B15" s="222"/>
      <c r="C15" s="223"/>
      <c r="D15" s="224">
        <v>2020</v>
      </c>
      <c r="E15" s="225"/>
      <c r="F15" s="226"/>
    </row>
    <row r="16" spans="1:14" x14ac:dyDescent="0.2">
      <c r="A16" s="63" t="str">
        <f>A2</f>
        <v xml:space="preserve">Residential </v>
      </c>
      <c r="B16" s="64">
        <f>+B2</f>
        <v>588582294.93200004</v>
      </c>
      <c r="C16" s="95">
        <v>1.0348999999999999</v>
      </c>
      <c r="D16" s="64">
        <f>ROUND((B16*C16),4)</f>
        <v>609123817.02509999</v>
      </c>
      <c r="E16" s="96">
        <v>9.4299999999999995E-2</v>
      </c>
      <c r="F16" s="78">
        <f>ROUND((D16*E16),2)</f>
        <v>57440375.950000003</v>
      </c>
      <c r="G16" s="113"/>
      <c r="H16" s="113"/>
      <c r="J16" s="109"/>
      <c r="L16" s="113"/>
      <c r="N16" s="113"/>
    </row>
    <row r="17" spans="1:14" x14ac:dyDescent="0.2">
      <c r="A17" s="63" t="str">
        <f>A3</f>
        <v>GS&lt;50 kW</v>
      </c>
      <c r="B17" s="64">
        <f>+B3</f>
        <v>201498568.58939999</v>
      </c>
      <c r="C17" s="77">
        <f t="shared" ref="C17:C22" si="0">$C$16</f>
        <v>1.0348999999999999</v>
      </c>
      <c r="D17" s="64">
        <f t="shared" ref="D17:D22" si="1">ROUND((B17*C17),4)</f>
        <v>208530868.63319999</v>
      </c>
      <c r="E17" s="110">
        <f t="shared" ref="E17" si="2">E16</f>
        <v>9.4299999999999995E-2</v>
      </c>
      <c r="F17" s="78">
        <f t="shared" ref="F17:F22" si="3">ROUND((D17*E17),2)</f>
        <v>19664460.91</v>
      </c>
      <c r="J17" s="109"/>
      <c r="L17" s="113"/>
      <c r="N17" s="113"/>
    </row>
    <row r="18" spans="1:14" x14ac:dyDescent="0.2">
      <c r="A18" s="63" t="str">
        <f>A4</f>
        <v>GS&gt;50 kW</v>
      </c>
      <c r="B18" s="64">
        <f>+B4+B6</f>
        <v>710749193.64459991</v>
      </c>
      <c r="C18" s="77">
        <f t="shared" si="0"/>
        <v>1.0348999999999999</v>
      </c>
      <c r="D18" s="64">
        <f t="shared" si="1"/>
        <v>735554340.50279999</v>
      </c>
      <c r="E18" s="110">
        <v>9.1260462545496357E-2</v>
      </c>
      <c r="F18" s="78">
        <f>ROUND((D18*E18),2)</f>
        <v>67127029.340000004</v>
      </c>
      <c r="J18" s="109"/>
      <c r="L18" s="113"/>
      <c r="N18" s="113"/>
    </row>
    <row r="19" spans="1:14" x14ac:dyDescent="0.2">
      <c r="A19" s="63" t="str">
        <f t="shared" ref="A19:A22" si="4">A7</f>
        <v>Large User</v>
      </c>
      <c r="B19" s="64">
        <f>+B7</f>
        <v>35092546.975000001</v>
      </c>
      <c r="C19" s="95">
        <v>1.0053000000000001</v>
      </c>
      <c r="D19" s="64">
        <f t="shared" si="1"/>
        <v>35278537.473999999</v>
      </c>
      <c r="E19" s="110">
        <v>2.4730598048260801E-2</v>
      </c>
      <c r="F19" s="78">
        <f t="shared" si="3"/>
        <v>872459.33</v>
      </c>
      <c r="J19" s="108"/>
      <c r="L19" s="113"/>
      <c r="N19" s="113"/>
    </row>
    <row r="20" spans="1:14" x14ac:dyDescent="0.2">
      <c r="A20" s="63" t="str">
        <f t="shared" si="4"/>
        <v xml:space="preserve">Streetlights </v>
      </c>
      <c r="B20" s="64">
        <f>+B8</f>
        <v>7307481.5936000003</v>
      </c>
      <c r="C20" s="77">
        <f t="shared" si="0"/>
        <v>1.0348999999999999</v>
      </c>
      <c r="D20" s="64">
        <f t="shared" si="1"/>
        <v>7562512.7012</v>
      </c>
      <c r="E20" s="110">
        <f>+E16</f>
        <v>9.4299999999999995E-2</v>
      </c>
      <c r="F20" s="78">
        <f t="shared" si="3"/>
        <v>713144.95</v>
      </c>
      <c r="L20" s="113"/>
      <c r="N20" s="113"/>
    </row>
    <row r="21" spans="1:14" x14ac:dyDescent="0.2">
      <c r="A21" s="63" t="str">
        <f t="shared" si="4"/>
        <v>USL</v>
      </c>
      <c r="B21" s="64">
        <f t="shared" ref="B21:B22" si="5">B9*D9</f>
        <v>4173586.84</v>
      </c>
      <c r="C21" s="77">
        <f t="shared" si="0"/>
        <v>1.0348999999999999</v>
      </c>
      <c r="D21" s="64">
        <f t="shared" si="1"/>
        <v>4319245.0207000002</v>
      </c>
      <c r="E21" s="110">
        <f>E16</f>
        <v>9.4299999999999995E-2</v>
      </c>
      <c r="F21" s="78">
        <f t="shared" si="3"/>
        <v>407304.81</v>
      </c>
      <c r="L21" s="113"/>
      <c r="N21" s="113"/>
    </row>
    <row r="22" spans="1:14" x14ac:dyDescent="0.2">
      <c r="A22" s="63" t="str">
        <f t="shared" si="4"/>
        <v>Embedded Distributor</v>
      </c>
      <c r="B22" s="64">
        <f t="shared" si="5"/>
        <v>0</v>
      </c>
      <c r="C22" s="77">
        <f t="shared" si="0"/>
        <v>1.0348999999999999</v>
      </c>
      <c r="D22" s="64">
        <f t="shared" si="1"/>
        <v>0</v>
      </c>
      <c r="E22" s="110">
        <f>E16</f>
        <v>9.4299999999999995E-2</v>
      </c>
      <c r="F22" s="78">
        <f t="shared" si="3"/>
        <v>0</v>
      </c>
      <c r="L22" s="113"/>
      <c r="N22" s="113"/>
    </row>
    <row r="23" spans="1:14" x14ac:dyDescent="0.2">
      <c r="A23" s="70" t="s">
        <v>68</v>
      </c>
      <c r="B23" s="71">
        <f>SUM(B16:B21)</f>
        <v>1547403672.5745997</v>
      </c>
      <c r="C23" s="76"/>
      <c r="D23" s="71">
        <f>ROUND((SUM(D16:D21)),4)</f>
        <v>1600369321.3570001</v>
      </c>
      <c r="E23" s="79"/>
      <c r="F23" s="80">
        <f>ROUND((SUM(F16:F21)),2)</f>
        <v>146224775.28999999</v>
      </c>
      <c r="L23" s="113"/>
    </row>
    <row r="24" spans="1:14" x14ac:dyDescent="0.2">
      <c r="D24" s="68"/>
    </row>
    <row r="25" spans="1:14" x14ac:dyDescent="0.2">
      <c r="A25" s="85" t="s">
        <v>71</v>
      </c>
      <c r="B25" s="86"/>
      <c r="C25" s="87" t="s">
        <v>72</v>
      </c>
      <c r="D25" s="88"/>
      <c r="E25" s="89"/>
      <c r="F25" s="86"/>
    </row>
    <row r="26" spans="1:14" x14ac:dyDescent="0.2">
      <c r="A26" s="76" t="s">
        <v>70</v>
      </c>
      <c r="B26" s="91"/>
      <c r="C26" s="90" t="s">
        <v>73</v>
      </c>
      <c r="D26" s="216">
        <f>$D$15</f>
        <v>2020</v>
      </c>
      <c r="E26" s="217"/>
      <c r="F26" s="220"/>
    </row>
    <row r="27" spans="1:14" x14ac:dyDescent="0.2">
      <c r="A27" s="63" t="str">
        <f>+A16</f>
        <v xml:space="preserve">Residential </v>
      </c>
      <c r="B27" s="64"/>
      <c r="C27" s="77" t="s">
        <v>65</v>
      </c>
      <c r="D27" s="64">
        <f>D16</f>
        <v>609123817.02509999</v>
      </c>
      <c r="E27" s="92">
        <f>ROUND((0.00613697927588184),4)</f>
        <v>6.1000000000000004E-3</v>
      </c>
      <c r="F27" s="78">
        <f t="shared" ref="F27:F33" si="6">ROUND((D27*E27),2)</f>
        <v>3715655.28</v>
      </c>
      <c r="H27" s="47"/>
    </row>
    <row r="28" spans="1:14" x14ac:dyDescent="0.2">
      <c r="A28" s="63" t="str">
        <f t="shared" ref="A28:A33" si="7">+A17</f>
        <v>GS&lt;50 kW</v>
      </c>
      <c r="B28" s="64"/>
      <c r="C28" s="77" t="s">
        <v>65</v>
      </c>
      <c r="D28" s="64">
        <f>D17</f>
        <v>208530868.63319999</v>
      </c>
      <c r="E28" s="92">
        <f>ROUND((0.00530484651196029),4)</f>
        <v>5.3E-3</v>
      </c>
      <c r="F28" s="78">
        <f t="shared" si="6"/>
        <v>1105213.6000000001</v>
      </c>
    </row>
    <row r="29" spans="1:14" x14ac:dyDescent="0.2">
      <c r="A29" s="63" t="str">
        <f t="shared" si="7"/>
        <v>GS&gt;50 kW</v>
      </c>
      <c r="B29" s="64"/>
      <c r="C29" s="77" t="s">
        <v>66</v>
      </c>
      <c r="D29" s="64">
        <f>+C4+C5+C6</f>
        <v>1863815.8533000001</v>
      </c>
      <c r="E29" s="92">
        <f>ROUND((2.8297715456094),4)</f>
        <v>2.8298000000000001</v>
      </c>
      <c r="F29" s="78">
        <f t="shared" si="6"/>
        <v>5274226.0999999996</v>
      </c>
      <c r="H29" s="47" t="s">
        <v>92</v>
      </c>
    </row>
    <row r="30" spans="1:14" x14ac:dyDescent="0.2">
      <c r="A30" s="63" t="str">
        <f t="shared" si="7"/>
        <v>Large User</v>
      </c>
      <c r="B30" s="64"/>
      <c r="C30" s="77" t="s">
        <v>66</v>
      </c>
      <c r="D30" s="64">
        <f>C7</f>
        <v>70126.589000000007</v>
      </c>
      <c r="E30" s="92">
        <f>ROUND((2.65960031905633),4)</f>
        <v>2.6596000000000002</v>
      </c>
      <c r="F30" s="78">
        <f t="shared" si="6"/>
        <v>186508.68</v>
      </c>
    </row>
    <row r="31" spans="1:14" x14ac:dyDescent="0.2">
      <c r="A31" s="63" t="str">
        <f t="shared" si="7"/>
        <v xml:space="preserve">Streetlights </v>
      </c>
      <c r="B31" s="64"/>
      <c r="C31" s="77" t="s">
        <v>66</v>
      </c>
      <c r="D31" s="64">
        <f>C8</f>
        <v>20391.435300000001</v>
      </c>
      <c r="E31" s="92">
        <f>ROUND((1.72074654260113),4)</f>
        <v>1.7206999999999999</v>
      </c>
      <c r="F31" s="78">
        <f t="shared" si="6"/>
        <v>35087.54</v>
      </c>
    </row>
    <row r="32" spans="1:14" x14ac:dyDescent="0.2">
      <c r="A32" s="63" t="str">
        <f t="shared" si="7"/>
        <v>USL</v>
      </c>
      <c r="B32" s="64"/>
      <c r="C32" s="77" t="s">
        <v>65</v>
      </c>
      <c r="D32" s="64">
        <f>D21</f>
        <v>4319245.0207000002</v>
      </c>
      <c r="E32" s="92">
        <f>ROUND((0.00530484641458397),4)</f>
        <v>5.3E-3</v>
      </c>
      <c r="F32" s="78">
        <f t="shared" si="6"/>
        <v>22892</v>
      </c>
    </row>
    <row r="33" spans="1:8" x14ac:dyDescent="0.2">
      <c r="A33" s="93" t="str">
        <f t="shared" si="7"/>
        <v>Embedded Distributor</v>
      </c>
      <c r="B33" s="94"/>
      <c r="C33" s="95" t="s">
        <v>66</v>
      </c>
      <c r="D33" s="94">
        <f>+C10</f>
        <v>43316.19</v>
      </c>
      <c r="E33" s="96">
        <f>ROUND((2.66802546395928),4)</f>
        <v>2.6680000000000001</v>
      </c>
      <c r="F33" s="97">
        <f t="shared" si="6"/>
        <v>115567.59</v>
      </c>
    </row>
    <row r="34" spans="1:8" x14ac:dyDescent="0.2">
      <c r="A34" s="70" t="s">
        <v>68</v>
      </c>
      <c r="B34" s="71"/>
      <c r="C34" s="76"/>
      <c r="D34" s="71"/>
      <c r="E34" s="79"/>
      <c r="F34" s="80">
        <f>ROUND((SUM(F27:F33)),2)</f>
        <v>10455150.789999999</v>
      </c>
    </row>
    <row r="36" spans="1:8" x14ac:dyDescent="0.2">
      <c r="A36" s="85" t="s">
        <v>74</v>
      </c>
      <c r="B36" s="86"/>
      <c r="C36" s="98" t="s">
        <v>72</v>
      </c>
      <c r="D36" s="88"/>
      <c r="E36" s="89"/>
      <c r="F36" s="86"/>
    </row>
    <row r="37" spans="1:8" x14ac:dyDescent="0.2">
      <c r="A37" s="76" t="s">
        <v>70</v>
      </c>
      <c r="B37" s="91"/>
      <c r="C37" s="99" t="s">
        <v>73</v>
      </c>
      <c r="D37" s="216">
        <f>$D$15</f>
        <v>2020</v>
      </c>
      <c r="E37" s="217"/>
      <c r="F37" s="220"/>
    </row>
    <row r="38" spans="1:8" x14ac:dyDescent="0.2">
      <c r="A38" s="63" t="str">
        <f>+A16</f>
        <v xml:space="preserve">Residential </v>
      </c>
      <c r="B38" s="64"/>
      <c r="C38" s="77" t="str">
        <f t="shared" ref="C38:D43" si="8">C27</f>
        <v>kWh</v>
      </c>
      <c r="D38" s="64">
        <f t="shared" si="8"/>
        <v>609123817.02509999</v>
      </c>
      <c r="E38" s="110">
        <f>ROUND((0.00170039331487917),4)</f>
        <v>1.6999999999999999E-3</v>
      </c>
      <c r="F38" s="78">
        <f t="shared" ref="F38:F44" si="9">ROUND((D38*E38),2)</f>
        <v>1035510.49</v>
      </c>
    </row>
    <row r="39" spans="1:8" x14ac:dyDescent="0.2">
      <c r="A39" s="63" t="str">
        <f t="shared" ref="A39:A44" si="10">+A17</f>
        <v>GS&lt;50 kW</v>
      </c>
      <c r="B39" s="64"/>
      <c r="C39" s="77" t="str">
        <f t="shared" si="8"/>
        <v>kWh</v>
      </c>
      <c r="D39" s="64">
        <f t="shared" si="8"/>
        <v>208530868.63319999</v>
      </c>
      <c r="E39" s="92">
        <f>ROUND((0.00150034702396375),4)</f>
        <v>1.5E-3</v>
      </c>
      <c r="F39" s="78">
        <f t="shared" si="9"/>
        <v>312796.3</v>
      </c>
    </row>
    <row r="40" spans="1:8" x14ac:dyDescent="0.2">
      <c r="A40" s="63" t="str">
        <f t="shared" si="10"/>
        <v>GS&gt;50 kW</v>
      </c>
      <c r="B40" s="64"/>
      <c r="C40" s="77" t="str">
        <f t="shared" si="8"/>
        <v>kW</v>
      </c>
      <c r="D40" s="64">
        <f>D29</f>
        <v>1863815.8533000001</v>
      </c>
      <c r="E40" s="92">
        <f>ROUND((0.845095477484139),4)</f>
        <v>0.84509999999999996</v>
      </c>
      <c r="F40" s="78">
        <f t="shared" si="9"/>
        <v>1575110.78</v>
      </c>
      <c r="H40" s="47" t="s">
        <v>92</v>
      </c>
    </row>
    <row r="41" spans="1:8" x14ac:dyDescent="0.2">
      <c r="A41" s="63" t="str">
        <f t="shared" si="10"/>
        <v>Large User</v>
      </c>
      <c r="B41" s="64"/>
      <c r="C41" s="77" t="str">
        <f t="shared" si="8"/>
        <v>kW</v>
      </c>
      <c r="D41" s="64">
        <f t="shared" si="8"/>
        <v>70126.589000000007</v>
      </c>
      <c r="E41" s="92">
        <f>ROUND((0.794483802559181),4)</f>
        <v>0.79449999999999998</v>
      </c>
      <c r="F41" s="78">
        <f t="shared" si="9"/>
        <v>55715.57</v>
      </c>
    </row>
    <row r="42" spans="1:8" x14ac:dyDescent="0.2">
      <c r="A42" s="63" t="str">
        <f t="shared" si="10"/>
        <v xml:space="preserve">Streetlights </v>
      </c>
      <c r="B42" s="64"/>
      <c r="C42" s="77" t="str">
        <f t="shared" si="8"/>
        <v>kW</v>
      </c>
      <c r="D42" s="64">
        <f t="shared" si="8"/>
        <v>20391.435300000001</v>
      </c>
      <c r="E42" s="92">
        <f>ROUND((0.514418792183765),4)</f>
        <v>0.51439999999999997</v>
      </c>
      <c r="F42" s="78">
        <f t="shared" si="9"/>
        <v>10489.35</v>
      </c>
    </row>
    <row r="43" spans="1:8" x14ac:dyDescent="0.2">
      <c r="A43" s="63" t="str">
        <f t="shared" si="10"/>
        <v>USL</v>
      </c>
      <c r="B43" s="64"/>
      <c r="C43" s="77" t="str">
        <f t="shared" si="8"/>
        <v>kWh</v>
      </c>
      <c r="D43" s="64">
        <f t="shared" si="8"/>
        <v>4319245.0207000002</v>
      </c>
      <c r="E43" s="92">
        <f>ROUND((0.00150034784128535),4)</f>
        <v>1.5E-3</v>
      </c>
      <c r="F43" s="78">
        <f t="shared" si="9"/>
        <v>6478.87</v>
      </c>
    </row>
    <row r="44" spans="1:8" x14ac:dyDescent="0.2">
      <c r="A44" s="93" t="str">
        <f t="shared" si="10"/>
        <v>Embedded Distributor</v>
      </c>
      <c r="B44" s="94"/>
      <c r="C44" s="95" t="s">
        <v>66</v>
      </c>
      <c r="D44" s="94">
        <f>D33</f>
        <v>43316.19</v>
      </c>
      <c r="E44" s="96">
        <f>ROUND((0.797184170658885),4)</f>
        <v>0.79720000000000002</v>
      </c>
      <c r="F44" s="97">
        <f t="shared" si="9"/>
        <v>34531.67</v>
      </c>
    </row>
    <row r="45" spans="1:8" x14ac:dyDescent="0.2">
      <c r="A45" s="70" t="s">
        <v>68</v>
      </c>
      <c r="B45" s="71"/>
      <c r="C45" s="76"/>
      <c r="D45" s="71"/>
      <c r="E45" s="79"/>
      <c r="F45" s="80">
        <f>ROUND((SUM(F38:F44)),2)</f>
        <v>3030633.03</v>
      </c>
    </row>
    <row r="47" spans="1:8" x14ac:dyDescent="0.2">
      <c r="A47" s="85" t="s">
        <v>75</v>
      </c>
      <c r="B47" s="86"/>
      <c r="C47" s="87" t="s">
        <v>72</v>
      </c>
      <c r="D47" s="88"/>
      <c r="E47" s="89"/>
      <c r="F47" s="86"/>
    </row>
    <row r="48" spans="1:8" x14ac:dyDescent="0.2">
      <c r="A48" s="76" t="s">
        <v>70</v>
      </c>
      <c r="B48" s="91"/>
      <c r="C48" s="90" t="s">
        <v>73</v>
      </c>
      <c r="D48" s="216">
        <f>$D$15</f>
        <v>2020</v>
      </c>
      <c r="E48" s="217"/>
      <c r="F48" s="218"/>
    </row>
    <row r="49" spans="1:12" x14ac:dyDescent="0.2">
      <c r="A49" s="63" t="str">
        <f>+A16</f>
        <v xml:space="preserve">Residential </v>
      </c>
      <c r="B49" s="64"/>
      <c r="C49" s="77" t="s">
        <v>65</v>
      </c>
      <c r="D49" s="64">
        <f>D16</f>
        <v>609123817.02509999</v>
      </c>
      <c r="E49" s="92">
        <v>3.0000000000000001E-3</v>
      </c>
      <c r="F49" s="78">
        <f t="shared" ref="F49:F55" si="11">ROUND((D49*E49),2)</f>
        <v>1827371.45</v>
      </c>
      <c r="L49" s="113"/>
    </row>
    <row r="50" spans="1:12" x14ac:dyDescent="0.2">
      <c r="A50" s="63" t="str">
        <f t="shared" ref="A50:A55" si="12">+A17</f>
        <v>GS&lt;50 kW</v>
      </c>
      <c r="B50" s="64"/>
      <c r="C50" s="77" t="s">
        <v>65</v>
      </c>
      <c r="D50" s="64">
        <f>D17</f>
        <v>208530868.63319999</v>
      </c>
      <c r="E50" s="92">
        <f>+E49</f>
        <v>3.0000000000000001E-3</v>
      </c>
      <c r="F50" s="78">
        <f t="shared" si="11"/>
        <v>625592.61</v>
      </c>
      <c r="L50" s="113"/>
    </row>
    <row r="51" spans="1:12" x14ac:dyDescent="0.2">
      <c r="A51" s="63" t="str">
        <f t="shared" si="12"/>
        <v>GS&gt;50 kW</v>
      </c>
      <c r="B51" s="64"/>
      <c r="C51" s="77" t="s">
        <v>65</v>
      </c>
      <c r="D51" s="64">
        <f>+D18</f>
        <v>735554340.50279999</v>
      </c>
      <c r="E51" s="92">
        <f>+E49</f>
        <v>3.0000000000000001E-3</v>
      </c>
      <c r="F51" s="78">
        <f t="shared" si="11"/>
        <v>2206663.02</v>
      </c>
      <c r="H51" s="47" t="s">
        <v>93</v>
      </c>
      <c r="L51" s="113"/>
    </row>
    <row r="52" spans="1:12" x14ac:dyDescent="0.2">
      <c r="A52" s="63" t="str">
        <f t="shared" si="12"/>
        <v>Large User</v>
      </c>
      <c r="B52" s="64"/>
      <c r="C52" s="77" t="s">
        <v>65</v>
      </c>
      <c r="D52" s="64">
        <f>D19</f>
        <v>35278537.473999999</v>
      </c>
      <c r="E52" s="92">
        <f>+E49</f>
        <v>3.0000000000000001E-3</v>
      </c>
      <c r="F52" s="78">
        <f t="shared" si="11"/>
        <v>105835.61</v>
      </c>
      <c r="L52" s="113"/>
    </row>
    <row r="53" spans="1:12" x14ac:dyDescent="0.2">
      <c r="A53" s="63" t="str">
        <f t="shared" si="12"/>
        <v xml:space="preserve">Streetlights </v>
      </c>
      <c r="B53" s="64"/>
      <c r="C53" s="77" t="s">
        <v>65</v>
      </c>
      <c r="D53" s="64">
        <f>D20</f>
        <v>7562512.7012</v>
      </c>
      <c r="E53" s="92">
        <f>+E49</f>
        <v>3.0000000000000001E-3</v>
      </c>
      <c r="F53" s="78">
        <f t="shared" si="11"/>
        <v>22687.54</v>
      </c>
      <c r="L53" s="113"/>
    </row>
    <row r="54" spans="1:12" x14ac:dyDescent="0.2">
      <c r="A54" s="63" t="str">
        <f t="shared" si="12"/>
        <v>USL</v>
      </c>
      <c r="B54" s="64"/>
      <c r="C54" s="77" t="s">
        <v>65</v>
      </c>
      <c r="D54" s="64">
        <f>D21</f>
        <v>4319245.0207000002</v>
      </c>
      <c r="E54" s="92">
        <f>+E49</f>
        <v>3.0000000000000001E-3</v>
      </c>
      <c r="F54" s="78">
        <f t="shared" si="11"/>
        <v>12957.74</v>
      </c>
      <c r="L54" s="113"/>
    </row>
    <row r="55" spans="1:12" x14ac:dyDescent="0.2">
      <c r="A55" s="69" t="str">
        <f t="shared" si="12"/>
        <v>Embedded Distributor</v>
      </c>
      <c r="B55" s="64"/>
      <c r="C55" s="77" t="s">
        <v>65</v>
      </c>
      <c r="D55" s="64">
        <f>D22</f>
        <v>0</v>
      </c>
      <c r="E55" s="92">
        <f>+E49</f>
        <v>3.0000000000000001E-3</v>
      </c>
      <c r="F55" s="78">
        <f t="shared" si="11"/>
        <v>0</v>
      </c>
    </row>
    <row r="56" spans="1:12" x14ac:dyDescent="0.2">
      <c r="A56" s="70" t="s">
        <v>68</v>
      </c>
      <c r="B56" s="71"/>
      <c r="C56" s="76"/>
      <c r="D56" s="71">
        <f>SUM(D49:D55)</f>
        <v>1600369321.3569999</v>
      </c>
      <c r="E56" s="79"/>
      <c r="F56" s="80">
        <f>SUM(F49:F55)</f>
        <v>4801107.9700000007</v>
      </c>
    </row>
    <row r="58" spans="1:12" x14ac:dyDescent="0.2">
      <c r="A58" s="85" t="s">
        <v>85</v>
      </c>
      <c r="B58" s="86"/>
      <c r="C58" s="87" t="s">
        <v>72</v>
      </c>
      <c r="D58" s="88"/>
      <c r="E58" s="89"/>
      <c r="F58" s="86"/>
    </row>
    <row r="59" spans="1:12" x14ac:dyDescent="0.2">
      <c r="A59" s="76" t="s">
        <v>70</v>
      </c>
      <c r="B59" s="91"/>
      <c r="C59" s="90" t="s">
        <v>73</v>
      </c>
      <c r="D59" s="216">
        <f>$D$15</f>
        <v>2020</v>
      </c>
      <c r="E59" s="217"/>
      <c r="F59" s="218"/>
    </row>
    <row r="60" spans="1:12" x14ac:dyDescent="0.2">
      <c r="A60" s="63" t="str">
        <f>+A16</f>
        <v xml:space="preserve">Residential </v>
      </c>
      <c r="B60" s="64"/>
      <c r="C60" s="77" t="s">
        <v>65</v>
      </c>
      <c r="D60" s="64">
        <f>+D49</f>
        <v>609123817.02509999</v>
      </c>
      <c r="E60" s="92">
        <v>4.0000000000000002E-4</v>
      </c>
      <c r="F60" s="78">
        <f t="shared" ref="F60:F66" si="13">ROUND((D60*E60),2)</f>
        <v>243649.53</v>
      </c>
    </row>
    <row r="61" spans="1:12" x14ac:dyDescent="0.2">
      <c r="A61" s="63" t="str">
        <f t="shared" ref="A61:A66" si="14">+A17</f>
        <v>GS&lt;50 kW</v>
      </c>
      <c r="B61" s="64"/>
      <c r="C61" s="77" t="s">
        <v>65</v>
      </c>
      <c r="D61" s="64">
        <f>+D50</f>
        <v>208530868.63319999</v>
      </c>
      <c r="E61" s="92">
        <f>+E60</f>
        <v>4.0000000000000002E-4</v>
      </c>
      <c r="F61" s="78">
        <f t="shared" si="13"/>
        <v>83412.350000000006</v>
      </c>
    </row>
    <row r="62" spans="1:12" x14ac:dyDescent="0.2">
      <c r="A62" s="63" t="str">
        <f t="shared" si="14"/>
        <v>GS&gt;50 kW</v>
      </c>
      <c r="B62" s="64"/>
      <c r="C62" s="77" t="s">
        <v>65</v>
      </c>
      <c r="D62" s="64">
        <f>+D51-F6</f>
        <v>517505410.18369997</v>
      </c>
      <c r="E62" s="92">
        <f>+E60</f>
        <v>4.0000000000000002E-4</v>
      </c>
      <c r="F62" s="78">
        <f t="shared" si="13"/>
        <v>207002.16</v>
      </c>
      <c r="H62" s="47" t="s">
        <v>93</v>
      </c>
    </row>
    <row r="63" spans="1:12" x14ac:dyDescent="0.2">
      <c r="A63" s="63" t="str">
        <f t="shared" si="14"/>
        <v>Large User</v>
      </c>
      <c r="B63" s="64"/>
      <c r="C63" s="77" t="s">
        <v>65</v>
      </c>
      <c r="D63" s="64">
        <v>0</v>
      </c>
      <c r="E63" s="92">
        <f>+E60</f>
        <v>4.0000000000000002E-4</v>
      </c>
      <c r="F63" s="78">
        <f t="shared" si="13"/>
        <v>0</v>
      </c>
      <c r="H63" t="s">
        <v>175</v>
      </c>
    </row>
    <row r="64" spans="1:12" x14ac:dyDescent="0.2">
      <c r="A64" s="63" t="str">
        <f t="shared" si="14"/>
        <v xml:space="preserve">Streetlights </v>
      </c>
      <c r="B64" s="64"/>
      <c r="C64" s="77" t="s">
        <v>65</v>
      </c>
      <c r="D64" s="64">
        <f>+D53</f>
        <v>7562512.7012</v>
      </c>
      <c r="E64" s="92">
        <f>+E60</f>
        <v>4.0000000000000002E-4</v>
      </c>
      <c r="F64" s="78">
        <f t="shared" si="13"/>
        <v>3025.01</v>
      </c>
    </row>
    <row r="65" spans="1:8" x14ac:dyDescent="0.2">
      <c r="A65" s="63" t="str">
        <f t="shared" si="14"/>
        <v>USL</v>
      </c>
      <c r="B65" s="64"/>
      <c r="C65" s="77" t="s">
        <v>65</v>
      </c>
      <c r="D65" s="64">
        <f>+D54</f>
        <v>4319245.0207000002</v>
      </c>
      <c r="E65" s="92">
        <f>+E60</f>
        <v>4.0000000000000002E-4</v>
      </c>
      <c r="F65" s="78">
        <f t="shared" si="13"/>
        <v>1727.7</v>
      </c>
    </row>
    <row r="66" spans="1:8" x14ac:dyDescent="0.2">
      <c r="A66" s="69" t="str">
        <f t="shared" si="14"/>
        <v>Embedded Distributor</v>
      </c>
      <c r="B66" s="64"/>
      <c r="C66" s="77" t="s">
        <v>65</v>
      </c>
      <c r="D66" s="64">
        <f>+D55</f>
        <v>0</v>
      </c>
      <c r="E66" s="92">
        <f>+E60</f>
        <v>4.0000000000000002E-4</v>
      </c>
      <c r="F66" s="78">
        <f t="shared" si="13"/>
        <v>0</v>
      </c>
    </row>
    <row r="67" spans="1:8" x14ac:dyDescent="0.2">
      <c r="A67" s="70" t="s">
        <v>68</v>
      </c>
      <c r="B67" s="71"/>
      <c r="C67" s="76"/>
      <c r="D67" s="71">
        <f>SUM(D60:D66)</f>
        <v>1347041853.5639</v>
      </c>
      <c r="E67" s="79"/>
      <c r="F67" s="80">
        <f>SUM(F60:F66)</f>
        <v>538816.75</v>
      </c>
    </row>
    <row r="69" spans="1:8" x14ac:dyDescent="0.2">
      <c r="A69" s="85" t="s">
        <v>76</v>
      </c>
      <c r="B69" s="86"/>
      <c r="C69" s="87" t="s">
        <v>72</v>
      </c>
      <c r="D69" s="88"/>
      <c r="E69" s="89"/>
      <c r="F69" s="86"/>
    </row>
    <row r="70" spans="1:8" x14ac:dyDescent="0.2">
      <c r="A70" s="76" t="s">
        <v>70</v>
      </c>
      <c r="B70" s="91"/>
      <c r="C70" s="90" t="s">
        <v>73</v>
      </c>
      <c r="D70" s="219">
        <f>$D$15</f>
        <v>2020</v>
      </c>
      <c r="E70" s="217"/>
      <c r="F70" s="220"/>
    </row>
    <row r="71" spans="1:8" x14ac:dyDescent="0.2">
      <c r="A71" s="63" t="str">
        <f>+A16</f>
        <v xml:space="preserve">Residential </v>
      </c>
      <c r="B71" s="64"/>
      <c r="C71" s="77" t="s">
        <v>65</v>
      </c>
      <c r="D71" s="64">
        <f t="shared" ref="D71:D77" si="15">D49</f>
        <v>609123817.02509999</v>
      </c>
      <c r="E71" s="92">
        <v>5.0000000000000001E-4</v>
      </c>
      <c r="F71" s="78">
        <f t="shared" ref="F71:F77" si="16">ROUND((D71*E71),2)</f>
        <v>304561.90999999997</v>
      </c>
    </row>
    <row r="72" spans="1:8" x14ac:dyDescent="0.2">
      <c r="A72" s="63" t="str">
        <f t="shared" ref="A72:A77" si="17">+A17</f>
        <v>GS&lt;50 kW</v>
      </c>
      <c r="B72" s="64"/>
      <c r="C72" s="77" t="s">
        <v>65</v>
      </c>
      <c r="D72" s="64">
        <f t="shared" si="15"/>
        <v>208530868.63319999</v>
      </c>
      <c r="E72" s="92">
        <f>+E71</f>
        <v>5.0000000000000001E-4</v>
      </c>
      <c r="F72" s="78">
        <f t="shared" si="16"/>
        <v>104265.43</v>
      </c>
      <c r="H72" s="47"/>
    </row>
    <row r="73" spans="1:8" x14ac:dyDescent="0.2">
      <c r="A73" s="63" t="str">
        <f t="shared" si="17"/>
        <v>GS&gt;50 kW</v>
      </c>
      <c r="B73" s="64"/>
      <c r="C73" s="77" t="s">
        <v>65</v>
      </c>
      <c r="D73" s="64">
        <f t="shared" si="15"/>
        <v>735554340.50279999</v>
      </c>
      <c r="E73" s="92">
        <f>+E71</f>
        <v>5.0000000000000001E-4</v>
      </c>
      <c r="F73" s="78">
        <f t="shared" si="16"/>
        <v>367777.17</v>
      </c>
      <c r="H73" s="47" t="s">
        <v>93</v>
      </c>
    </row>
    <row r="74" spans="1:8" x14ac:dyDescent="0.2">
      <c r="A74" s="63" t="str">
        <f t="shared" si="17"/>
        <v>Large User</v>
      </c>
      <c r="B74" s="64"/>
      <c r="C74" s="77" t="s">
        <v>65</v>
      </c>
      <c r="D74" s="64">
        <f t="shared" si="15"/>
        <v>35278537.473999999</v>
      </c>
      <c r="E74" s="92">
        <f>+E71</f>
        <v>5.0000000000000001E-4</v>
      </c>
      <c r="F74" s="78">
        <f t="shared" si="16"/>
        <v>17639.27</v>
      </c>
    </row>
    <row r="75" spans="1:8" x14ac:dyDescent="0.2">
      <c r="A75" s="63" t="str">
        <f t="shared" si="17"/>
        <v xml:space="preserve">Streetlights </v>
      </c>
      <c r="B75" s="64"/>
      <c r="C75" s="77" t="s">
        <v>65</v>
      </c>
      <c r="D75" s="64">
        <f t="shared" si="15"/>
        <v>7562512.7012</v>
      </c>
      <c r="E75" s="92">
        <f>+E71</f>
        <v>5.0000000000000001E-4</v>
      </c>
      <c r="F75" s="78">
        <f t="shared" si="16"/>
        <v>3781.26</v>
      </c>
    </row>
    <row r="76" spans="1:8" x14ac:dyDescent="0.2">
      <c r="A76" s="63" t="str">
        <f t="shared" si="17"/>
        <v>USL</v>
      </c>
      <c r="B76" s="64"/>
      <c r="C76" s="77" t="s">
        <v>65</v>
      </c>
      <c r="D76" s="64">
        <f t="shared" si="15"/>
        <v>4319245.0207000002</v>
      </c>
      <c r="E76" s="92">
        <f>+E71</f>
        <v>5.0000000000000001E-4</v>
      </c>
      <c r="F76" s="78">
        <f t="shared" si="16"/>
        <v>2159.62</v>
      </c>
    </row>
    <row r="77" spans="1:8" x14ac:dyDescent="0.2">
      <c r="A77" s="69" t="str">
        <f t="shared" si="17"/>
        <v>Embedded Distributor</v>
      </c>
      <c r="B77" s="64"/>
      <c r="C77" s="77" t="s">
        <v>65</v>
      </c>
      <c r="D77" s="64">
        <f t="shared" si="15"/>
        <v>0</v>
      </c>
      <c r="E77" s="92">
        <f>+E71</f>
        <v>5.0000000000000001E-4</v>
      </c>
      <c r="F77" s="78">
        <f t="shared" si="16"/>
        <v>0</v>
      </c>
    </row>
    <row r="78" spans="1:8" x14ac:dyDescent="0.2">
      <c r="A78" s="70" t="s">
        <v>68</v>
      </c>
      <c r="B78" s="71"/>
      <c r="C78" s="76"/>
      <c r="D78" s="71">
        <f>SUM(D71:D77)</f>
        <v>1600369321.3569999</v>
      </c>
      <c r="E78" s="79"/>
      <c r="F78" s="80">
        <f>SUM(F71:F77)</f>
        <v>800184.66</v>
      </c>
    </row>
    <row r="80" spans="1:8" x14ac:dyDescent="0.2">
      <c r="A80" s="85" t="s">
        <v>77</v>
      </c>
      <c r="B80" s="86"/>
      <c r="C80" s="98"/>
      <c r="D80" s="88"/>
      <c r="E80" s="89"/>
      <c r="F80" s="86"/>
    </row>
    <row r="81" spans="1:6" x14ac:dyDescent="0.2">
      <c r="A81" s="76" t="s">
        <v>70</v>
      </c>
      <c r="B81" s="91"/>
      <c r="C81" s="99"/>
      <c r="D81" s="219">
        <f>$D$15</f>
        <v>2020</v>
      </c>
      <c r="E81" s="217"/>
      <c r="F81" s="220"/>
    </row>
    <row r="82" spans="1:6" x14ac:dyDescent="0.2">
      <c r="A82" s="63" t="str">
        <f>+A16</f>
        <v xml:space="preserve">Residential </v>
      </c>
      <c r="B82" s="64"/>
      <c r="C82" s="77"/>
      <c r="D82" s="64">
        <f>ROUND((Customer!B15*12),0)</f>
        <v>1078320</v>
      </c>
      <c r="E82" s="92">
        <v>0.56999999999999995</v>
      </c>
      <c r="F82" s="78">
        <f>ROUND((D82*E82),2)</f>
        <v>614642.4</v>
      </c>
    </row>
    <row r="83" spans="1:6" x14ac:dyDescent="0.2">
      <c r="A83" s="63" t="str">
        <f>+A17</f>
        <v>GS&lt;50 kW</v>
      </c>
      <c r="B83" s="64"/>
      <c r="C83" s="77"/>
      <c r="D83" s="64">
        <f>ROUND((Customer!C15*12),0)</f>
        <v>97632</v>
      </c>
      <c r="E83" s="92">
        <f>+E82</f>
        <v>0.56999999999999995</v>
      </c>
      <c r="F83" s="78">
        <f>ROUND((D83*E83),2)</f>
        <v>55650.239999999998</v>
      </c>
    </row>
    <row r="84" spans="1:6" x14ac:dyDescent="0.2">
      <c r="A84" s="70" t="s">
        <v>68</v>
      </c>
      <c r="B84" s="71"/>
      <c r="C84" s="76"/>
      <c r="D84" s="71">
        <f>SUM(D82:D83)</f>
        <v>1175952</v>
      </c>
      <c r="E84" s="79"/>
      <c r="F84" s="80">
        <f>SUM(F82:F83)</f>
        <v>670292.64</v>
      </c>
    </row>
    <row r="85" spans="1:6" x14ac:dyDescent="0.2">
      <c r="A85" s="100"/>
      <c r="B85" s="101">
        <f>$D$15</f>
        <v>2020</v>
      </c>
    </row>
    <row r="86" spans="1:6" x14ac:dyDescent="0.2">
      <c r="A86" s="102" t="s">
        <v>78</v>
      </c>
      <c r="B86" s="103">
        <f>F23</f>
        <v>146224775.28999999</v>
      </c>
      <c r="E86" s="113"/>
    </row>
    <row r="87" spans="1:6" x14ac:dyDescent="0.2">
      <c r="A87" s="102" t="s">
        <v>79</v>
      </c>
      <c r="B87" s="103">
        <f>F56+F67</f>
        <v>5339924.7200000007</v>
      </c>
      <c r="E87" s="177"/>
    </row>
    <row r="88" spans="1:6" x14ac:dyDescent="0.2">
      <c r="A88" s="102" t="s">
        <v>80</v>
      </c>
      <c r="B88" s="103">
        <f>F34</f>
        <v>10455150.789999999</v>
      </c>
    </row>
    <row r="89" spans="1:6" x14ac:dyDescent="0.2">
      <c r="A89" s="102" t="s">
        <v>81</v>
      </c>
      <c r="B89" s="103">
        <f>F45</f>
        <v>3030633.03</v>
      </c>
    </row>
    <row r="90" spans="1:6" x14ac:dyDescent="0.2">
      <c r="A90" s="102" t="s">
        <v>167</v>
      </c>
      <c r="B90" s="103">
        <f>F78</f>
        <v>800184.66</v>
      </c>
      <c r="C90" s="113">
        <f>+B87+B90</f>
        <v>6140109.3800000008</v>
      </c>
    </row>
    <row r="91" spans="1:6" x14ac:dyDescent="0.2">
      <c r="A91" s="104" t="s">
        <v>82</v>
      </c>
      <c r="B91" s="103">
        <f>+F84</f>
        <v>670292.64</v>
      </c>
    </row>
    <row r="92" spans="1:6" x14ac:dyDescent="0.2">
      <c r="A92" s="73" t="s">
        <v>68</v>
      </c>
      <c r="B92" s="80">
        <f>SUM(B86:B91)</f>
        <v>166520961.12999997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3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7" workbookViewId="0">
      <selection activeCell="H77" sqref="H77"/>
    </sheetView>
  </sheetViews>
  <sheetFormatPr defaultRowHeight="12.75" x14ac:dyDescent="0.2"/>
  <cols>
    <col min="1" max="1" width="32.85546875" customWidth="1"/>
    <col min="2" max="2" width="13.5703125" style="10" bestFit="1" customWidth="1"/>
    <col min="3" max="9" width="12.7109375" style="10" bestFit="1" customWidth="1"/>
    <col min="10" max="10" width="13.5703125" style="10" bestFit="1" customWidth="1"/>
    <col min="11" max="13" width="12.7109375" style="10" bestFit="1" customWidth="1"/>
    <col min="15" max="16" width="12.7109375" bestFit="1" customWidth="1"/>
  </cols>
  <sheetData>
    <row r="1" spans="1:16" ht="15.75" x14ac:dyDescent="0.25">
      <c r="A1" s="227" t="s">
        <v>116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3" spans="1:16" ht="38.25" x14ac:dyDescent="0.2">
      <c r="B3" s="125" t="s">
        <v>117</v>
      </c>
      <c r="C3" s="125" t="s">
        <v>118</v>
      </c>
      <c r="D3" s="125" t="s">
        <v>119</v>
      </c>
      <c r="E3" s="125" t="s">
        <v>120</v>
      </c>
      <c r="F3" s="125" t="s">
        <v>121</v>
      </c>
      <c r="G3" s="125" t="s">
        <v>122</v>
      </c>
      <c r="H3" s="125" t="s">
        <v>123</v>
      </c>
      <c r="I3" s="125" t="s">
        <v>124</v>
      </c>
      <c r="J3" s="125" t="s">
        <v>125</v>
      </c>
      <c r="K3" s="125" t="s">
        <v>126</v>
      </c>
      <c r="L3" s="118" t="s">
        <v>104</v>
      </c>
      <c r="M3" s="118" t="s">
        <v>105</v>
      </c>
    </row>
    <row r="4" spans="1:16" x14ac:dyDescent="0.2">
      <c r="A4" s="40" t="s">
        <v>97</v>
      </c>
      <c r="B4" s="119">
        <f>+Power!G149</f>
        <v>1751668333.3956001</v>
      </c>
      <c r="C4" s="119">
        <f>+Power!G150</f>
        <v>1809133137.1482</v>
      </c>
      <c r="D4" s="119">
        <f>+Power!G151</f>
        <v>1806469117.1526</v>
      </c>
      <c r="E4" s="119">
        <f>+Power!G152</f>
        <v>1788130210.8001001</v>
      </c>
      <c r="F4" s="119">
        <f>+Power!G153</f>
        <v>1767111644.0683</v>
      </c>
      <c r="G4" s="119">
        <f>+Power!G154</f>
        <v>1747854269.7760999</v>
      </c>
      <c r="H4" s="119">
        <f>+Power!G155</f>
        <v>1721475355.8073001</v>
      </c>
      <c r="I4" s="119">
        <f>+Power!G156</f>
        <v>1711251209.911</v>
      </c>
      <c r="J4" s="119">
        <f>+Power!G157</f>
        <v>1628897149.1531</v>
      </c>
      <c r="K4" s="119">
        <f>+Power!G158</f>
        <v>1857049843.3989</v>
      </c>
    </row>
    <row r="5" spans="1:16" x14ac:dyDescent="0.2">
      <c r="A5" s="40" t="s">
        <v>98</v>
      </c>
      <c r="B5" s="119">
        <f>+Power!N149</f>
        <v>1788850575.6854</v>
      </c>
      <c r="C5" s="119">
        <f>+Power!N150</f>
        <v>1809418735.0629001</v>
      </c>
      <c r="D5" s="119">
        <f>+Power!N151</f>
        <v>1788430284.4275</v>
      </c>
      <c r="E5" s="119">
        <f>+Power!N152</f>
        <v>1769998554.4463</v>
      </c>
      <c r="F5" s="119">
        <f>+Power!N153</f>
        <v>1757127461.8122001</v>
      </c>
      <c r="G5" s="119">
        <f>+Power!N154</f>
        <v>1727499485.0481</v>
      </c>
      <c r="H5" s="119">
        <f>+Power!N155</f>
        <v>1716363012.444</v>
      </c>
      <c r="I5" s="119">
        <f>+Power!N156</f>
        <v>1720762663.3994999</v>
      </c>
      <c r="J5" s="119">
        <f>+Power!N157</f>
        <v>1653539654.8863001</v>
      </c>
      <c r="K5" s="119">
        <f>+Power!N158</f>
        <v>1696397549.7090001</v>
      </c>
      <c r="L5" s="119">
        <f>+Power!N159</f>
        <v>1644972502.0639999</v>
      </c>
      <c r="M5" s="119">
        <f>+Power!N160</f>
        <v>1632949447.0381999</v>
      </c>
    </row>
    <row r="6" spans="1:16" x14ac:dyDescent="0.2">
      <c r="A6" s="40" t="s">
        <v>96</v>
      </c>
      <c r="B6" s="126">
        <f>ROUND(((B5-B4)/B4),4)</f>
        <v>2.12E-2</v>
      </c>
      <c r="C6" s="126">
        <f t="shared" ref="C6:K6" si="0">ROUND(((C5-C4)/C4),4)</f>
        <v>2.0000000000000001E-4</v>
      </c>
      <c r="D6" s="126">
        <f t="shared" si="0"/>
        <v>-0.01</v>
      </c>
      <c r="E6" s="126">
        <f t="shared" si="0"/>
        <v>-1.01E-2</v>
      </c>
      <c r="F6" s="126">
        <f t="shared" si="0"/>
        <v>-5.7000000000000002E-3</v>
      </c>
      <c r="G6" s="126">
        <f t="shared" si="0"/>
        <v>-1.1599999999999999E-2</v>
      </c>
      <c r="H6" s="126">
        <f t="shared" si="0"/>
        <v>-3.0000000000000001E-3</v>
      </c>
      <c r="I6" s="126">
        <f t="shared" si="0"/>
        <v>5.5999999999999999E-3</v>
      </c>
      <c r="J6" s="126">
        <f t="shared" si="0"/>
        <v>1.5100000000000001E-2</v>
      </c>
      <c r="K6" s="126">
        <f t="shared" si="0"/>
        <v>-8.6499999999999994E-2</v>
      </c>
      <c r="L6" s="120"/>
      <c r="M6" s="120"/>
      <c r="N6" s="121"/>
    </row>
    <row r="7" spans="1:16" x14ac:dyDescent="0.2">
      <c r="B7"/>
      <c r="C7"/>
      <c r="D7"/>
      <c r="E7"/>
      <c r="F7"/>
      <c r="G7"/>
      <c r="H7"/>
      <c r="I7"/>
      <c r="J7"/>
      <c r="L7"/>
      <c r="M7"/>
    </row>
    <row r="8" spans="1:16" x14ac:dyDescent="0.2">
      <c r="A8" s="40" t="s">
        <v>106</v>
      </c>
      <c r="B8" s="119">
        <f>+Energy!E6</f>
        <v>1777401233</v>
      </c>
      <c r="C8" s="119">
        <f>+Energy!E7</f>
        <v>1829500492</v>
      </c>
      <c r="D8" s="119">
        <f>+Energy!E8</f>
        <v>1833881352</v>
      </c>
      <c r="E8" s="119">
        <f>+Energy!E9</f>
        <v>1825234090</v>
      </c>
      <c r="F8" s="119">
        <f>+Energy!E10</f>
        <v>1813262316.5969999</v>
      </c>
      <c r="G8" s="119">
        <f>+Energy!E11</f>
        <v>1803531650.6849</v>
      </c>
      <c r="H8" s="119">
        <f>+Energy!E12</f>
        <v>1762488283.8699999</v>
      </c>
      <c r="I8" s="119">
        <f>+Energy!E13</f>
        <v>1765790195.1571</v>
      </c>
      <c r="J8" s="119">
        <f>+Energy!E14</f>
        <v>1709004939.8992</v>
      </c>
      <c r="K8" s="119">
        <f>+Energy!E15</f>
        <v>1805957382.2454</v>
      </c>
      <c r="L8" s="119">
        <f>+Energy!E16</f>
        <v>1593656754.5669</v>
      </c>
      <c r="M8" s="119">
        <f>+Energy!E17</f>
        <v>1582008764.8113</v>
      </c>
      <c r="N8" s="121"/>
      <c r="O8" s="72"/>
      <c r="P8" s="72"/>
    </row>
    <row r="9" spans="1:16" x14ac:dyDescent="0.2">
      <c r="A9" s="40"/>
      <c r="F9" s="122"/>
      <c r="G9" s="122"/>
      <c r="H9" s="122"/>
      <c r="I9" s="122"/>
    </row>
    <row r="10" spans="1:16" ht="15.75" x14ac:dyDescent="0.25">
      <c r="A10" s="123" t="s">
        <v>107</v>
      </c>
    </row>
    <row r="11" spans="1:16" x14ac:dyDescent="0.2">
      <c r="A11" s="124" t="s">
        <v>42</v>
      </c>
    </row>
    <row r="12" spans="1:16" x14ac:dyDescent="0.2">
      <c r="A12" t="s">
        <v>99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100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586614827.59850001</v>
      </c>
      <c r="M13" s="1">
        <f>+Energy!H84</f>
        <v>588582294.93200004</v>
      </c>
      <c r="O13" s="47"/>
    </row>
    <row r="14" spans="1:16" x14ac:dyDescent="0.2">
      <c r="J14" s="121"/>
      <c r="L14" s="120"/>
      <c r="M14" s="120"/>
    </row>
    <row r="15" spans="1:16" x14ac:dyDescent="0.2">
      <c r="A15" s="124" t="s">
        <v>43</v>
      </c>
    </row>
    <row r="16" spans="1:16" x14ac:dyDescent="0.2">
      <c r="A16" t="s">
        <v>99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100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204392128.9233</v>
      </c>
      <c r="M17" s="1">
        <f>+Energy!I84</f>
        <v>201498568.58939999</v>
      </c>
    </row>
    <row r="18" spans="1:13" x14ac:dyDescent="0.2">
      <c r="J18" s="121"/>
      <c r="L18" s="120"/>
      <c r="M18" s="120"/>
    </row>
    <row r="19" spans="1:13" x14ac:dyDescent="0.2">
      <c r="A19" s="124" t="s">
        <v>44</v>
      </c>
      <c r="L19" s="1"/>
      <c r="M19" s="1"/>
    </row>
    <row r="20" spans="1:13" x14ac:dyDescent="0.2">
      <c r="A20" t="s">
        <v>99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100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746674324.54809999</v>
      </c>
      <c r="M21" s="1">
        <f>+Energy!J84+Energy!K84+Energy!L84</f>
        <v>721863174.76679993</v>
      </c>
    </row>
    <row r="22" spans="1:13" x14ac:dyDescent="0.2">
      <c r="A22" t="s">
        <v>101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1927484.7904000001</v>
      </c>
      <c r="M22" s="1">
        <f>+Load!B14+Load!C14+Load!D14</f>
        <v>1863815.8533000001</v>
      </c>
    </row>
    <row r="23" spans="1:13" x14ac:dyDescent="0.2">
      <c r="J23" s="121"/>
      <c r="L23" s="120"/>
      <c r="M23" s="120"/>
    </row>
    <row r="24" spans="1:13" x14ac:dyDescent="0.2">
      <c r="A24" s="124" t="s">
        <v>45</v>
      </c>
      <c r="L24" s="1"/>
      <c r="M24" s="1"/>
    </row>
    <row r="25" spans="1:13" x14ac:dyDescent="0.2">
      <c r="A25" t="s">
        <v>99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100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6">
        <f>+Energy!M83</f>
        <v>34219938.542199999</v>
      </c>
      <c r="M26" s="36">
        <f>+Energy!M84</f>
        <v>35092546.975000001</v>
      </c>
    </row>
    <row r="27" spans="1:13" x14ac:dyDescent="0.2">
      <c r="A27" t="s">
        <v>101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J28" s="121"/>
      <c r="L28" s="120"/>
      <c r="M28" s="120"/>
    </row>
    <row r="29" spans="1:13" x14ac:dyDescent="0.2">
      <c r="A29" s="124" t="s">
        <v>46</v>
      </c>
      <c r="L29" s="1"/>
      <c r="M29" s="1"/>
    </row>
    <row r="30" spans="1:13" x14ac:dyDescent="0.2">
      <c r="A30" t="s">
        <v>108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100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41">
        <f>+Energy!N83</f>
        <v>7386896.2983999997</v>
      </c>
      <c r="M31" s="141">
        <f>+Energy!N84</f>
        <v>7307481.5936000003</v>
      </c>
    </row>
    <row r="32" spans="1:13" x14ac:dyDescent="0.2">
      <c r="A32" t="s">
        <v>101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4" t="s">
        <v>47</v>
      </c>
      <c r="L34" s="1"/>
      <c r="M34" s="1"/>
    </row>
    <row r="35" spans="1:13" x14ac:dyDescent="0.2">
      <c r="A35" t="s">
        <v>108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100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L37" s="1"/>
      <c r="M37" s="1"/>
    </row>
    <row r="38" spans="1:13" x14ac:dyDescent="0.2">
      <c r="A38" s="124" t="s">
        <v>61</v>
      </c>
      <c r="K38"/>
      <c r="L38" s="1"/>
      <c r="M38" s="1"/>
    </row>
    <row r="39" spans="1:13" x14ac:dyDescent="0.2">
      <c r="A39" t="s">
        <v>99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100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101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4" t="s">
        <v>109</v>
      </c>
      <c r="B43" s="1"/>
      <c r="C43" s="1"/>
      <c r="D43" s="1"/>
      <c r="E43" s="1"/>
      <c r="F43" s="1"/>
      <c r="G43" s="1"/>
      <c r="H43" s="1"/>
      <c r="J43" s="1"/>
    </row>
    <row r="44" spans="1:13" x14ac:dyDescent="0.2">
      <c r="A44" t="s">
        <v>102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100247</v>
      </c>
      <c r="M44" s="1">
        <f t="shared" si="1"/>
        <v>101586</v>
      </c>
    </row>
    <row r="45" spans="1:13" x14ac:dyDescent="0.2">
      <c r="A45" t="s">
        <v>100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1583379393.4556999</v>
      </c>
      <c r="M45" s="1">
        <f t="shared" si="2"/>
        <v>1558517653.6968</v>
      </c>
    </row>
    <row r="46" spans="1:13" x14ac:dyDescent="0.2">
      <c r="A46" t="s">
        <v>103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2016480.66</v>
      </c>
      <c r="M46" s="1">
        <f t="shared" si="3"/>
        <v>1954333.88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4" t="s">
        <v>110</v>
      </c>
      <c r="B48" s="1"/>
      <c r="C48" s="1"/>
      <c r="D48" s="1"/>
      <c r="E48" s="1"/>
      <c r="F48" s="1"/>
      <c r="G48" s="1"/>
      <c r="H48" s="1"/>
      <c r="J48" s="1"/>
    </row>
    <row r="49" spans="1:13" x14ac:dyDescent="0.2">
      <c r="A49" t="s">
        <v>102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100248</v>
      </c>
      <c r="M49" s="1">
        <f t="shared" si="4"/>
        <v>101587</v>
      </c>
    </row>
    <row r="50" spans="1:13" x14ac:dyDescent="0.2">
      <c r="A50" t="s">
        <v>100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1602432422.4856999</v>
      </c>
      <c r="M50" s="1">
        <f t="shared" si="5"/>
        <v>1577570682.7268</v>
      </c>
    </row>
    <row r="51" spans="1:13" x14ac:dyDescent="0.2">
      <c r="A51" t="s">
        <v>103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2059796.85</v>
      </c>
      <c r="M51" s="1">
        <f t="shared" si="6"/>
        <v>1997650.07</v>
      </c>
    </row>
    <row r="53" spans="1:13" x14ac:dyDescent="0.2">
      <c r="A53" s="124" t="s">
        <v>111</v>
      </c>
      <c r="L53" s="1"/>
      <c r="M53" s="1"/>
    </row>
    <row r="54" spans="1:13" x14ac:dyDescent="0.2">
      <c r="A54" t="s">
        <v>102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100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1593656754.5669</v>
      </c>
      <c r="M55" s="1">
        <f>ROUND((Energy!P64),0)</f>
        <v>1582008765</v>
      </c>
    </row>
    <row r="56" spans="1:13" x14ac:dyDescent="0.2">
      <c r="A56" t="s">
        <v>103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2016480.66</v>
      </c>
      <c r="M56" s="1">
        <f>ROUND((Load!G14),2)</f>
        <v>1954333.88</v>
      </c>
    </row>
    <row r="58" spans="1:13" x14ac:dyDescent="0.2">
      <c r="A58" s="124" t="s">
        <v>112</v>
      </c>
      <c r="L58" s="1"/>
      <c r="M58" s="1"/>
    </row>
    <row r="59" spans="1:13" x14ac:dyDescent="0.2">
      <c r="A59" t="s">
        <v>102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100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1602432422.4856999</v>
      </c>
      <c r="M60" s="1">
        <f>ROUND((Energy!P84+ED!C13),4)</f>
        <v>1577570682.7268</v>
      </c>
    </row>
    <row r="61" spans="1:13" x14ac:dyDescent="0.2">
      <c r="A61" t="s">
        <v>103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2059796.85</v>
      </c>
      <c r="M61" s="1">
        <f>ROUND((Load!G14+ED!B14),2)</f>
        <v>1997650.07</v>
      </c>
    </row>
    <row r="63" spans="1:13" x14ac:dyDescent="0.2">
      <c r="A63" s="124" t="s">
        <v>113</v>
      </c>
      <c r="B63" s="1"/>
      <c r="C63" s="1"/>
      <c r="D63" s="1"/>
      <c r="E63" s="1"/>
      <c r="F63" s="1"/>
      <c r="G63" s="1"/>
      <c r="H63" s="1"/>
      <c r="I63" s="1"/>
      <c r="J63" s="1"/>
      <c r="L63" s="1"/>
      <c r="M63" s="1"/>
    </row>
    <row r="64" spans="1:13" x14ac:dyDescent="0.2">
      <c r="A64" t="s">
        <v>102</v>
      </c>
      <c r="B64" s="28">
        <f>ROUND((B49-B59),0)</f>
        <v>0</v>
      </c>
      <c r="C64" s="28">
        <f t="shared" ref="C64:M64" si="7">ROUND((C49-C59),0)</f>
        <v>0</v>
      </c>
      <c r="D64" s="28">
        <f t="shared" si="7"/>
        <v>0</v>
      </c>
      <c r="E64" s="28">
        <f t="shared" si="7"/>
        <v>0</v>
      </c>
      <c r="F64" s="28">
        <f t="shared" si="7"/>
        <v>0</v>
      </c>
      <c r="G64" s="28">
        <f t="shared" si="7"/>
        <v>0</v>
      </c>
      <c r="H64" s="28">
        <f t="shared" si="7"/>
        <v>0</v>
      </c>
      <c r="I64" s="28">
        <f t="shared" si="7"/>
        <v>0</v>
      </c>
      <c r="J64" s="28">
        <f t="shared" si="7"/>
        <v>0</v>
      </c>
      <c r="K64" s="28">
        <f t="shared" si="7"/>
        <v>0</v>
      </c>
      <c r="L64" s="28">
        <f t="shared" si="7"/>
        <v>0</v>
      </c>
      <c r="M64" s="28">
        <f t="shared" si="7"/>
        <v>0</v>
      </c>
    </row>
    <row r="65" spans="1:16" x14ac:dyDescent="0.2">
      <c r="A65" t="s">
        <v>100</v>
      </c>
      <c r="B65" s="28">
        <f>ROUND((B50-B60),4)</f>
        <v>0</v>
      </c>
      <c r="C65" s="28">
        <f t="shared" ref="C65:M65" si="8">ROUND((C50-C60),4)</f>
        <v>0</v>
      </c>
      <c r="D65" s="28">
        <f t="shared" si="8"/>
        <v>0</v>
      </c>
      <c r="E65" s="28">
        <f t="shared" si="8"/>
        <v>0</v>
      </c>
      <c r="F65" s="28">
        <f t="shared" si="8"/>
        <v>0</v>
      </c>
      <c r="G65" s="28">
        <f t="shared" si="8"/>
        <v>0</v>
      </c>
      <c r="H65" s="28">
        <f t="shared" si="8"/>
        <v>0</v>
      </c>
      <c r="I65" s="28">
        <f t="shared" si="8"/>
        <v>0</v>
      </c>
      <c r="J65" s="28">
        <f t="shared" si="8"/>
        <v>0</v>
      </c>
      <c r="K65" s="28">
        <f t="shared" si="8"/>
        <v>0</v>
      </c>
      <c r="L65" s="28">
        <f t="shared" si="8"/>
        <v>0</v>
      </c>
      <c r="M65" s="28">
        <f t="shared" si="8"/>
        <v>0</v>
      </c>
    </row>
    <row r="66" spans="1:16" x14ac:dyDescent="0.2">
      <c r="A66" t="s">
        <v>103</v>
      </c>
      <c r="B66" s="28">
        <f>ROUND((B51-B61),2)</f>
        <v>0</v>
      </c>
      <c r="C66" s="28">
        <f t="shared" ref="C66:M66" si="9">ROUND((C51-C61),2)</f>
        <v>0</v>
      </c>
      <c r="D66" s="28">
        <f t="shared" si="9"/>
        <v>0</v>
      </c>
      <c r="E66" s="28">
        <f t="shared" si="9"/>
        <v>0</v>
      </c>
      <c r="F66" s="28">
        <f t="shared" si="9"/>
        <v>0</v>
      </c>
      <c r="G66" s="28">
        <f t="shared" si="9"/>
        <v>0</v>
      </c>
      <c r="H66" s="28">
        <f t="shared" si="9"/>
        <v>0</v>
      </c>
      <c r="I66" s="28">
        <f t="shared" si="9"/>
        <v>0</v>
      </c>
      <c r="J66" s="28">
        <f t="shared" si="9"/>
        <v>0</v>
      </c>
      <c r="K66" s="28">
        <f t="shared" si="9"/>
        <v>0</v>
      </c>
      <c r="L66" s="28">
        <f t="shared" si="9"/>
        <v>0</v>
      </c>
      <c r="M66" s="28">
        <f t="shared" si="9"/>
        <v>0</v>
      </c>
    </row>
    <row r="69" spans="1:16" x14ac:dyDescent="0.2">
      <c r="B69" s="118">
        <v>2009</v>
      </c>
      <c r="C69" s="118">
        <v>2010</v>
      </c>
      <c r="D69" s="118">
        <v>2011</v>
      </c>
      <c r="E69" s="62">
        <v>2012</v>
      </c>
      <c r="F69" s="118">
        <v>2013</v>
      </c>
      <c r="G69" s="118">
        <v>2014</v>
      </c>
      <c r="H69" s="118">
        <v>2015</v>
      </c>
      <c r="I69" s="62">
        <v>2016</v>
      </c>
      <c r="J69" s="118">
        <v>2017</v>
      </c>
      <c r="K69" s="118">
        <v>2018</v>
      </c>
      <c r="L69" s="118">
        <v>2019</v>
      </c>
      <c r="M69" s="62">
        <v>2020</v>
      </c>
      <c r="P69" s="10"/>
    </row>
    <row r="70" spans="1:16" x14ac:dyDescent="0.2">
      <c r="A70" t="s">
        <v>114</v>
      </c>
      <c r="B70" s="53">
        <f t="shared" ref="B70:E71" si="10">B4/1000000</f>
        <v>1751.6683333956</v>
      </c>
      <c r="C70" s="53">
        <f t="shared" si="10"/>
        <v>1809.1331371482001</v>
      </c>
      <c r="D70" s="53">
        <f t="shared" si="10"/>
        <v>1806.4691171526001</v>
      </c>
      <c r="E70" s="53">
        <f t="shared" si="10"/>
        <v>1788.1302108001</v>
      </c>
      <c r="F70" s="53">
        <f t="shared" ref="F70:J71" si="11">F4/1000000</f>
        <v>1767.1116440682999</v>
      </c>
      <c r="G70" s="53">
        <f t="shared" si="11"/>
        <v>1747.8542697761</v>
      </c>
      <c r="H70" s="53">
        <f t="shared" si="11"/>
        <v>1721.4753558073</v>
      </c>
      <c r="I70" s="53">
        <f t="shared" si="11"/>
        <v>1711.2512099109999</v>
      </c>
      <c r="J70" s="53">
        <f t="shared" si="11"/>
        <v>1628.8971491530999</v>
      </c>
      <c r="K70" s="53">
        <f>K4/1000000</f>
        <v>1857.0498433989001</v>
      </c>
      <c r="L70" s="53"/>
      <c r="M70" s="53"/>
      <c r="P70" s="10"/>
    </row>
    <row r="71" spans="1:16" x14ac:dyDescent="0.2">
      <c r="A71" t="s">
        <v>115</v>
      </c>
      <c r="B71" s="53">
        <f t="shared" si="10"/>
        <v>1788.8505756853999</v>
      </c>
      <c r="C71" s="53">
        <f t="shared" si="10"/>
        <v>1809.4187350629002</v>
      </c>
      <c r="D71" s="53">
        <f t="shared" si="10"/>
        <v>1788.4302844275001</v>
      </c>
      <c r="E71" s="53">
        <f t="shared" si="10"/>
        <v>1769.9985544463</v>
      </c>
      <c r="F71" s="53">
        <f t="shared" si="11"/>
        <v>1757.1274618122002</v>
      </c>
      <c r="G71" s="53">
        <f t="shared" si="11"/>
        <v>1727.4994850481</v>
      </c>
      <c r="H71" s="53">
        <f t="shared" si="11"/>
        <v>1716.3630124440001</v>
      </c>
      <c r="I71" s="53">
        <f t="shared" si="11"/>
        <v>1720.7626633994998</v>
      </c>
      <c r="J71" s="53">
        <f t="shared" si="11"/>
        <v>1653.5396548863</v>
      </c>
      <c r="K71" s="53">
        <f>K5/1000000</f>
        <v>1696.397549709</v>
      </c>
      <c r="L71" s="53">
        <f>L5/1000000</f>
        <v>1644.9725020639999</v>
      </c>
      <c r="M71" s="53">
        <f>M5/1000000</f>
        <v>1632.9494470381999</v>
      </c>
      <c r="P71" s="10"/>
    </row>
    <row r="75" spans="1:16" x14ac:dyDescent="0.2">
      <c r="B75"/>
    </row>
  </sheetData>
  <mergeCells count="1">
    <mergeCell ref="A1:M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2b77ee51-2d1b-440f-b1c5-6bf38323b71d">
      <Value>3 Load Forecast (Other Revenue)</Value>
    </Exhibit>
    <j60eba9998ef4b3ea7f9121ad0384271 xmlns="2b77ee51-2d1b-440f-b1c5-6bf38323b7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4e588e09-a878-4501-9337-f75ecb97c25f</TermId>
        </TermInfo>
      </Terms>
    </j60eba9998ef4b3ea7f9121ad0384271>
    <TaxCatchAll xmlns="d0012f55-c530-43d5-97ec-29547c6a9aa9">
      <Value>1</Value>
    </TaxCatchAll>
    <Topic xmlns="2b77ee51-2d1b-440f-b1c5-6bf38323b71d">Load Forecast</Topic>
    <Category xmlns="2b77ee51-2d1b-440f-b1c5-6bf38323b71d">Application</Category>
    <SharedWithUsers xmlns="badf76cf-6749-4566-8a2a-e6e61410397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26CA00A7BB499AB0E598C7FD0619" ma:contentTypeVersion="7" ma:contentTypeDescription="Create a new document." ma:contentTypeScope="" ma:versionID="6dcc8b88ad0bd60ba4241a12272f3cc1">
  <xsd:schema xmlns:xsd="http://www.w3.org/2001/XMLSchema" xmlns:xs="http://www.w3.org/2001/XMLSchema" xmlns:p="http://schemas.microsoft.com/office/2006/metadata/properties" xmlns:ns2="2b77ee51-2d1b-440f-b1c5-6bf38323b71d" xmlns:ns3="d0012f55-c530-43d5-97ec-29547c6a9aa9" xmlns:ns4="badf76cf-6749-4566-8a2a-e6e614103977" targetNamespace="http://schemas.microsoft.com/office/2006/metadata/properties" ma:root="true" ma:fieldsID="390f98acc2d9348b55a843101a170aec" ns2:_="" ns3:_="" ns4:_="">
    <xsd:import namespace="2b77ee51-2d1b-440f-b1c5-6bf38323b71d"/>
    <xsd:import namespace="d0012f55-c530-43d5-97ec-29547c6a9aa9"/>
    <xsd:import namespace="badf76cf-6749-4566-8a2a-e6e614103977"/>
    <xsd:element name="properties">
      <xsd:complexType>
        <xsd:sequence>
          <xsd:element name="documentManagement">
            <xsd:complexType>
              <xsd:all>
                <xsd:element ref="ns2:j60eba9998ef4b3ea7f9121ad0384271" minOccurs="0"/>
                <xsd:element ref="ns3:TaxCatchAll" minOccurs="0"/>
                <xsd:element ref="ns2:Exhibit" minOccurs="0"/>
                <xsd:element ref="ns2:Category"/>
                <xsd:element ref="ns4:SharedWithUsers" minOccurs="0"/>
                <xsd:element ref="ns2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ee51-2d1b-440f-b1c5-6bf38323b71d" elementFormDefault="qualified">
    <xsd:import namespace="http://schemas.microsoft.com/office/2006/documentManagement/types"/>
    <xsd:import namespace="http://schemas.microsoft.com/office/infopath/2007/PartnerControls"/>
    <xsd:element name="j60eba9998ef4b3ea7f9121ad0384271" ma:index="9" ma:taxonomy="true" ma:internalName="j60eba9998ef4b3ea7f9121ad0384271" ma:taxonomyFieldName="Year" ma:displayName="Year" ma:default="1;#2018|4e588e09-a878-4501-9337-f75ecb97c25f" ma:fieldId="{360eba99-98ef-4b3e-a7f9-121ad0384271}" ma:sspId="34860b03-dfb1-4905-81d3-8bcae4ca1e22" ma:termSetId="fa81990e-a904-40e7-8371-c1d97e8641a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default="1 Administratio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default="Application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4" ma:displayName="Topic" ma:default="N/A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2f55-c530-43d5-97ec-29547c6a9aa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bb37acec-9924-4ac4-9ba8-0b18d3b7952b}" ma:internalName="TaxCatchAll" ma:showField="CatchAllData" ma:web="badf76cf-6749-4566-8a2a-e6e614103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f76cf-6749-4566-8a2a-e6e614103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56D24-7DF5-48D2-AA8B-45999B692417}">
  <ds:schemaRefs>
    <ds:schemaRef ds:uri="http://schemas.openxmlformats.org/package/2006/metadata/core-properties"/>
    <ds:schemaRef ds:uri="2b77ee51-2d1b-440f-b1c5-6bf38323b71d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badf76cf-6749-4566-8a2a-e6e614103977"/>
    <ds:schemaRef ds:uri="http://schemas.microsoft.com/office/2006/documentManagement/types"/>
    <ds:schemaRef ds:uri="d0012f55-c530-43d5-97ec-29547c6a9aa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F8C30-BA02-4663-A4E0-B7A1C6D4B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ee51-2d1b-440f-b1c5-6bf38323b71d"/>
    <ds:schemaRef ds:uri="d0012f55-c530-43d5-97ec-29547c6a9aa9"/>
    <ds:schemaRef ds:uri="badf76cf-6749-4566-8a2a-e6e61410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Power</vt:lpstr>
      <vt:lpstr>Energy</vt:lpstr>
      <vt:lpstr>Sheet1</vt:lpstr>
      <vt:lpstr>Customer</vt:lpstr>
      <vt:lpstr>ED</vt:lpstr>
      <vt:lpstr>Load</vt:lpstr>
      <vt:lpstr>19COP-Z</vt:lpstr>
      <vt:lpstr>20COP-Z</vt:lpstr>
      <vt:lpstr>Summary</vt:lpstr>
      <vt:lpstr>CDM</vt:lpstr>
      <vt:lpstr>'20COP-Z'!Print_Area</vt:lpstr>
      <vt:lpstr>Power!Print_Titles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creator>Bruce Bacon</dc:creator>
  <cp:lastModifiedBy>Blakeman, Kelly</cp:lastModifiedBy>
  <cp:lastPrinted>2019-07-17T13:01:04Z</cp:lastPrinted>
  <dcterms:created xsi:type="dcterms:W3CDTF">2008-02-06T18:24:44Z</dcterms:created>
  <dcterms:modified xsi:type="dcterms:W3CDTF">2019-07-22T13:59:09Z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0x01010002C226CA00A7BB499AB0E598C7FD0619</vt:lpwstr>
  </property>
  <property fmtid="{D5CDD505-2E9C-101B-9397-08002B2CF9AE}" pid="4" name="Year">
    <vt:lpwstr>1;#2018|4e588e09-a878-4501-9337-f75ecb97c25f</vt:lpwstr>
  </property>
</Properties>
</file>