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8_{2AEC8985-0C4C-466D-9B7E-2B8EFE38BEA6}" xr6:coauthVersionLast="43" xr6:coauthVersionMax="43" xr10:uidLastSave="{00000000-0000-0000-0000-000000000000}"/>
  <bookViews>
    <workbookView xWindow="-120" yWindow="-120" windowWidth="24240" windowHeight="13290" tabRatio="936" activeTab="4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64" l="1"/>
  <c r="J11" i="64"/>
  <c r="J10" i="64"/>
  <c r="J9" i="64"/>
  <c r="J8" i="64"/>
  <c r="J7" i="64"/>
  <c r="J6" i="64"/>
  <c r="J5" i="64"/>
  <c r="J4" i="64"/>
  <c r="J3" i="64"/>
  <c r="J13" i="64" l="1"/>
  <c r="J14" i="64" s="1"/>
  <c r="M33" i="62"/>
  <c r="M50" i="62"/>
  <c r="D18" i="62" l="1"/>
  <c r="Z15" i="62" l="1"/>
  <c r="Z14" i="62"/>
  <c r="Z13" i="62"/>
  <c r="Z12" i="62"/>
  <c r="Z11" i="62"/>
  <c r="Y15" i="62"/>
  <c r="Y14" i="62"/>
  <c r="Y13" i="62"/>
  <c r="Y12" i="62"/>
  <c r="Y11" i="62"/>
  <c r="X15" i="62"/>
  <c r="X14" i="62"/>
  <c r="X13" i="62"/>
  <c r="X12" i="62"/>
  <c r="X11" i="62"/>
  <c r="W15" i="62"/>
  <c r="W14" i="62"/>
  <c r="W13" i="62"/>
  <c r="W12" i="62"/>
  <c r="W11" i="62"/>
  <c r="V15" i="62"/>
  <c r="V14" i="62"/>
  <c r="V13" i="62"/>
  <c r="V12" i="62"/>
  <c r="V11" i="62"/>
  <c r="U15" i="62"/>
  <c r="U14" i="62"/>
  <c r="U13" i="62"/>
  <c r="U12" i="62"/>
  <c r="U11" i="62"/>
  <c r="T15" i="62"/>
  <c r="T14" i="62"/>
  <c r="T13" i="62"/>
  <c r="T12" i="62"/>
  <c r="T11" i="62"/>
  <c r="S15" i="62"/>
  <c r="S14" i="62"/>
  <c r="S13" i="62"/>
  <c r="S12" i="62"/>
  <c r="S11" i="62"/>
  <c r="R15" i="62"/>
  <c r="R14" i="62"/>
  <c r="R13" i="62"/>
  <c r="R12" i="62"/>
  <c r="R11" i="62"/>
  <c r="Q15" i="62"/>
  <c r="Q14" i="62"/>
  <c r="Q13" i="62"/>
  <c r="Q12" i="62"/>
  <c r="Q11" i="62"/>
  <c r="D14" i="7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J68" i="62"/>
  <c r="K68" i="62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E26" i="64" l="1"/>
  <c r="B26" i="64"/>
  <c r="H67" i="62" l="1"/>
  <c r="I67" i="62" l="1"/>
  <c r="J31" i="62"/>
  <c r="J30" i="62"/>
  <c r="J29" i="62"/>
  <c r="J28" i="62"/>
  <c r="J27" i="62"/>
  <c r="J26" i="62"/>
  <c r="J25" i="62"/>
  <c r="J43" i="62" l="1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K59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C149" i="59" l="1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N162" i="59"/>
  <c r="B17" i="64"/>
  <c r="B18" i="64"/>
  <c r="B19" i="64"/>
  <c r="B20" i="64"/>
  <c r="B21" i="64"/>
  <c r="B22" i="64"/>
  <c r="B23" i="64"/>
  <c r="B24" i="64"/>
  <c r="B25" i="64"/>
  <c r="E17" i="62" l="1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O143" i="59" l="1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  <c r="H13" i="64" l="1"/>
  <c r="H14" i="6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<sst xmlns="http://schemas.openxmlformats.org/spreadsheetml/2006/main" count="418" uniqueCount="184">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</sst>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5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87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A142" workbookViewId="0">
      <selection activeCell="O286" sqref="O286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t="s">
        <v>13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2">
        <f t="shared" ref="O2:O33" si="0">IFERROR((ABS(N2/F2-1)),0)</f>
        <v>4.6079814200072899E-3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2">
        <f t="shared" si="0"/>
        <v>2.9308019865569745E-2</v>
      </c>
      <c r="P3" s="157" t="s">
        <v>14</v>
      </c>
      <c r="Q3" s="157"/>
      <c r="R3" s="158"/>
      <c r="S3" s="158"/>
      <c r="T3" s="158"/>
      <c r="U3" s="158"/>
      <c r="V3" s="158"/>
      <c r="W3" s="158"/>
      <c r="X3" s="158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2">
        <f t="shared" si="0"/>
        <v>4.6768090621667202E-3</v>
      </c>
      <c r="P4" s="158" t="s">
        <v>15</v>
      </c>
      <c r="Q4" s="158">
        <v>0.96078986793821775</v>
      </c>
      <c r="R4" s="158"/>
      <c r="S4" s="158"/>
      <c r="T4" s="158"/>
      <c r="U4" s="158"/>
      <c r="V4" s="158"/>
      <c r="W4" s="158"/>
      <c r="X4" s="158"/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2">
        <f t="shared" si="0"/>
        <v>4.0171295438394372E-2</v>
      </c>
      <c r="P5" s="158" t="s">
        <v>16</v>
      </c>
      <c r="Q5" s="159">
        <v>0.92311717033273788</v>
      </c>
      <c r="R5" s="158"/>
      <c r="S5" s="158"/>
      <c r="T5" s="158"/>
      <c r="U5" s="158"/>
      <c r="V5" s="158"/>
      <c r="W5" s="158"/>
      <c r="X5" s="158"/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2">
        <f t="shared" si="0"/>
        <v>3.9791272671474642E-2</v>
      </c>
      <c r="P6" s="158" t="s">
        <v>17</v>
      </c>
      <c r="Q6" s="158">
        <v>0.91831199347853398</v>
      </c>
      <c r="R6" s="158"/>
      <c r="S6" s="158"/>
      <c r="T6" s="158"/>
      <c r="U6" s="158"/>
      <c r="V6" s="158"/>
      <c r="W6" s="158"/>
      <c r="X6" s="158"/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2">
        <f t="shared" si="0"/>
        <v>4.4409648545606029E-2</v>
      </c>
      <c r="P7" s="158" t="s">
        <v>18</v>
      </c>
      <c r="Q7" s="158">
        <v>3285390.3583900384</v>
      </c>
      <c r="R7" s="158"/>
      <c r="S7" s="158"/>
      <c r="T7" s="158"/>
      <c r="U7" s="158"/>
      <c r="V7" s="158"/>
      <c r="W7" s="158"/>
      <c r="X7" s="158"/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2">
        <f t="shared" si="0"/>
        <v>2.1134252046885349E-2</v>
      </c>
      <c r="P8" s="160" t="s">
        <v>19</v>
      </c>
      <c r="Q8" s="160">
        <v>120</v>
      </c>
      <c r="R8" s="158"/>
      <c r="S8" s="158"/>
      <c r="T8" s="158"/>
      <c r="U8" s="158"/>
      <c r="V8" s="158"/>
      <c r="W8" s="158"/>
      <c r="X8" s="158"/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2">
        <f t="shared" si="0"/>
        <v>1.465222647312947E-2</v>
      </c>
      <c r="P9" s="158"/>
      <c r="Q9" s="158"/>
      <c r="R9" s="158"/>
      <c r="S9" s="158"/>
      <c r="T9" s="158"/>
      <c r="U9" s="158"/>
      <c r="V9" s="158"/>
      <c r="W9" s="158"/>
      <c r="X9" s="158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2">
        <f t="shared" si="0"/>
        <v>4.3254077665938473E-2</v>
      </c>
      <c r="P10" s="158" t="s">
        <v>20</v>
      </c>
      <c r="Q10" s="158"/>
      <c r="R10" s="158"/>
      <c r="S10" s="158"/>
      <c r="T10" s="158"/>
      <c r="U10" s="158"/>
      <c r="V10" s="158"/>
      <c r="W10" s="158"/>
      <c r="X10" s="158"/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2">
        <f t="shared" si="0"/>
        <v>4.0761126221655619E-3</v>
      </c>
      <c r="P11" s="161"/>
      <c r="Q11" s="161" t="s">
        <v>24</v>
      </c>
      <c r="R11" s="161" t="s">
        <v>25</v>
      </c>
      <c r="S11" s="161" t="s">
        <v>26</v>
      </c>
      <c r="T11" s="161" t="s">
        <v>27</v>
      </c>
      <c r="U11" s="161" t="s">
        <v>28</v>
      </c>
      <c r="V11" s="158"/>
      <c r="W11" s="158"/>
      <c r="X11" s="158"/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2">
        <f t="shared" si="0"/>
        <v>1.1298570988015122E-2</v>
      </c>
      <c r="P12" s="158" t="s">
        <v>21</v>
      </c>
      <c r="Q12" s="158">
        <v>7</v>
      </c>
      <c r="R12" s="158">
        <v>1.4515080514804378E+16</v>
      </c>
      <c r="S12" s="158">
        <v>2073582930686339.8</v>
      </c>
      <c r="T12" s="158">
        <v>208.99934235620105</v>
      </c>
      <c r="U12" s="158">
        <v>3.2521418557450451E-61</v>
      </c>
      <c r="V12" s="158"/>
      <c r="W12" s="158"/>
      <c r="X12" s="158"/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5">
        <f t="shared" si="0"/>
        <v>8.3946113833659464E-3</v>
      </c>
      <c r="P13" s="158" t="s">
        <v>22</v>
      </c>
      <c r="Q13" s="158">
        <v>112</v>
      </c>
      <c r="R13" s="158">
        <v>1208904458384249.3</v>
      </c>
      <c r="S13" s="158">
        <v>10793789807002.225</v>
      </c>
      <c r="T13" s="158"/>
      <c r="U13" s="158"/>
      <c r="V13" s="158"/>
      <c r="W13" s="158"/>
      <c r="X13" s="158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2">
        <f t="shared" si="0"/>
        <v>3.1258216649533321E-2</v>
      </c>
      <c r="P14" s="160" t="s">
        <v>3</v>
      </c>
      <c r="Q14" s="160">
        <v>119</v>
      </c>
      <c r="R14" s="160">
        <v>1.5723984973188628E+16</v>
      </c>
      <c r="S14" s="160">
        <v>0</v>
      </c>
      <c r="T14" s="160"/>
      <c r="U14" s="160"/>
      <c r="V14" s="158"/>
      <c r="W14" s="158"/>
      <c r="X14" s="158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2">
        <f t="shared" si="0"/>
        <v>1.668655751448278E-2</v>
      </c>
      <c r="P15" s="158"/>
      <c r="Q15" s="158"/>
      <c r="R15" s="158"/>
      <c r="S15" s="158"/>
      <c r="T15" s="158"/>
      <c r="U15" s="158"/>
      <c r="V15" s="158"/>
      <c r="W15" s="158"/>
      <c r="X15" s="158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2">
        <f t="shared" si="0"/>
        <v>7.8714847028571455E-4</v>
      </c>
      <c r="P16" s="161"/>
      <c r="Q16" s="161" t="s">
        <v>29</v>
      </c>
      <c r="R16" s="161" t="s">
        <v>18</v>
      </c>
      <c r="S16" s="161" t="s">
        <v>30</v>
      </c>
      <c r="T16" s="161" t="s">
        <v>31</v>
      </c>
      <c r="U16" s="161" t="s">
        <v>32</v>
      </c>
      <c r="V16" s="161" t="s">
        <v>33</v>
      </c>
      <c r="W16" s="161" t="s">
        <v>34</v>
      </c>
      <c r="X16" s="161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2">
        <f t="shared" si="0"/>
        <v>2.6651794648004934E-2</v>
      </c>
      <c r="P17" s="158" t="s">
        <v>23</v>
      </c>
      <c r="Q17" s="158">
        <v>-2768767.4889518092</v>
      </c>
      <c r="R17" s="158">
        <v>29744463.477865782</v>
      </c>
      <c r="S17" s="158">
        <v>-9.308513804635192E-2</v>
      </c>
      <c r="T17" s="158">
        <v>0.92600223282086502</v>
      </c>
      <c r="U17" s="158">
        <v>-61703609.072612651</v>
      </c>
      <c r="V17" s="158">
        <v>56166074.094709031</v>
      </c>
      <c r="W17" s="158">
        <v>-61703609.072612651</v>
      </c>
      <c r="X17" s="158">
        <v>56166074.094709031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2">
        <f t="shared" si="0"/>
        <v>2.6486279804920576E-2</v>
      </c>
      <c r="P18" s="158" t="s">
        <v>0</v>
      </c>
      <c r="Q18" s="158">
        <v>39852.280348988745</v>
      </c>
      <c r="R18" s="158">
        <v>1748.0730078825827</v>
      </c>
      <c r="S18" s="158">
        <v>22.797835198691885</v>
      </c>
      <c r="T18" s="158">
        <v>6.9812157912782067E-44</v>
      </c>
      <c r="U18" s="158">
        <v>36388.69776082415</v>
      </c>
      <c r="V18" s="158">
        <v>43315.862937153339</v>
      </c>
      <c r="W18" s="158">
        <v>36388.69776082415</v>
      </c>
      <c r="X18" s="158">
        <v>43315.862937153339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2">
        <f t="shared" si="0"/>
        <v>2.2898935644247609E-2</v>
      </c>
      <c r="P19" s="158" t="s">
        <v>1</v>
      </c>
      <c r="Q19" s="158">
        <v>376298.92387869669</v>
      </c>
      <c r="R19" s="158">
        <v>17358.675368860848</v>
      </c>
      <c r="S19" s="158">
        <v>21.677859392066679</v>
      </c>
      <c r="T19" s="158">
        <v>7.0039300891052407E-42</v>
      </c>
      <c r="U19" s="158">
        <v>341904.93375924829</v>
      </c>
      <c r="V19" s="158">
        <v>410692.91399814509</v>
      </c>
      <c r="W19" s="158">
        <v>341904.93375924829</v>
      </c>
      <c r="X19" s="158">
        <v>410692.91399814509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2">
        <f t="shared" si="0"/>
        <v>2.3328196189239758E-2</v>
      </c>
      <c r="P20" s="158" t="s">
        <v>2</v>
      </c>
      <c r="Q20" s="158">
        <v>3585328.5145293623</v>
      </c>
      <c r="R20" s="158">
        <v>431109.00530090113</v>
      </c>
      <c r="S20" s="158">
        <v>8.3165242907113726</v>
      </c>
      <c r="T20" s="158">
        <v>2.4187679553505631E-13</v>
      </c>
      <c r="U20" s="158">
        <v>2731141.2822867981</v>
      </c>
      <c r="V20" s="158">
        <v>4439515.7467719261</v>
      </c>
      <c r="W20" s="158">
        <v>2731141.2822867981</v>
      </c>
      <c r="X20" s="158">
        <v>4439515.7467719261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2">
        <f t="shared" si="0"/>
        <v>5.5353626032106362E-3</v>
      </c>
      <c r="P21" s="158" t="s">
        <v>4</v>
      </c>
      <c r="Q21" s="158">
        <v>-5666921.724829156</v>
      </c>
      <c r="R21" s="158">
        <v>753200.97608688439</v>
      </c>
      <c r="S21" s="158">
        <v>-7.5237843613408391</v>
      </c>
      <c r="T21" s="158">
        <v>1.4363177308043071E-11</v>
      </c>
      <c r="U21" s="158">
        <v>-7159292.9097850285</v>
      </c>
      <c r="V21" s="158">
        <v>-4174550.5398732829</v>
      </c>
      <c r="W21" s="158">
        <v>-7159292.9097850285</v>
      </c>
      <c r="X21" s="158">
        <v>-4174550.5398732829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2">
        <f t="shared" si="0"/>
        <v>5.0691612479640824E-3</v>
      </c>
      <c r="P22" s="158" t="s">
        <v>5</v>
      </c>
      <c r="Q22" s="158">
        <v>74947.714760475763</v>
      </c>
      <c r="R22" s="158">
        <v>20250.616480604866</v>
      </c>
      <c r="S22" s="158">
        <v>3.7010090449472157</v>
      </c>
      <c r="T22" s="158">
        <v>3.3470375516224063E-4</v>
      </c>
      <c r="U22" s="158">
        <v>34823.714031935728</v>
      </c>
      <c r="V22" s="158">
        <v>115071.7154890158</v>
      </c>
      <c r="W22" s="158">
        <v>34823.714031935728</v>
      </c>
      <c r="X22" s="158">
        <v>115071.7154890158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2">
        <f t="shared" si="0"/>
        <v>3.905667969615445E-3</v>
      </c>
      <c r="P23" s="158" t="s">
        <v>91</v>
      </c>
      <c r="Q23" s="158">
        <v>-0.36337757495259065</v>
      </c>
      <c r="R23" s="158">
        <v>0.41806048185529993</v>
      </c>
      <c r="S23" s="158">
        <v>-0.86919857466548045</v>
      </c>
      <c r="T23" s="158">
        <v>0.38659740853670688</v>
      </c>
      <c r="U23" s="158">
        <v>-1.1917108306142881</v>
      </c>
      <c r="V23" s="158">
        <v>0.4649556807091067</v>
      </c>
      <c r="W23" s="158">
        <v>-1.1917108306142881</v>
      </c>
      <c r="X23" s="158">
        <v>0.4649556807091067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2">
        <f t="shared" si="0"/>
        <v>1.209905938619682E-2</v>
      </c>
      <c r="P24" s="160" t="s">
        <v>8</v>
      </c>
      <c r="Q24" s="160">
        <v>58.487153508667703</v>
      </c>
      <c r="R24" s="160">
        <v>365.46052512776544</v>
      </c>
      <c r="S24" s="160">
        <v>0.1600368562055246</v>
      </c>
      <c r="T24" s="160">
        <v>0.87314031465163178</v>
      </c>
      <c r="U24" s="160">
        <v>-665.62603042937974</v>
      </c>
      <c r="V24" s="160">
        <v>782.60033744671512</v>
      </c>
      <c r="W24" s="160">
        <v>-665.62603042937974</v>
      </c>
      <c r="X24" s="160">
        <v>782.60033744671512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5">
        <f t="shared" si="0"/>
        <v>5.5938662140238016E-3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2">
        <f t="shared" si="0"/>
        <v>2.3964367254971308E-2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2">
        <f t="shared" si="0"/>
        <v>1.8813168652837775E-2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2">
        <f t="shared" si="0"/>
        <v>1.6784895810241229E-2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2">
        <f t="shared" si="0"/>
        <v>7.8257862240602716E-3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2">
        <f t="shared" si="0"/>
        <v>3.5956805197590036E-4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2">
        <f t="shared" si="0"/>
        <v>2.735280110697591E-2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2">
        <f t="shared" si="0"/>
        <v>3.2379118468561785E-2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2">
        <f t="shared" si="0"/>
        <v>9.3297240765902734E-3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2">
        <f t="shared" ref="O34:O65" si="3">IFERROR((ABS(N34/F34-1)),0)</f>
        <v>2.001870049156862E-2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2">
        <f t="shared" si="3"/>
        <v>1.3144898907467617E-2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2">
        <f t="shared" si="3"/>
        <v>9.8058851470382846E-3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5">
        <f t="shared" si="3"/>
        <v>5.4329392008305444E-3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2">
        <f t="shared" si="3"/>
        <v>2.373644584522816E-2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2">
        <f t="shared" si="3"/>
        <v>1.2868417078861771E-3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2">
        <f t="shared" si="3"/>
        <v>1.2938773901340461E-2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2">
        <f t="shared" si="3"/>
        <v>2.7749783120250671E-2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2">
        <f t="shared" si="3"/>
        <v>1.4786958793345129E-2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2">
        <f t="shared" si="3"/>
        <v>8.3724313514148552E-3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2">
        <f t="shared" si="3"/>
        <v>2.114546019437169E-2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2">
        <f t="shared" si="3"/>
        <v>1.7418269172867262E-2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2">
        <f t="shared" si="3"/>
        <v>4.1659089715805009E-2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2">
        <f t="shared" si="3"/>
        <v>8.8160572705305862E-3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2">
        <f t="shared" si="3"/>
        <v>8.5033793631854593E-3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5">
        <f t="shared" si="3"/>
        <v>1.8579169351043978E-3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2">
        <f t="shared" si="3"/>
        <v>9.3982603577531521E-3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2">
        <f t="shared" si="3"/>
        <v>2.0634928438185707E-2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2">
        <f t="shared" si="3"/>
        <v>1.5185964767840954E-2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2">
        <f t="shared" si="3"/>
        <v>1.3997004153356585E-2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2">
        <f t="shared" si="3"/>
        <v>3.2121286676739302E-2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2">
        <f t="shared" si="3"/>
        <v>4.5711842178495221E-3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2">
        <f t="shared" si="3"/>
        <v>1.611850688446026E-2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2">
        <f t="shared" si="3"/>
        <v>1.6456351349468545E-2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2">
        <f t="shared" si="3"/>
        <v>1.3943447623253946E-2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2">
        <f t="shared" si="3"/>
        <v>1.1574099868519871E-3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2">
        <f t="shared" si="3"/>
        <v>1.6444837815236535E-2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5">
        <f t="shared" si="3"/>
        <v>1.2773671220878136E-3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2">
        <f t="shared" si="3"/>
        <v>2.3805990793153708E-2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2">
        <f t="shared" si="3"/>
        <v>5.1002319661785922E-3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2">
        <f t="shared" si="3"/>
        <v>1.9612108653996763E-2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2">
        <f t="shared" si="3"/>
        <v>2.3141142966762951E-2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2">
        <f t="shared" ref="O66:O97" si="4">IFERROR((ABS(N66/F66-1)),0)</f>
        <v>1.4397368007576627E-2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150800709.39520001</v>
      </c>
      <c r="O67" s="22">
        <f t="shared" si="4"/>
        <v>2.1003233583678504E-3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153213927.40290001</v>
      </c>
      <c r="O68" s="22">
        <f t="shared" si="4"/>
        <v>1.5295265401825686E-2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146597019.83939999</v>
      </c>
      <c r="O69" s="22">
        <f t="shared" si="4"/>
        <v>1.9059832376792096E-2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135958060.04620001</v>
      </c>
      <c r="O70" s="22">
        <f t="shared" si="4"/>
        <v>2.9986522821468742E-2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142652232.6938</v>
      </c>
      <c r="O71" s="22">
        <f t="shared" si="4"/>
        <v>2.3274633428082447E-2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147031977.32449999</v>
      </c>
      <c r="O72" s="22">
        <f t="shared" si="4"/>
        <v>1.8477421032992103E-2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160078587.296</v>
      </c>
      <c r="O73" s="25">
        <f t="shared" si="4"/>
        <v>1.1067565853817296E-2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169785618.0262</v>
      </c>
      <c r="O74" s="22">
        <f t="shared" si="4"/>
        <v>4.2717398468981038E-3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159563749.21849999</v>
      </c>
      <c r="O75" s="22">
        <f t="shared" si="4"/>
        <v>1.7056700554356485E-3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157853913.79179999</v>
      </c>
      <c r="O76" s="22">
        <f t="shared" si="4"/>
        <v>1.1425224773655152E-2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141157409.3021</v>
      </c>
      <c r="O77" s="22">
        <f t="shared" si="4"/>
        <v>2.3813504209023062E-2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144815058.6302</v>
      </c>
      <c r="O78" s="22">
        <f t="shared" si="4"/>
        <v>1.8756381743043393E-2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141324793.5178</v>
      </c>
      <c r="O79" s="22">
        <f t="shared" si="4"/>
        <v>1.3941989899787233E-2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159401992.1015</v>
      </c>
      <c r="O80" s="22">
        <f t="shared" si="4"/>
        <v>5.8257717101887208E-3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153894479.8673</v>
      </c>
      <c r="O81" s="22">
        <f t="shared" si="4"/>
        <v>3.9843335373590527E-3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145772693.31900001</v>
      </c>
      <c r="O82" s="22">
        <f t="shared" si="4"/>
        <v>2.203104387548338E-2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141761342.27970001</v>
      </c>
      <c r="O83" s="22">
        <f t="shared" si="4"/>
        <v>2.8092495734497236E-2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142148543.40329999</v>
      </c>
      <c r="O84" s="22">
        <f t="shared" si="4"/>
        <v>1.9998743013170062E-2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154406433.5343</v>
      </c>
      <c r="O85" s="25">
        <f t="shared" si="4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163076493.67480001</v>
      </c>
      <c r="O86" s="22">
        <f t="shared" si="4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152277100.25150001</v>
      </c>
      <c r="O87" s="22">
        <f t="shared" si="4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150773021.72260001</v>
      </c>
      <c r="O88" s="22">
        <f t="shared" si="4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143539435.66980001</v>
      </c>
      <c r="O89" s="22">
        <f t="shared" si="4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143715033.79899999</v>
      </c>
      <c r="O90" s="22">
        <f t="shared" si="4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147852709.91949999</v>
      </c>
      <c r="O91" s="22">
        <f t="shared" si="4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172940132.57300001</v>
      </c>
      <c r="O92" s="22">
        <f t="shared" si="4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175966638.17820001</v>
      </c>
      <c r="O93" s="22">
        <f t="shared" si="4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138756170.1638</v>
      </c>
      <c r="O94" s="22">
        <f t="shared" si="4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138990049.28080001</v>
      </c>
      <c r="O95" s="22">
        <f t="shared" si="4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142705839.68059999</v>
      </c>
      <c r="O96" s="22">
        <f t="shared" si="4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159838251.15880001</v>
      </c>
      <c r="O97" s="25">
        <f t="shared" si="4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161113473.32980001</v>
      </c>
      <c r="O98" s="22">
        <f t="shared" ref="O98:O129" si="7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143336744.6683</v>
      </c>
      <c r="O99" s="22">
        <f t="shared" si="7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155521685.2369</v>
      </c>
      <c r="O100" s="22">
        <f t="shared" si="7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134465196.0255</v>
      </c>
      <c r="O101" s="22">
        <f t="shared" si="7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139906458.46919999</v>
      </c>
      <c r="O102" s="22">
        <f t="shared" si="7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150328004.26899999</v>
      </c>
      <c r="O103" s="22">
        <f t="shared" si="7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155590259.12149999</v>
      </c>
      <c r="O104" s="22">
        <f t="shared" si="7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147902034.4912</v>
      </c>
      <c r="O105" s="22">
        <f t="shared" si="7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140921438.25369999</v>
      </c>
      <c r="O106" s="22">
        <f t="shared" si="7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138262429.3779</v>
      </c>
      <c r="O107" s="22">
        <f t="shared" si="7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145397798.94150001</v>
      </c>
      <c r="O108" s="22">
        <f t="shared" si="7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161965255.2511</v>
      </c>
      <c r="O109" s="25">
        <f t="shared" si="7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166982156.5817</v>
      </c>
      <c r="O110" s="22">
        <f t="shared" si="7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144819239.4174</v>
      </c>
      <c r="O111" s="22">
        <f t="shared" si="7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152166580.6372</v>
      </c>
      <c r="O112" s="22">
        <f t="shared" si="7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143961739.75130001</v>
      </c>
      <c r="O113" s="22">
        <f t="shared" si="7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145860463.0704</v>
      </c>
      <c r="O114" s="22">
        <f t="shared" si="7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147796079.11570001</v>
      </c>
      <c r="O115" s="22">
        <f t="shared" si="7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168072672.1031</v>
      </c>
      <c r="O116" s="22">
        <f t="shared" si="7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171132294.44530001</v>
      </c>
      <c r="O117" s="22">
        <f t="shared" si="7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144137543.87310001</v>
      </c>
      <c r="O118" s="22">
        <f t="shared" si="7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144580624.49169999</v>
      </c>
      <c r="O119" s="22">
        <f t="shared" si="7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147780103.21259999</v>
      </c>
      <c r="O120" s="22">
        <f t="shared" si="7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155923426.53490001</v>
      </c>
      <c r="O121" s="25">
        <f t="shared" si="7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166043808.42750001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148203932.07049999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151171957.80109999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139859622.70829999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142428371.05430001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144800917.5907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158350587.61570001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137522290.71180001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141572144.1002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143674238.10179999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158672524.89410001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166361080.62689999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152082988.33790001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152641304.63479999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140106261.84189999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140253139.1433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147398795.34369999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166874556.1911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157303887.1742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138850373.33750001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140478356.14039999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143756069.95730001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159929976.65700001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21797459968.592499</v>
      </c>
      <c r="O147" s="118">
        <f>AVERAGE(O2:O121)</f>
        <v>1.7281962771548458E-2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1800532969.3676</v>
      </c>
      <c r="O149" s="26">
        <f t="shared" ref="O149:O158" si="11">N149/F149</f>
        <v>1.0095358453010985</v>
      </c>
      <c r="P149" s="28">
        <f t="shared" ref="P149:P158" si="12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1839227272.9066</v>
      </c>
      <c r="O150" s="26">
        <f t="shared" si="11"/>
        <v>0.99563931336332145</v>
      </c>
      <c r="P150" s="28">
        <f t="shared" si="12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1833962545.5459001</v>
      </c>
      <c r="O151" s="26">
        <f t="shared" si="11"/>
        <v>0.99047388740646958</v>
      </c>
      <c r="P151" s="28">
        <f t="shared" si="12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1830851832.8018</v>
      </c>
      <c r="O152" s="26">
        <f t="shared" si="11"/>
        <v>0.99408190849901623</v>
      </c>
      <c r="P152" s="28">
        <f t="shared" si="12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1828193197.1271</v>
      </c>
      <c r="O153" s="26">
        <f t="shared" si="11"/>
        <v>1.001158628335302</v>
      </c>
      <c r="P153" s="28">
        <f t="shared" si="12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1809415813.348</v>
      </c>
      <c r="O154" s="26">
        <f t="shared" si="11"/>
        <v>0.99766717299489971</v>
      </c>
      <c r="P154" s="28">
        <f t="shared" si="12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1811886026.9916999</v>
      </c>
      <c r="O155" s="26">
        <f t="shared" si="11"/>
        <v>1.0054917479282828</v>
      </c>
      <c r="P155" s="28">
        <f t="shared" si="12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1830430876.0724001</v>
      </c>
      <c r="O156" s="26">
        <f t="shared" si="11"/>
        <v>1.0103440398577272</v>
      </c>
      <c r="P156" s="28">
        <f t="shared" si="12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1774710777.4356</v>
      </c>
      <c r="O157" s="26">
        <f t="shared" si="11"/>
        <v>1.0096154008826161</v>
      </c>
      <c r="P157" s="28">
        <f t="shared" si="12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N158" s="14">
        <f>ROUND((SUM(N110:N121)),4)</f>
        <v>1833212923.2344</v>
      </c>
      <c r="O158" s="26">
        <f t="shared" si="11"/>
        <v>0.98716409241828851</v>
      </c>
      <c r="P158" s="28">
        <f t="shared" si="12"/>
        <v>-23836920.164499998</v>
      </c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1798998944.3754001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1806036789.3859999</v>
      </c>
    </row>
    <row r="161" spans="1:16" x14ac:dyDescent="0.2">
      <c r="N161" s="14"/>
      <c r="P161" s="1"/>
    </row>
    <row r="162" spans="1:16" x14ac:dyDescent="0.2">
      <c r="A162" s="29" t="s">
        <v>92</v>
      </c>
      <c r="F162" s="14">
        <f>ROUND((SUM(F149:F161)),4)</f>
        <v>18192424234.830898</v>
      </c>
      <c r="N162" s="33">
        <f>ROUND((SUM(N149:N158)),4)</f>
        <v>18192424234.8311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30">
        <f>ROUND((SUM(N149:N160)),4)</f>
        <v>21797459968.592499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1" t="s">
        <v>37</v>
      </c>
      <c r="O167" s="32"/>
      <c r="P167" s="32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22"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6" t="s">
        <v>49</v>
      </c>
      <c r="H5" s="197"/>
      <c r="I5" s="197"/>
      <c r="J5" s="197"/>
      <c r="K5" s="197"/>
      <c r="L5" s="197"/>
      <c r="M5" s="197"/>
      <c r="N5" s="198"/>
      <c r="Q5" s="205" t="s">
        <v>177</v>
      </c>
      <c r="R5" s="206"/>
      <c r="S5" s="206"/>
      <c r="T5" s="206"/>
      <c r="U5" s="206"/>
      <c r="V5" s="206"/>
      <c r="W5" s="206"/>
      <c r="X5" s="207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639265510.85640001</v>
      </c>
      <c r="R11" s="1">
        <f t="shared" si="3"/>
        <v>242976004.6724</v>
      </c>
      <c r="S11" s="1">
        <f t="shared" si="3"/>
        <v>799858891.903</v>
      </c>
      <c r="T11" s="1">
        <f t="shared" si="3"/>
        <v>17130983.2837</v>
      </c>
      <c r="U11" s="1">
        <f t="shared" si="3"/>
        <v>26389822.9617</v>
      </c>
      <c r="V11" s="1">
        <f t="shared" si="3"/>
        <v>63649897.912199996</v>
      </c>
      <c r="W11" s="1">
        <f t="shared" si="3"/>
        <v>16091580.707800001</v>
      </c>
      <c r="X11" s="1">
        <f t="shared" si="3"/>
        <v>4053121.0507</v>
      </c>
      <c r="Y11" s="75">
        <f>ROUND((SUM(Q11:X11)),4)</f>
        <v>1809415813.3478999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653541433.2112</v>
      </c>
      <c r="R12" s="1">
        <f t="shared" ref="R12:R15" si="5">ROUND(((+H12/$E12*$C12)),4)</f>
        <v>244634476.48699999</v>
      </c>
      <c r="S12" s="1">
        <f t="shared" ref="S12:S15" si="6">ROUND(((+I12/$E12*$C12)),4)</f>
        <v>813227031.88769996</v>
      </c>
      <c r="T12" s="1">
        <f t="shared" ref="T12:T15" si="7">ROUND(((+J12/$E12*$C12)),4)</f>
        <v>17158155.258699998</v>
      </c>
      <c r="U12" s="1">
        <f t="shared" ref="U12:U15" si="8">ROUND(((+K12/$E12*$C12)),4)</f>
        <v>25841845.9333</v>
      </c>
      <c r="V12" s="1">
        <f t="shared" ref="V12:V15" si="9">ROUND(((+L12/$E12*$C12)),4)</f>
        <v>36771924.666299999</v>
      </c>
      <c r="W12" s="1">
        <f t="shared" ref="W12:W15" si="10">ROUND(((+M12/$E12*$C12)),4)</f>
        <v>16657553.4253</v>
      </c>
      <c r="X12" s="1">
        <f t="shared" ref="X12:X15" si="11">ROUND(((+N12/$E12*$C12)),4)</f>
        <v>4053606.1222999999</v>
      </c>
      <c r="Y12" s="75">
        <f t="shared" ref="Y12:Y15" si="12">ROUND((SUM(Q12:X12)),4)</f>
        <v>1811886026.9918001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674491835.75650001</v>
      </c>
      <c r="R13" s="1">
        <f t="shared" si="5"/>
        <v>247843832.03490001</v>
      </c>
      <c r="S13" s="1">
        <f t="shared" si="6"/>
        <v>817521680.46759999</v>
      </c>
      <c r="T13" s="1">
        <f t="shared" si="7"/>
        <v>17458612.675500002</v>
      </c>
      <c r="U13" s="1">
        <f t="shared" si="8"/>
        <v>22232701.3587</v>
      </c>
      <c r="V13" s="1">
        <f t="shared" si="9"/>
        <v>29964756.454500001</v>
      </c>
      <c r="W13" s="1">
        <f t="shared" si="10"/>
        <v>16856121.4344</v>
      </c>
      <c r="X13" s="1">
        <f t="shared" si="11"/>
        <v>4061335.8903999999</v>
      </c>
      <c r="Y13" s="75">
        <f t="shared" si="12"/>
        <v>1830430876.0725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645910477.29519999</v>
      </c>
      <c r="R14" s="1">
        <f t="shared" si="5"/>
        <v>241530754.5174</v>
      </c>
      <c r="S14" s="1">
        <f t="shared" si="6"/>
        <v>713059198.53770006</v>
      </c>
      <c r="T14" s="1">
        <f t="shared" si="7"/>
        <v>16232690.639599999</v>
      </c>
      <c r="U14" s="1">
        <f t="shared" si="8"/>
        <v>105847119.57889999</v>
      </c>
      <c r="V14" s="1">
        <f t="shared" si="9"/>
        <v>32633850.0471</v>
      </c>
      <c r="W14" s="1">
        <f t="shared" si="10"/>
        <v>15438735.646</v>
      </c>
      <c r="X14" s="1">
        <f t="shared" si="11"/>
        <v>4057951.1735999999</v>
      </c>
      <c r="Y14" s="75">
        <f t="shared" si="12"/>
        <v>1774710777.4354999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691121444.34449995</v>
      </c>
      <c r="R15" s="1">
        <f t="shared" si="5"/>
        <v>244234181.6288</v>
      </c>
      <c r="S15" s="1">
        <f t="shared" si="6"/>
        <v>625438103.09210002</v>
      </c>
      <c r="T15" s="1">
        <f t="shared" si="7"/>
        <v>15012154.598200001</v>
      </c>
      <c r="U15" s="1">
        <f t="shared" si="8"/>
        <v>211884680.0941</v>
      </c>
      <c r="V15" s="1">
        <f t="shared" si="9"/>
        <v>33872634.289899997</v>
      </c>
      <c r="W15" s="1">
        <f t="shared" si="10"/>
        <v>7579265.0707999999</v>
      </c>
      <c r="X15" s="1">
        <f t="shared" si="11"/>
        <v>4070460.1161000002</v>
      </c>
      <c r="Y15" s="75">
        <f t="shared" si="12"/>
        <v>1833212923.2344999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ROUND((Power!N159),4)</f>
        <v>1798998944.3754001</v>
      </c>
      <c r="E16" s="1">
        <f>ROUND((C16/D18),4)</f>
        <v>1742878264.266</v>
      </c>
      <c r="F16" s="38"/>
    </row>
    <row r="17" spans="1:14" x14ac:dyDescent="0.2">
      <c r="A17">
        <v>2020</v>
      </c>
      <c r="B17" s="1"/>
      <c r="C17" s="60">
        <f>ROUND((Power!N160),4)</f>
        <v>1806036789.3859999</v>
      </c>
      <c r="E17" s="1">
        <f>ROUND((C17/D18),4)</f>
        <v>1749696560.1492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93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93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1796800081.4992001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599350028.35350001</v>
      </c>
      <c r="K59" s="150">
        <f>ROUND((J32*Customer!E14),4)</f>
        <v>13628026.050000001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1796800081.4992001</v>
      </c>
    </row>
    <row r="60" spans="1:23" x14ac:dyDescent="0.2">
      <c r="F60">
        <v>2020</v>
      </c>
      <c r="G60" s="150">
        <f>ROUND((SUM(H60:O60)),4)</f>
        <v>1788253091.5685999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582992607.09200001</v>
      </c>
      <c r="K60" s="150">
        <f>ROUND((J33*Customer!E15),4)</f>
        <v>12558226.005000001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1788253091.5685999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1742878264.266</v>
      </c>
      <c r="H63" s="36">
        <f t="shared" ref="H63:O64" si="37">ROUND((H59+H72),4)</f>
        <v>659931664.81130004</v>
      </c>
      <c r="I63" s="36">
        <f t="shared" si="37"/>
        <v>232624342.72530001</v>
      </c>
      <c r="J63" s="36">
        <f t="shared" si="37"/>
        <v>581417016.56700003</v>
      </c>
      <c r="K63" s="36">
        <f t="shared" si="37"/>
        <v>13220265.075200001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1742878264.266</v>
      </c>
    </row>
    <row r="64" spans="1:23" ht="12" customHeight="1" x14ac:dyDescent="0.2">
      <c r="F64">
        <v>2020</v>
      </c>
      <c r="G64" s="36">
        <f>ROUND((E17),4)</f>
        <v>1749696560.1492</v>
      </c>
      <c r="H64" s="36">
        <f t="shared" si="37"/>
        <v>672621141.75740004</v>
      </c>
      <c r="I64" s="36">
        <f t="shared" si="37"/>
        <v>236508234.95559999</v>
      </c>
      <c r="J64" s="36">
        <f t="shared" si="37"/>
        <v>570458553.80480003</v>
      </c>
      <c r="K64" s="36">
        <f t="shared" si="37"/>
        <v>12288230.344599999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1749696560.1492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9" t="s">
        <v>54</v>
      </c>
      <c r="I66" s="200"/>
      <c r="J66" s="200"/>
      <c r="K66" s="200"/>
      <c r="L66" s="200"/>
      <c r="M66" s="200"/>
      <c r="N66" s="200"/>
      <c r="O66" s="201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-53921817.233199999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8721936.6720000003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1153378337.4651</v>
      </c>
    </row>
    <row r="69" spans="2:17" x14ac:dyDescent="0.2">
      <c r="F69">
        <v>2020</v>
      </c>
      <c r="G69" s="48">
        <f>ROUND((G64-G60),4)</f>
        <v>-38556531.419399999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8037264.6431999998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1147755657.7135999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-26307657.688499998</v>
      </c>
      <c r="I72" s="48">
        <f>ROUND((I68/$P$68*$G$68),4)</f>
        <v>-9273386.7833999991</v>
      </c>
      <c r="J72" s="48">
        <f>ROUND((J68/$P$68*$G$68),4)</f>
        <v>-17933011.786499999</v>
      </c>
      <c r="K72" s="48">
        <f>ROUND((K68/$P$68*$G$68),4)</f>
        <v>-407760.97480000003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-53921817.233199999</v>
      </c>
    </row>
    <row r="73" spans="2:17" x14ac:dyDescent="0.2">
      <c r="F73">
        <v>2020</v>
      </c>
      <c r="H73" s="48">
        <f>ROUND((H69/$P$69*$G$69),4)</f>
        <v>-19053024.362599999</v>
      </c>
      <c r="I73" s="48">
        <f>ROUND((I69/$P$69*$G$69),4)</f>
        <v>-6699458.1091999998</v>
      </c>
      <c r="J73" s="48">
        <f>ROUND((J69/$P$69*$G$69),4)</f>
        <v>-12534053.2872</v>
      </c>
      <c r="K73" s="48">
        <f>ROUND((K69/$P$69*$G$69),4)</f>
        <v>-269995.66039999999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-38556531.419399999</v>
      </c>
    </row>
    <row r="74" spans="2:17" x14ac:dyDescent="0.2">
      <c r="F74" s="11"/>
      <c r="G74" s="11"/>
    </row>
    <row r="75" spans="2:17" x14ac:dyDescent="0.2">
      <c r="I75" s="184" t="s">
        <v>173</v>
      </c>
      <c r="J75" s="1">
        <f>ROUND((J64+K64),4)</f>
        <v>582746784.1494</v>
      </c>
    </row>
    <row r="76" spans="2:17" ht="13.5" thickBot="1" x14ac:dyDescent="0.25"/>
    <row r="77" spans="2:17" ht="13.5" thickBot="1" x14ac:dyDescent="0.25">
      <c r="F77" t="s">
        <v>91</v>
      </c>
      <c r="H77" s="202" t="s">
        <v>172</v>
      </c>
      <c r="I77" s="203"/>
      <c r="J77" s="203"/>
      <c r="K77" s="203"/>
      <c r="L77" s="203"/>
      <c r="M77" s="203"/>
      <c r="N77" s="203"/>
      <c r="O77" s="204"/>
    </row>
    <row r="78" spans="2:17" x14ac:dyDescent="0.2">
      <c r="F78"/>
      <c r="H78" s="63">
        <v>0.05</v>
      </c>
      <c r="I78" s="63">
        <v>0.25</v>
      </c>
      <c r="J78" s="63">
        <v>0.7</v>
      </c>
      <c r="K78" s="182"/>
      <c r="L78" s="182"/>
      <c r="M78" s="183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4">ROUND((G63+G79),4)</f>
        <v>1732600903.1547999</v>
      </c>
      <c r="H83" s="48">
        <f t="shared" si="44"/>
        <v>659417796.75569999</v>
      </c>
      <c r="I83" s="48">
        <f t="shared" si="44"/>
        <v>230055002.44749999</v>
      </c>
      <c r="J83" s="48">
        <f t="shared" si="44"/>
        <v>574222863.78919995</v>
      </c>
      <c r="K83" s="48">
        <f t="shared" si="44"/>
        <v>13220265.075200001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1732600903.1547999</v>
      </c>
      <c r="Q83" s="30">
        <f>P83-G83</f>
        <v>0</v>
      </c>
    </row>
    <row r="84" spans="6:17" x14ac:dyDescent="0.2">
      <c r="F84">
        <v>2020</v>
      </c>
      <c r="G84" s="150">
        <f t="shared" ref="G84:O84" si="45">ROUND((G64+G80),4)</f>
        <v>1726205449.0346999</v>
      </c>
      <c r="H84" s="48">
        <f t="shared" si="45"/>
        <v>671446586.20169997</v>
      </c>
      <c r="I84" s="48">
        <f t="shared" si="45"/>
        <v>230635457.17699999</v>
      </c>
      <c r="J84" s="48">
        <f t="shared" si="45"/>
        <v>554014776.02460003</v>
      </c>
      <c r="K84" s="48">
        <f t="shared" si="45"/>
        <v>12288230.344599999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1726205449.0346999</v>
      </c>
      <c r="Q84" s="30">
        <f>P84-G84</f>
        <v>0</v>
      </c>
    </row>
    <row r="86" spans="6:17" x14ac:dyDescent="0.2">
      <c r="I86" s="184" t="s">
        <v>173</v>
      </c>
      <c r="J86" s="1">
        <f>ROUND((J84+K84),4)</f>
        <v>566303006.36919999</v>
      </c>
      <c r="P86" s="185">
        <f>ROUND((+ED!C14),4)</f>
        <v>19053029.030000001</v>
      </c>
    </row>
    <row r="87" spans="6:17" x14ac:dyDescent="0.2">
      <c r="H87" s="44"/>
      <c r="I87" s="189" t="s">
        <v>180</v>
      </c>
      <c r="J87" s="1">
        <f>ROUND((J84+L84),4)</f>
        <v>765261559.90279996</v>
      </c>
      <c r="K87" s="44"/>
      <c r="L87" s="44"/>
      <c r="M87" s="44"/>
      <c r="P87" s="48">
        <f>ROUND((P84+P86),4)</f>
        <v>1745258478.0646999</v>
      </c>
    </row>
    <row r="88" spans="6:17" x14ac:dyDescent="0.2">
      <c r="H88" s="48"/>
      <c r="I88" s="189" t="s">
        <v>3</v>
      </c>
      <c r="J88" s="1">
        <f>ROUND((J84+K84+L84),4)</f>
        <v>777549790.24740005</v>
      </c>
      <c r="K88" s="48"/>
      <c r="L88" s="48"/>
      <c r="M88" s="48"/>
      <c r="N88" s="48"/>
      <c r="O88" s="48"/>
      <c r="P88" s="186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7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8" t="s">
        <v>59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9" t="s">
        <v>128</v>
      </c>
      <c r="B1" s="209"/>
      <c r="C1" s="209"/>
      <c r="D1" s="209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tabSelected="1" workbookViewId="0">
      <selection activeCell="J22" sqref="J22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H3/(B3+C3+D3)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H4/(B4+C4+D4)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0.48965548753529614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0.49313192822626295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0.48952230617689596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0.49904062418575457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0.49404006204127127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0.50091380016666875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0.49085151354056117</v>
      </c>
    </row>
    <row r="13" spans="1:13" x14ac:dyDescent="0.2">
      <c r="A13" s="56">
        <v>2019</v>
      </c>
      <c r="B13" s="110">
        <f>ROUND((Energy!J83*Load!B31),4)</f>
        <v>1525579.9871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2148328.9920999999</v>
      </c>
      <c r="H13" s="110">
        <f>ROUND(((B13+C13+D13)*J13),4)</f>
        <v>1012941.0076</v>
      </c>
      <c r="I13" s="110">
        <f>ROUND((E13),4)</f>
        <v>68382.8269</v>
      </c>
      <c r="J13" s="52">
        <f>AVERAGE(J3:J12)</f>
        <v>0.49187816956038394</v>
      </c>
      <c r="L13" s="75">
        <f>ROUND((B14+C14),4)</f>
        <v>1505971.7516000001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1471891.6786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2099160.8782000002</v>
      </c>
      <c r="H14" s="110">
        <f>ROUND(((B14+C14+D14)*J13),4)</f>
        <v>988007.57030000002</v>
      </c>
      <c r="I14" s="110">
        <f>ROUND((E14),4)</f>
        <v>70126.589000000007</v>
      </c>
      <c r="J14" s="52">
        <f>AVERAGE(J4:J13)</f>
        <v>0.4936231757786772</v>
      </c>
      <c r="L14" s="75">
        <f>ROUND((B14+C14+D14),4)</f>
        <v>2008642.8539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2142477.0682000001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90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90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90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90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90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90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90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90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90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90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659417796.75569999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230055002.44749999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574222863.78919995</v>
      </c>
      <c r="C4" s="70">
        <f>ROUND((Load!$B$13),4)</f>
        <v>1525579.9871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13220265.075200001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94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94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94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5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5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1751653932.1847999</v>
      </c>
      <c r="C11" s="74">
        <f>ROUND((SUM(C2:C10)),4)</f>
        <v>2191645.1820999999</v>
      </c>
      <c r="D11" s="74"/>
      <c r="F11" s="195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5" t="s">
        <v>88</v>
      </c>
      <c r="C14" s="215" t="s">
        <v>166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2019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659417796.75569999</v>
      </c>
      <c r="C16" s="98">
        <v>1.0350999999999999</v>
      </c>
      <c r="D16" s="67">
        <f t="shared" ref="D16:D22" si="0">ROUND((B16*C16),4)</f>
        <v>682563361.42180002</v>
      </c>
      <c r="E16" s="99">
        <v>9.4299999999999995E-2</v>
      </c>
      <c r="F16" s="81">
        <f t="shared" ref="F16:F22" si="1">ROUND((D16*E16),2)</f>
        <v>64365724.979999997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230055002.44749999</v>
      </c>
      <c r="C17" s="80">
        <f t="shared" ref="C17:C22" si="2">$C$16</f>
        <v>1.0350999999999999</v>
      </c>
      <c r="D17" s="67">
        <f t="shared" si="0"/>
        <v>238129933.0334</v>
      </c>
      <c r="E17" s="113">
        <f t="shared" ref="E17" si="3">E16</f>
        <v>9.4299999999999995E-2</v>
      </c>
      <c r="F17" s="81">
        <f t="shared" si="1"/>
        <v>22455652.690000001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784209726.49059999</v>
      </c>
      <c r="C18" s="80">
        <f t="shared" si="2"/>
        <v>1.0350999999999999</v>
      </c>
      <c r="D18" s="67">
        <f t="shared" si="0"/>
        <v>811735487.89040005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1719380638.0796001</v>
      </c>
      <c r="C23" s="79"/>
      <c r="D23" s="74">
        <f>SUM(D16:D21)</f>
        <v>1778711144.3076003</v>
      </c>
      <c r="E23" s="82"/>
      <c r="F23" s="83">
        <f>ROUND((SUM(F16:F21)),2)</f>
        <v>162909582.88999999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2019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682563361.42180002</v>
      </c>
      <c r="E27" s="95">
        <v>5.8999999999999999E-3</v>
      </c>
      <c r="F27" s="81">
        <f t="shared" ref="F27:F33" si="4">ROUND((D27*E27),2)</f>
        <v>4027123.83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238129933.0334</v>
      </c>
      <c r="E28" s="95">
        <v>5.1000000000000004E-3</v>
      </c>
      <c r="F28" s="81">
        <f t="shared" si="4"/>
        <v>1214462.6599999999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2059333.1241000001</v>
      </c>
      <c r="E29" s="95">
        <v>2.7204999999999999</v>
      </c>
      <c r="F29" s="81">
        <f t="shared" si="4"/>
        <v>5602415.7599999998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11185654.380000001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2019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682563361.42180002</v>
      </c>
      <c r="E38" s="95">
        <v>1.6999999999999999E-3</v>
      </c>
      <c r="F38" s="81">
        <f t="shared" ref="F38:F44" si="7">ROUND((D38*E38),2)</f>
        <v>1160357.71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238129933.0334</v>
      </c>
      <c r="E39" s="95">
        <v>1.5E-3</v>
      </c>
      <c r="F39" s="81">
        <f t="shared" si="7"/>
        <v>357194.9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2059333.1241000001</v>
      </c>
      <c r="E40" s="95">
        <v>0.84489999999999998</v>
      </c>
      <c r="F40" s="81">
        <f t="shared" si="7"/>
        <v>1739930.56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3363276.26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2019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682563361.42180002</v>
      </c>
      <c r="E49" s="95">
        <v>3.0000000000000001E-3</v>
      </c>
      <c r="F49" s="81">
        <f t="shared" ref="F49:F55" si="9">ROUND((D49*E49),2)</f>
        <v>2047690.08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238129933.0334</v>
      </c>
      <c r="E50" s="95">
        <f>+E49</f>
        <v>3.0000000000000001E-3</v>
      </c>
      <c r="F50" s="81">
        <f t="shared" si="9"/>
        <v>714389.8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811735487.89040005</v>
      </c>
      <c r="E51" s="95">
        <f>+E49</f>
        <v>3.0000000000000001E-3</v>
      </c>
      <c r="F51" s="81">
        <f t="shared" si="9"/>
        <v>2435206.46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1778711144.3076003</v>
      </c>
      <c r="E56" s="82"/>
      <c r="F56" s="83">
        <f>ROUND((SUM(F49:F55)),2)</f>
        <v>5336133.42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2019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682563361.42180002</v>
      </c>
      <c r="E60" s="95">
        <v>4.0000000000000002E-4</v>
      </c>
      <c r="F60" s="81">
        <f t="shared" ref="F60:F66" si="12">ROUND((D60*E60),2)</f>
        <v>273025.34000000003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238129933.0334</v>
      </c>
      <c r="E61" s="95">
        <f>+E60</f>
        <v>4.0000000000000002E-4</v>
      </c>
      <c r="F61" s="81">
        <f t="shared" si="12"/>
        <v>95251.97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594378086.30820012</v>
      </c>
      <c r="E62" s="95">
        <f>+E60</f>
        <v>4.0000000000000002E-4</v>
      </c>
      <c r="F62" s="81">
        <f t="shared" si="12"/>
        <v>237751.23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1526952438.5089002</v>
      </c>
      <c r="E67" s="82"/>
      <c r="F67" s="83">
        <f>ROUND((SUM(F60:F66)),2)</f>
        <v>610780.96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2019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682563361.42180002</v>
      </c>
      <c r="E71" s="95">
        <v>5.0000000000000001E-4</v>
      </c>
      <c r="F71" s="81">
        <f t="shared" ref="F71:F77" si="15">ROUND((D71*E71),2)</f>
        <v>341281.68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238129933.0334</v>
      </c>
      <c r="E72" s="95">
        <f>+E71</f>
        <v>5.0000000000000001E-4</v>
      </c>
      <c r="F72" s="81">
        <f t="shared" si="15"/>
        <v>119064.97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811735487.89040005</v>
      </c>
      <c r="E73" s="95">
        <f>+E71</f>
        <v>5.0000000000000001E-4</v>
      </c>
      <c r="F73" s="81">
        <f t="shared" si="15"/>
        <v>405867.74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1778711144.3076003</v>
      </c>
      <c r="E78" s="82"/>
      <c r="F78" s="83">
        <f>ROUND((SUM(F71:F77)),2)</f>
        <v>889355.57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2019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162909582.88999999</v>
      </c>
    </row>
    <row r="87" spans="1:6" x14ac:dyDescent="0.2">
      <c r="A87" s="105" t="s">
        <v>79</v>
      </c>
      <c r="B87" s="106">
        <f>F56+F67</f>
        <v>5946914.3799999999</v>
      </c>
    </row>
    <row r="88" spans="1:6" x14ac:dyDescent="0.2">
      <c r="A88" s="105" t="s">
        <v>80</v>
      </c>
      <c r="B88" s="106">
        <f>F34</f>
        <v>11185654.380000001</v>
      </c>
    </row>
    <row r="89" spans="1:6" x14ac:dyDescent="0.2">
      <c r="A89" s="105" t="s">
        <v>81</v>
      </c>
      <c r="B89" s="106">
        <f>F45</f>
        <v>3363276.26</v>
      </c>
    </row>
    <row r="90" spans="1:6" x14ac:dyDescent="0.2">
      <c r="A90" s="105" t="s">
        <v>168</v>
      </c>
      <c r="B90" s="106">
        <f>F78</f>
        <v>889355.57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184956060.99999997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L30" sqref="L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671446586.20169997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230635457.17699999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554014776.02460003</v>
      </c>
      <c r="C4" s="70">
        <f>ROUND((Load!$B$14),4)</f>
        <v>1471891.6786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12288230.344599999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1745258478.0646999</v>
      </c>
      <c r="C11" s="74">
        <f>ROUND((SUM(C2:C10)),4)</f>
        <v>2142477.0682000001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5" t="s">
        <v>90</v>
      </c>
      <c r="C14" s="215" t="s">
        <v>167</v>
      </c>
      <c r="D14" s="76"/>
      <c r="E14" s="77"/>
      <c r="F14" s="78"/>
    </row>
    <row r="15" spans="1:14" x14ac:dyDescent="0.2">
      <c r="A15" s="79" t="s">
        <v>69</v>
      </c>
      <c r="B15" s="216"/>
      <c r="C15" s="217"/>
      <c r="D15" s="218">
        <v>2020</v>
      </c>
      <c r="E15" s="219"/>
      <c r="F15" s="220"/>
    </row>
    <row r="16" spans="1:14" x14ac:dyDescent="0.2">
      <c r="A16" s="66" t="str">
        <f>A2</f>
        <v xml:space="preserve">Residential </v>
      </c>
      <c r="B16" s="67">
        <f>+B2</f>
        <v>671446586.20169997</v>
      </c>
      <c r="C16" s="98">
        <v>1.0348999999999999</v>
      </c>
      <c r="D16" s="67">
        <f>ROUND((B16*C16),4)</f>
        <v>694880072.06009996</v>
      </c>
      <c r="E16" s="99">
        <v>9.4299999999999995E-2</v>
      </c>
      <c r="F16" s="81">
        <f>ROUND((D16*E16),2)</f>
        <v>65527190.799999997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230635457.17699999</v>
      </c>
      <c r="C17" s="80">
        <f t="shared" ref="C17:C22" si="0">$C$16</f>
        <v>1.0348999999999999</v>
      </c>
      <c r="D17" s="67">
        <f t="shared" ref="D17:D22" si="1">ROUND((B17*C17),4)</f>
        <v>238684634.63249999</v>
      </c>
      <c r="E17" s="113">
        <f t="shared" ref="E17" si="2">E16</f>
        <v>9.4299999999999995E-2</v>
      </c>
      <c r="F17" s="81">
        <f t="shared" ref="F17:F22" si="3">ROUND((D17*E17),2)</f>
        <v>22507961.050000001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765261559.90280008</v>
      </c>
      <c r="C18" s="80">
        <f t="shared" si="0"/>
        <v>1.0348999999999999</v>
      </c>
      <c r="D18" s="67">
        <f t="shared" si="1"/>
        <v>791969188.3434</v>
      </c>
      <c r="E18" s="113">
        <v>9.1260462545496357E-2</v>
      </c>
      <c r="F18" s="81">
        <f>ROUND((D18*E18),2)</f>
        <v>72275474.450000003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1713917218.6901</v>
      </c>
      <c r="C23" s="79"/>
      <c r="D23" s="74">
        <f>ROUND((SUM(D16:D21)),4)</f>
        <v>1772694190.2319</v>
      </c>
      <c r="E23" s="82"/>
      <c r="F23" s="83">
        <f>ROUND((SUM(F16:F21)),2)</f>
        <v>162303535.38999999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10">
        <f>$D$15</f>
        <v>2020</v>
      </c>
      <c r="E26" s="211"/>
      <c r="F26" s="214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694880072.06009996</v>
      </c>
      <c r="E27" s="95">
        <f>ROUND((0.00613697927588184),4)</f>
        <v>6.1000000000000004E-3</v>
      </c>
      <c r="F27" s="81">
        <f t="shared" ref="F27:F33" si="6">ROUND((D27*E27),2)</f>
        <v>4238768.4400000004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238684634.63249999</v>
      </c>
      <c r="E28" s="95">
        <f>ROUND((0.00530484651196029),4)</f>
        <v>5.3E-3</v>
      </c>
      <c r="F28" s="81">
        <f t="shared" si="6"/>
        <v>1265028.56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2008642.8539</v>
      </c>
      <c r="E29" s="95">
        <f>ROUND((2.8297715456094),4)</f>
        <v>2.8298000000000001</v>
      </c>
      <c r="F29" s="81">
        <f t="shared" si="6"/>
        <v>5684057.5499999998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11547910.359999999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10">
        <f>$D$15</f>
        <v>2020</v>
      </c>
      <c r="E37" s="211"/>
      <c r="F37" s="214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694880072.06009996</v>
      </c>
      <c r="E38" s="113">
        <f>ROUND((0.00170039331487917),4)</f>
        <v>1.6999999999999999E-3</v>
      </c>
      <c r="F38" s="81">
        <f t="shared" ref="F38:F44" si="9">ROUND((D38*E38),2)</f>
        <v>1181296.1200000001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238684634.63249999</v>
      </c>
      <c r="E39" s="95">
        <f>ROUND((0.00150034702396375),4)</f>
        <v>1.5E-3</v>
      </c>
      <c r="F39" s="81">
        <f t="shared" si="9"/>
        <v>358026.95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2008642.8539</v>
      </c>
      <c r="E40" s="95">
        <f>ROUND((0.845095477484139),4)</f>
        <v>0.84509999999999996</v>
      </c>
      <c r="F40" s="81">
        <f t="shared" si="9"/>
        <v>1697504.08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3344042.61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10">
        <f>$D$15</f>
        <v>2020</v>
      </c>
      <c r="E48" s="211"/>
      <c r="F48" s="212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694880072.06009996</v>
      </c>
      <c r="E49" s="95">
        <v>3.0000000000000001E-3</v>
      </c>
      <c r="F49" s="81">
        <f t="shared" ref="F49:F55" si="11">ROUND((D49*E49),2)</f>
        <v>2084640.22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238684634.63249999</v>
      </c>
      <c r="E50" s="95">
        <f>+E49</f>
        <v>3.0000000000000001E-3</v>
      </c>
      <c r="F50" s="81">
        <f t="shared" si="11"/>
        <v>716053.9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791969188.3434</v>
      </c>
      <c r="E51" s="95">
        <f>+E49</f>
        <v>3.0000000000000001E-3</v>
      </c>
      <c r="F51" s="81">
        <f t="shared" si="11"/>
        <v>2375907.5699999998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1772694190.2319</v>
      </c>
      <c r="E56" s="82"/>
      <c r="F56" s="83">
        <f>SUM(F49:F55)</f>
        <v>5318082.58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10">
        <f>$D$15</f>
        <v>2020</v>
      </c>
      <c r="E59" s="211"/>
      <c r="F59" s="212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694880072.06009996</v>
      </c>
      <c r="E60" s="95">
        <v>4.0000000000000002E-4</v>
      </c>
      <c r="F60" s="81">
        <f t="shared" ref="F60:F66" si="13">ROUND((D60*E60),2)</f>
        <v>277952.03000000003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238684634.63249999</v>
      </c>
      <c r="E61" s="95">
        <f>+E60</f>
        <v>4.0000000000000002E-4</v>
      </c>
      <c r="F61" s="81">
        <f t="shared" si="13"/>
        <v>95473.85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573920258.02429998</v>
      </c>
      <c r="E62" s="95">
        <f>+E60</f>
        <v>4.0000000000000002E-4</v>
      </c>
      <c r="F62" s="81">
        <f t="shared" si="13"/>
        <v>229568.1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1519366722.4387999</v>
      </c>
      <c r="E67" s="82"/>
      <c r="F67" s="83">
        <f>SUM(F60:F66)</f>
        <v>607746.68999999994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13">
        <f>$D$15</f>
        <v>2020</v>
      </c>
      <c r="E70" s="211"/>
      <c r="F70" s="214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694880072.06009996</v>
      </c>
      <c r="E71" s="95">
        <v>5.0000000000000001E-4</v>
      </c>
      <c r="F71" s="81">
        <f t="shared" ref="F71:F77" si="16">ROUND((D71*E71),2)</f>
        <v>347440.04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238684634.63249999</v>
      </c>
      <c r="E72" s="95">
        <f>+E71</f>
        <v>5.0000000000000001E-4</v>
      </c>
      <c r="F72" s="81">
        <f t="shared" si="16"/>
        <v>119342.32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791969188.3434</v>
      </c>
      <c r="E73" s="95">
        <f>+E71</f>
        <v>5.0000000000000001E-4</v>
      </c>
      <c r="F73" s="81">
        <f t="shared" si="16"/>
        <v>395984.59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1772694190.2319</v>
      </c>
      <c r="E78" s="82"/>
      <c r="F78" s="83">
        <f>SUM(F71:F77)</f>
        <v>886347.1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13">
        <f>$D$15</f>
        <v>2020</v>
      </c>
      <c r="E81" s="211"/>
      <c r="F81" s="214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162303535.38999999</v>
      </c>
      <c r="E86" s="116"/>
    </row>
    <row r="87" spans="1:6" x14ac:dyDescent="0.2">
      <c r="A87" s="105" t="s">
        <v>79</v>
      </c>
      <c r="B87" s="106">
        <f>F56+F67</f>
        <v>5925829.2699999996</v>
      </c>
      <c r="E87" s="188"/>
    </row>
    <row r="88" spans="1:6" x14ac:dyDescent="0.2">
      <c r="A88" s="105" t="s">
        <v>80</v>
      </c>
      <c r="B88" s="106">
        <f>F34</f>
        <v>11547910.359999999</v>
      </c>
    </row>
    <row r="89" spans="1:6" x14ac:dyDescent="0.2">
      <c r="A89" s="105" t="s">
        <v>81</v>
      </c>
      <c r="B89" s="106">
        <f>F45</f>
        <v>3344042.61</v>
      </c>
    </row>
    <row r="90" spans="1:6" x14ac:dyDescent="0.2">
      <c r="A90" s="105" t="s">
        <v>168</v>
      </c>
      <c r="B90" s="106">
        <f>F78</f>
        <v>886347.1</v>
      </c>
      <c r="C90" s="116">
        <f>+B87+B90</f>
        <v>6812176.3699999992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184677957.36999997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1" t="s">
        <v>117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+Power!N149</f>
        <v>1800532969.3676</v>
      </c>
      <c r="C5" s="122">
        <f>+Power!N150</f>
        <v>1839227272.9066</v>
      </c>
      <c r="D5" s="122">
        <f>+Power!N151</f>
        <v>1833962545.5459001</v>
      </c>
      <c r="E5" s="122">
        <f>+Power!N152</f>
        <v>1830851832.8018</v>
      </c>
      <c r="F5" s="122">
        <f>+Power!N153</f>
        <v>1828193197.1271</v>
      </c>
      <c r="G5" s="122">
        <f>+Power!N154</f>
        <v>1809415813.348</v>
      </c>
      <c r="H5" s="122">
        <f>+Power!N155</f>
        <v>1811886026.9916999</v>
      </c>
      <c r="I5" s="122">
        <f>+Power!N156</f>
        <v>1830430876.0724001</v>
      </c>
      <c r="J5" s="122">
        <f>+Power!N157</f>
        <v>1774710777.4356</v>
      </c>
      <c r="K5" s="122">
        <f>+Power!N158</f>
        <v>1833212923.2344</v>
      </c>
      <c r="L5" s="122">
        <f>+Power!N159</f>
        <v>1798998944.3754001</v>
      </c>
      <c r="M5" s="122">
        <f>+Power!N160</f>
        <v>1806036789.3859999</v>
      </c>
    </row>
    <row r="6" spans="1:16" x14ac:dyDescent="0.2">
      <c r="A6" s="42" t="s">
        <v>97</v>
      </c>
      <c r="B6" s="129">
        <f>ROUND(((B5-B4)/B4),4)</f>
        <v>9.4999999999999998E-3</v>
      </c>
      <c r="C6" s="129">
        <f t="shared" ref="C6:K6" si="0">ROUND(((C5-C4)/C4),4)</f>
        <v>-4.4000000000000003E-3</v>
      </c>
      <c r="D6" s="129">
        <f t="shared" si="0"/>
        <v>-9.4999999999999998E-3</v>
      </c>
      <c r="E6" s="129">
        <f t="shared" si="0"/>
        <v>-5.8999999999999999E-3</v>
      </c>
      <c r="F6" s="129">
        <f t="shared" si="0"/>
        <v>1.1999999999999999E-3</v>
      </c>
      <c r="G6" s="129">
        <f t="shared" si="0"/>
        <v>-2.3E-3</v>
      </c>
      <c r="H6" s="129">
        <f t="shared" si="0"/>
        <v>5.4999999999999997E-3</v>
      </c>
      <c r="I6" s="129">
        <f t="shared" si="0"/>
        <v>1.03E-2</v>
      </c>
      <c r="J6" s="129">
        <f t="shared" si="0"/>
        <v>9.5999999999999992E-3</v>
      </c>
      <c r="K6" s="129">
        <f t="shared" si="0"/>
        <v>-1.2800000000000001E-2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1742878264.266</v>
      </c>
      <c r="M8" s="122">
        <f>+Energy!E17</f>
        <v>1749696560.1492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659417796.75569999</v>
      </c>
      <c r="M13" s="1">
        <f>+Energy!H84</f>
        <v>671446586.20169997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230055002.44749999</v>
      </c>
      <c r="M17" s="1">
        <f>+Energy!I84</f>
        <v>230635457.17699999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797429991.56579995</v>
      </c>
      <c r="M21" s="1">
        <f>+Energy!J84+Energy!K84+Energy!L84</f>
        <v>777549790.24740005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2059333.1241000001</v>
      </c>
      <c r="M22" s="1">
        <f>+Load!B14+Load!C14+Load!D14</f>
        <v>2008642.8539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1732600903.1547999</v>
      </c>
      <c r="M45" s="1">
        <f t="shared" si="2"/>
        <v>1726205449.0346999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2148328.9900000002</v>
      </c>
      <c r="M46" s="1">
        <f t="shared" si="3"/>
        <v>2099160.88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1751653932.1847999</v>
      </c>
      <c r="M50" s="1">
        <f t="shared" si="5"/>
        <v>1745258478.0646999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2191645.1800000002</v>
      </c>
      <c r="M51" s="1">
        <f t="shared" si="6"/>
        <v>2142477.0699999998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</v>
      </c>
      <c r="M55" s="1">
        <f>ROUND((Energy!P64),0)</f>
        <v>1749696560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2148328.9900000002</v>
      </c>
      <c r="M56" s="1">
        <f>ROUND((Load!G14),2)</f>
        <v>2099160.88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1751653932.1847999</v>
      </c>
      <c r="M60" s="1">
        <f>ROUND((Energy!P84+ED!C13),4)</f>
        <v>1745258478.0646999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2191645.1800000002</v>
      </c>
      <c r="M61" s="1">
        <f>ROUND((Load!G14+ED!B14),2)</f>
        <v>2142477.0699999998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1800.5329693675999</v>
      </c>
      <c r="C71" s="55">
        <f t="shared" si="10"/>
        <v>1839.2272729066001</v>
      </c>
      <c r="D71" s="55">
        <f t="shared" si="10"/>
        <v>1833.9625455459002</v>
      </c>
      <c r="E71" s="55">
        <f t="shared" si="10"/>
        <v>1830.8518328017999</v>
      </c>
      <c r="F71" s="55">
        <f t="shared" si="11"/>
        <v>1828.1931971270999</v>
      </c>
      <c r="G71" s="55">
        <f t="shared" si="11"/>
        <v>1809.415813348</v>
      </c>
      <c r="H71" s="55">
        <f t="shared" si="11"/>
        <v>1811.8860269917</v>
      </c>
      <c r="I71" s="55">
        <f t="shared" si="11"/>
        <v>1830.4308760724</v>
      </c>
      <c r="J71" s="55">
        <f t="shared" si="11"/>
        <v>1774.7107774356</v>
      </c>
      <c r="K71" s="55">
        <f>K5/1000000</f>
        <v>1833.2129232344</v>
      </c>
      <c r="L71" s="55">
        <f>L5/1000000</f>
        <v>1798.9989443754</v>
      </c>
      <c r="M71" s="55">
        <f>M5/1000000</f>
        <v>1806.036789386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5" t="s">
        <v>138</v>
      </c>
      <c r="K1" s="225"/>
      <c r="P1" s="232" t="s">
        <v>182</v>
      </c>
      <c r="Q1" s="233"/>
      <c r="R1" s="233"/>
      <c r="S1" s="233"/>
      <c r="T1" s="233"/>
      <c r="U1" s="233"/>
      <c r="V1" s="233"/>
      <c r="W1" s="233"/>
      <c r="X1" s="234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91" t="s">
        <v>154</v>
      </c>
      <c r="Q2" s="192">
        <v>2013</v>
      </c>
      <c r="R2" s="191">
        <v>2014</v>
      </c>
      <c r="S2" s="192">
        <v>2015</v>
      </c>
      <c r="T2" s="191">
        <v>2016</v>
      </c>
      <c r="U2" s="192">
        <v>2017</v>
      </c>
      <c r="V2" s="191">
        <v>2018</v>
      </c>
      <c r="W2" s="192">
        <v>2019</v>
      </c>
      <c r="X2" s="180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6" t="s">
        <v>170</v>
      </c>
      <c r="Q25" s="226"/>
      <c r="R25" s="226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27">
        <v>105710000</v>
      </c>
      <c r="Q26" s="227"/>
      <c r="R26" s="227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22" t="s">
        <v>169</v>
      </c>
      <c r="Q28" s="223"/>
      <c r="R28" s="223"/>
      <c r="S28" s="223"/>
      <c r="T28" s="223"/>
      <c r="U28" s="223"/>
      <c r="V28" s="224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62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63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64">
        <f>P37/$P$26</f>
        <v>2.777777777788289E-2</v>
      </c>
      <c r="Q30" s="165">
        <f t="shared" ref="Q30:U33" si="7">Q37/$P$26</f>
        <v>2.777777777788289E-2</v>
      </c>
      <c r="R30" s="165">
        <f t="shared" si="7"/>
        <v>2.777777777788289E-2</v>
      </c>
      <c r="S30" s="165">
        <f t="shared" si="7"/>
        <v>2.777777777788289E-2</v>
      </c>
      <c r="T30" s="165">
        <f t="shared" si="7"/>
        <v>2.777777777788289E-2</v>
      </c>
      <c r="U30" s="165">
        <f t="shared" si="7"/>
        <v>2.777777777788289E-2</v>
      </c>
      <c r="V30" s="166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64"/>
      <c r="Q31" s="165">
        <f t="shared" si="7"/>
        <v>3.3333333333648664E-2</v>
      </c>
      <c r="R31" s="165">
        <f t="shared" si="7"/>
        <v>3.3333333333648664E-2</v>
      </c>
      <c r="S31" s="165">
        <f t="shared" si="7"/>
        <v>3.3333333333648664E-2</v>
      </c>
      <c r="T31" s="165">
        <f t="shared" si="7"/>
        <v>3.3333333333648664E-2</v>
      </c>
      <c r="U31" s="165">
        <f t="shared" si="7"/>
        <v>3.3333333333648664E-2</v>
      </c>
      <c r="V31" s="166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64"/>
      <c r="Q32" s="165"/>
      <c r="R32" s="165">
        <f t="shared" si="7"/>
        <v>4.166666666635134E-2</v>
      </c>
      <c r="S32" s="165">
        <f t="shared" si="7"/>
        <v>4.166666666635134E-2</v>
      </c>
      <c r="T32" s="165">
        <f t="shared" ref="T32:U35" si="9">T39/$P$26</f>
        <v>4.166666666635134E-2</v>
      </c>
      <c r="U32" s="165">
        <f t="shared" si="9"/>
        <v>4.166666666635134E-2</v>
      </c>
      <c r="V32" s="166">
        <f t="shared" si="8"/>
        <v>0.16666666666540536</v>
      </c>
      <c r="X32" s="178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64"/>
      <c r="Q33" s="165"/>
      <c r="R33" s="165"/>
      <c r="S33" s="165">
        <f t="shared" si="7"/>
        <v>5.555555555576578E-2</v>
      </c>
      <c r="T33" s="165">
        <f t="shared" si="9"/>
        <v>5.555555555576578E-2</v>
      </c>
      <c r="U33" s="165">
        <f t="shared" si="9"/>
        <v>5.555555555576578E-2</v>
      </c>
      <c r="V33" s="166">
        <f t="shared" si="8"/>
        <v>0.16666666666729735</v>
      </c>
      <c r="X33" s="179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64"/>
      <c r="Q34" s="165"/>
      <c r="R34" s="165"/>
      <c r="S34" s="165"/>
      <c r="T34" s="165">
        <f t="shared" si="9"/>
        <v>8.333333333364866E-2</v>
      </c>
      <c r="U34" s="165">
        <f t="shared" si="9"/>
        <v>8.333333333364866E-2</v>
      </c>
      <c r="V34" s="166">
        <f t="shared" si="8"/>
        <v>0.16666666666729732</v>
      </c>
      <c r="X34" s="179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64"/>
      <c r="Q35" s="165"/>
      <c r="R35" s="165"/>
      <c r="S35" s="165"/>
      <c r="T35" s="165"/>
      <c r="U35" s="165">
        <f t="shared" si="9"/>
        <v>0.16666666666635133</v>
      </c>
      <c r="V35" s="166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9" t="s">
        <v>65</v>
      </c>
      <c r="Q36" s="230"/>
      <c r="R36" s="230"/>
      <c r="S36" s="230"/>
      <c r="T36" s="230"/>
      <c r="U36" s="230"/>
      <c r="V36" s="231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7">
        <f>ROUND((V37/6),4)</f>
        <v>2936388.8889000001</v>
      </c>
      <c r="Q37" s="168">
        <f>ROUND((V37/6),4)</f>
        <v>2936388.8889000001</v>
      </c>
      <c r="R37" s="168">
        <f>ROUND((V37/6),4)</f>
        <v>2936388.8889000001</v>
      </c>
      <c r="S37" s="168">
        <f>ROUND((V37/6),4)</f>
        <v>2936388.8889000001</v>
      </c>
      <c r="T37" s="168">
        <f>ROUND((V37/6),4)</f>
        <v>2936388.8889000001</v>
      </c>
      <c r="U37" s="168">
        <f>ROUND((V37/6),4)</f>
        <v>2936388.8889000001</v>
      </c>
      <c r="V37" s="169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70"/>
      <c r="Q38" s="168">
        <f>ROUND((V38/5),4)</f>
        <v>3523666.6666999999</v>
      </c>
      <c r="R38" s="168">
        <f>ROUND((V38/5),4)</f>
        <v>3523666.6666999999</v>
      </c>
      <c r="S38" s="168">
        <f>ROUND((V38/5),4)</f>
        <v>3523666.6666999999</v>
      </c>
      <c r="T38" s="168">
        <f>ROUND((V38/5),4)</f>
        <v>3523666.6666999999</v>
      </c>
      <c r="U38" s="168">
        <f>ROUND((V38/5),4)</f>
        <v>3523666.6666999999</v>
      </c>
      <c r="V38" s="169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70"/>
      <c r="Q39" s="171"/>
      <c r="R39" s="168">
        <f>ROUND((V39/4),4)</f>
        <v>4404583.3333000001</v>
      </c>
      <c r="S39" s="168">
        <f>ROUND((V39/4),4)</f>
        <v>4404583.3333000001</v>
      </c>
      <c r="T39" s="168">
        <f>ROUND((V39/4),4)</f>
        <v>4404583.3333000001</v>
      </c>
      <c r="U39" s="168">
        <f>ROUND((V39/4),4)</f>
        <v>4404583.3333000001</v>
      </c>
      <c r="V39" s="169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70"/>
      <c r="Q40" s="171"/>
      <c r="R40" s="171"/>
      <c r="S40" s="171">
        <f>ROUND((V40/3),4)</f>
        <v>5872777.7778000003</v>
      </c>
      <c r="T40" s="171">
        <f>ROUND((V40/3),4)</f>
        <v>5872777.7778000003</v>
      </c>
      <c r="U40" s="171">
        <f>ROUND((V40/3),4)</f>
        <v>5872777.7778000003</v>
      </c>
      <c r="V40" s="169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5"/>
      <c r="Q41" s="176"/>
      <c r="R41" s="176"/>
      <c r="S41" s="176"/>
      <c r="T41" s="171">
        <f>ROUND((V41/2),4)</f>
        <v>8809166.6666999999</v>
      </c>
      <c r="U41" s="171">
        <f>ROUND((V41/2),4)</f>
        <v>8809166.6666999999</v>
      </c>
      <c r="V41" s="177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72"/>
      <c r="Q42" s="173"/>
      <c r="R42" s="173"/>
      <c r="S42" s="173"/>
      <c r="T42" s="173"/>
      <c r="U42" s="173">
        <f>ROUND((V42),4)</f>
        <v>17618333.333299998</v>
      </c>
      <c r="V42" s="174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8" t="s">
        <v>171</v>
      </c>
      <c r="U44" s="228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81">
        <f>ROUND((SUM(T45:T47)),4)</f>
        <v>10277361.111199999</v>
      </c>
      <c r="U48" s="181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http://purl.org/dc/terms/"/>
    <ds:schemaRef ds:uri="http://schemas.openxmlformats.org/package/2006/metadata/core-properties"/>
    <ds:schemaRef ds:uri="2b77ee51-2d1b-440f-b1c5-6bf38323b71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adf76cf-6749-4566-8a2a-e6e614103977"/>
    <ds:schemaRef ds:uri="http://schemas.microsoft.com/office/2006/metadata/properties"/>
    <ds:schemaRef ds:uri="d0012f55-c530-43d5-97ec-29547c6a9aa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2019-08-06T17:16:44Z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