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1860" yWindow="-45" windowWidth="21930" windowHeight="12450" tabRatio="714" activeTab="1"/>
  </bookViews>
  <sheets>
    <sheet name="Summary Bill Impact" sheetId="13" r:id="rId1"/>
    <sheet name="Res " sheetId="4" r:id="rId2"/>
    <sheet name="GS&lt;50" sheetId="15" r:id="rId3"/>
    <sheet name="GS&gt;50 " sheetId="17" r:id="rId4"/>
    <sheet name="USL" sheetId="16" r:id="rId5"/>
    <sheet name="SL " sheetId="18" r:id="rId6"/>
    <sheet name="ST " sheetId="19" r:id="rId7"/>
  </sheets>
  <externalReferences>
    <externalReference r:id="rId8"/>
  </externalReferences>
  <definedNames>
    <definedName name="_xlnm.Print_Area" localSheetId="2">'GS&lt;50'!$A$43:$J$78</definedName>
    <definedName name="_xlnm.Print_Area" localSheetId="3">'GS&gt;50 '!$B$43:$J$73</definedName>
    <definedName name="_xlnm.Print_Area" localSheetId="1">'Res '!$A$43:$J$78</definedName>
    <definedName name="_xlnm.Print_Area" localSheetId="5">'SL '!$A$34:$J$60</definedName>
    <definedName name="_xlnm.Print_Area" localSheetId="6">'ST '!$B$41:$J$70</definedName>
    <definedName name="_xlnm.Print_Area" localSheetId="4">USL!$A$38:$J$69</definedName>
    <definedName name="rateclasses">[1]hidden1!$A$1:$A$22</definedName>
  </definedNames>
  <calcPr calcId="145621" iterate="1"/>
</workbook>
</file>

<file path=xl/calcChain.xml><?xml version="1.0" encoding="utf-8"?>
<calcChain xmlns="http://schemas.openxmlformats.org/spreadsheetml/2006/main">
  <c r="J61" i="4" l="1"/>
  <c r="M62" i="4"/>
  <c r="M61" i="4"/>
  <c r="C68" i="17" l="1"/>
  <c r="D53" i="15" l="1"/>
  <c r="C23" i="17" l="1"/>
  <c r="G45" i="19" l="1"/>
  <c r="G63" i="19" l="1"/>
  <c r="D63" i="19"/>
  <c r="J67" i="19" l="1"/>
  <c r="J56" i="18"/>
  <c r="J43" i="18"/>
  <c r="J70" i="17"/>
  <c r="J58" i="17"/>
  <c r="J57" i="17"/>
  <c r="J56" i="17"/>
  <c r="J50" i="17"/>
  <c r="J73" i="15"/>
  <c r="J73" i="4"/>
  <c r="J49" i="4"/>
  <c r="F48" i="19"/>
  <c r="C48" i="19"/>
  <c r="G48" i="19"/>
  <c r="D48" i="19"/>
  <c r="D49" i="19" s="1"/>
  <c r="F46" i="16"/>
  <c r="H46" i="16" s="1"/>
  <c r="C46" i="16"/>
  <c r="G46" i="16"/>
  <c r="D46" i="16"/>
  <c r="E46" i="16" s="1"/>
  <c r="F51" i="17"/>
  <c r="C51" i="17"/>
  <c r="G51" i="17"/>
  <c r="D51" i="17"/>
  <c r="E51" i="17"/>
  <c r="G52" i="15"/>
  <c r="F52" i="15"/>
  <c r="D52" i="15"/>
  <c r="C52" i="15"/>
  <c r="E52" i="15"/>
  <c r="F52" i="4"/>
  <c r="H52" i="4" s="1"/>
  <c r="D52" i="4"/>
  <c r="C52" i="4"/>
  <c r="E52" i="4" s="1"/>
  <c r="C51" i="4"/>
  <c r="E51" i="4" s="1"/>
  <c r="F51" i="4"/>
  <c r="D51" i="4"/>
  <c r="E48" i="19" l="1"/>
  <c r="H48" i="19"/>
  <c r="H51" i="17"/>
  <c r="J52" i="4"/>
  <c r="H52" i="15"/>
  <c r="I48" i="19"/>
  <c r="J48" i="19" s="1"/>
  <c r="I46" i="16"/>
  <c r="J46" i="16" s="1"/>
  <c r="I51" i="17"/>
  <c r="I52" i="15"/>
  <c r="I52" i="4"/>
  <c r="D68" i="17"/>
  <c r="C54" i="17"/>
  <c r="D54" i="17"/>
  <c r="J51" i="17" l="1"/>
  <c r="J52" i="15"/>
  <c r="G53" i="18"/>
  <c r="D23" i="17"/>
  <c r="G50" i="17"/>
  <c r="F50" i="17"/>
  <c r="D50" i="17"/>
  <c r="C50" i="17"/>
  <c r="G51" i="15"/>
  <c r="F51" i="15"/>
  <c r="D51" i="15"/>
  <c r="C51" i="15"/>
  <c r="H51" i="4"/>
  <c r="J51" i="4" s="1"/>
  <c r="D53" i="18"/>
  <c r="C54" i="18"/>
  <c r="F54" i="18" s="1"/>
  <c r="C53" i="18"/>
  <c r="F53" i="18" s="1"/>
  <c r="D54" i="18"/>
  <c r="G54" i="18" s="1"/>
  <c r="E53" i="18" l="1"/>
  <c r="C42" i="18"/>
  <c r="E50" i="17"/>
  <c r="H50" i="17"/>
  <c r="H51" i="15"/>
  <c r="J51" i="15" s="1"/>
  <c r="E51" i="15"/>
  <c r="I51" i="4"/>
  <c r="E54" i="18"/>
  <c r="H54" i="18"/>
  <c r="J54" i="18" s="1"/>
  <c r="H53" i="18"/>
  <c r="I53" i="18" l="1"/>
  <c r="J53" i="18" s="1"/>
  <c r="I50" i="17"/>
  <c r="I51" i="15"/>
  <c r="I54" i="18"/>
  <c r="G49" i="19" l="1"/>
  <c r="G53" i="15"/>
  <c r="G49" i="4" l="1"/>
  <c r="D54" i="19" l="1"/>
  <c r="D53" i="19"/>
  <c r="D47" i="19"/>
  <c r="D52" i="19"/>
  <c r="C54" i="19"/>
  <c r="C53" i="19"/>
  <c r="C47" i="19"/>
  <c r="C52" i="19"/>
  <c r="F47" i="19"/>
  <c r="F52" i="19"/>
  <c r="D43" i="18" l="1"/>
  <c r="C43" i="18"/>
  <c r="D51" i="16"/>
  <c r="D50" i="16"/>
  <c r="D45" i="16"/>
  <c r="D49" i="16"/>
  <c r="C51" i="16"/>
  <c r="C50" i="16"/>
  <c r="C45" i="16"/>
  <c r="C49" i="16"/>
  <c r="F45" i="16"/>
  <c r="F49" i="16"/>
  <c r="J44" i="17"/>
  <c r="D57" i="17"/>
  <c r="D56" i="17"/>
  <c r="D55" i="17"/>
  <c r="C57" i="17" l="1"/>
  <c r="C55" i="17"/>
  <c r="F55" i="17"/>
  <c r="C56" i="17"/>
  <c r="J44" i="15" l="1"/>
  <c r="D58" i="15"/>
  <c r="D57" i="15"/>
  <c r="D56" i="15"/>
  <c r="D55" i="15"/>
  <c r="C58" i="15"/>
  <c r="C57" i="15"/>
  <c r="F56" i="15"/>
  <c r="C56" i="15"/>
  <c r="D50" i="15"/>
  <c r="F50" i="15"/>
  <c r="C50" i="15"/>
  <c r="J44" i="4" l="1"/>
  <c r="D58" i="4" l="1"/>
  <c r="D57" i="4"/>
  <c r="D56" i="4"/>
  <c r="C58" i="4"/>
  <c r="C57" i="4"/>
  <c r="D50" i="4"/>
  <c r="F50" i="4"/>
  <c r="F56" i="4"/>
  <c r="C56" i="4"/>
  <c r="C50" i="4"/>
  <c r="E50" i="4" s="1"/>
  <c r="E56" i="4" l="1"/>
  <c r="E58" i="4"/>
  <c r="E57" i="4"/>
  <c r="J39" i="16"/>
  <c r="J35" i="18"/>
  <c r="F53" i="19"/>
  <c r="F43" i="18"/>
  <c r="F50" i="16"/>
  <c r="F57" i="15" l="1"/>
  <c r="F56" i="17" l="1"/>
  <c r="F57" i="17"/>
  <c r="F57" i="4"/>
  <c r="C49" i="19" l="1"/>
  <c r="F49" i="19"/>
  <c r="F52" i="17"/>
  <c r="F53" i="15"/>
  <c r="C53" i="4" l="1"/>
  <c r="G50" i="15" l="1"/>
  <c r="G50" i="4"/>
  <c r="H50" i="4" l="1"/>
  <c r="H50" i="15"/>
  <c r="E50" i="15"/>
  <c r="G52" i="19"/>
  <c r="G47" i="19"/>
  <c r="E52" i="19"/>
  <c r="E47" i="19"/>
  <c r="G65" i="19"/>
  <c r="G58" i="19"/>
  <c r="G57" i="19"/>
  <c r="G54" i="19"/>
  <c r="G53" i="19"/>
  <c r="G51" i="19"/>
  <c r="G61" i="19" s="1"/>
  <c r="G46" i="19"/>
  <c r="D58" i="19"/>
  <c r="G40" i="18"/>
  <c r="G51" i="18"/>
  <c r="G46" i="18"/>
  <c r="G45" i="18"/>
  <c r="G43" i="18"/>
  <c r="G42" i="18"/>
  <c r="G50" i="18" s="1"/>
  <c r="D46" i="18"/>
  <c r="G49" i="16"/>
  <c r="G45" i="16"/>
  <c r="E49" i="16"/>
  <c r="E45" i="16"/>
  <c r="D44" i="16"/>
  <c r="G61" i="16"/>
  <c r="G59" i="16"/>
  <c r="G51" i="16"/>
  <c r="G50" i="16"/>
  <c r="G48" i="16"/>
  <c r="G58" i="16" s="1"/>
  <c r="G44" i="16"/>
  <c r="G55" i="17"/>
  <c r="G56" i="17"/>
  <c r="E55" i="17"/>
  <c r="G49" i="17"/>
  <c r="G68" i="17"/>
  <c r="G66" i="17"/>
  <c r="G61" i="17"/>
  <c r="G60" i="17"/>
  <c r="G57" i="17"/>
  <c r="G54" i="17"/>
  <c r="G63" i="17" s="1"/>
  <c r="G52" i="17"/>
  <c r="D61" i="17"/>
  <c r="D52" i="17"/>
  <c r="E56" i="15"/>
  <c r="G67" i="15"/>
  <c r="G59" i="15"/>
  <c r="G55" i="15"/>
  <c r="G66" i="15" s="1"/>
  <c r="G49" i="15"/>
  <c r="G71" i="4"/>
  <c r="G70" i="4"/>
  <c r="G69" i="4"/>
  <c r="G67" i="4"/>
  <c r="G59" i="4"/>
  <c r="G58" i="4"/>
  <c r="G57" i="4"/>
  <c r="G56" i="4"/>
  <c r="G55" i="4"/>
  <c r="G65" i="4" s="1"/>
  <c r="G53" i="4"/>
  <c r="D53" i="4"/>
  <c r="E53" i="4" s="1"/>
  <c r="G56" i="15"/>
  <c r="G58" i="15"/>
  <c r="G57" i="15"/>
  <c r="I50" i="4" l="1"/>
  <c r="J50" i="4" s="1"/>
  <c r="G62" i="15"/>
  <c r="H49" i="16"/>
  <c r="I49" i="16" s="1"/>
  <c r="G57" i="16"/>
  <c r="G64" i="15"/>
  <c r="G65" i="15"/>
  <c r="H56" i="15"/>
  <c r="G61" i="15"/>
  <c r="H55" i="17"/>
  <c r="I55" i="17" s="1"/>
  <c r="J55" i="17" s="1"/>
  <c r="I50" i="15"/>
  <c r="J50" i="15" s="1"/>
  <c r="G62" i="19"/>
  <c r="H52" i="19"/>
  <c r="G60" i="19"/>
  <c r="G54" i="16"/>
  <c r="G56" i="16"/>
  <c r="G53" i="16"/>
  <c r="G64" i="17"/>
  <c r="G65" i="17"/>
  <c r="G62" i="4"/>
  <c r="G61" i="4"/>
  <c r="G66" i="4"/>
  <c r="G64" i="4"/>
  <c r="G48" i="18"/>
  <c r="G49" i="18"/>
  <c r="H56" i="4"/>
  <c r="H47" i="19"/>
  <c r="H45" i="16"/>
  <c r="I45" i="16" s="1"/>
  <c r="E35" i="16"/>
  <c r="E34" i="16"/>
  <c r="E33" i="16"/>
  <c r="I52" i="19" l="1"/>
  <c r="J52" i="19" s="1"/>
  <c r="I47" i="19"/>
  <c r="J47" i="19"/>
  <c r="I56" i="15"/>
  <c r="J56" i="15" s="1"/>
  <c r="J45" i="16"/>
  <c r="J49" i="16"/>
  <c r="I56" i="4"/>
  <c r="J56" i="4" s="1"/>
  <c r="F54" i="19" l="1"/>
  <c r="F51" i="16"/>
  <c r="E54" i="19" l="1"/>
  <c r="E51" i="16"/>
  <c r="E57" i="17"/>
  <c r="F58" i="15" l="1"/>
  <c r="F58" i="4"/>
  <c r="C59" i="4"/>
  <c r="E59" i="4" s="1"/>
  <c r="E58" i="15" l="1"/>
  <c r="F62" i="19" l="1"/>
  <c r="F61" i="19"/>
  <c r="C61" i="19"/>
  <c r="F50" i="18"/>
  <c r="F49" i="18"/>
  <c r="C49" i="18"/>
  <c r="F58" i="16"/>
  <c r="F57" i="16"/>
  <c r="C57" i="16"/>
  <c r="F65" i="17"/>
  <c r="F64" i="17"/>
  <c r="C64" i="17"/>
  <c r="F66" i="15"/>
  <c r="F65" i="15"/>
  <c r="C65" i="15"/>
  <c r="F66" i="4"/>
  <c r="F65" i="4"/>
  <c r="C65" i="4"/>
  <c r="D71" i="4" l="1"/>
  <c r="D70" i="4"/>
  <c r="E70" i="4" s="1"/>
  <c r="D69" i="4"/>
  <c r="E69" i="4" s="1"/>
  <c r="G55" i="19" l="1"/>
  <c r="D55" i="19"/>
  <c r="F55" i="19"/>
  <c r="C55" i="19"/>
  <c r="D58" i="17"/>
  <c r="G58" i="17"/>
  <c r="F58" i="17"/>
  <c r="C58" i="17"/>
  <c r="C52" i="17"/>
  <c r="C53" i="15"/>
  <c r="F53" i="4"/>
  <c r="H58" i="17" l="1"/>
  <c r="E58" i="17"/>
  <c r="E55" i="19"/>
  <c r="H55" i="19"/>
  <c r="J55" i="19" s="1"/>
  <c r="E38" i="19"/>
  <c r="E37" i="19"/>
  <c r="E36" i="19"/>
  <c r="E31" i="18"/>
  <c r="E30" i="18"/>
  <c r="E29" i="18"/>
  <c r="E40" i="17"/>
  <c r="E39" i="17"/>
  <c r="E38" i="17"/>
  <c r="E39" i="15"/>
  <c r="G70" i="15" s="1"/>
  <c r="E40" i="15"/>
  <c r="G71" i="15" s="1"/>
  <c r="E38" i="15"/>
  <c r="G69" i="15" l="1"/>
  <c r="I58" i="17"/>
  <c r="I55" i="19"/>
  <c r="F40" i="4"/>
  <c r="F39" i="4"/>
  <c r="F38" i="4"/>
  <c r="F60" i="19" l="1"/>
  <c r="F48" i="18"/>
  <c r="F56" i="16"/>
  <c r="F63" i="17"/>
  <c r="F64" i="15"/>
  <c r="F68" i="17" l="1"/>
  <c r="F64" i="4" l="1"/>
  <c r="C51" i="19" l="1"/>
  <c r="C65" i="19" s="1"/>
  <c r="F65" i="19" s="1"/>
  <c r="C10" i="13" l="1"/>
  <c r="C9" i="13"/>
  <c r="C7" i="13"/>
  <c r="B10" i="13"/>
  <c r="B9" i="13"/>
  <c r="B8" i="13"/>
  <c r="B7" i="13"/>
  <c r="B6" i="13"/>
  <c r="C48" i="16" l="1"/>
  <c r="F48" i="16" s="1"/>
  <c r="D65" i="19" l="1"/>
  <c r="E65" i="19" l="1"/>
  <c r="F63" i="19"/>
  <c r="C63" i="19"/>
  <c r="E63" i="19" s="1"/>
  <c r="C62" i="19"/>
  <c r="C60" i="19"/>
  <c r="F58" i="19"/>
  <c r="C58" i="19"/>
  <c r="F57" i="19"/>
  <c r="D57" i="19"/>
  <c r="C57" i="19"/>
  <c r="H54" i="19"/>
  <c r="D51" i="19"/>
  <c r="F51" i="19"/>
  <c r="F46" i="19"/>
  <c r="D46" i="19"/>
  <c r="C46" i="19"/>
  <c r="F45" i="19"/>
  <c r="C45" i="19"/>
  <c r="B43" i="19"/>
  <c r="J41" i="19"/>
  <c r="F38" i="19"/>
  <c r="F37" i="19"/>
  <c r="F36" i="19"/>
  <c r="F51" i="18"/>
  <c r="D51" i="18"/>
  <c r="C51" i="18"/>
  <c r="C50" i="18"/>
  <c r="C48" i="18"/>
  <c r="F46" i="18"/>
  <c r="C46" i="18"/>
  <c r="F45" i="18"/>
  <c r="D45" i="18"/>
  <c r="C45" i="18"/>
  <c r="D42" i="18"/>
  <c r="F40" i="18"/>
  <c r="D40" i="18"/>
  <c r="C40" i="18"/>
  <c r="F39" i="18"/>
  <c r="C39" i="18"/>
  <c r="B37" i="18"/>
  <c r="J34" i="18"/>
  <c r="F31" i="18"/>
  <c r="F30" i="18"/>
  <c r="F29" i="18"/>
  <c r="F54" i="17"/>
  <c r="D60" i="17"/>
  <c r="D49" i="17"/>
  <c r="B46" i="17"/>
  <c r="B46" i="4"/>
  <c r="B46" i="15"/>
  <c r="B41" i="16"/>
  <c r="F66" i="17"/>
  <c r="D66" i="17"/>
  <c r="C66" i="17"/>
  <c r="C65" i="17"/>
  <c r="C63" i="17"/>
  <c r="F61" i="17"/>
  <c r="C61" i="17"/>
  <c r="F60" i="17"/>
  <c r="C60" i="17"/>
  <c r="F49" i="17"/>
  <c r="C49" i="17"/>
  <c r="F48" i="17"/>
  <c r="C48" i="17"/>
  <c r="J43" i="17"/>
  <c r="F40" i="17"/>
  <c r="F39" i="17"/>
  <c r="F38" i="17"/>
  <c r="D62" i="16"/>
  <c r="G62" i="16" s="1"/>
  <c r="D61" i="16"/>
  <c r="C62" i="16"/>
  <c r="F62" i="16" s="1"/>
  <c r="C61" i="16"/>
  <c r="F61" i="16" s="1"/>
  <c r="F59" i="16"/>
  <c r="D59" i="16"/>
  <c r="C59" i="16"/>
  <c r="C58" i="16"/>
  <c r="C56" i="16"/>
  <c r="F54" i="16"/>
  <c r="C54" i="16"/>
  <c r="F53" i="16"/>
  <c r="C53" i="16"/>
  <c r="D48" i="16"/>
  <c r="F44" i="16"/>
  <c r="C44" i="16"/>
  <c r="F43" i="16"/>
  <c r="C43" i="16"/>
  <c r="J38" i="16"/>
  <c r="F35" i="16"/>
  <c r="F34" i="16"/>
  <c r="F33" i="16"/>
  <c r="H58" i="4"/>
  <c r="J58" i="4" s="1"/>
  <c r="D71" i="15"/>
  <c r="C71" i="15"/>
  <c r="F71" i="15" s="1"/>
  <c r="D70" i="15"/>
  <c r="C70" i="15"/>
  <c r="F70" i="15" s="1"/>
  <c r="D69" i="15"/>
  <c r="C69" i="15"/>
  <c r="F67" i="15"/>
  <c r="D67" i="15"/>
  <c r="C67" i="15"/>
  <c r="C66" i="15"/>
  <c r="C64" i="15"/>
  <c r="F62" i="15"/>
  <c r="C62" i="15"/>
  <c r="F61" i="15"/>
  <c r="C61" i="15"/>
  <c r="D59" i="15"/>
  <c r="F49" i="15"/>
  <c r="D49" i="15"/>
  <c r="C49" i="15"/>
  <c r="F48" i="15"/>
  <c r="C48" i="15"/>
  <c r="J43" i="15"/>
  <c r="F40" i="15"/>
  <c r="F39" i="15"/>
  <c r="F38" i="15"/>
  <c r="I54" i="19" l="1"/>
  <c r="J54" i="19"/>
  <c r="C55" i="15"/>
  <c r="E55" i="15" s="1"/>
  <c r="I58" i="4"/>
  <c r="E45" i="19"/>
  <c r="E39" i="18"/>
  <c r="E43" i="16"/>
  <c r="E47" i="16" s="1"/>
  <c r="E48" i="17"/>
  <c r="E48" i="15"/>
  <c r="D64" i="15"/>
  <c r="E64" i="15" s="1"/>
  <c r="D62" i="15"/>
  <c r="D66" i="15"/>
  <c r="E66" i="15" s="1"/>
  <c r="D65" i="15"/>
  <c r="D62" i="19"/>
  <c r="D61" i="19"/>
  <c r="D57" i="16"/>
  <c r="D54" i="16"/>
  <c r="D58" i="16"/>
  <c r="D64" i="17"/>
  <c r="D65" i="17"/>
  <c r="E68" i="17" s="1"/>
  <c r="E69" i="17" s="1"/>
  <c r="D48" i="18"/>
  <c r="E48" i="18" s="1"/>
  <c r="D50" i="18"/>
  <c r="D49" i="18"/>
  <c r="E49" i="18" s="1"/>
  <c r="H48" i="18"/>
  <c r="H49" i="18"/>
  <c r="H43" i="18"/>
  <c r="H51" i="16"/>
  <c r="I51" i="16" s="1"/>
  <c r="J51" i="16" s="1"/>
  <c r="H57" i="17"/>
  <c r="I57" i="17" s="1"/>
  <c r="H57" i="15"/>
  <c r="J57" i="15" s="1"/>
  <c r="H58" i="15"/>
  <c r="J58" i="15" s="1"/>
  <c r="F69" i="15"/>
  <c r="F55" i="15" s="1"/>
  <c r="H51" i="18"/>
  <c r="E46" i="19"/>
  <c r="H49" i="19"/>
  <c r="E42" i="18"/>
  <c r="H45" i="18"/>
  <c r="H39" i="18"/>
  <c r="H54" i="17"/>
  <c r="E66" i="17"/>
  <c r="H63" i="19"/>
  <c r="H67" i="15"/>
  <c r="E49" i="15"/>
  <c r="H48" i="15"/>
  <c r="E67" i="15"/>
  <c r="H65" i="19"/>
  <c r="F42" i="18"/>
  <c r="E43" i="18"/>
  <c r="E54" i="17"/>
  <c r="D61" i="15"/>
  <c r="H58" i="19"/>
  <c r="E57" i="19"/>
  <c r="E66" i="19"/>
  <c r="E53" i="19"/>
  <c r="D60" i="19"/>
  <c r="H51" i="19"/>
  <c r="E51" i="19"/>
  <c r="E58" i="19"/>
  <c r="H45" i="19"/>
  <c r="H57" i="19"/>
  <c r="H46" i="18"/>
  <c r="E46" i="18"/>
  <c r="E40" i="18"/>
  <c r="E51" i="18"/>
  <c r="E45" i="18"/>
  <c r="H60" i="17"/>
  <c r="D63" i="17"/>
  <c r="H48" i="17"/>
  <c r="E61" i="17"/>
  <c r="H61" i="17"/>
  <c r="E56" i="17"/>
  <c r="E49" i="17"/>
  <c r="H68" i="17"/>
  <c r="E60" i="17"/>
  <c r="H66" i="17"/>
  <c r="E62" i="16"/>
  <c r="E50" i="16"/>
  <c r="H59" i="16"/>
  <c r="E59" i="16"/>
  <c r="E61" i="16"/>
  <c r="H43" i="16"/>
  <c r="D56" i="16"/>
  <c r="D53" i="16"/>
  <c r="E48" i="16"/>
  <c r="H62" i="16"/>
  <c r="E44" i="16"/>
  <c r="E69" i="15"/>
  <c r="E71" i="15"/>
  <c r="E70" i="15"/>
  <c r="F59" i="15"/>
  <c r="H59" i="15" s="1"/>
  <c r="H70" i="15"/>
  <c r="H71" i="15"/>
  <c r="C59" i="15"/>
  <c r="E59" i="15" s="1"/>
  <c r="J49" i="18" l="1"/>
  <c r="H66" i="19"/>
  <c r="I66" i="19" s="1"/>
  <c r="I58" i="15"/>
  <c r="E61" i="19"/>
  <c r="I39" i="18"/>
  <c r="J39" i="18" s="1"/>
  <c r="I48" i="17"/>
  <c r="J48" i="17" s="1"/>
  <c r="I48" i="15"/>
  <c r="J48" i="15" s="1"/>
  <c r="H50" i="18"/>
  <c r="H56" i="17"/>
  <c r="I56" i="17" s="1"/>
  <c r="I63" i="19"/>
  <c r="J63" i="19" s="1"/>
  <c r="H55" i="18"/>
  <c r="I49" i="18"/>
  <c r="E57" i="16"/>
  <c r="H57" i="16"/>
  <c r="I67" i="15"/>
  <c r="J67" i="15" s="1"/>
  <c r="H62" i="15"/>
  <c r="E49" i="19"/>
  <c r="E50" i="19" s="1"/>
  <c r="H46" i="19"/>
  <c r="I51" i="18"/>
  <c r="J51" i="18" s="1"/>
  <c r="H44" i="16"/>
  <c r="H47" i="16" s="1"/>
  <c r="I45" i="18"/>
  <c r="J45" i="18" s="1"/>
  <c r="I48" i="18"/>
  <c r="J48" i="18" s="1"/>
  <c r="H40" i="18"/>
  <c r="H49" i="17"/>
  <c r="H49" i="15"/>
  <c r="E50" i="18"/>
  <c r="H42" i="18"/>
  <c r="H55" i="15"/>
  <c r="E55" i="18"/>
  <c r="E61" i="15"/>
  <c r="I65" i="19"/>
  <c r="J65" i="19" s="1"/>
  <c r="I46" i="18"/>
  <c r="J46" i="18" s="1"/>
  <c r="I58" i="19"/>
  <c r="J58" i="19" s="1"/>
  <c r="H61" i="15"/>
  <c r="H53" i="19"/>
  <c r="I51" i="19"/>
  <c r="J51" i="19" s="1"/>
  <c r="I57" i="19"/>
  <c r="J57" i="19" s="1"/>
  <c r="I45" i="19"/>
  <c r="J45" i="19" s="1"/>
  <c r="H61" i="19"/>
  <c r="E60" i="19"/>
  <c r="E41" i="18"/>
  <c r="I43" i="18"/>
  <c r="E63" i="17"/>
  <c r="I60" i="17"/>
  <c r="J60" i="17" s="1"/>
  <c r="I54" i="17"/>
  <c r="J54" i="17" s="1"/>
  <c r="H52" i="17"/>
  <c r="E52" i="17"/>
  <c r="E53" i="17" s="1"/>
  <c r="I66" i="17"/>
  <c r="J66" i="17" s="1"/>
  <c r="I68" i="17"/>
  <c r="J68" i="17" s="1"/>
  <c r="H69" i="17"/>
  <c r="I61" i="17"/>
  <c r="J61" i="17" s="1"/>
  <c r="E63" i="16"/>
  <c r="E52" i="16"/>
  <c r="I43" i="16"/>
  <c r="E56" i="16"/>
  <c r="I62" i="16"/>
  <c r="J62" i="16"/>
  <c r="I59" i="16"/>
  <c r="J59" i="16" s="1"/>
  <c r="E53" i="16"/>
  <c r="H53" i="16"/>
  <c r="H48" i="16"/>
  <c r="H61" i="16"/>
  <c r="H50" i="16"/>
  <c r="E72" i="15"/>
  <c r="I59" i="15"/>
  <c r="J59" i="15" s="1"/>
  <c r="I71" i="15"/>
  <c r="J71" i="15" s="1"/>
  <c r="I70" i="15"/>
  <c r="J70" i="15" s="1"/>
  <c r="E57" i="15"/>
  <c r="I57" i="15" s="1"/>
  <c r="H69" i="15"/>
  <c r="E53" i="15"/>
  <c r="E54" i="15" s="1"/>
  <c r="H53" i="15"/>
  <c r="H64" i="15"/>
  <c r="I42" i="18" l="1"/>
  <c r="J42" i="18"/>
  <c r="I53" i="19"/>
  <c r="J53" i="19"/>
  <c r="J66" i="19"/>
  <c r="I55" i="15"/>
  <c r="J55" i="15"/>
  <c r="J69" i="15"/>
  <c r="I49" i="15"/>
  <c r="J49" i="15" s="1"/>
  <c r="H50" i="19"/>
  <c r="I40" i="18"/>
  <c r="J40" i="18" s="1"/>
  <c r="I44" i="16"/>
  <c r="J44" i="16" s="1"/>
  <c r="J43" i="16"/>
  <c r="I49" i="17"/>
  <c r="J49" i="17" s="1"/>
  <c r="I49" i="19"/>
  <c r="J49" i="19" s="1"/>
  <c r="H65" i="17"/>
  <c r="E62" i="15"/>
  <c r="E56" i="19"/>
  <c r="E59" i="19" s="1"/>
  <c r="H63" i="17"/>
  <c r="I57" i="16"/>
  <c r="J57" i="16" s="1"/>
  <c r="E64" i="17"/>
  <c r="H64" i="17"/>
  <c r="H65" i="15"/>
  <c r="E65" i="15"/>
  <c r="E68" i="15" s="1"/>
  <c r="I61" i="19"/>
  <c r="J61" i="19" s="1"/>
  <c r="I55" i="18"/>
  <c r="J55" i="18" s="1"/>
  <c r="I46" i="19"/>
  <c r="J46" i="19" s="1"/>
  <c r="E52" i="18"/>
  <c r="H52" i="16"/>
  <c r="H41" i="18"/>
  <c r="I50" i="18"/>
  <c r="J50" i="18" s="1"/>
  <c r="H52" i="18"/>
  <c r="E62" i="19"/>
  <c r="E58" i="16"/>
  <c r="E65" i="17"/>
  <c r="H66" i="15"/>
  <c r="I61" i="15"/>
  <c r="J61" i="15" s="1"/>
  <c r="H60" i="19"/>
  <c r="E44" i="18"/>
  <c r="E59" i="17"/>
  <c r="I69" i="17"/>
  <c r="J69" i="17" s="1"/>
  <c r="I52" i="17"/>
  <c r="J52" i="17" s="1"/>
  <c r="H53" i="17"/>
  <c r="H56" i="16"/>
  <c r="I50" i="16"/>
  <c r="J50" i="16" s="1"/>
  <c r="E54" i="16"/>
  <c r="E55" i="16" s="1"/>
  <c r="H54" i="16"/>
  <c r="H63" i="16"/>
  <c r="I61" i="16"/>
  <c r="J61" i="16" s="1"/>
  <c r="I48" i="16"/>
  <c r="I53" i="16"/>
  <c r="E60" i="15"/>
  <c r="I64" i="15"/>
  <c r="J64" i="15" s="1"/>
  <c r="I53" i="15"/>
  <c r="J53" i="15" s="1"/>
  <c r="H54" i="15"/>
  <c r="H72" i="15"/>
  <c r="I69" i="15"/>
  <c r="I63" i="17" l="1"/>
  <c r="J63" i="17"/>
  <c r="H44" i="18"/>
  <c r="H47" i="18" s="1"/>
  <c r="H56" i="19"/>
  <c r="H59" i="19" s="1"/>
  <c r="I66" i="15"/>
  <c r="J66" i="15" s="1"/>
  <c r="I50" i="19"/>
  <c r="J50" i="19" s="1"/>
  <c r="J48" i="16"/>
  <c r="E63" i="15"/>
  <c r="I62" i="15"/>
  <c r="J62" i="15" s="1"/>
  <c r="I65" i="17"/>
  <c r="J65" i="17" s="1"/>
  <c r="H67" i="17"/>
  <c r="I64" i="17"/>
  <c r="J64" i="17" s="1"/>
  <c r="I65" i="15"/>
  <c r="J65" i="15" s="1"/>
  <c r="I47" i="16"/>
  <c r="J47" i="16" s="1"/>
  <c r="I41" i="18"/>
  <c r="E9" i="13" s="1"/>
  <c r="E64" i="19"/>
  <c r="E68" i="19" s="1"/>
  <c r="I52" i="18"/>
  <c r="J52" i="18" s="1"/>
  <c r="E60" i="16"/>
  <c r="E65" i="16" s="1"/>
  <c r="E67" i="17"/>
  <c r="H68" i="15"/>
  <c r="H62" i="19"/>
  <c r="H58" i="16"/>
  <c r="I58" i="16" s="1"/>
  <c r="J58" i="16" s="1"/>
  <c r="J53" i="16"/>
  <c r="I60" i="19"/>
  <c r="J60" i="19" s="1"/>
  <c r="E47" i="18"/>
  <c r="E57" i="18" s="1"/>
  <c r="E62" i="17"/>
  <c r="I53" i="17"/>
  <c r="J53" i="17" s="1"/>
  <c r="H59" i="17"/>
  <c r="I63" i="16"/>
  <c r="J63" i="16" s="1"/>
  <c r="I56" i="16"/>
  <c r="H55" i="16"/>
  <c r="I52" i="16"/>
  <c r="I54" i="16"/>
  <c r="I72" i="15"/>
  <c r="J72" i="15" s="1"/>
  <c r="H60" i="15"/>
  <c r="I54" i="15"/>
  <c r="J54" i="15" s="1"/>
  <c r="I44" i="18" l="1"/>
  <c r="J41" i="18"/>
  <c r="F9" i="13" s="1"/>
  <c r="H57" i="18"/>
  <c r="H58" i="18" s="1"/>
  <c r="J44" i="18"/>
  <c r="H9" i="13" s="1"/>
  <c r="I56" i="19"/>
  <c r="J56" i="19" s="1"/>
  <c r="H10" i="13" s="1"/>
  <c r="I62" i="19"/>
  <c r="J62" i="19"/>
  <c r="E74" i="15"/>
  <c r="E76" i="15" s="1"/>
  <c r="E71" i="17"/>
  <c r="E72" i="17" s="1"/>
  <c r="E10" i="13"/>
  <c r="I67" i="17"/>
  <c r="J67" i="17" s="1"/>
  <c r="I60" i="16"/>
  <c r="E58" i="18"/>
  <c r="E66" i="16"/>
  <c r="E67" i="16"/>
  <c r="I68" i="15"/>
  <c r="J68" i="15" s="1"/>
  <c r="E69" i="19"/>
  <c r="E8" i="13"/>
  <c r="I64" i="19"/>
  <c r="H64" i="19"/>
  <c r="H60" i="16"/>
  <c r="H65" i="16" s="1"/>
  <c r="F10" i="13"/>
  <c r="F8" i="13"/>
  <c r="J54" i="16"/>
  <c r="E7" i="13"/>
  <c r="E6" i="13"/>
  <c r="G9" i="13"/>
  <c r="J52" i="16"/>
  <c r="H8" i="13" s="1"/>
  <c r="G8" i="13"/>
  <c r="I59" i="19"/>
  <c r="I10" i="13" s="1"/>
  <c r="I47" i="18"/>
  <c r="J47" i="18" s="1"/>
  <c r="I59" i="17"/>
  <c r="J59" i="17" s="1"/>
  <c r="H62" i="17"/>
  <c r="I55" i="16"/>
  <c r="J56" i="16"/>
  <c r="H63" i="15"/>
  <c r="I60" i="15"/>
  <c r="J60" i="15" s="1"/>
  <c r="I57" i="18" l="1"/>
  <c r="J57" i="18" s="1"/>
  <c r="H71" i="17"/>
  <c r="I71" i="17" s="1"/>
  <c r="G10" i="13"/>
  <c r="J59" i="19"/>
  <c r="J10" i="13" s="1"/>
  <c r="J64" i="19"/>
  <c r="H74" i="15"/>
  <c r="I74" i="15" s="1"/>
  <c r="E75" i="15"/>
  <c r="E77" i="15" s="1"/>
  <c r="H68" i="19"/>
  <c r="I68" i="19" s="1"/>
  <c r="J68" i="19" s="1"/>
  <c r="E68" i="16"/>
  <c r="E59" i="18"/>
  <c r="I58" i="18"/>
  <c r="J58" i="18" s="1"/>
  <c r="E70" i="19"/>
  <c r="E73" i="17"/>
  <c r="H72" i="17"/>
  <c r="H59" i="18"/>
  <c r="I65" i="16"/>
  <c r="J65" i="16" s="1"/>
  <c r="H66" i="16"/>
  <c r="H67" i="16"/>
  <c r="I67" i="16" s="1"/>
  <c r="J67" i="16" s="1"/>
  <c r="J60" i="16"/>
  <c r="F7" i="13"/>
  <c r="F6" i="13"/>
  <c r="J9" i="13"/>
  <c r="I9" i="13"/>
  <c r="J55" i="16"/>
  <c r="J8" i="13" s="1"/>
  <c r="I8" i="13"/>
  <c r="H7" i="13"/>
  <c r="G7" i="13"/>
  <c r="H6" i="13"/>
  <c r="G6" i="13"/>
  <c r="I62" i="17"/>
  <c r="J62" i="17" s="1"/>
  <c r="I63" i="15"/>
  <c r="J63" i="15" s="1"/>
  <c r="I72" i="17" l="1"/>
  <c r="J72" i="17" s="1"/>
  <c r="J71" i="17"/>
  <c r="H75" i="15"/>
  <c r="H76" i="15"/>
  <c r="I76" i="15" s="1"/>
  <c r="J74" i="15"/>
  <c r="H69" i="19"/>
  <c r="I69" i="19" s="1"/>
  <c r="J69" i="19" s="1"/>
  <c r="I59" i="18"/>
  <c r="K9" i="13" s="1"/>
  <c r="H73" i="17"/>
  <c r="H68" i="16"/>
  <c r="I68" i="16" s="1"/>
  <c r="K8" i="13" s="1"/>
  <c r="I66" i="16"/>
  <c r="J66" i="16" s="1"/>
  <c r="J7" i="13"/>
  <c r="I7" i="13"/>
  <c r="J6" i="13"/>
  <c r="I6" i="13"/>
  <c r="H77" i="15" l="1"/>
  <c r="I77" i="15" s="1"/>
  <c r="K6" i="13" s="1"/>
  <c r="I75" i="15"/>
  <c r="J75" i="15" s="1"/>
  <c r="J76" i="15"/>
  <c r="H70" i="19"/>
  <c r="I70" i="19" s="1"/>
  <c r="K10" i="13" s="1"/>
  <c r="J59" i="18"/>
  <c r="I73" i="17"/>
  <c r="K7" i="13" s="1"/>
  <c r="J68" i="16"/>
  <c r="J70" i="19" l="1"/>
  <c r="L10" i="13" s="1"/>
  <c r="J73" i="17"/>
  <c r="J77" i="15"/>
  <c r="L8" i="13"/>
  <c r="L9" i="13"/>
  <c r="L7" i="13"/>
  <c r="L6" i="13" l="1"/>
  <c r="D59" i="4" l="1"/>
  <c r="C64" i="4" l="1"/>
  <c r="D67" i="4"/>
  <c r="D55" i="4"/>
  <c r="D49" i="4"/>
  <c r="C71" i="4"/>
  <c r="E71" i="4" s="1"/>
  <c r="E72" i="4" s="1"/>
  <c r="C70" i="4"/>
  <c r="C69" i="4"/>
  <c r="F67" i="4"/>
  <c r="C67" i="4"/>
  <c r="E67" i="4" s="1"/>
  <c r="C66" i="4"/>
  <c r="F62" i="4"/>
  <c r="F61" i="4"/>
  <c r="C62" i="4"/>
  <c r="C61" i="4"/>
  <c r="C49" i="4"/>
  <c r="F48" i="4"/>
  <c r="C48" i="4"/>
  <c r="F59" i="4"/>
  <c r="E49" i="4" l="1"/>
  <c r="E54" i="4" s="1"/>
  <c r="H48" i="4"/>
  <c r="E48" i="4"/>
  <c r="D66" i="4"/>
  <c r="E66" i="4" s="1"/>
  <c r="D62" i="4"/>
  <c r="E62" i="4" s="1"/>
  <c r="H67" i="4"/>
  <c r="D65" i="4"/>
  <c r="E65" i="4" s="1"/>
  <c r="F69" i="4"/>
  <c r="C55" i="4"/>
  <c r="E55" i="4" s="1"/>
  <c r="F71" i="4"/>
  <c r="F70" i="4"/>
  <c r="D61" i="4"/>
  <c r="D64" i="4"/>
  <c r="E64" i="4" s="1"/>
  <c r="E68" i="4" s="1"/>
  <c r="H59" i="4"/>
  <c r="E60" i="4" l="1"/>
  <c r="H61" i="4"/>
  <c r="E61" i="4"/>
  <c r="E63" i="4" s="1"/>
  <c r="E74" i="4" s="1"/>
  <c r="I48" i="4"/>
  <c r="J48" i="4" s="1"/>
  <c r="H65" i="4"/>
  <c r="H53" i="4"/>
  <c r="I67" i="4"/>
  <c r="J67" i="4" s="1"/>
  <c r="F55" i="4"/>
  <c r="I49" i="4"/>
  <c r="I59" i="4"/>
  <c r="J59" i="4" s="1"/>
  <c r="H71" i="4"/>
  <c r="H69" i="4"/>
  <c r="B5" i="13"/>
  <c r="J43" i="4"/>
  <c r="I71" i="4" l="1"/>
  <c r="J71" i="4" s="1"/>
  <c r="E75" i="4"/>
  <c r="E76" i="4"/>
  <c r="E77" i="4"/>
  <c r="I61" i="4"/>
  <c r="H54" i="4"/>
  <c r="I65" i="4"/>
  <c r="J65" i="4" s="1"/>
  <c r="H66" i="4"/>
  <c r="H64" i="4"/>
  <c r="I53" i="4"/>
  <c r="J53" i="4" s="1"/>
  <c r="H62" i="4"/>
  <c r="I69" i="4"/>
  <c r="J69" i="4" s="1"/>
  <c r="H55" i="4"/>
  <c r="H70" i="4"/>
  <c r="I54" i="4" l="1"/>
  <c r="E5" i="13" s="1"/>
  <c r="I66" i="4"/>
  <c r="J66" i="4"/>
  <c r="I70" i="4"/>
  <c r="J70" i="4"/>
  <c r="H72" i="4"/>
  <c r="I64" i="4"/>
  <c r="J64" i="4" s="1"/>
  <c r="H68" i="4"/>
  <c r="H57" i="4"/>
  <c r="J57" i="4" s="1"/>
  <c r="I62" i="4"/>
  <c r="J62" i="4" s="1"/>
  <c r="I55" i="4"/>
  <c r="J55" i="4" s="1"/>
  <c r="J54" i="4" l="1"/>
  <c r="F5" i="13" s="1"/>
  <c r="I72" i="4"/>
  <c r="J72" i="4"/>
  <c r="J68" i="4"/>
  <c r="H60" i="4"/>
  <c r="I68" i="4"/>
  <c r="I57" i="4"/>
  <c r="H63" i="4" l="1"/>
  <c r="I63" i="4" s="1"/>
  <c r="I60" i="4"/>
  <c r="J60" i="4" s="1"/>
  <c r="H74" i="4" l="1"/>
  <c r="J63" i="4"/>
  <c r="J5" i="13" s="1"/>
  <c r="H5" i="13"/>
  <c r="G5" i="13"/>
  <c r="I5" i="13"/>
  <c r="H76" i="4" l="1"/>
  <c r="H75" i="4"/>
  <c r="I74" i="4"/>
  <c r="J74" i="4" s="1"/>
  <c r="I75" i="4" l="1"/>
  <c r="J75" i="4" s="1"/>
  <c r="H77" i="4"/>
  <c r="I76" i="4"/>
  <c r="J76" i="4" s="1"/>
  <c r="I77" i="4" l="1"/>
  <c r="K5" i="13" s="1"/>
  <c r="J77" i="4" l="1"/>
  <c r="L5" i="13" s="1"/>
</calcChain>
</file>

<file path=xl/sharedStrings.xml><?xml version="1.0" encoding="utf-8"?>
<sst xmlns="http://schemas.openxmlformats.org/spreadsheetml/2006/main" count="609" uniqueCount="119">
  <si>
    <t>Residential</t>
  </si>
  <si>
    <t>Monthly Rates and Charges</t>
  </si>
  <si>
    <t>Current Rate</t>
  </si>
  <si>
    <t>Service Charge</t>
  </si>
  <si>
    <t>Distribution Volumetric Rate</t>
  </si>
  <si>
    <t>Retail Transmission Rate – Network Service Rate</t>
  </si>
  <si>
    <t>Retail Transmission Rate – Line and Transformation Connection Service Rate</t>
  </si>
  <si>
    <t xml:space="preserve">Wholesale Market Service Rate </t>
  </si>
  <si>
    <t>Rural Rate Protection Charge</t>
  </si>
  <si>
    <t>Standard Supply Service – Administration Charge (if applicable)</t>
  </si>
  <si>
    <t>Loss Factor</t>
  </si>
  <si>
    <t>Consumption</t>
  </si>
  <si>
    <t>kWh</t>
  </si>
  <si>
    <t>kW</t>
  </si>
  <si>
    <t>Current Loss Factor</t>
  </si>
  <si>
    <t>RPP Tier One</t>
  </si>
  <si>
    <t>Proposed Loss Factor</t>
  </si>
  <si>
    <t>Volume</t>
  </si>
  <si>
    <t>HST</t>
  </si>
  <si>
    <t>RATE CLASS</t>
  </si>
  <si>
    <t>GENERAL SERVICE 50 to 4,999 KW (Non-RPP)</t>
  </si>
  <si>
    <t>STREET LIGHTING (Non-RPP)</t>
  </si>
  <si>
    <t>Sentinel Lights</t>
  </si>
  <si>
    <t>Customer Class</t>
  </si>
  <si>
    <t>$ Change</t>
  </si>
  <si>
    <t>% Change</t>
  </si>
  <si>
    <t>Non-RPP</t>
  </si>
  <si>
    <t>GS&lt;50 kW</t>
  </si>
  <si>
    <t>GS&gt;50 kW</t>
  </si>
  <si>
    <t>Unmetered Scattered Load</t>
  </si>
  <si>
    <t>Street Lighting</t>
  </si>
  <si>
    <t>Notes:</t>
  </si>
  <si>
    <t>RPP Tier 1</t>
  </si>
  <si>
    <t>RPP Tier 2</t>
  </si>
  <si>
    <t>RPP Off</t>
  </si>
  <si>
    <t>RPP Mid</t>
  </si>
  <si>
    <t>RPP On</t>
  </si>
  <si>
    <t>RPP TOU</t>
  </si>
  <si>
    <t>RPP Tier</t>
  </si>
  <si>
    <t>SMEC</t>
  </si>
  <si>
    <t>Current Board-Approved</t>
  </si>
  <si>
    <t>Proposed</t>
  </si>
  <si>
    <t>Impact</t>
  </si>
  <si>
    <t>Rate</t>
  </si>
  <si>
    <t>Charge</t>
  </si>
  <si>
    <t>($)</t>
  </si>
  <si>
    <t>Monthly Service Charge</t>
  </si>
  <si>
    <t>Sub-Total A (excluding pass through)</t>
  </si>
  <si>
    <t>Line Losses on Cost of Power</t>
  </si>
  <si>
    <t>Total Deferral/Variance Account Rate Riders</t>
  </si>
  <si>
    <t>Smart Meter Entity Charge</t>
  </si>
  <si>
    <t>Sub-Total B - Distribution (includes Sub-Total A)</t>
  </si>
  <si>
    <t>RTSR - Network</t>
  </si>
  <si>
    <t>RTSR - Connection and/or Line and Transformation Connection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</si>
  <si>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</si>
  <si>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</si>
  <si>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</si>
  <si>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</si>
  <si>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>TOU - Off Peak</t>
  </si>
  <si>
    <t>TOU - Mid Peak</t>
  </si>
  <si>
    <t>TOU - On Peak</t>
  </si>
  <si>
    <t>Total Bill on TOU (before Taxes)</t>
  </si>
  <si>
    <t>Sub-Total Regulatory</t>
  </si>
  <si>
    <t>Sub-Total Energy</t>
  </si>
  <si>
    <t>%</t>
  </si>
  <si>
    <t>Commodity including Global Adjustment*</t>
  </si>
  <si>
    <t>RESIDENTIAL (RPP TOU)</t>
  </si>
  <si>
    <t>GS&lt;50 kW (RPP TOU)</t>
  </si>
  <si>
    <t xml:space="preserve">UNMETERED SCATTERED LOAD (RPP TIER) </t>
  </si>
  <si>
    <t>SENTINEL LIGHTING (RPP TIER)</t>
  </si>
  <si>
    <t xml:space="preserve"> </t>
  </si>
  <si>
    <t>Total Bill (5)</t>
  </si>
  <si>
    <t>$</t>
  </si>
  <si>
    <t>RPP</t>
  </si>
  <si>
    <t>Enter RPP if customer class is RPP (if not leave blank)</t>
  </si>
  <si>
    <t>Subtotal -Distribution Volumetric Rate Rider(s)</t>
  </si>
  <si>
    <t xml:space="preserve">Total Bill on TOU </t>
  </si>
  <si>
    <t>kWh (1)</t>
  </si>
  <si>
    <t>RPP Price (2)</t>
  </si>
  <si>
    <t>Distribution Charges-A excl. pass-through (3a)</t>
  </si>
  <si>
    <t>Distribution Charges-B incl. pass-through (3b)</t>
  </si>
  <si>
    <t>Delivery Charges (4)</t>
  </si>
  <si>
    <t>(1)  The residential standard used for illustrative purposes is 750 kWh per EB-2016-0153</t>
  </si>
  <si>
    <t>Def/Var LRAMVA</t>
  </si>
  <si>
    <t xml:space="preserve">      RPP TOU assumes average consumption of Off-peak (65%), Mid-peak (17%) and On-peak (18%) per OEB.</t>
  </si>
  <si>
    <t>(4)  Delivery Charges include all Distribution Charges (per notes 3a and 3b), plus Transmission Service Charges</t>
  </si>
  <si>
    <t>Ontario Rebate for Electricity Consumers</t>
  </si>
  <si>
    <t>Capacity Based Recovery (CBR)</t>
  </si>
  <si>
    <t>Rural or Remote Rate Protection Charge</t>
  </si>
  <si>
    <t>Capacity Based Recovery</t>
  </si>
  <si>
    <t>CBR Class B-Rate Rider</t>
  </si>
  <si>
    <t>Volumetric Rate Riders (LRAM)</t>
  </si>
  <si>
    <t>Volumetric Rate Riders (LRAM )</t>
  </si>
  <si>
    <t>Total Deferral/Variance Account Rate Riders (kw)</t>
  </si>
  <si>
    <t>Total Deferral/Variance Account Rate Rider GA (kwh)</t>
  </si>
  <si>
    <t>Stranded Meter Rate Rider</t>
  </si>
  <si>
    <t>Low Voltage Rate Rider</t>
  </si>
  <si>
    <t>Group 2 Deferral/Variance Account Rate Rider</t>
  </si>
  <si>
    <t xml:space="preserve">Low Voltage Rate </t>
  </si>
  <si>
    <t>Stranded Meter Disposition Rate Rider</t>
  </si>
  <si>
    <t>Total Bill on Spot (before Taxes)</t>
  </si>
  <si>
    <t>Total Bill on Spot</t>
  </si>
  <si>
    <t>Total Bill on Tiered (before Taxes)</t>
  </si>
  <si>
    <t>Total Bill on Tiered</t>
  </si>
  <si>
    <t>n/a</t>
  </si>
  <si>
    <t xml:space="preserve">kW </t>
  </si>
  <si>
    <t>1576 Rate Rider</t>
  </si>
  <si>
    <t>1576 Disposition</t>
  </si>
  <si>
    <t>(2)  RPP Pricing for May 1, 2018 to April 30, 2019</t>
  </si>
  <si>
    <t xml:space="preserve">      Line Losses and the Smart Meter Entity Charge</t>
  </si>
  <si>
    <t>(3b) Distribution Charges-B includes those described in note 3(a) plus pass-through charges such as low voltage as well as</t>
  </si>
  <si>
    <t xml:space="preserve">      rural rate protection and standard supply service) and HST and the 8% Ontario Rebate for Electricity Consumers</t>
  </si>
  <si>
    <t>(5)  Total Bill includes all Delivery Charges noted above plus commodity cost, regulatory costs (ie. wholesale market service, CBR,</t>
  </si>
  <si>
    <t>Current</t>
  </si>
  <si>
    <t xml:space="preserve">2020 Bill Impact Summary </t>
  </si>
  <si>
    <t xml:space="preserve">      Non-RPP assumes a weighted average price including Class B Global Adjustment (IESO's Monthly Market Report for May 2018, pg 22)</t>
  </si>
  <si>
    <t>(3a) Distribution Charges-A includes Distribution Monthly Service Charge, Volumetric Charges,disposition of 1576 and LRAMVA and Stranded Meters</t>
  </si>
  <si>
    <t>*    Weighted average price including Class B Global Adjustment through end of May 2018 (IESO's Monthly Market Report for May 2018, page 22)</t>
  </si>
  <si>
    <t>Avg Increase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</si>
</sst>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0"/>
    <numFmt numFmtId="165" formatCode="_-* #,##0.00_-;\-* #,##0.00_-;_-* &quot;-&quot;??_-;_-@_-"/>
    <numFmt numFmtId="166" formatCode="0.00000;\(0.00000\)"/>
    <numFmt numFmtId="167" formatCode="_-* #,##0.0000_-;\-* #,##0.0000_-;_-* &quot;-&quot;??_-;_-@_-"/>
    <numFmt numFmtId="168" formatCode="_-* #,##0_-"/>
    <numFmt numFmtId="169" formatCode="0.0000"/>
    <numFmt numFmtId="170" formatCode="0.0%"/>
    <numFmt numFmtId="171" formatCode="0.0000;\(0.0000\)"/>
    <numFmt numFmtId="172" formatCode="_-&quot;$&quot;* #,##0.00_-;\-&quot;$&quot;* #,##0.00_-;_-&quot;$&quot;* &quot;-&quot;??_-;_-@_-"/>
    <numFmt numFmtId="173" formatCode="_(* #,##0.0_);_(* \(#,##0.0\);_(* &quot;-&quot;??_);_(@_)"/>
    <numFmt numFmtId="174" formatCode="#,##0.0"/>
    <numFmt numFmtId="175" formatCode="mm/dd/yyyy"/>
    <numFmt numFmtId="176" formatCode="0\-0"/>
    <numFmt numFmtId="177" formatCode="##\-#"/>
    <numFmt numFmtId="178" formatCode="_(* #,##0_);_(* \(#,##0\);_(* &quot;-&quot;??_);_(@_)"/>
    <numFmt numFmtId="179" formatCode="&quot;£ &quot;#,##0.00;[Red]\-&quot;£ &quot;#,##0.00"/>
    <numFmt numFmtId="180" formatCode="_-&quot;$&quot;* #,##0.0000_-;\-&quot;$&quot;* #,##0.0000_-;_-&quot;$&quot;* &quot;-&quot;??_-;_-@_-"/>
    <numFmt numFmtId="181" formatCode="_-* #,##0_-;\-* #,##0_-;_-* &quot;-&quot;??_-;_-@_-"/>
    <numFmt numFmtId="182" formatCode="_(* #,##0.0000_);_(* \(#,##0.0000\);_(* &quot;-&quot;??_);_(@_)"/>
    <numFmt numFmtId="183" formatCode="_-* #,##0.000_-;\-* #,##0.000_-;_-* &quot;-&quot;??_-;_-@_-"/>
    <numFmt numFmtId="184" formatCode="0.000"/>
    <numFmt numFmtId="185" formatCode="_(&quot;$&quot;* #,##0.0000_);_(&quot;$&quot;* \(#,##0.0000\);_(&quot;$&quot;* &quot;-&quot;??_);_(@_)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sz val="14"/>
      <name val="Arial"/>
      <family val="2"/>
    </font>
    <font>
      <u/>
      <sz val="9"/>
      <name val="Arial"/>
      <family val="2"/>
    </font>
    <font>
      <sz val="8"/>
      <color rgb="FF0000CC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0061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</borders>
  <cellStyleXfs count="40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0" borderId="0"/>
    <xf numFmtId="173" fontId="5" fillId="0" borderId="0"/>
    <xf numFmtId="174" fontId="5" fillId="0" borderId="0"/>
    <xf numFmtId="173" fontId="5" fillId="0" borderId="0"/>
    <xf numFmtId="173" fontId="5" fillId="0" borderId="0"/>
    <xf numFmtId="173" fontId="5" fillId="0" borderId="0"/>
    <xf numFmtId="173" fontId="5" fillId="0" borderId="0"/>
    <xf numFmtId="175" fontId="5" fillId="0" borderId="0"/>
    <xf numFmtId="176" fontId="5" fillId="0" borderId="0"/>
    <xf numFmtId="175" fontId="5" fillId="0" borderId="0"/>
    <xf numFmtId="165" fontId="10" fillId="0" borderId="0" applyFont="0" applyFill="0" applyBorder="0" applyAlignment="0" applyProtection="0"/>
    <xf numFmtId="3" fontId="5" fillId="0" borderId="0" applyFont="0" applyFill="0" applyBorder="0" applyAlignment="0" applyProtection="0"/>
    <xf numFmtId="172" fontId="10" fillId="0" borderId="0" applyFont="0" applyFill="0" applyBorder="0" applyAlignment="0" applyProtection="0"/>
    <xf numFmtId="5" fontId="5" fillId="0" borderId="0" applyFont="0" applyFill="0" applyBorder="0" applyAlignment="0" applyProtection="0"/>
    <xf numFmtId="14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38" fontId="11" fillId="7" borderId="0" applyNumberFormat="0" applyBorder="0" applyAlignment="0" applyProtection="0"/>
    <xf numFmtId="10" fontId="11" fillId="6" borderId="21" applyNumberFormat="0" applyBorder="0" applyAlignment="0" applyProtection="0"/>
    <xf numFmtId="177" fontId="5" fillId="0" borderId="0"/>
    <xf numFmtId="178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9" fontId="5" fillId="0" borderId="0"/>
    <xf numFmtId="0" fontId="5" fillId="0" borderId="0"/>
    <xf numFmtId="9" fontId="10" fillId="0" borderId="0" applyFont="0" applyFill="0" applyBorder="0" applyAlignment="0" applyProtection="0"/>
    <xf numFmtId="10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13" borderId="0" applyNumberFormat="0" applyBorder="0" applyAlignment="0" applyProtection="0"/>
    <xf numFmtId="0" fontId="22" fillId="14" borderId="0" applyNumberFormat="0" applyBorder="0" applyAlignment="0" applyProtection="0"/>
  </cellStyleXfs>
  <cellXfs count="381">
    <xf numFmtId="0" fontId="0" fillId="0" borderId="0" xfId="0"/>
    <xf numFmtId="0" fontId="3" fillId="2" borderId="0" xfId="0" applyFont="1" applyFill="1" applyAlignment="1" applyProtection="1">
      <alignment horizontal="left"/>
    </xf>
    <xf numFmtId="0" fontId="0" fillId="0" borderId="0" xfId="0" applyProtection="1"/>
    <xf numFmtId="0" fontId="3" fillId="0" borderId="0" xfId="0" applyFont="1" applyFill="1" applyAlignment="1" applyProtection="1"/>
    <xf numFmtId="164" fontId="4" fillId="3" borderId="1" xfId="0" applyNumberFormat="1" applyFont="1" applyFill="1" applyBorder="1" applyAlignment="1" applyProtection="1">
      <alignment horizontal="left" vertical="center"/>
    </xf>
    <xf numFmtId="0" fontId="2" fillId="0" borderId="3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2" fillId="0" borderId="6" xfId="0" applyFont="1" applyFill="1" applyBorder="1" applyAlignment="1" applyProtection="1">
      <alignment horizontal="left" vertical="center" wrapText="1"/>
    </xf>
    <xf numFmtId="0" fontId="0" fillId="0" borderId="0" xfId="0" applyFill="1" applyProtection="1"/>
    <xf numFmtId="166" fontId="2" fillId="0" borderId="0" xfId="1" applyNumberFormat="1" applyFont="1" applyFill="1" applyBorder="1" applyAlignment="1" applyProtection="1">
      <alignment horizontal="right" vertical="center"/>
    </xf>
    <xf numFmtId="0" fontId="0" fillId="0" borderId="0" xfId="0" applyFill="1" applyBorder="1"/>
    <xf numFmtId="0" fontId="7" fillId="8" borderId="0" xfId="0" applyFont="1" applyFill="1"/>
    <xf numFmtId="0" fontId="0" fillId="8" borderId="0" xfId="0" applyFill="1"/>
    <xf numFmtId="0" fontId="0" fillId="8" borderId="21" xfId="0" applyFill="1" applyBorder="1"/>
    <xf numFmtId="38" fontId="0" fillId="8" borderId="21" xfId="0" applyNumberFormat="1" applyFill="1" applyBorder="1"/>
    <xf numFmtId="0" fontId="5" fillId="8" borderId="22" xfId="0" applyFont="1" applyFill="1" applyBorder="1" applyAlignment="1">
      <alignment wrapText="1"/>
    </xf>
    <xf numFmtId="44" fontId="0" fillId="8" borderId="24" xfId="0" applyNumberFormat="1" applyFill="1" applyBorder="1"/>
    <xf numFmtId="44" fontId="0" fillId="8" borderId="23" xfId="0" applyNumberFormat="1" applyFill="1" applyBorder="1"/>
    <xf numFmtId="0" fontId="0" fillId="8" borderId="22" xfId="0" applyFill="1" applyBorder="1" applyAlignment="1">
      <alignment wrapText="1"/>
    </xf>
    <xf numFmtId="0" fontId="0" fillId="8" borderId="21" xfId="0" applyFill="1" applyBorder="1" applyAlignment="1">
      <alignment wrapText="1"/>
    </xf>
    <xf numFmtId="38" fontId="0" fillId="8" borderId="0" xfId="0" applyNumberFormat="1" applyFill="1"/>
    <xf numFmtId="0" fontId="0" fillId="8" borderId="0" xfId="0" applyFill="1" applyAlignment="1">
      <alignment wrapText="1"/>
    </xf>
    <xf numFmtId="0" fontId="2" fillId="0" borderId="0" xfId="0" applyFont="1"/>
    <xf numFmtId="0" fontId="4" fillId="0" borderId="26" xfId="29" applyFont="1" applyBorder="1" applyAlignment="1" applyProtection="1">
      <alignment horizontal="center"/>
    </xf>
    <xf numFmtId="0" fontId="4" fillId="0" borderId="31" xfId="29" applyFont="1" applyBorder="1" applyAlignment="1" applyProtection="1">
      <alignment horizontal="center"/>
    </xf>
    <xf numFmtId="0" fontId="4" fillId="0" borderId="27" xfId="29" quotePrefix="1" applyFont="1" applyBorder="1" applyAlignment="1" applyProtection="1">
      <alignment horizontal="center"/>
    </xf>
    <xf numFmtId="0" fontId="4" fillId="0" borderId="32" xfId="29" quotePrefix="1" applyFont="1" applyBorder="1" applyAlignment="1" applyProtection="1">
      <alignment horizontal="center"/>
    </xf>
    <xf numFmtId="0" fontId="13" fillId="0" borderId="30" xfId="29" applyFont="1" applyFill="1" applyBorder="1" applyAlignment="1" applyProtection="1">
      <alignment horizontal="right" vertical="center"/>
    </xf>
    <xf numFmtId="0" fontId="13" fillId="0" borderId="29" xfId="29" applyFont="1" applyFill="1" applyBorder="1" applyAlignment="1" applyProtection="1">
      <alignment horizontal="right" vertical="center"/>
      <protection locked="0"/>
    </xf>
    <xf numFmtId="181" fontId="13" fillId="0" borderId="30" xfId="29" applyNumberFormat="1" applyFont="1" applyFill="1" applyBorder="1" applyAlignment="1" applyProtection="1">
      <alignment horizontal="right" vertical="center"/>
      <protection locked="0"/>
    </xf>
    <xf numFmtId="181" fontId="13" fillId="0" borderId="29" xfId="29" applyNumberFormat="1" applyFont="1" applyFill="1" applyBorder="1" applyAlignment="1" applyProtection="1">
      <alignment horizontal="right" vertical="center"/>
      <protection locked="0"/>
    </xf>
    <xf numFmtId="181" fontId="13" fillId="0" borderId="27" xfId="29" applyNumberFormat="1" applyFont="1" applyFill="1" applyBorder="1" applyAlignment="1" applyProtection="1">
      <alignment horizontal="right" vertical="center"/>
      <protection locked="0"/>
    </xf>
    <xf numFmtId="181" fontId="13" fillId="0" borderId="32" xfId="29" applyNumberFormat="1" applyFont="1" applyFill="1" applyBorder="1" applyAlignment="1" applyProtection="1">
      <alignment horizontal="right" vertical="center"/>
      <protection locked="0"/>
    </xf>
    <xf numFmtId="0" fontId="4" fillId="9" borderId="34" xfId="29" applyFont="1" applyFill="1" applyBorder="1" applyAlignment="1" applyProtection="1">
      <alignment vertical="top"/>
    </xf>
    <xf numFmtId="181" fontId="13" fillId="0" borderId="30" xfId="1" applyNumberFormat="1" applyFont="1" applyFill="1" applyBorder="1" applyAlignment="1" applyProtection="1">
      <alignment horizontal="right" vertical="center"/>
      <protection locked="0"/>
    </xf>
    <xf numFmtId="0" fontId="13" fillId="9" borderId="21" xfId="29" applyFont="1" applyFill="1" applyBorder="1" applyAlignment="1" applyProtection="1">
      <alignment horizontal="right" vertical="center"/>
      <protection locked="0"/>
    </xf>
    <xf numFmtId="0" fontId="13" fillId="9" borderId="23" xfId="29" applyFont="1" applyFill="1" applyBorder="1" applyAlignment="1" applyProtection="1">
      <alignment horizontal="right" vertical="center"/>
      <protection locked="0"/>
    </xf>
    <xf numFmtId="181" fontId="13" fillId="8" borderId="30" xfId="1" applyNumberFormat="1" applyFont="1" applyFill="1" applyBorder="1" applyAlignment="1" applyProtection="1">
      <alignment horizontal="right" vertical="center"/>
      <protection locked="0"/>
    </xf>
    <xf numFmtId="181" fontId="13" fillId="8" borderId="29" xfId="1" applyNumberFormat="1" applyFont="1" applyFill="1" applyBorder="1" applyAlignment="1" applyProtection="1">
      <alignment horizontal="right" vertical="center"/>
      <protection locked="0"/>
    </xf>
    <xf numFmtId="0" fontId="14" fillId="9" borderId="23" xfId="29" applyFont="1" applyFill="1" applyBorder="1" applyAlignment="1" applyProtection="1">
      <alignment horizontal="right" vertical="center"/>
      <protection locked="0"/>
    </xf>
    <xf numFmtId="0" fontId="13" fillId="10" borderId="19" xfId="29" applyFont="1" applyFill="1" applyBorder="1" applyAlignment="1" applyProtection="1">
      <alignment horizontal="right" vertical="center"/>
      <protection locked="0"/>
    </xf>
    <xf numFmtId="0" fontId="13" fillId="10" borderId="35" xfId="29" applyFont="1" applyFill="1" applyBorder="1" applyAlignment="1" applyProtection="1">
      <alignment horizontal="right" vertical="center"/>
      <protection locked="0"/>
    </xf>
    <xf numFmtId="9" fontId="13" fillId="0" borderId="0" xfId="29" applyNumberFormat="1" applyFont="1" applyFill="1" applyBorder="1" applyAlignment="1" applyProtection="1">
      <alignment horizontal="right" vertical="center"/>
    </xf>
    <xf numFmtId="9" fontId="14" fillId="0" borderId="30" xfId="29" applyNumberFormat="1" applyFont="1" applyFill="1" applyBorder="1" applyAlignment="1" applyProtection="1">
      <alignment horizontal="right" vertical="center"/>
    </xf>
    <xf numFmtId="0" fontId="14" fillId="0" borderId="0" xfId="29" applyFont="1" applyFill="1" applyBorder="1" applyAlignment="1" applyProtection="1">
      <alignment horizontal="right" vertical="center"/>
      <protection locked="0"/>
    </xf>
    <xf numFmtId="0" fontId="13" fillId="0" borderId="0" xfId="29" applyFont="1" applyFill="1" applyBorder="1" applyAlignment="1" applyProtection="1">
      <alignment horizontal="right" vertical="center"/>
    </xf>
    <xf numFmtId="0" fontId="13" fillId="0" borderId="0" xfId="29" applyFont="1" applyFill="1" applyBorder="1" applyAlignment="1" applyProtection="1">
      <alignment horizontal="right" vertical="center"/>
      <protection locked="0"/>
    </xf>
    <xf numFmtId="0" fontId="4" fillId="9" borderId="22" xfId="29" applyFont="1" applyFill="1" applyBorder="1" applyAlignment="1" applyProtection="1">
      <alignment vertical="top"/>
    </xf>
    <xf numFmtId="181" fontId="13" fillId="0" borderId="0" xfId="29" applyNumberFormat="1" applyFont="1" applyFill="1" applyBorder="1" applyAlignment="1" applyProtection="1">
      <alignment horizontal="right" vertical="center"/>
      <protection locked="0"/>
    </xf>
    <xf numFmtId="172" fontId="14" fillId="0" borderId="0" xfId="29" applyNumberFormat="1" applyFont="1" applyFill="1" applyBorder="1" applyAlignment="1" applyProtection="1">
      <alignment horizontal="right" vertical="center"/>
    </xf>
    <xf numFmtId="10" fontId="14" fillId="0" borderId="0" xfId="30" applyNumberFormat="1" applyFont="1" applyFill="1" applyBorder="1" applyAlignment="1" applyProtection="1">
      <alignment horizontal="right" vertical="center"/>
    </xf>
    <xf numFmtId="172" fontId="13" fillId="0" borderId="0" xfId="29" applyNumberFormat="1" applyFont="1" applyFill="1" applyBorder="1" applyAlignment="1" applyProtection="1">
      <alignment horizontal="right" vertical="center"/>
    </xf>
    <xf numFmtId="10" fontId="13" fillId="0" borderId="0" xfId="30" applyNumberFormat="1" applyFont="1" applyFill="1" applyBorder="1" applyAlignment="1" applyProtection="1">
      <alignment horizontal="right" vertical="center"/>
    </xf>
    <xf numFmtId="0" fontId="4" fillId="0" borderId="0" xfId="29" applyFont="1" applyFill="1" applyBorder="1" applyAlignment="1" applyProtection="1">
      <alignment horizontal="center"/>
    </xf>
    <xf numFmtId="0" fontId="5" fillId="0" borderId="0" xfId="29" applyFill="1" applyBorder="1" applyProtection="1"/>
    <xf numFmtId="0" fontId="4" fillId="0" borderId="0" xfId="29" applyFont="1" applyFill="1" applyBorder="1" applyAlignment="1" applyProtection="1">
      <alignment horizontal="center"/>
    </xf>
    <xf numFmtId="0" fontId="4" fillId="0" borderId="0" xfId="29" quotePrefix="1" applyFont="1" applyFill="1" applyBorder="1" applyAlignment="1" applyProtection="1">
      <alignment horizontal="center"/>
    </xf>
    <xf numFmtId="172" fontId="12" fillId="0" borderId="0" xfId="16" applyNumberFormat="1" applyFont="1" applyFill="1" applyBorder="1" applyAlignment="1" applyProtection="1">
      <alignment horizontal="right" vertical="center"/>
    </xf>
    <xf numFmtId="10" fontId="12" fillId="0" borderId="0" xfId="30" applyNumberFormat="1" applyFont="1" applyFill="1" applyBorder="1" applyAlignment="1" applyProtection="1">
      <alignment horizontal="right" vertical="center"/>
    </xf>
    <xf numFmtId="172" fontId="12" fillId="0" borderId="0" xfId="16" applyFont="1" applyFill="1" applyBorder="1" applyAlignment="1" applyProtection="1">
      <alignment horizontal="right" vertical="center"/>
    </xf>
    <xf numFmtId="181" fontId="13" fillId="0" borderId="0" xfId="1" applyNumberFormat="1" applyFont="1" applyFill="1" applyBorder="1" applyAlignment="1" applyProtection="1">
      <alignment horizontal="right" vertical="center"/>
      <protection locked="0"/>
    </xf>
    <xf numFmtId="172" fontId="13" fillId="0" borderId="0" xfId="16" applyFont="1" applyFill="1" applyBorder="1" applyAlignment="1" applyProtection="1">
      <alignment horizontal="right" vertical="center"/>
    </xf>
    <xf numFmtId="178" fontId="13" fillId="8" borderId="30" xfId="1" applyNumberFormat="1" applyFont="1" applyFill="1" applyBorder="1" applyAlignment="1" applyProtection="1">
      <alignment horizontal="right" vertical="center"/>
      <protection locked="0"/>
    </xf>
    <xf numFmtId="0" fontId="4" fillId="0" borderId="33" xfId="29" quotePrefix="1" applyFont="1" applyBorder="1" applyAlignment="1" applyProtection="1">
      <alignment horizontal="center"/>
    </xf>
    <xf numFmtId="0" fontId="4" fillId="0" borderId="39" xfId="29" applyFont="1" applyBorder="1" applyAlignment="1" applyProtection="1">
      <alignment horizontal="center"/>
    </xf>
    <xf numFmtId="0" fontId="4" fillId="0" borderId="41" xfId="29" quotePrefix="1" applyFont="1" applyBorder="1" applyAlignment="1" applyProtection="1">
      <alignment horizontal="center"/>
    </xf>
    <xf numFmtId="0" fontId="4" fillId="0" borderId="42" xfId="29" quotePrefix="1" applyFont="1" applyBorder="1" applyAlignment="1" applyProtection="1">
      <alignment horizontal="center"/>
    </xf>
    <xf numFmtId="9" fontId="14" fillId="0" borderId="0" xfId="29" applyNumberFormat="1" applyFont="1" applyFill="1" applyBorder="1" applyAlignment="1" applyProtection="1">
      <alignment horizontal="right" vertical="center"/>
    </xf>
    <xf numFmtId="0" fontId="14" fillId="0" borderId="0" xfId="29" applyFont="1" applyFill="1" applyBorder="1" applyAlignment="1" applyProtection="1">
      <alignment horizontal="right" vertical="center"/>
    </xf>
    <xf numFmtId="0" fontId="4" fillId="0" borderId="46" xfId="29" applyFont="1" applyBorder="1" applyAlignment="1" applyProtection="1">
      <alignment horizontal="center"/>
    </xf>
    <xf numFmtId="0" fontId="4" fillId="0" borderId="47" xfId="29" applyFont="1" applyBorder="1" applyAlignment="1" applyProtection="1">
      <alignment horizontal="center"/>
    </xf>
    <xf numFmtId="0" fontId="4" fillId="0" borderId="36" xfId="29" applyFont="1" applyFill="1" applyBorder="1" applyAlignment="1" applyProtection="1">
      <alignment vertical="top"/>
    </xf>
    <xf numFmtId="0" fontId="2" fillId="0" borderId="36" xfId="29" applyFont="1" applyFill="1" applyBorder="1" applyAlignment="1" applyProtection="1">
      <alignment horizontal="left" vertical="top"/>
    </xf>
    <xf numFmtId="0" fontId="14" fillId="9" borderId="27" xfId="29" applyFont="1" applyFill="1" applyBorder="1" applyAlignment="1" applyProtection="1">
      <alignment horizontal="right" vertical="center"/>
      <protection locked="0"/>
    </xf>
    <xf numFmtId="0" fontId="14" fillId="9" borderId="32" xfId="29" applyFont="1" applyFill="1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right"/>
    </xf>
    <xf numFmtId="170" fontId="0" fillId="0" borderId="0" xfId="0" applyNumberFormat="1" applyProtection="1"/>
    <xf numFmtId="182" fontId="0" fillId="0" borderId="0" xfId="0" applyNumberFormat="1" applyProtection="1"/>
    <xf numFmtId="0" fontId="4" fillId="9" borderId="22" xfId="29" applyFont="1" applyFill="1" applyBorder="1" applyAlignment="1" applyProtection="1">
      <alignment horizontal="left" vertical="top"/>
    </xf>
    <xf numFmtId="0" fontId="13" fillId="9" borderId="28" xfId="29" applyFont="1" applyFill="1" applyBorder="1" applyAlignment="1" applyProtection="1">
      <alignment horizontal="right" vertical="center"/>
    </xf>
    <xf numFmtId="0" fontId="14" fillId="9" borderId="21" xfId="29" applyFont="1" applyFill="1" applyBorder="1" applyAlignment="1" applyProtection="1">
      <alignment horizontal="right" vertical="center"/>
    </xf>
    <xf numFmtId="164" fontId="4" fillId="3" borderId="2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top" wrapText="1"/>
    </xf>
    <xf numFmtId="0" fontId="2" fillId="0" borderId="4" xfId="0" applyFont="1" applyFill="1" applyBorder="1" applyAlignment="1" applyProtection="1">
      <alignment horizontal="left" vertical="center" wrapText="1"/>
    </xf>
    <xf numFmtId="0" fontId="2" fillId="0" borderId="0" xfId="29" applyFont="1" applyAlignment="1" applyProtection="1">
      <alignment wrapText="1"/>
    </xf>
    <xf numFmtId="0" fontId="5" fillId="0" borderId="36" xfId="29" applyBorder="1" applyAlignment="1" applyProtection="1">
      <alignment vertical="top" wrapText="1"/>
    </xf>
    <xf numFmtId="0" fontId="5" fillId="0" borderId="36" xfId="29" applyFill="1" applyBorder="1" applyAlignment="1" applyProtection="1">
      <alignment vertical="top" wrapText="1"/>
    </xf>
    <xf numFmtId="0" fontId="2" fillId="0" borderId="36" xfId="29" applyFont="1" applyFill="1" applyBorder="1" applyAlignment="1" applyProtection="1">
      <alignment vertical="top" wrapText="1"/>
    </xf>
    <xf numFmtId="0" fontId="2" fillId="0" borderId="36" xfId="29" applyFont="1" applyBorder="1" applyAlignment="1" applyProtection="1">
      <alignment vertical="top" wrapText="1"/>
    </xf>
    <xf numFmtId="0" fontId="5" fillId="0" borderId="36" xfId="29" applyBorder="1" applyAlignment="1" applyProtection="1">
      <alignment vertical="center" wrapText="1"/>
    </xf>
    <xf numFmtId="0" fontId="5" fillId="0" borderId="34" xfId="29" applyBorder="1" applyAlignment="1" applyProtection="1">
      <alignment horizontal="left" vertical="center" wrapText="1"/>
    </xf>
    <xf numFmtId="0" fontId="2" fillId="10" borderId="20" xfId="29" applyFont="1" applyFill="1" applyBorder="1" applyAlignment="1" applyProtection="1">
      <alignment wrapText="1"/>
    </xf>
    <xf numFmtId="0" fontId="16" fillId="4" borderId="8" xfId="0" applyFont="1" applyFill="1" applyBorder="1" applyAlignment="1" applyProtection="1">
      <alignment vertical="center" wrapText="1"/>
    </xf>
    <xf numFmtId="3" fontId="17" fillId="2" borderId="8" xfId="0" applyNumberFormat="1" applyFont="1" applyFill="1" applyBorder="1" applyAlignment="1" applyProtection="1">
      <alignment horizontal="center" vertical="center"/>
      <protection locked="0"/>
    </xf>
    <xf numFmtId="3" fontId="17" fillId="4" borderId="9" xfId="0" applyNumberFormat="1" applyFont="1" applyFill="1" applyBorder="1" applyAlignment="1" applyProtection="1">
      <alignment horizontal="center" vertical="center"/>
    </xf>
    <xf numFmtId="168" fontId="17" fillId="2" borderId="10" xfId="1" applyNumberFormat="1" applyFont="1" applyFill="1" applyBorder="1" applyAlignment="1" applyProtection="1">
      <alignment vertical="center"/>
    </xf>
    <xf numFmtId="3" fontId="17" fillId="4" borderId="11" xfId="0" applyNumberFormat="1" applyFont="1" applyFill="1" applyBorder="1" applyAlignment="1" applyProtection="1">
      <alignment horizontal="center" vertical="center"/>
    </xf>
    <xf numFmtId="0" fontId="4" fillId="0" borderId="0" xfId="0" applyFont="1" applyProtection="1"/>
    <xf numFmtId="0" fontId="16" fillId="4" borderId="12" xfId="0" applyFont="1" applyFill="1" applyBorder="1" applyAlignment="1" applyProtection="1">
      <alignment horizontal="left" vertical="center"/>
    </xf>
    <xf numFmtId="0" fontId="4" fillId="0" borderId="13" xfId="0" applyFont="1" applyBorder="1" applyProtection="1"/>
    <xf numFmtId="169" fontId="16" fillId="0" borderId="14" xfId="0" applyNumberFormat="1" applyFont="1" applyFill="1" applyBorder="1" applyAlignment="1" applyProtection="1">
      <alignment vertical="center"/>
    </xf>
    <xf numFmtId="3" fontId="17" fillId="0" borderId="8" xfId="0" applyNumberFormat="1" applyFont="1" applyFill="1" applyBorder="1" applyAlignment="1" applyProtection="1">
      <alignment horizontal="center" vertical="center"/>
    </xf>
    <xf numFmtId="0" fontId="16" fillId="0" borderId="15" xfId="0" applyFont="1" applyFill="1" applyBorder="1" applyAlignment="1" applyProtection="1">
      <alignment horizontal="right" vertical="center"/>
    </xf>
    <xf numFmtId="0" fontId="16" fillId="4" borderId="16" xfId="0" applyFont="1" applyFill="1" applyBorder="1" applyAlignment="1" applyProtection="1">
      <alignment horizontal="left" vertical="center"/>
    </xf>
    <xf numFmtId="0" fontId="4" fillId="0" borderId="17" xfId="0" applyFont="1" applyBorder="1" applyProtection="1"/>
    <xf numFmtId="169" fontId="16" fillId="0" borderId="18" xfId="0" applyNumberFormat="1" applyFont="1" applyFill="1" applyBorder="1" applyAlignment="1" applyProtection="1">
      <alignment vertical="center"/>
    </xf>
    <xf numFmtId="3" fontId="13" fillId="0" borderId="30" xfId="29" applyNumberFormat="1" applyFont="1" applyFill="1" applyBorder="1" applyAlignment="1" applyProtection="1">
      <alignment horizontal="right" vertical="center"/>
    </xf>
    <xf numFmtId="0" fontId="2" fillId="8" borderId="0" xfId="0" applyFont="1" applyFill="1"/>
    <xf numFmtId="10" fontId="0" fillId="8" borderId="25" xfId="0" applyNumberFormat="1" applyFill="1" applyBorder="1"/>
    <xf numFmtId="10" fontId="0" fillId="8" borderId="24" xfId="0" applyNumberFormat="1" applyFill="1" applyBorder="1"/>
    <xf numFmtId="10" fontId="12" fillId="0" borderId="0" xfId="16" applyNumberFormat="1" applyFont="1" applyFill="1" applyBorder="1" applyAlignment="1" applyProtection="1">
      <alignment horizontal="right" vertical="center"/>
    </xf>
    <xf numFmtId="10" fontId="13" fillId="0" borderId="0" xfId="29" applyNumberFormat="1" applyFont="1" applyFill="1" applyBorder="1" applyAlignment="1" applyProtection="1">
      <alignment horizontal="right" vertical="center"/>
      <protection locked="0"/>
    </xf>
    <xf numFmtId="0" fontId="9" fillId="8" borderId="0" xfId="0" applyFont="1" applyFill="1" applyAlignment="1">
      <alignment wrapText="1"/>
    </xf>
    <xf numFmtId="0" fontId="9" fillId="8" borderId="0" xfId="0" applyFont="1" applyFill="1"/>
    <xf numFmtId="38" fontId="9" fillId="8" borderId="0" xfId="0" applyNumberFormat="1" applyFont="1" applyFill="1"/>
    <xf numFmtId="44" fontId="9" fillId="8" borderId="0" xfId="0" applyNumberFormat="1" applyFont="1" applyFill="1"/>
    <xf numFmtId="0" fontId="4" fillId="0" borderId="0" xfId="29" applyFont="1" applyFill="1" applyBorder="1" applyAlignment="1" applyProtection="1">
      <alignment horizontal="center"/>
    </xf>
    <xf numFmtId="44" fontId="13" fillId="0" borderId="0" xfId="29" applyNumberFormat="1" applyFont="1" applyFill="1" applyBorder="1" applyAlignment="1" applyProtection="1">
      <alignment horizontal="right" vertical="center"/>
      <protection locked="0"/>
    </xf>
    <xf numFmtId="0" fontId="0" fillId="0" borderId="0" xfId="0" applyFill="1"/>
    <xf numFmtId="167" fontId="2" fillId="0" borderId="0" xfId="1" applyNumberFormat="1" applyFont="1" applyFill="1" applyBorder="1" applyAlignment="1" applyProtection="1">
      <alignment horizontal="center" vertical="center"/>
    </xf>
    <xf numFmtId="183" fontId="13" fillId="0" borderId="0" xfId="1" applyNumberFormat="1" applyFont="1" applyFill="1" applyBorder="1" applyAlignment="1" applyProtection="1">
      <alignment horizontal="right" vertical="center"/>
      <protection locked="0"/>
    </xf>
    <xf numFmtId="0" fontId="13" fillId="0" borderId="0" xfId="1" applyNumberFormat="1" applyFont="1" applyFill="1" applyBorder="1" applyAlignment="1" applyProtection="1">
      <alignment horizontal="right" vertical="center"/>
      <protection locked="0"/>
    </xf>
    <xf numFmtId="181" fontId="13" fillId="0" borderId="29" xfId="1" applyNumberFormat="1" applyFont="1" applyFill="1" applyBorder="1" applyAlignment="1" applyProtection="1">
      <alignment horizontal="right" vertical="center"/>
      <protection locked="0"/>
    </xf>
    <xf numFmtId="0" fontId="2" fillId="0" borderId="3" xfId="0" applyFont="1" applyFill="1" applyBorder="1" applyAlignment="1" applyProtection="1">
      <alignment horizontal="left" vertical="center" wrapText="1"/>
    </xf>
    <xf numFmtId="0" fontId="2" fillId="0" borderId="0" xfId="0" applyFont="1" applyProtection="1"/>
    <xf numFmtId="0" fontId="2" fillId="0" borderId="0" xfId="0" applyFont="1" applyFill="1" applyProtection="1"/>
    <xf numFmtId="0" fontId="0" fillId="0" borderId="0" xfId="0" applyAlignment="1" applyProtection="1">
      <alignment horizontal="center"/>
    </xf>
    <xf numFmtId="0" fontId="4" fillId="11" borderId="21" xfId="0" applyFont="1" applyFill="1" applyBorder="1" applyAlignment="1" applyProtection="1">
      <alignment horizontal="center"/>
    </xf>
    <xf numFmtId="182" fontId="2" fillId="0" borderId="5" xfId="1" applyNumberFormat="1" applyFont="1" applyFill="1" applyBorder="1" applyAlignment="1" applyProtection="1">
      <alignment horizontal="center" vertical="center"/>
    </xf>
    <xf numFmtId="0" fontId="2" fillId="0" borderId="0" xfId="0" applyFont="1" applyFill="1"/>
    <xf numFmtId="180" fontId="14" fillId="0" borderId="24" xfId="16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/>
    <xf numFmtId="0" fontId="2" fillId="0" borderId="0" xfId="0" applyFont="1" applyFill="1" applyBorder="1" applyProtection="1"/>
    <xf numFmtId="37" fontId="0" fillId="0" borderId="0" xfId="0" applyNumberFormat="1"/>
    <xf numFmtId="0" fontId="19" fillId="8" borderId="0" xfId="0" applyFont="1" applyFill="1"/>
    <xf numFmtId="0" fontId="9" fillId="8" borderId="0" xfId="0" quotePrefix="1" applyFont="1" applyFill="1"/>
    <xf numFmtId="0" fontId="9" fillId="8" borderId="0" xfId="0" applyFont="1" applyFill="1" applyBorder="1"/>
    <xf numFmtId="37" fontId="0" fillId="0" borderId="0" xfId="0" applyNumberFormat="1" applyBorder="1"/>
    <xf numFmtId="0" fontId="4" fillId="0" borderId="0" xfId="29" applyFont="1" applyFill="1" applyBorder="1" applyAlignment="1" applyProtection="1">
      <alignment horizontal="left" vertical="top"/>
    </xf>
    <xf numFmtId="10" fontId="15" fillId="0" borderId="0" xfId="30" applyNumberFormat="1" applyFont="1" applyFill="1" applyBorder="1" applyAlignment="1" applyProtection="1">
      <alignment horizontal="right" vertical="center"/>
    </xf>
    <xf numFmtId="184" fontId="0" fillId="0" borderId="0" xfId="0" applyNumberFormat="1" applyProtection="1"/>
    <xf numFmtId="178" fontId="13" fillId="0" borderId="30" xfId="1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center"/>
    </xf>
    <xf numFmtId="170" fontId="2" fillId="0" borderId="0" xfId="0" applyNumberFormat="1" applyFont="1" applyProtection="1"/>
    <xf numFmtId="182" fontId="2" fillId="0" borderId="0" xfId="0" applyNumberFormat="1" applyFont="1" applyProtection="1"/>
    <xf numFmtId="0" fontId="20" fillId="0" borderId="0" xfId="0" applyFont="1"/>
    <xf numFmtId="0" fontId="2" fillId="0" borderId="34" xfId="29" applyFont="1" applyBorder="1" applyAlignment="1" applyProtection="1">
      <alignment vertical="top" wrapText="1"/>
    </xf>
    <xf numFmtId="182" fontId="2" fillId="0" borderId="5" xfId="1" applyNumberFormat="1" applyFont="1" applyFill="1" applyBorder="1" applyAlignment="1" applyProtection="1">
      <alignment vertical="center"/>
    </xf>
    <xf numFmtId="44" fontId="12" fillId="8" borderId="30" xfId="2" applyFont="1" applyFill="1" applyBorder="1" applyAlignment="1" applyProtection="1">
      <alignment horizontal="center" vertical="center"/>
      <protection locked="0"/>
    </xf>
    <xf numFmtId="172" fontId="12" fillId="0" borderId="0" xfId="16" applyFont="1" applyBorder="1" applyAlignment="1" applyProtection="1">
      <alignment horizontal="center" vertical="center"/>
    </xf>
    <xf numFmtId="44" fontId="12" fillId="8" borderId="43" xfId="2" applyFont="1" applyFill="1" applyBorder="1" applyAlignment="1" applyProtection="1">
      <alignment horizontal="center" vertical="center"/>
      <protection locked="0"/>
    </xf>
    <xf numFmtId="172" fontId="12" fillId="0" borderId="40" xfId="16" applyNumberFormat="1" applyFont="1" applyBorder="1" applyAlignment="1" applyProtection="1">
      <alignment horizontal="center" vertical="center"/>
    </xf>
    <xf numFmtId="172" fontId="13" fillId="0" borderId="29" xfId="29" applyNumberFormat="1" applyFont="1" applyBorder="1" applyAlignment="1" applyProtection="1">
      <alignment horizontal="center" vertical="center"/>
    </xf>
    <xf numFmtId="180" fontId="12" fillId="8" borderId="30" xfId="16" applyNumberFormat="1" applyFont="1" applyFill="1" applyBorder="1" applyAlignment="1" applyProtection="1">
      <alignment horizontal="center" vertical="center"/>
      <protection locked="0"/>
    </xf>
    <xf numFmtId="180" fontId="12" fillId="8" borderId="43" xfId="16" applyNumberFormat="1" applyFont="1" applyFill="1" applyBorder="1" applyAlignment="1" applyProtection="1">
      <alignment horizontal="center" vertical="center"/>
      <protection locked="0"/>
    </xf>
    <xf numFmtId="172" fontId="12" fillId="0" borderId="40" xfId="16" applyFont="1" applyBorder="1" applyAlignment="1" applyProtection="1">
      <alignment horizontal="center" vertical="center"/>
    </xf>
    <xf numFmtId="180" fontId="12" fillId="8" borderId="27" xfId="16" applyNumberFormat="1" applyFont="1" applyFill="1" applyBorder="1" applyAlignment="1" applyProtection="1">
      <alignment horizontal="center" vertical="center"/>
      <protection locked="0"/>
    </xf>
    <xf numFmtId="172" fontId="12" fillId="0" borderId="33" xfId="16" applyFont="1" applyBorder="1" applyAlignment="1" applyProtection="1">
      <alignment horizontal="center" vertical="center"/>
    </xf>
    <xf numFmtId="180" fontId="12" fillId="8" borderId="41" xfId="16" applyNumberFormat="1" applyFont="1" applyFill="1" applyBorder="1" applyAlignment="1" applyProtection="1">
      <alignment horizontal="center" vertical="center"/>
      <protection locked="0"/>
    </xf>
    <xf numFmtId="172" fontId="12" fillId="0" borderId="42" xfId="16" applyFont="1" applyBorder="1" applyAlignment="1" applyProtection="1">
      <alignment horizontal="center" vertical="center"/>
    </xf>
    <xf numFmtId="180" fontId="15" fillId="9" borderId="27" xfId="16" applyNumberFormat="1" applyFont="1" applyFill="1" applyBorder="1" applyAlignment="1" applyProtection="1">
      <alignment horizontal="center" vertical="center"/>
      <protection locked="0"/>
    </xf>
    <xf numFmtId="172" fontId="15" fillId="9" borderId="33" xfId="16" applyFont="1" applyFill="1" applyBorder="1" applyAlignment="1" applyProtection="1">
      <alignment horizontal="center" vertical="center"/>
    </xf>
    <xf numFmtId="180" fontId="15" fillId="9" borderId="41" xfId="16" applyNumberFormat="1" applyFont="1" applyFill="1" applyBorder="1" applyAlignment="1" applyProtection="1">
      <alignment horizontal="center" vertical="center"/>
      <protection locked="0"/>
    </xf>
    <xf numFmtId="172" fontId="15" fillId="9" borderId="42" xfId="16" applyFont="1" applyFill="1" applyBorder="1" applyAlignment="1" applyProtection="1">
      <alignment horizontal="center" vertical="center"/>
    </xf>
    <xf numFmtId="172" fontId="14" fillId="9" borderId="23" xfId="29" applyNumberFormat="1" applyFont="1" applyFill="1" applyBorder="1" applyAlignment="1" applyProtection="1">
      <alignment horizontal="center" vertical="center"/>
    </xf>
    <xf numFmtId="0" fontId="13" fillId="9" borderId="21" xfId="29" applyFont="1" applyFill="1" applyBorder="1" applyAlignment="1" applyProtection="1">
      <alignment horizontal="center" vertical="center"/>
      <protection locked="0"/>
    </xf>
    <xf numFmtId="172" fontId="14" fillId="9" borderId="28" xfId="29" applyNumberFormat="1" applyFont="1" applyFill="1" applyBorder="1" applyAlignment="1" applyProtection="1">
      <alignment horizontal="center" vertical="center"/>
    </xf>
    <xf numFmtId="0" fontId="13" fillId="9" borderId="24" xfId="29" applyFont="1" applyFill="1" applyBorder="1" applyAlignment="1" applyProtection="1">
      <alignment horizontal="center" vertical="center"/>
      <protection locked="0"/>
    </xf>
    <xf numFmtId="0" fontId="14" fillId="9" borderId="24" xfId="29" applyFont="1" applyFill="1" applyBorder="1" applyAlignment="1" applyProtection="1">
      <alignment horizontal="center" vertical="center"/>
      <protection locked="0"/>
    </xf>
    <xf numFmtId="172" fontId="14" fillId="9" borderId="38" xfId="29" applyNumberFormat="1" applyFont="1" applyFill="1" applyBorder="1" applyAlignment="1" applyProtection="1">
      <alignment horizontal="center" vertical="center"/>
    </xf>
    <xf numFmtId="180" fontId="13" fillId="0" borderId="30" xfId="16" applyNumberFormat="1" applyFont="1" applyFill="1" applyBorder="1" applyAlignment="1" applyProtection="1">
      <alignment horizontal="center" vertical="center"/>
      <protection locked="0"/>
    </xf>
    <xf numFmtId="172" fontId="13" fillId="0" borderId="26" xfId="16" applyFont="1" applyFill="1" applyBorder="1" applyAlignment="1" applyProtection="1">
      <alignment horizontal="center" vertical="center"/>
    </xf>
    <xf numFmtId="172" fontId="13" fillId="0" borderId="40" xfId="16" applyFont="1" applyFill="1" applyBorder="1" applyAlignment="1" applyProtection="1">
      <alignment horizontal="center" vertical="center"/>
    </xf>
    <xf numFmtId="172" fontId="13" fillId="0" borderId="30" xfId="16" applyFont="1" applyFill="1" applyBorder="1" applyAlignment="1" applyProtection="1">
      <alignment horizontal="center" vertical="center"/>
    </xf>
    <xf numFmtId="172" fontId="13" fillId="0" borderId="27" xfId="16" applyFont="1" applyBorder="1" applyAlignment="1" applyProtection="1">
      <alignment horizontal="center" vertical="center"/>
    </xf>
    <xf numFmtId="172" fontId="13" fillId="0" borderId="0" xfId="16" applyFont="1" applyFill="1" applyBorder="1" applyAlignment="1" applyProtection="1">
      <alignment horizontal="center" vertical="center"/>
    </xf>
    <xf numFmtId="180" fontId="13" fillId="10" borderId="35" xfId="16" applyNumberFormat="1" applyFont="1" applyFill="1" applyBorder="1" applyAlignment="1" applyProtection="1">
      <alignment horizontal="center" vertical="center"/>
      <protection locked="0"/>
    </xf>
    <xf numFmtId="172" fontId="13" fillId="10" borderId="15" xfId="16" applyFont="1" applyFill="1" applyBorder="1" applyAlignment="1" applyProtection="1">
      <alignment horizontal="center" vertical="center"/>
    </xf>
    <xf numFmtId="180" fontId="13" fillId="10" borderId="44" xfId="16" applyNumberFormat="1" applyFont="1" applyFill="1" applyBorder="1" applyAlignment="1" applyProtection="1">
      <alignment horizontal="center" vertical="center"/>
      <protection locked="0"/>
    </xf>
    <xf numFmtId="172" fontId="13" fillId="10" borderId="45" xfId="16" applyFont="1" applyFill="1" applyBorder="1" applyAlignment="1" applyProtection="1">
      <alignment horizontal="center" vertical="center"/>
    </xf>
    <xf numFmtId="172" fontId="13" fillId="10" borderId="35" xfId="29" applyNumberFormat="1" applyFont="1" applyFill="1" applyBorder="1" applyAlignment="1" applyProtection="1">
      <alignment horizontal="center" vertical="center"/>
    </xf>
    <xf numFmtId="9" fontId="13" fillId="0" borderId="30" xfId="29" applyNumberFormat="1" applyFont="1" applyFill="1" applyBorder="1" applyAlignment="1" applyProtection="1">
      <alignment horizontal="center" vertical="center"/>
    </xf>
    <xf numFmtId="172" fontId="14" fillId="0" borderId="36" xfId="29" applyNumberFormat="1" applyFont="1" applyFill="1" applyBorder="1" applyAlignment="1" applyProtection="1">
      <alignment horizontal="center" vertical="center"/>
    </xf>
    <xf numFmtId="9" fontId="14" fillId="0" borderId="43" xfId="29" applyNumberFormat="1" applyFont="1" applyFill="1" applyBorder="1" applyAlignment="1" applyProtection="1">
      <alignment horizontal="center" vertical="center"/>
    </xf>
    <xf numFmtId="172" fontId="14" fillId="0" borderId="49" xfId="29" applyNumberFormat="1" applyFont="1" applyFill="1" applyBorder="1" applyAlignment="1" applyProtection="1">
      <alignment horizontal="center" vertical="center"/>
    </xf>
    <xf numFmtId="172" fontId="13" fillId="0" borderId="36" xfId="29" applyNumberFormat="1" applyFont="1" applyFill="1" applyBorder="1" applyAlignment="1" applyProtection="1">
      <alignment horizontal="center" vertical="center"/>
    </xf>
    <xf numFmtId="9" fontId="13" fillId="0" borderId="43" xfId="29" applyNumberFormat="1" applyFont="1" applyFill="1" applyBorder="1" applyAlignment="1" applyProtection="1">
      <alignment horizontal="center" vertical="center"/>
    </xf>
    <xf numFmtId="172" fontId="13" fillId="0" borderId="40" xfId="29" applyNumberFormat="1" applyFont="1" applyFill="1" applyBorder="1" applyAlignment="1" applyProtection="1">
      <alignment horizontal="center" vertical="center"/>
    </xf>
    <xf numFmtId="172" fontId="13" fillId="0" borderId="50" xfId="29" applyNumberFormat="1" applyFont="1" applyFill="1" applyBorder="1" applyAlignment="1" applyProtection="1">
      <alignment horizontal="center" vertical="center"/>
    </xf>
    <xf numFmtId="0" fontId="13" fillId="9" borderId="21" xfId="29" applyFont="1" applyFill="1" applyBorder="1" applyAlignment="1" applyProtection="1">
      <alignment horizontal="center" vertical="center"/>
    </xf>
    <xf numFmtId="172" fontId="14" fillId="9" borderId="22" xfId="29" applyNumberFormat="1" applyFont="1" applyFill="1" applyBorder="1" applyAlignment="1" applyProtection="1">
      <alignment horizontal="center" vertical="center"/>
    </xf>
    <xf numFmtId="0" fontId="14" fillId="9" borderId="24" xfId="29" applyFont="1" applyFill="1" applyBorder="1" applyAlignment="1" applyProtection="1">
      <alignment horizontal="center" vertical="center"/>
    </xf>
    <xf numFmtId="180" fontId="13" fillId="0" borderId="43" xfId="16" applyNumberFormat="1" applyFont="1" applyFill="1" applyBorder="1" applyAlignment="1" applyProtection="1">
      <alignment horizontal="center" vertical="center"/>
      <protection locked="0"/>
    </xf>
    <xf numFmtId="172" fontId="13" fillId="0" borderId="29" xfId="29" applyNumberFormat="1" applyFont="1" applyFill="1" applyBorder="1" applyAlignment="1" applyProtection="1">
      <alignment horizontal="center" vertical="center"/>
    </xf>
    <xf numFmtId="172" fontId="12" fillId="8" borderId="43" xfId="16" applyNumberFormat="1" applyFont="1" applyFill="1" applyBorder="1" applyAlignment="1" applyProtection="1">
      <alignment horizontal="center" vertical="center"/>
      <protection locked="0"/>
    </xf>
    <xf numFmtId="172" fontId="15" fillId="9" borderId="25" xfId="16" applyFont="1" applyFill="1" applyBorder="1" applyAlignment="1" applyProtection="1">
      <alignment horizontal="center" vertical="center"/>
    </xf>
    <xf numFmtId="172" fontId="14" fillId="9" borderId="48" xfId="29" applyNumberFormat="1" applyFont="1" applyFill="1" applyBorder="1" applyAlignment="1" applyProtection="1">
      <alignment horizontal="center" vertical="center"/>
    </xf>
    <xf numFmtId="172" fontId="12" fillId="0" borderId="0" xfId="16" applyFont="1" applyFill="1" applyBorder="1" applyAlignment="1" applyProtection="1">
      <alignment horizontal="center" vertical="center"/>
    </xf>
    <xf numFmtId="172" fontId="12" fillId="0" borderId="0" xfId="16" applyNumberFormat="1" applyFont="1" applyBorder="1" applyAlignment="1" applyProtection="1">
      <alignment horizontal="center" vertical="center"/>
    </xf>
    <xf numFmtId="172" fontId="12" fillId="0" borderId="33" xfId="16" applyFont="1" applyFill="1" applyBorder="1" applyAlignment="1" applyProtection="1">
      <alignment horizontal="center" vertical="center"/>
    </xf>
    <xf numFmtId="172" fontId="14" fillId="9" borderId="37" xfId="29" applyNumberFormat="1" applyFont="1" applyFill="1" applyBorder="1" applyAlignment="1" applyProtection="1">
      <alignment horizontal="center" vertical="center"/>
    </xf>
    <xf numFmtId="44" fontId="12" fillId="0" borderId="30" xfId="2" applyFont="1" applyFill="1" applyBorder="1" applyAlignment="1" applyProtection="1">
      <alignment horizontal="center" vertical="center"/>
      <protection locked="0"/>
    </xf>
    <xf numFmtId="44" fontId="12" fillId="0" borderId="43" xfId="2" applyFont="1" applyFill="1" applyBorder="1" applyAlignment="1" applyProtection="1">
      <alignment horizontal="center" vertical="center"/>
      <protection locked="0"/>
    </xf>
    <xf numFmtId="180" fontId="12" fillId="0" borderId="30" xfId="16" applyNumberFormat="1" applyFont="1" applyFill="1" applyBorder="1" applyAlignment="1" applyProtection="1">
      <alignment horizontal="center" vertical="center"/>
      <protection locked="0"/>
    </xf>
    <xf numFmtId="180" fontId="12" fillId="0" borderId="43" xfId="16" applyNumberFormat="1" applyFont="1" applyFill="1" applyBorder="1" applyAlignment="1" applyProtection="1">
      <alignment horizontal="center" vertical="center"/>
      <protection locked="0"/>
    </xf>
    <xf numFmtId="180" fontId="12" fillId="0" borderId="27" xfId="16" applyNumberFormat="1" applyFont="1" applyFill="1" applyBorder="1" applyAlignment="1" applyProtection="1">
      <alignment horizontal="center" vertical="center"/>
      <protection locked="0"/>
    </xf>
    <xf numFmtId="180" fontId="15" fillId="9" borderId="24" xfId="16" applyNumberFormat="1" applyFont="1" applyFill="1" applyBorder="1" applyAlignment="1" applyProtection="1">
      <alignment horizontal="center" vertical="center"/>
      <protection locked="0"/>
    </xf>
    <xf numFmtId="172" fontId="14" fillId="9" borderId="51" xfId="29" applyNumberFormat="1" applyFont="1" applyFill="1" applyBorder="1" applyAlignment="1" applyProtection="1">
      <alignment horizontal="center" vertical="center"/>
    </xf>
    <xf numFmtId="0" fontId="6" fillId="0" borderId="0" xfId="0" applyFont="1" applyProtection="1"/>
    <xf numFmtId="185" fontId="12" fillId="8" borderId="43" xfId="2" applyNumberFormat="1" applyFont="1" applyFill="1" applyBorder="1" applyAlignment="1" applyProtection="1">
      <alignment horizontal="center" vertical="center"/>
      <protection locked="0"/>
    </xf>
    <xf numFmtId="172" fontId="13" fillId="0" borderId="30" xfId="16" applyNumberFormat="1" applyFont="1" applyFill="1" applyBorder="1" applyAlignment="1" applyProtection="1">
      <alignment horizontal="center" vertical="center"/>
      <protection locked="0"/>
    </xf>
    <xf numFmtId="172" fontId="13" fillId="0" borderId="43" xfId="16" applyNumberFormat="1" applyFont="1" applyFill="1" applyBorder="1" applyAlignment="1" applyProtection="1">
      <alignment horizontal="center" vertical="center"/>
      <protection locked="0"/>
    </xf>
    <xf numFmtId="164" fontId="4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167" fontId="2" fillId="0" borderId="0" xfId="1" applyNumberFormat="1" applyFont="1" applyFill="1" applyBorder="1" applyAlignment="1" applyProtection="1">
      <alignment vertical="center"/>
    </xf>
    <xf numFmtId="178" fontId="13" fillId="8" borderId="29" xfId="1" applyNumberFormat="1" applyFont="1" applyFill="1" applyBorder="1" applyAlignment="1" applyProtection="1">
      <alignment horizontal="right" vertical="center"/>
      <protection locked="0"/>
    </xf>
    <xf numFmtId="178" fontId="13" fillId="0" borderId="29" xfId="1" applyNumberFormat="1" applyFont="1" applyFill="1" applyBorder="1" applyAlignment="1" applyProtection="1">
      <alignment horizontal="right" vertical="center"/>
      <protection locked="0"/>
    </xf>
    <xf numFmtId="3" fontId="2" fillId="0" borderId="36" xfId="29" applyNumberFormat="1" applyFont="1" applyFill="1" applyBorder="1" applyAlignment="1" applyProtection="1">
      <alignment horizontal="right" vertical="top" wrapText="1"/>
    </xf>
    <xf numFmtId="43" fontId="2" fillId="0" borderId="0" xfId="1" applyFont="1" applyFill="1" applyBorder="1" applyAlignment="1" applyProtection="1">
      <alignment horizontal="center" vertical="center"/>
    </xf>
    <xf numFmtId="171" fontId="2" fillId="0" borderId="0" xfId="1" applyNumberFormat="1" applyFont="1" applyFill="1" applyBorder="1" applyAlignment="1" applyProtection="1">
      <alignment horizontal="right" vertical="center"/>
    </xf>
    <xf numFmtId="165" fontId="2" fillId="0" borderId="0" xfId="1" applyNumberFormat="1" applyFont="1" applyFill="1" applyBorder="1" applyAlignment="1" applyProtection="1">
      <alignment horizontal="center" vertical="center"/>
    </xf>
    <xf numFmtId="43" fontId="2" fillId="0" borderId="0" xfId="1" applyFont="1" applyFill="1" applyBorder="1" applyAlignment="1" applyProtection="1">
      <alignment vertical="center"/>
    </xf>
    <xf numFmtId="182" fontId="2" fillId="0" borderId="0" xfId="1" applyNumberFormat="1" applyFont="1" applyFill="1" applyBorder="1" applyAlignment="1" applyProtection="1">
      <alignment vertical="center"/>
    </xf>
    <xf numFmtId="171" fontId="2" fillId="0" borderId="0" xfId="1" applyNumberFormat="1" applyFont="1" applyFill="1" applyBorder="1" applyAlignment="1" applyProtection="1">
      <alignment vertical="center"/>
    </xf>
    <xf numFmtId="165" fontId="2" fillId="0" borderId="0" xfId="1" applyNumberFormat="1" applyFont="1" applyFill="1" applyBorder="1" applyAlignment="1" applyProtection="1">
      <alignment vertical="center"/>
    </xf>
    <xf numFmtId="182" fontId="2" fillId="0" borderId="0" xfId="1" applyNumberFormat="1" applyFont="1" applyFill="1" applyBorder="1" applyAlignment="1" applyProtection="1">
      <alignment horizontal="center" vertical="center"/>
    </xf>
    <xf numFmtId="0" fontId="0" fillId="0" borderId="0" xfId="0" applyFill="1" applyBorder="1" applyProtection="1"/>
    <xf numFmtId="4" fontId="2" fillId="0" borderId="0" xfId="0" applyNumberFormat="1" applyFont="1" applyFill="1" applyBorder="1" applyAlignment="1" applyProtection="1">
      <alignment horizontal="center" vertical="center" wrapText="1"/>
    </xf>
    <xf numFmtId="164" fontId="2" fillId="0" borderId="0" xfId="0" applyNumberFormat="1" applyFont="1" applyFill="1" applyBorder="1" applyAlignment="1" applyProtection="1">
      <alignment horizontal="center" vertical="center" wrapText="1"/>
    </xf>
    <xf numFmtId="172" fontId="14" fillId="0" borderId="0" xfId="29" applyNumberFormat="1" applyFont="1" applyFill="1" applyBorder="1" applyAlignment="1" applyProtection="1">
      <alignment horizontal="center" vertical="center"/>
    </xf>
    <xf numFmtId="0" fontId="14" fillId="0" borderId="0" xfId="29" applyFont="1" applyFill="1" applyBorder="1" applyAlignment="1" applyProtection="1">
      <alignment horizontal="center" vertical="center"/>
    </xf>
    <xf numFmtId="10" fontId="15" fillId="0" borderId="0" xfId="30" applyNumberFormat="1" applyFont="1" applyFill="1" applyBorder="1" applyAlignment="1" applyProtection="1">
      <alignment horizontal="center" vertical="center"/>
    </xf>
    <xf numFmtId="0" fontId="0" fillId="8" borderId="0" xfId="0" applyFill="1" applyAlignment="1">
      <alignment horizontal="center"/>
    </xf>
    <xf numFmtId="10" fontId="0" fillId="8" borderId="0" xfId="0" applyNumberFormat="1" applyFill="1"/>
    <xf numFmtId="0" fontId="6" fillId="8" borderId="0" xfId="0" applyFont="1" applyFill="1"/>
    <xf numFmtId="0" fontId="8" fillId="12" borderId="26" xfId="0" applyFont="1" applyFill="1" applyBorder="1" applyAlignment="1">
      <alignment horizontal="center"/>
    </xf>
    <xf numFmtId="0" fontId="8" fillId="12" borderId="27" xfId="0" applyFont="1" applyFill="1" applyBorder="1" applyAlignment="1">
      <alignment horizontal="center"/>
    </xf>
    <xf numFmtId="0" fontId="8" fillId="12" borderId="21" xfId="0" applyFont="1" applyFill="1" applyBorder="1" applyAlignment="1">
      <alignment horizontal="center"/>
    </xf>
    <xf numFmtId="165" fontId="13" fillId="0" borderId="0" xfId="1" applyNumberFormat="1" applyFont="1" applyFill="1" applyBorder="1" applyAlignment="1" applyProtection="1">
      <alignment horizontal="right" vertical="center"/>
      <protection locked="0"/>
    </xf>
    <xf numFmtId="170" fontId="13" fillId="0" borderId="0" xfId="1" applyNumberFormat="1" applyFont="1" applyFill="1" applyBorder="1" applyAlignment="1" applyProtection="1">
      <alignment horizontal="right" vertical="center"/>
      <protection locked="0"/>
    </xf>
    <xf numFmtId="165" fontId="13" fillId="0" borderId="0" xfId="29" applyNumberFormat="1" applyFont="1" applyFill="1" applyBorder="1" applyAlignment="1" applyProtection="1">
      <alignment horizontal="right" vertical="center"/>
      <protection locked="0"/>
    </xf>
    <xf numFmtId="180" fontId="15" fillId="9" borderId="21" xfId="16" applyNumberFormat="1" applyFont="1" applyFill="1" applyBorder="1" applyAlignment="1" applyProtection="1">
      <alignment horizontal="center" vertical="center"/>
      <protection locked="0"/>
    </xf>
    <xf numFmtId="0" fontId="14" fillId="9" borderId="21" xfId="29" applyFont="1" applyFill="1" applyBorder="1" applyAlignment="1" applyProtection="1">
      <alignment horizontal="right" vertical="center"/>
      <protection locked="0"/>
    </xf>
    <xf numFmtId="172" fontId="15" fillId="9" borderId="28" xfId="16" applyFont="1" applyFill="1" applyBorder="1" applyAlignment="1" applyProtection="1">
      <alignment horizontal="center" vertical="center"/>
    </xf>
    <xf numFmtId="172" fontId="15" fillId="9" borderId="38" xfId="16" applyFont="1" applyFill="1" applyBorder="1" applyAlignment="1" applyProtection="1">
      <alignment horizontal="center" vertical="center"/>
    </xf>
    <xf numFmtId="0" fontId="16" fillId="4" borderId="0" xfId="0" applyFont="1" applyFill="1" applyBorder="1" applyAlignment="1" applyProtection="1">
      <alignment vertical="center" wrapText="1"/>
    </xf>
    <xf numFmtId="168" fontId="17" fillId="2" borderId="8" xfId="1" applyNumberFormat="1" applyFont="1" applyFill="1" applyBorder="1" applyAlignment="1" applyProtection="1">
      <alignment vertical="center"/>
    </xf>
    <xf numFmtId="0" fontId="16" fillId="4" borderId="8" xfId="0" applyFont="1" applyFill="1" applyBorder="1" applyAlignment="1" applyProtection="1">
      <alignment horizontal="left" vertical="center"/>
    </xf>
    <xf numFmtId="0" fontId="4" fillId="0" borderId="15" xfId="0" applyFont="1" applyBorder="1" applyProtection="1"/>
    <xf numFmtId="169" fontId="16" fillId="0" borderId="9" xfId="0" applyNumberFormat="1" applyFont="1" applyFill="1" applyBorder="1" applyAlignment="1" applyProtection="1">
      <alignment vertical="center"/>
    </xf>
    <xf numFmtId="172" fontId="12" fillId="0" borderId="43" xfId="16" applyNumberFormat="1" applyFont="1" applyFill="1" applyBorder="1" applyAlignment="1" applyProtection="1">
      <alignment horizontal="center" vertical="center"/>
      <protection locked="0"/>
    </xf>
    <xf numFmtId="172" fontId="12" fillId="0" borderId="40" xfId="16" applyFont="1" applyFill="1" applyBorder="1" applyAlignment="1" applyProtection="1">
      <alignment horizontal="center" vertical="center"/>
    </xf>
    <xf numFmtId="185" fontId="12" fillId="0" borderId="43" xfId="2" applyNumberFormat="1" applyFont="1" applyFill="1" applyBorder="1" applyAlignment="1" applyProtection="1">
      <alignment horizontal="center" vertical="center"/>
      <protection locked="0"/>
    </xf>
    <xf numFmtId="168" fontId="17" fillId="0" borderId="0" xfId="1" applyNumberFormat="1" applyFont="1" applyFill="1" applyBorder="1" applyAlignment="1" applyProtection="1">
      <alignment vertical="center"/>
    </xf>
    <xf numFmtId="3" fontId="17" fillId="0" borderId="0" xfId="0" applyNumberFormat="1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right" vertical="center"/>
    </xf>
    <xf numFmtId="170" fontId="16" fillId="0" borderId="0" xfId="3" applyNumberFormat="1" applyFont="1" applyFill="1" applyBorder="1" applyAlignment="1" applyProtection="1">
      <alignment horizontal="center" vertical="center"/>
    </xf>
    <xf numFmtId="0" fontId="16" fillId="4" borderId="52" xfId="0" applyFont="1" applyFill="1" applyBorder="1" applyAlignment="1" applyProtection="1">
      <alignment horizontal="left" vertical="center"/>
    </xf>
    <xf numFmtId="0" fontId="2" fillId="0" borderId="4" xfId="29" applyFont="1" applyFill="1" applyBorder="1" applyAlignment="1" applyProtection="1">
      <alignment vertical="top" wrapText="1"/>
    </xf>
    <xf numFmtId="0" fontId="0" fillId="0" borderId="0" xfId="0" applyAlignment="1"/>
    <xf numFmtId="0" fontId="0" fillId="0" borderId="0" xfId="0" applyAlignment="1" applyProtection="1"/>
    <xf numFmtId="164" fontId="4" fillId="3" borderId="2" xfId="0" applyNumberFormat="1" applyFont="1" applyFill="1" applyBorder="1" applyAlignment="1" applyProtection="1">
      <alignment vertical="center" wrapText="1"/>
    </xf>
    <xf numFmtId="3" fontId="17" fillId="4" borderId="9" xfId="0" applyNumberFormat="1" applyFont="1" applyFill="1" applyBorder="1" applyAlignment="1" applyProtection="1">
      <alignment vertical="center"/>
    </xf>
    <xf numFmtId="0" fontId="4" fillId="0" borderId="26" xfId="29" applyFont="1" applyBorder="1" applyAlignment="1" applyProtection="1"/>
    <xf numFmtId="0" fontId="4" fillId="0" borderId="27" xfId="29" quotePrefix="1" applyFont="1" applyBorder="1" applyAlignment="1" applyProtection="1"/>
    <xf numFmtId="0" fontId="13" fillId="0" borderId="30" xfId="29" applyFont="1" applyFill="1" applyBorder="1" applyAlignment="1" applyProtection="1">
      <alignment vertical="center"/>
    </xf>
    <xf numFmtId="181" fontId="13" fillId="0" borderId="30" xfId="29" applyNumberFormat="1" applyFont="1" applyFill="1" applyBorder="1" applyAlignment="1" applyProtection="1">
      <alignment vertical="center"/>
      <protection locked="0"/>
    </xf>
    <xf numFmtId="181" fontId="13" fillId="0" borderId="27" xfId="29" applyNumberFormat="1" applyFont="1" applyFill="1" applyBorder="1" applyAlignment="1" applyProtection="1">
      <alignment vertical="center"/>
      <protection locked="0"/>
    </xf>
    <xf numFmtId="0" fontId="14" fillId="9" borderId="27" xfId="29" applyFont="1" applyFill="1" applyBorder="1" applyAlignment="1" applyProtection="1">
      <alignment vertical="center"/>
      <protection locked="0"/>
    </xf>
    <xf numFmtId="181" fontId="13" fillId="0" borderId="30" xfId="1" applyNumberFormat="1" applyFont="1" applyFill="1" applyBorder="1" applyAlignment="1" applyProtection="1">
      <alignment vertical="center"/>
      <protection locked="0"/>
    </xf>
    <xf numFmtId="0" fontId="13" fillId="9" borderId="21" xfId="29" applyFont="1" applyFill="1" applyBorder="1" applyAlignment="1" applyProtection="1">
      <alignment vertical="center"/>
      <protection locked="0"/>
    </xf>
    <xf numFmtId="178" fontId="13" fillId="8" borderId="30" xfId="1" applyNumberFormat="1" applyFont="1" applyFill="1" applyBorder="1" applyAlignment="1" applyProtection="1">
      <alignment vertical="center"/>
      <protection locked="0"/>
    </xf>
    <xf numFmtId="178" fontId="13" fillId="0" borderId="30" xfId="1" applyNumberFormat="1" applyFont="1" applyFill="1" applyBorder="1" applyAlignment="1" applyProtection="1">
      <alignment vertical="center"/>
      <protection locked="0"/>
    </xf>
    <xf numFmtId="181" fontId="13" fillId="8" borderId="30" xfId="1" applyNumberFormat="1" applyFont="1" applyFill="1" applyBorder="1" applyAlignment="1" applyProtection="1">
      <alignment vertical="center"/>
      <protection locked="0"/>
    </xf>
    <xf numFmtId="0" fontId="13" fillId="10" borderId="19" xfId="29" applyFont="1" applyFill="1" applyBorder="1" applyAlignment="1" applyProtection="1">
      <alignment vertical="center"/>
      <protection locked="0"/>
    </xf>
    <xf numFmtId="9" fontId="13" fillId="0" borderId="0" xfId="29" applyNumberFormat="1" applyFont="1" applyFill="1" applyBorder="1" applyAlignment="1" applyProtection="1">
      <alignment vertical="center"/>
    </xf>
    <xf numFmtId="0" fontId="13" fillId="0" borderId="0" xfId="29" applyFont="1" applyFill="1" applyBorder="1" applyAlignment="1" applyProtection="1">
      <alignment vertical="center"/>
    </xf>
    <xf numFmtId="0" fontId="13" fillId="9" borderId="28" xfId="29" applyFont="1" applyFill="1" applyBorder="1" applyAlignment="1" applyProtection="1">
      <alignment vertical="center"/>
    </xf>
    <xf numFmtId="0" fontId="2" fillId="0" borderId="0" xfId="0" applyFont="1" applyAlignment="1" applyProtection="1"/>
    <xf numFmtId="44" fontId="12" fillId="8" borderId="30" xfId="2" applyFont="1" applyFill="1" applyBorder="1" applyAlignment="1" applyProtection="1">
      <alignment vertical="center"/>
      <protection locked="0"/>
    </xf>
    <xf numFmtId="180" fontId="12" fillId="0" borderId="30" xfId="16" applyNumberFormat="1" applyFont="1" applyFill="1" applyBorder="1" applyAlignment="1" applyProtection="1">
      <alignment vertical="center"/>
      <protection locked="0"/>
    </xf>
    <xf numFmtId="180" fontId="12" fillId="8" borderId="27" xfId="16" applyNumberFormat="1" applyFont="1" applyFill="1" applyBorder="1" applyAlignment="1" applyProtection="1">
      <alignment vertical="center"/>
      <protection locked="0"/>
    </xf>
    <xf numFmtId="180" fontId="15" fillId="9" borderId="27" xfId="16" applyNumberFormat="1" applyFont="1" applyFill="1" applyBorder="1" applyAlignment="1" applyProtection="1">
      <alignment vertical="center"/>
      <protection locked="0"/>
    </xf>
    <xf numFmtId="180" fontId="12" fillId="8" borderId="30" xfId="16" applyNumberFormat="1" applyFont="1" applyFill="1" applyBorder="1" applyAlignment="1" applyProtection="1">
      <alignment vertical="center"/>
      <protection locked="0"/>
    </xf>
    <xf numFmtId="172" fontId="12" fillId="8" borderId="30" xfId="16" applyNumberFormat="1" applyFont="1" applyFill="1" applyBorder="1" applyAlignment="1" applyProtection="1">
      <alignment vertical="center"/>
      <protection locked="0"/>
    </xf>
    <xf numFmtId="180" fontId="13" fillId="0" borderId="30" xfId="16" applyNumberFormat="1" applyFont="1" applyFill="1" applyBorder="1" applyAlignment="1" applyProtection="1">
      <alignment vertical="center"/>
      <protection locked="0"/>
    </xf>
    <xf numFmtId="172" fontId="13" fillId="8" borderId="30" xfId="16" applyNumberFormat="1" applyFont="1" applyFill="1" applyBorder="1" applyAlignment="1" applyProtection="1">
      <alignment vertical="center"/>
      <protection locked="0"/>
    </xf>
    <xf numFmtId="180" fontId="13" fillId="10" borderId="35" xfId="16" applyNumberFormat="1" applyFont="1" applyFill="1" applyBorder="1" applyAlignment="1" applyProtection="1">
      <alignment vertical="center"/>
      <protection locked="0"/>
    </xf>
    <xf numFmtId="9" fontId="13" fillId="0" borderId="30" xfId="29" applyNumberFormat="1" applyFont="1" applyFill="1" applyBorder="1" applyAlignment="1" applyProtection="1">
      <alignment vertical="center"/>
    </xf>
    <xf numFmtId="0" fontId="13" fillId="9" borderId="21" xfId="29" applyFont="1" applyFill="1" applyBorder="1" applyAlignment="1" applyProtection="1">
      <alignment vertical="center"/>
    </xf>
    <xf numFmtId="172" fontId="12" fillId="0" borderId="30" xfId="16" applyNumberFormat="1" applyFont="1" applyFill="1" applyBorder="1" applyAlignment="1" applyProtection="1">
      <alignment vertical="center"/>
      <protection locked="0"/>
    </xf>
    <xf numFmtId="44" fontId="12" fillId="0" borderId="43" xfId="2" applyNumberFormat="1" applyFont="1" applyFill="1" applyBorder="1" applyAlignment="1" applyProtection="1">
      <alignment horizontal="center" vertical="center"/>
      <protection locked="0"/>
    </xf>
    <xf numFmtId="172" fontId="13" fillId="0" borderId="30" xfId="16" applyNumberFormat="1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/>
    </xf>
    <xf numFmtId="9" fontId="13" fillId="0" borderId="0" xfId="3" applyFont="1" applyFill="1" applyBorder="1" applyAlignment="1" applyProtection="1">
      <alignment horizontal="right" vertical="center"/>
      <protection locked="0"/>
    </xf>
    <xf numFmtId="0" fontId="6" fillId="0" borderId="0" xfId="0" applyFont="1" applyAlignment="1"/>
    <xf numFmtId="0" fontId="2" fillId="0" borderId="53" xfId="29" applyFont="1" applyFill="1" applyBorder="1" applyAlignment="1" applyProtection="1">
      <alignment vertical="top" wrapText="1"/>
    </xf>
    <xf numFmtId="0" fontId="22" fillId="0" borderId="0" xfId="39" applyFill="1"/>
    <xf numFmtId="0" fontId="2" fillId="0" borderId="53" xfId="0" applyFont="1" applyFill="1" applyBorder="1" applyAlignment="1" applyProtection="1">
      <alignment horizontal="left" vertical="center" wrapText="1"/>
    </xf>
    <xf numFmtId="182" fontId="2" fillId="0" borderId="4" xfId="1" applyNumberFormat="1" applyFont="1" applyFill="1" applyBorder="1" applyAlignment="1" applyProtection="1">
      <alignment vertical="center"/>
    </xf>
    <xf numFmtId="0" fontId="2" fillId="4" borderId="53" xfId="0" applyFont="1" applyFill="1" applyBorder="1" applyAlignment="1" applyProtection="1">
      <alignment horizontal="left" vertical="center" wrapText="1"/>
    </xf>
    <xf numFmtId="43" fontId="2" fillId="0" borderId="3" xfId="1" applyNumberFormat="1" applyFont="1" applyFill="1" applyBorder="1" applyAlignment="1" applyProtection="1">
      <alignment vertical="center"/>
    </xf>
    <xf numFmtId="43" fontId="2" fillId="0" borderId="5" xfId="1" applyNumberFormat="1" applyFont="1" applyFill="1" applyBorder="1" applyAlignment="1" applyProtection="1">
      <alignment vertical="center"/>
    </xf>
    <xf numFmtId="43" fontId="2" fillId="0" borderId="4" xfId="1" applyNumberFormat="1" applyFont="1" applyFill="1" applyBorder="1" applyAlignment="1" applyProtection="1">
      <alignment vertical="center"/>
    </xf>
    <xf numFmtId="43" fontId="2" fillId="0" borderId="54" xfId="1" applyNumberFormat="1" applyFont="1" applyFill="1" applyBorder="1" applyAlignment="1" applyProtection="1">
      <alignment vertical="center"/>
    </xf>
    <xf numFmtId="43" fontId="2" fillId="0" borderId="4" xfId="1" applyNumberFormat="1" applyFont="1" applyFill="1" applyBorder="1" applyAlignment="1" applyProtection="1">
      <alignment vertical="center" wrapText="1"/>
    </xf>
    <xf numFmtId="43" fontId="2" fillId="0" borderId="53" xfId="1" applyNumberFormat="1" applyFont="1" applyFill="1" applyBorder="1" applyAlignment="1" applyProtection="1">
      <alignment vertical="center" wrapText="1"/>
    </xf>
    <xf numFmtId="182" fontId="2" fillId="0" borderId="4" xfId="1" applyNumberFormat="1" applyFont="1" applyFill="1" applyBorder="1" applyAlignment="1" applyProtection="1">
      <alignment vertical="center" wrapText="1"/>
    </xf>
    <xf numFmtId="182" fontId="2" fillId="0" borderId="7" xfId="1" applyNumberFormat="1" applyFont="1" applyFill="1" applyBorder="1" applyAlignment="1" applyProtection="1">
      <alignment vertical="center"/>
    </xf>
    <xf numFmtId="182" fontId="2" fillId="0" borderId="4" xfId="0" applyNumberFormat="1" applyFont="1" applyFill="1" applyBorder="1" applyAlignment="1" applyProtection="1">
      <alignment vertical="center" wrapText="1"/>
    </xf>
    <xf numFmtId="182" fontId="2" fillId="0" borderId="53" xfId="0" applyNumberFormat="1" applyFont="1" applyFill="1" applyBorder="1" applyAlignment="1" applyProtection="1">
      <alignment vertical="center" wrapText="1"/>
    </xf>
    <xf numFmtId="43" fontId="2" fillId="0" borderId="4" xfId="0" applyNumberFormat="1" applyFont="1" applyFill="1" applyBorder="1" applyAlignment="1" applyProtection="1">
      <alignment vertical="center" wrapText="1"/>
    </xf>
    <xf numFmtId="182" fontId="2" fillId="0" borderId="5" xfId="1" applyNumberFormat="1" applyFont="1" applyFill="1" applyBorder="1" applyAlignment="1" applyProtection="1">
      <alignment horizontal="right" vertical="center"/>
    </xf>
    <xf numFmtId="182" fontId="2" fillId="0" borderId="4" xfId="1" applyNumberFormat="1" applyFont="1" applyFill="1" applyBorder="1" applyAlignment="1" applyProtection="1">
      <alignment horizontal="right" vertical="center"/>
    </xf>
    <xf numFmtId="182" fontId="2" fillId="0" borderId="7" xfId="1" applyNumberFormat="1" applyFont="1" applyFill="1" applyBorder="1" applyAlignment="1" applyProtection="1">
      <alignment horizontal="center" vertical="center"/>
    </xf>
    <xf numFmtId="43" fontId="2" fillId="0" borderId="3" xfId="1" applyNumberFormat="1" applyFont="1" applyFill="1" applyBorder="1" applyAlignment="1" applyProtection="1">
      <alignment horizontal="center" vertical="center"/>
    </xf>
    <xf numFmtId="43" fontId="2" fillId="0" borderId="4" xfId="1" applyNumberFormat="1" applyFont="1" applyFill="1" applyBorder="1" applyAlignment="1" applyProtection="1">
      <alignment horizontal="center" vertical="center"/>
    </xf>
    <xf numFmtId="0" fontId="2" fillId="12" borderId="4" xfId="0" applyFont="1" applyFill="1" applyBorder="1" applyAlignment="1" applyProtection="1">
      <alignment horizontal="left" vertical="center" wrapText="1"/>
    </xf>
    <xf numFmtId="182" fontId="2" fillId="12" borderId="4" xfId="1" applyNumberFormat="1" applyFont="1" applyFill="1" applyBorder="1" applyAlignment="1" applyProtection="1">
      <alignment vertical="center"/>
    </xf>
    <xf numFmtId="0" fontId="23" fillId="0" borderId="0" xfId="38" applyFont="1" applyFill="1" applyAlignment="1">
      <alignment horizontal="center"/>
    </xf>
    <xf numFmtId="0" fontId="23" fillId="0" borderId="0" xfId="38" applyFont="1" applyFill="1"/>
    <xf numFmtId="172" fontId="13" fillId="0" borderId="25" xfId="16" applyFont="1" applyFill="1" applyBorder="1" applyAlignment="1" applyProtection="1">
      <alignment horizontal="center" vertical="center"/>
    </xf>
    <xf numFmtId="10" fontId="13" fillId="0" borderId="29" xfId="3" applyNumberFormat="1" applyFont="1" applyBorder="1" applyAlignment="1" applyProtection="1">
      <alignment horizontal="center" vertical="center"/>
    </xf>
    <xf numFmtId="10" fontId="13" fillId="0" borderId="29" xfId="3" applyNumberFormat="1" applyFont="1" applyFill="1" applyBorder="1" applyAlignment="1" applyProtection="1">
      <alignment horizontal="center" vertical="center"/>
    </xf>
    <xf numFmtId="10" fontId="14" fillId="9" borderId="23" xfId="3" applyNumberFormat="1" applyFont="1" applyFill="1" applyBorder="1" applyAlignment="1" applyProtection="1">
      <alignment horizontal="center" vertical="center"/>
    </xf>
    <xf numFmtId="10" fontId="13" fillId="10" borderId="35" xfId="3" applyNumberFormat="1" applyFont="1" applyFill="1" applyBorder="1" applyAlignment="1" applyProtection="1">
      <alignment horizontal="center" vertical="center"/>
    </xf>
    <xf numFmtId="10" fontId="14" fillId="9" borderId="21" xfId="3" applyNumberFormat="1" applyFont="1" applyFill="1" applyBorder="1" applyAlignment="1" applyProtection="1">
      <alignment horizontal="center" vertical="center"/>
    </xf>
    <xf numFmtId="10" fontId="14" fillId="9" borderId="28" xfId="3" applyNumberFormat="1" applyFont="1" applyFill="1" applyBorder="1" applyAlignment="1" applyProtection="1">
      <alignment horizontal="center" vertical="center"/>
    </xf>
    <xf numFmtId="10" fontId="14" fillId="9" borderId="48" xfId="3" applyNumberFormat="1" applyFont="1" applyFill="1" applyBorder="1" applyAlignment="1" applyProtection="1">
      <alignment horizontal="center" vertical="center"/>
    </xf>
    <xf numFmtId="3" fontId="17" fillId="0" borderId="1" xfId="0" applyNumberFormat="1" applyFont="1" applyFill="1" applyBorder="1" applyAlignment="1" applyProtection="1">
      <alignment horizontal="center" vertical="center"/>
    </xf>
    <xf numFmtId="9" fontId="16" fillId="0" borderId="9" xfId="3" applyNumberFormat="1" applyFont="1" applyFill="1" applyBorder="1" applyAlignment="1" applyProtection="1">
      <alignment horizontal="center" vertical="center"/>
    </xf>
    <xf numFmtId="172" fontId="13" fillId="0" borderId="56" xfId="29" applyNumberFormat="1" applyFont="1" applyBorder="1" applyAlignment="1" applyProtection="1">
      <alignment horizontal="center" vertical="center"/>
    </xf>
    <xf numFmtId="172" fontId="13" fillId="0" borderId="56" xfId="29" applyNumberFormat="1" applyFont="1" applyFill="1" applyBorder="1" applyAlignment="1" applyProtection="1">
      <alignment horizontal="center" vertical="center"/>
    </xf>
    <xf numFmtId="10" fontId="13" fillId="0" borderId="26" xfId="3" applyNumberFormat="1" applyFont="1" applyBorder="1" applyAlignment="1" applyProtection="1">
      <alignment horizontal="center" vertical="center"/>
    </xf>
    <xf numFmtId="10" fontId="13" fillId="0" borderId="30" xfId="3" applyNumberFormat="1" applyFont="1" applyBorder="1" applyAlignment="1" applyProtection="1">
      <alignment horizontal="center" vertical="center"/>
    </xf>
    <xf numFmtId="10" fontId="13" fillId="0" borderId="30" xfId="3" applyNumberFormat="1" applyFont="1" applyFill="1" applyBorder="1" applyAlignment="1" applyProtection="1">
      <alignment horizontal="center" vertical="center"/>
    </xf>
    <xf numFmtId="10" fontId="13" fillId="0" borderId="27" xfId="3" applyNumberFormat="1" applyFont="1" applyBorder="1" applyAlignment="1" applyProtection="1">
      <alignment horizontal="center" vertical="center"/>
    </xf>
    <xf numFmtId="172" fontId="13" fillId="0" borderId="0" xfId="29" applyNumberFormat="1" applyFont="1" applyFill="1" applyBorder="1" applyAlignment="1" applyProtection="1">
      <alignment horizontal="center" vertical="center"/>
    </xf>
    <xf numFmtId="172" fontId="13" fillId="10" borderId="57" xfId="29" applyNumberFormat="1" applyFont="1" applyFill="1" applyBorder="1" applyAlignment="1" applyProtection="1">
      <alignment horizontal="center" vertical="center"/>
    </xf>
    <xf numFmtId="10" fontId="14" fillId="9" borderId="22" xfId="3" applyNumberFormat="1" applyFont="1" applyFill="1" applyBorder="1" applyAlignment="1" applyProtection="1">
      <alignment horizontal="center" vertical="center"/>
    </xf>
    <xf numFmtId="10" fontId="13" fillId="10" borderId="19" xfId="3" applyNumberFormat="1" applyFont="1" applyFill="1" applyBorder="1" applyAlignment="1" applyProtection="1">
      <alignment horizontal="center" vertical="center"/>
    </xf>
    <xf numFmtId="172" fontId="13" fillId="0" borderId="0" xfId="29" applyNumberFormat="1" applyFont="1" applyBorder="1" applyAlignment="1" applyProtection="1">
      <alignment horizontal="center" vertical="center"/>
    </xf>
    <xf numFmtId="170" fontId="0" fillId="8" borderId="25" xfId="0" applyNumberFormat="1" applyFill="1" applyBorder="1"/>
    <xf numFmtId="43" fontId="0" fillId="8" borderId="0" xfId="1" applyFont="1" applyFill="1"/>
    <xf numFmtId="170" fontId="0" fillId="8" borderId="0" xfId="3" applyNumberFormat="1" applyFont="1" applyFill="1"/>
    <xf numFmtId="170" fontId="13" fillId="0" borderId="0" xfId="3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 applyFill="1" applyAlignment="1">
      <alignment wrapText="1"/>
    </xf>
    <xf numFmtId="0" fontId="9" fillId="0" borderId="0" xfId="0" applyFont="1" applyFill="1" applyAlignment="1"/>
    <xf numFmtId="0" fontId="8" fillId="12" borderId="22" xfId="0" applyFont="1" applyFill="1" applyBorder="1" applyAlignment="1">
      <alignment horizontal="center" wrapText="1"/>
    </xf>
    <xf numFmtId="0" fontId="8" fillId="12" borderId="23" xfId="0" applyFont="1" applyFill="1" applyBorder="1" applyAlignment="1">
      <alignment horizontal="center" wrapText="1"/>
    </xf>
    <xf numFmtId="0" fontId="8" fillId="12" borderId="21" xfId="0" applyFont="1" applyFill="1" applyBorder="1" applyAlignment="1">
      <alignment horizontal="center"/>
    </xf>
    <xf numFmtId="0" fontId="8" fillId="12" borderId="26" xfId="0" applyFont="1" applyFill="1" applyBorder="1" applyAlignment="1">
      <alignment horizontal="center" wrapText="1"/>
    </xf>
    <xf numFmtId="0" fontId="9" fillId="12" borderId="27" xfId="0" applyFont="1" applyFill="1" applyBorder="1" applyAlignment="1">
      <alignment horizontal="center" wrapText="1"/>
    </xf>
    <xf numFmtId="0" fontId="3" fillId="5" borderId="0" xfId="0" applyFont="1" applyFill="1" applyAlignment="1" applyProtection="1">
      <alignment horizontal="left"/>
      <protection locked="0"/>
    </xf>
    <xf numFmtId="0" fontId="4" fillId="0" borderId="37" xfId="29" applyFont="1" applyBorder="1" applyAlignment="1" applyProtection="1">
      <alignment horizontal="center"/>
    </xf>
    <xf numFmtId="0" fontId="4" fillId="0" borderId="28" xfId="29" applyFont="1" applyBorder="1" applyAlignment="1" applyProtection="1">
      <alignment horizontal="center"/>
    </xf>
    <xf numFmtId="0" fontId="4" fillId="0" borderId="42" xfId="29" applyFont="1" applyBorder="1" applyAlignment="1" applyProtection="1">
      <alignment horizontal="center"/>
    </xf>
    <xf numFmtId="0" fontId="3" fillId="0" borderId="26" xfId="0" applyNumberFormat="1" applyFont="1" applyBorder="1" applyAlignment="1" applyProtection="1">
      <alignment horizontal="center" vertical="center" wrapText="1"/>
    </xf>
    <xf numFmtId="0" fontId="0" fillId="0" borderId="27" xfId="0" applyNumberFormat="1" applyBorder="1" applyAlignment="1">
      <alignment horizontal="center" wrapText="1"/>
    </xf>
    <xf numFmtId="0" fontId="4" fillId="0" borderId="0" xfId="29" applyFont="1" applyFill="1" applyBorder="1" applyAlignment="1" applyProtection="1">
      <alignment horizontal="center"/>
    </xf>
    <xf numFmtId="0" fontId="4" fillId="0" borderId="0" xfId="29" applyFont="1" applyFill="1" applyBorder="1" applyAlignment="1" applyProtection="1">
      <alignment horizontal="center" wrapText="1"/>
    </xf>
    <xf numFmtId="0" fontId="5" fillId="0" borderId="0" xfId="29" applyFill="1" applyBorder="1" applyAlignment="1" applyProtection="1">
      <alignment wrapText="1"/>
    </xf>
    <xf numFmtId="0" fontId="4" fillId="0" borderId="34" xfId="29" applyFont="1" applyBorder="1" applyAlignment="1" applyProtection="1">
      <alignment horizontal="center"/>
    </xf>
    <xf numFmtId="0" fontId="4" fillId="0" borderId="33" xfId="29" applyFont="1" applyBorder="1" applyAlignment="1" applyProtection="1">
      <alignment horizontal="center"/>
    </xf>
    <xf numFmtId="0" fontId="4" fillId="0" borderId="32" xfId="29" applyFont="1" applyBorder="1" applyAlignment="1" applyProtection="1">
      <alignment horizontal="center"/>
    </xf>
    <xf numFmtId="0" fontId="4" fillId="0" borderId="31" xfId="29" applyFont="1" applyFill="1" applyBorder="1" applyAlignment="1" applyProtection="1">
      <alignment horizontal="center" wrapText="1"/>
    </xf>
    <xf numFmtId="0" fontId="5" fillId="0" borderId="32" xfId="29" applyBorder="1" applyAlignment="1" applyProtection="1">
      <alignment wrapText="1"/>
    </xf>
    <xf numFmtId="0" fontId="4" fillId="0" borderId="22" xfId="29" applyFont="1" applyBorder="1" applyAlignment="1" applyProtection="1">
      <alignment horizontal="center"/>
    </xf>
    <xf numFmtId="0" fontId="4" fillId="0" borderId="23" xfId="29" applyFont="1" applyBorder="1" applyAlignment="1" applyProtection="1">
      <alignment horizontal="center"/>
    </xf>
    <xf numFmtId="0" fontId="18" fillId="0" borderId="27" xfId="0" applyNumberFormat="1" applyFont="1" applyBorder="1" applyAlignment="1">
      <alignment horizontal="center" wrapText="1"/>
    </xf>
    <xf numFmtId="0" fontId="4" fillId="0" borderId="39" xfId="29" applyFont="1" applyFill="1" applyBorder="1" applyAlignment="1" applyProtection="1">
      <alignment horizontal="center" wrapText="1"/>
    </xf>
    <xf numFmtId="0" fontId="5" fillId="0" borderId="41" xfId="29" applyBorder="1" applyAlignment="1" applyProtection="1">
      <alignment wrapText="1"/>
    </xf>
    <xf numFmtId="0" fontId="4" fillId="0" borderId="38" xfId="29" applyFont="1" applyBorder="1" applyAlignment="1" applyProtection="1">
      <alignment horizontal="center"/>
    </xf>
    <xf numFmtId="0" fontId="3" fillId="0" borderId="27" xfId="0" applyNumberFormat="1" applyFont="1" applyBorder="1" applyAlignment="1">
      <alignment horizontal="center" wrapText="1"/>
    </xf>
    <xf numFmtId="0" fontId="4" fillId="0" borderId="58" xfId="29" applyFont="1" applyFill="1" applyBorder="1" applyAlignment="1" applyProtection="1">
      <alignment horizontal="center" wrapText="1"/>
    </xf>
    <xf numFmtId="0" fontId="5" fillId="0" borderId="55" xfId="29" applyBorder="1" applyAlignment="1" applyProtection="1">
      <alignment wrapText="1"/>
    </xf>
    <xf numFmtId="0" fontId="4" fillId="0" borderId="26" xfId="29" applyFont="1" applyFill="1" applyBorder="1" applyAlignment="1" applyProtection="1">
      <alignment horizontal="center" wrapText="1"/>
    </xf>
    <xf numFmtId="0" fontId="5" fillId="0" borderId="27" xfId="29" applyBorder="1" applyAlignment="1" applyProtection="1">
      <alignment wrapText="1"/>
    </xf>
    <xf numFmtId="0" fontId="3" fillId="0" borderId="26" xfId="0" applyNumberFormat="1" applyFont="1" applyBorder="1" applyAlignment="1" applyProtection="1">
      <alignment vertical="center" wrapText="1"/>
    </xf>
    <xf numFmtId="0" fontId="18" fillId="0" borderId="27" xfId="0" applyNumberFormat="1" applyFont="1" applyBorder="1" applyAlignment="1">
      <alignment wrapText="1"/>
    </xf>
    <xf numFmtId="9" fontId="13" fillId="0" borderId="0" xfId="3" applyNumberFormat="1" applyFont="1" applyFill="1" applyBorder="1" applyAlignment="1" applyProtection="1">
      <alignment horizontal="right" vertical="center"/>
      <protection locked="0"/>
    </xf>
  </cellXfs>
  <cellStyles count="40">
    <cellStyle name="$" xfId="5"/>
    <cellStyle name="$.00" xfId="6"/>
    <cellStyle name="$_9. Rev2Cost_GDPIPI" xfId="7"/>
    <cellStyle name="$_lists" xfId="8"/>
    <cellStyle name="$_lists_4. Current Monthly Fixed Charge" xfId="9"/>
    <cellStyle name="$_Sheet4" xfId="10"/>
    <cellStyle name="$M" xfId="11"/>
    <cellStyle name="$M.00" xfId="12"/>
    <cellStyle name="$M_9. Rev2Cost_GDPIPI" xfId="13"/>
    <cellStyle name="Bad" xfId="39" builtinId="27"/>
    <cellStyle name="Comma" xfId="1" builtinId="3"/>
    <cellStyle name="Comma 2" xfId="14"/>
    <cellStyle name="Comma 3" xfId="32"/>
    <cellStyle name="Comma0" xfId="15"/>
    <cellStyle name="Currency" xfId="2" builtinId="4"/>
    <cellStyle name="Currency 2" xfId="16"/>
    <cellStyle name="Currency 2 2" xfId="36"/>
    <cellStyle name="Currency 3" xfId="33"/>
    <cellStyle name="Currency0" xfId="17"/>
    <cellStyle name="Date" xfId="18"/>
    <cellStyle name="Fixed" xfId="19"/>
    <cellStyle name="Good" xfId="38" builtinId="26"/>
    <cellStyle name="Grey" xfId="20"/>
    <cellStyle name="Input [yellow]" xfId="21"/>
    <cellStyle name="M" xfId="22"/>
    <cellStyle name="M.00" xfId="23"/>
    <cellStyle name="M_9. Rev2Cost_GDPIPI" xfId="24"/>
    <cellStyle name="M_lists" xfId="25"/>
    <cellStyle name="M_lists_4. Current Monthly Fixed Charge" xfId="26"/>
    <cellStyle name="M_Sheet4" xfId="27"/>
    <cellStyle name="Normal" xfId="0" builtinId="0"/>
    <cellStyle name="Normal - Style1" xfId="28"/>
    <cellStyle name="Normal 2" xfId="29"/>
    <cellStyle name="Normal 2 2" xfId="35"/>
    <cellStyle name="Normal 3" xfId="4"/>
    <cellStyle name="Normal 4" xfId="34"/>
    <cellStyle name="Percent" xfId="3" builtinId="5"/>
    <cellStyle name="Percent [2]" xfId="31"/>
    <cellStyle name="Percent 2" xfId="30"/>
    <cellStyle name="Percent 2 2" xfId="37"/>
  </cellStyles>
  <dxfs count="0"/>
  <tableStyles count="0" defaultTableStyle="TableStyleMedium2" defaultPivotStyle="PivotStyleLight16"/>
  <colors>
    <mruColors>
      <color rgb="FFFFFFCC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EB\Rates\2012%20Rate%20Application\OEB%20Models\Rate%20Generator\Rate%20Generator%20Model%20091311\Whitby%20Hydro%202012_IRM_Rate_Generator%20v1.3%20092911%20v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"/>
      <sheetName val="2. Table of Contents"/>
      <sheetName val="3. Rate Classes"/>
      <sheetName val="4. Current MFC"/>
      <sheetName val="5. Current DVR"/>
      <sheetName val="6. Current Rate_Riders"/>
      <sheetName val="7. Current RTSR-Network"/>
      <sheetName val="8. Current RTSR-Connection"/>
      <sheetName val="9. 2012 Cont. Sched. Def_Var"/>
      <sheetName val="10. Billing Det. for Def_Var"/>
      <sheetName val="11. Cost Allocation Def_Var"/>
      <sheetName val="12. Calc. of Def_Var RR"/>
      <sheetName val="13. Proposed MFC"/>
      <sheetName val="14. Proposed Rate_Riders"/>
      <sheetName val="15. Proposed RTSR-Network"/>
      <sheetName val="16. Proposed RTSR-Connection"/>
      <sheetName val="17. GDP-IPI - X"/>
      <sheetName val="HIDDEN FINAL MFC"/>
      <sheetName val="HIDDEN FINAL DVC"/>
      <sheetName val="HIDDEN FINAL RATE RIDERS"/>
      <sheetName val="HIDDEN FINAL DEF_VAR"/>
      <sheetName val="HIDDEN RTSR_NET"/>
      <sheetName val="HIDDEN RTSR_CONNECT"/>
      <sheetName val="18. LF - Current and Proposed"/>
      <sheetName val="19. Other Charges"/>
      <sheetName val="HIDDEN LF AND CHARGES"/>
      <sheetName val="20. 2012 Final Tariff"/>
      <sheetName val="21. Bill Impacts"/>
      <sheetName val="hidden1"/>
      <sheetName val="DRC SSS WMSR SPC RRRP"/>
      <sheetName val="CURRENT RATES"/>
      <sheetName val="PROPOSED RATES"/>
      <sheetName val="listclasses worksheet HI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1">
          <cell r="A1" t="str">
            <v>Residential</v>
          </cell>
        </row>
        <row r="2">
          <cell r="A2" t="str">
            <v>General Service Less Than 50 kW</v>
          </cell>
        </row>
        <row r="3">
          <cell r="A3" t="str">
            <v>General Service 50 to 4,999 kW</v>
          </cell>
        </row>
        <row r="4">
          <cell r="A4" t="str">
            <v>Unmetered Scattered Load</v>
          </cell>
        </row>
        <row r="5">
          <cell r="A5" t="str">
            <v>Sentinel Lighting</v>
          </cell>
        </row>
        <row r="6">
          <cell r="A6" t="str">
            <v>Street Lighting</v>
          </cell>
        </row>
        <row r="7">
          <cell r="A7" t="str">
            <v/>
          </cell>
        </row>
        <row r="8">
          <cell r="A8" t="str">
            <v/>
          </cell>
        </row>
        <row r="9">
          <cell r="A9" t="str">
            <v/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</sheetData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4"/>
  <sheetViews>
    <sheetView workbookViewId="0">
      <selection sqref="A1:L23"/>
    </sheetView>
  </sheetViews>
  <sheetFormatPr defaultColWidth="9.140625" defaultRowHeight="12.75" x14ac:dyDescent="0.2"/>
  <cols>
    <col min="1" max="1" width="13.7109375" style="12" customWidth="1"/>
    <col min="2" max="2" width="8.140625" style="12" bestFit="1" customWidth="1"/>
    <col min="3" max="3" width="6.140625" style="12" bestFit="1" customWidth="1"/>
    <col min="4" max="4" width="9.28515625" style="12" customWidth="1"/>
    <col min="5" max="5" width="11.28515625" style="12" bestFit="1" customWidth="1"/>
    <col min="6" max="6" width="9.85546875" style="12" customWidth="1"/>
    <col min="7" max="7" width="11.28515625" style="12" bestFit="1" customWidth="1"/>
    <col min="8" max="8" width="8.85546875" style="12" customWidth="1"/>
    <col min="9" max="9" width="11.28515625" style="12" bestFit="1" customWidth="1"/>
    <col min="10" max="10" width="8.28515625" style="12" customWidth="1"/>
    <col min="11" max="11" width="11.28515625" style="12" bestFit="1" customWidth="1"/>
    <col min="12" max="12" width="8.85546875" style="12" customWidth="1"/>
    <col min="13" max="13" width="12.42578125" style="12" bestFit="1" customWidth="1"/>
    <col min="14" max="14" width="9.85546875" style="12" bestFit="1" customWidth="1"/>
    <col min="15" max="16384" width="9.140625" style="12"/>
  </cols>
  <sheetData>
    <row r="1" spans="1:15" x14ac:dyDescent="0.2">
      <c r="A1" s="11" t="s">
        <v>114</v>
      </c>
      <c r="D1" s="107"/>
      <c r="E1" s="107"/>
      <c r="F1" s="107"/>
      <c r="G1" s="107"/>
    </row>
    <row r="3" spans="1:15" s="232" customFormat="1" ht="26.25" customHeight="1" x14ac:dyDescent="0.2">
      <c r="A3" s="351" t="s">
        <v>23</v>
      </c>
      <c r="B3" s="235"/>
      <c r="C3" s="235"/>
      <c r="D3" s="351" t="s">
        <v>78</v>
      </c>
      <c r="E3" s="348" t="s">
        <v>79</v>
      </c>
      <c r="F3" s="349"/>
      <c r="G3" s="348" t="s">
        <v>80</v>
      </c>
      <c r="H3" s="349"/>
      <c r="I3" s="350" t="s">
        <v>81</v>
      </c>
      <c r="J3" s="350"/>
      <c r="K3" s="350" t="s">
        <v>71</v>
      </c>
      <c r="L3" s="350"/>
    </row>
    <row r="4" spans="1:15" s="232" customFormat="1" x14ac:dyDescent="0.2">
      <c r="A4" s="352"/>
      <c r="B4" s="236" t="s">
        <v>77</v>
      </c>
      <c r="C4" s="236" t="s">
        <v>13</v>
      </c>
      <c r="D4" s="352"/>
      <c r="E4" s="237" t="s">
        <v>24</v>
      </c>
      <c r="F4" s="237" t="s">
        <v>25</v>
      </c>
      <c r="G4" s="237" t="s">
        <v>24</v>
      </c>
      <c r="H4" s="237" t="s">
        <v>25</v>
      </c>
      <c r="I4" s="237" t="s">
        <v>24</v>
      </c>
      <c r="J4" s="237" t="s">
        <v>25</v>
      </c>
      <c r="K4" s="237" t="s">
        <v>24</v>
      </c>
      <c r="L4" s="237" t="s">
        <v>25</v>
      </c>
    </row>
    <row r="5" spans="1:15" ht="24.75" customHeight="1" x14ac:dyDescent="0.2">
      <c r="A5" s="13" t="s">
        <v>0</v>
      </c>
      <c r="B5" s="14">
        <f>'Res '!C43</f>
        <v>750</v>
      </c>
      <c r="C5" s="14"/>
      <c r="D5" s="15" t="s">
        <v>37</v>
      </c>
      <c r="E5" s="16">
        <f>'Res '!I54</f>
        <v>0.49500000000000099</v>
      </c>
      <c r="F5" s="108">
        <f>'Res '!J54</f>
        <v>1.5558698727015589E-2</v>
      </c>
      <c r="G5" s="16">
        <f>+'Res '!I60</f>
        <v>0.49500000000000455</v>
      </c>
      <c r="H5" s="108">
        <f>+'Res '!J60</f>
        <v>1.3773331449586914E-2</v>
      </c>
      <c r="I5" s="16">
        <f>+'Res '!I63</f>
        <v>0.88702500000000128</v>
      </c>
      <c r="J5" s="108">
        <f>+'Res '!J63</f>
        <v>1.8750102057818571E-2</v>
      </c>
      <c r="K5" s="17">
        <f>+'Res '!I77</f>
        <v>0.93137625000001378</v>
      </c>
      <c r="L5" s="342">
        <f>+'Res '!J77</f>
        <v>7.8932237982889952E-3</v>
      </c>
      <c r="M5" s="233"/>
      <c r="N5" s="343" t="s">
        <v>70</v>
      </c>
      <c r="O5" s="344" t="s">
        <v>70</v>
      </c>
    </row>
    <row r="6" spans="1:15" ht="24.75" customHeight="1" x14ac:dyDescent="0.2">
      <c r="A6" s="13" t="s">
        <v>27</v>
      </c>
      <c r="B6" s="14">
        <f>+'GS&lt;50'!C43</f>
        <v>2000</v>
      </c>
      <c r="C6" s="14"/>
      <c r="D6" s="15" t="s">
        <v>37</v>
      </c>
      <c r="E6" s="16">
        <f>'GS&lt;50'!I54</f>
        <v>-1.3799999999999812</v>
      </c>
      <c r="F6" s="108">
        <f>'GS&lt;50'!J54</f>
        <v>-2.006980802792294E-2</v>
      </c>
      <c r="G6" s="16">
        <f>+'GS&lt;50'!I60</f>
        <v>-1.3799999999999812</v>
      </c>
      <c r="H6" s="108">
        <f>+'GS&lt;50'!J60</f>
        <v>-1.7555603557833643E-2</v>
      </c>
      <c r="I6" s="16">
        <f>+'GS&lt;50'!I63</f>
        <v>-0.33459999999998047</v>
      </c>
      <c r="J6" s="108">
        <f>+'GS&lt;50'!J63</f>
        <v>-3.144292976686754E-3</v>
      </c>
      <c r="K6" s="17">
        <f>+'GS&lt;50'!I77</f>
        <v>-0.35132999999996173</v>
      </c>
      <c r="L6" s="342">
        <f>+'GS&lt;50'!J77</f>
        <v>-1.1970557722807947E-3</v>
      </c>
      <c r="N6" s="343" t="s">
        <v>70</v>
      </c>
      <c r="O6" s="344" t="s">
        <v>70</v>
      </c>
    </row>
    <row r="7" spans="1:15" ht="24.75" customHeight="1" x14ac:dyDescent="0.2">
      <c r="A7" s="13" t="s">
        <v>28</v>
      </c>
      <c r="B7" s="14">
        <f>+'GS&gt;50 '!C43</f>
        <v>40000</v>
      </c>
      <c r="C7" s="14">
        <f>+'GS&gt;50 '!E43</f>
        <v>100</v>
      </c>
      <c r="D7" s="18" t="s">
        <v>26</v>
      </c>
      <c r="E7" s="16">
        <f>'GS&gt;50 '!I53</f>
        <v>52.67999999999995</v>
      </c>
      <c r="F7" s="108">
        <f>'GS&gt;50 '!J53</f>
        <v>9.1897078063671964E-2</v>
      </c>
      <c r="G7" s="16">
        <f>+'GS&gt;50 '!I59</f>
        <v>52.67999999999995</v>
      </c>
      <c r="H7" s="108">
        <f>+'GS&gt;50 '!J59</f>
        <v>6.520550875150008E-2</v>
      </c>
      <c r="I7" s="16">
        <f>+'GS&gt;50 '!I62</f>
        <v>71.329999999999927</v>
      </c>
      <c r="J7" s="108">
        <f>+'GS&gt;50 '!J62</f>
        <v>5.3767525891781048E-2</v>
      </c>
      <c r="K7" s="17">
        <f>+'GS&gt;50 '!I73</f>
        <v>80.602899999999863</v>
      </c>
      <c r="L7" s="342">
        <f>+'GS&gt;50 '!J73</f>
        <v>1.197219938819424E-2</v>
      </c>
      <c r="M7" s="233"/>
      <c r="N7" s="343" t="s">
        <v>70</v>
      </c>
      <c r="O7" s="344" t="s">
        <v>70</v>
      </c>
    </row>
    <row r="8" spans="1:15" ht="24.75" customHeight="1" x14ac:dyDescent="0.2">
      <c r="A8" s="19" t="s">
        <v>29</v>
      </c>
      <c r="B8" s="14">
        <f>+USL!C38</f>
        <v>500</v>
      </c>
      <c r="C8" s="14"/>
      <c r="D8" s="15" t="s">
        <v>38</v>
      </c>
      <c r="E8" s="16">
        <f>USL!I47</f>
        <v>0.73999999999999844</v>
      </c>
      <c r="F8" s="109">
        <f>USL!J47</f>
        <v>2.9564522572912443E-2</v>
      </c>
      <c r="G8" s="16">
        <f>+USL!I52</f>
        <v>0.73999999999999844</v>
      </c>
      <c r="H8" s="109">
        <f>+USL!J52</f>
        <v>2.7178004914077042E-2</v>
      </c>
      <c r="I8" s="16">
        <f>+USL!I55</f>
        <v>1.0013500000000022</v>
      </c>
      <c r="J8" s="108">
        <f>+USL!J55</f>
        <v>2.9296535001218618E-2</v>
      </c>
      <c r="K8" s="17">
        <f>+USL!I68</f>
        <v>1.0514174999999994</v>
      </c>
      <c r="L8" s="342">
        <f>+USL!J68</f>
        <v>1.3356971756344068E-2</v>
      </c>
      <c r="M8" s="233"/>
      <c r="N8" s="343"/>
      <c r="O8" s="344"/>
    </row>
    <row r="9" spans="1:15" ht="24.75" customHeight="1" x14ac:dyDescent="0.2">
      <c r="A9" s="13" t="s">
        <v>22</v>
      </c>
      <c r="B9" s="14">
        <f>+'SL '!C34</f>
        <v>150</v>
      </c>
      <c r="C9" s="14">
        <f>+'SL '!E34</f>
        <v>1</v>
      </c>
      <c r="D9" s="15" t="s">
        <v>38</v>
      </c>
      <c r="E9" s="16">
        <f>'SL '!I41</f>
        <v>0.18990000000000151</v>
      </c>
      <c r="F9" s="108">
        <f>'SL '!J41</f>
        <v>8.9056256917219197E-3</v>
      </c>
      <c r="G9" s="16">
        <f>+'SL '!I44</f>
        <v>0.18990000000000151</v>
      </c>
      <c r="H9" s="108">
        <f>+'SL '!J44</f>
        <v>8.6918830445117563E-3</v>
      </c>
      <c r="I9" s="16">
        <f>+'SL '!I47</f>
        <v>0.33260000000000289</v>
      </c>
      <c r="J9" s="108">
        <f>+'SL '!J47</f>
        <v>1.2863417654596077E-2</v>
      </c>
      <c r="K9" s="17">
        <f>+'SL '!I59</f>
        <v>0.37583800000000878</v>
      </c>
      <c r="L9" s="342">
        <f>+'SL '!J59</f>
        <v>8.6913736339735339E-3</v>
      </c>
      <c r="M9" s="233"/>
      <c r="N9" s="343"/>
      <c r="O9" s="344"/>
    </row>
    <row r="10" spans="1:15" ht="24.75" customHeight="1" x14ac:dyDescent="0.2">
      <c r="A10" s="13" t="s">
        <v>30</v>
      </c>
      <c r="B10" s="14">
        <f>+'ST '!C41</f>
        <v>283400</v>
      </c>
      <c r="C10" s="14">
        <f>+'ST '!E41</f>
        <v>736</v>
      </c>
      <c r="D10" s="18" t="s">
        <v>26</v>
      </c>
      <c r="E10" s="16">
        <f>'ST '!I50</f>
        <v>2466.1200000000026</v>
      </c>
      <c r="F10" s="108">
        <f>'ST '!J50</f>
        <v>8.4510765284025513E-2</v>
      </c>
      <c r="G10" s="16">
        <f>+'ST '!I56</f>
        <v>2466.1200000000026</v>
      </c>
      <c r="H10" s="108">
        <f>+'ST '!J56</f>
        <v>8.0070679002525624E-2</v>
      </c>
      <c r="I10" s="16">
        <f>+'ST '!I59</f>
        <v>2570.2640000000029</v>
      </c>
      <c r="J10" s="108">
        <f>+'ST '!J59</f>
        <v>7.62406270319263E-2</v>
      </c>
      <c r="K10" s="17">
        <f>+'ST '!I70</f>
        <v>2904.3983200000075</v>
      </c>
      <c r="L10" s="342">
        <f>+'ST '!J70</f>
        <v>3.6934788786567092E-2</v>
      </c>
      <c r="M10" s="233"/>
      <c r="N10" s="343"/>
      <c r="O10" s="344"/>
    </row>
    <row r="11" spans="1:15" x14ac:dyDescent="0.2">
      <c r="B11" s="20"/>
      <c r="C11" s="20"/>
      <c r="D11" s="21"/>
      <c r="E11" s="21"/>
      <c r="F11" s="21"/>
    </row>
    <row r="12" spans="1:15" x14ac:dyDescent="0.2">
      <c r="A12" s="134" t="s">
        <v>31</v>
      </c>
      <c r="B12" s="114"/>
      <c r="C12" s="114"/>
      <c r="D12" s="112"/>
      <c r="E12" s="112"/>
      <c r="F12" s="112"/>
      <c r="G12" s="113"/>
      <c r="H12" s="113"/>
      <c r="I12" s="113"/>
      <c r="J12" s="113"/>
      <c r="K12" s="113"/>
      <c r="L12" s="113"/>
    </row>
    <row r="13" spans="1:15" x14ac:dyDescent="0.2">
      <c r="A13" s="135" t="s">
        <v>82</v>
      </c>
      <c r="B13" s="113"/>
      <c r="C13" s="113"/>
      <c r="D13" s="113"/>
      <c r="E13" s="113"/>
      <c r="F13" s="112"/>
      <c r="G13" s="113"/>
      <c r="H13" s="113"/>
      <c r="I13" s="113"/>
      <c r="J13" s="113"/>
      <c r="K13" s="113"/>
      <c r="L13" s="113"/>
    </row>
    <row r="14" spans="1:15" x14ac:dyDescent="0.2">
      <c r="A14" s="135" t="s">
        <v>108</v>
      </c>
      <c r="B14" s="113"/>
      <c r="C14" s="113"/>
      <c r="D14" s="113"/>
      <c r="E14" s="113"/>
      <c r="F14" s="113"/>
      <c r="G14" s="115"/>
      <c r="H14" s="113"/>
      <c r="I14" s="115"/>
      <c r="J14" s="113"/>
      <c r="K14" s="115"/>
      <c r="L14" s="113"/>
    </row>
    <row r="15" spans="1:15" s="118" customFormat="1" x14ac:dyDescent="0.2">
      <c r="A15" s="346" t="s">
        <v>115</v>
      </c>
      <c r="B15" s="347"/>
      <c r="C15" s="347"/>
      <c r="D15" s="347"/>
      <c r="E15" s="347"/>
      <c r="F15" s="347"/>
      <c r="G15" s="347"/>
      <c r="H15" s="347"/>
      <c r="I15" s="347"/>
      <c r="J15" s="347"/>
      <c r="K15" s="347"/>
      <c r="L15" s="347"/>
    </row>
    <row r="16" spans="1:15" x14ac:dyDescent="0.2">
      <c r="A16" s="136" t="s">
        <v>84</v>
      </c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</row>
    <row r="17" spans="1:12" x14ac:dyDescent="0.2">
      <c r="A17" s="135" t="s">
        <v>116</v>
      </c>
      <c r="B17" s="113"/>
      <c r="C17" s="113"/>
      <c r="D17" s="113"/>
      <c r="E17" s="113"/>
      <c r="F17" s="113"/>
      <c r="G17" s="113"/>
      <c r="H17" s="113"/>
      <c r="I17" s="113"/>
      <c r="J17" s="113"/>
      <c r="K17" s="113"/>
      <c r="L17" s="113"/>
    </row>
    <row r="18" spans="1:12" x14ac:dyDescent="0.2">
      <c r="A18" s="135" t="s">
        <v>110</v>
      </c>
      <c r="B18" s="113"/>
      <c r="C18" s="113"/>
      <c r="D18" s="113"/>
      <c r="E18" s="113"/>
      <c r="F18" s="113"/>
      <c r="G18" s="113"/>
      <c r="H18" s="113"/>
      <c r="I18" s="113"/>
      <c r="J18" s="113"/>
      <c r="K18" s="113"/>
      <c r="L18" s="113"/>
    </row>
    <row r="19" spans="1:12" x14ac:dyDescent="0.2">
      <c r="A19" s="113" t="s">
        <v>109</v>
      </c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3"/>
    </row>
    <row r="20" spans="1:12" x14ac:dyDescent="0.2">
      <c r="A20" s="135" t="s">
        <v>85</v>
      </c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13"/>
    </row>
    <row r="21" spans="1:12" x14ac:dyDescent="0.2">
      <c r="A21" s="113" t="s">
        <v>112</v>
      </c>
      <c r="B21" s="113"/>
      <c r="C21" s="113"/>
      <c r="D21" s="113"/>
      <c r="E21" s="113"/>
      <c r="F21" s="113"/>
      <c r="G21" s="113"/>
      <c r="H21" s="113"/>
      <c r="I21" s="113"/>
      <c r="J21" s="113"/>
      <c r="K21" s="113"/>
      <c r="L21" s="113"/>
    </row>
    <row r="22" spans="1:12" x14ac:dyDescent="0.2">
      <c r="A22" s="113" t="s">
        <v>111</v>
      </c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3"/>
    </row>
    <row r="24" spans="1:12" s="234" customFormat="1" ht="11.25" x14ac:dyDescent="0.2">
      <c r="A24" s="234" t="s">
        <v>70</v>
      </c>
    </row>
  </sheetData>
  <mergeCells count="7">
    <mergeCell ref="A15:L15"/>
    <mergeCell ref="G3:H3"/>
    <mergeCell ref="I3:J3"/>
    <mergeCell ref="K3:L3"/>
    <mergeCell ref="A3:A4"/>
    <mergeCell ref="D3:D4"/>
    <mergeCell ref="E3:F3"/>
  </mergeCells>
  <phoneticPr fontId="6" type="noConversion"/>
  <pageMargins left="0.25" right="0.25" top="0.75" bottom="0.75" header="0.3" footer="0.3"/>
  <pageSetup scale="91" orientation="landscape" r:id="rId1"/>
  <headerFooter alignWithMargins="0">
    <oddFooter>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S78"/>
  <sheetViews>
    <sheetView showGridLines="0" tabSelected="1" topLeftCell="A39" zoomScale="90" workbookViewId="0">
      <selection activeCell="J62" sqref="J62"/>
    </sheetView>
  </sheetViews>
  <sheetFormatPr defaultRowHeight="12.75" x14ac:dyDescent="0.2"/>
  <cols>
    <col min="1" max="1" width="2.28515625" customWidth="1"/>
    <col min="2" max="2" width="44.42578125" customWidth="1"/>
    <col min="3" max="3" width="11" style="259" customWidth="1"/>
    <col min="4" max="4" width="11.140625" style="259" customWidth="1"/>
    <col min="5" max="5" width="13" customWidth="1"/>
    <col min="6" max="6" width="12.42578125" customWidth="1"/>
    <col min="7" max="7" width="9.85546875" bestFit="1" customWidth="1"/>
    <col min="8" max="8" width="13.140625" customWidth="1"/>
    <col min="9" max="9" width="10.7109375" bestFit="1" customWidth="1"/>
    <col min="10" max="10" width="11.140625" bestFit="1" customWidth="1"/>
    <col min="11" max="13" width="13.140625" customWidth="1"/>
    <col min="16" max="16" width="9.85546875" bestFit="1" customWidth="1"/>
    <col min="17" max="17" width="12.28515625" customWidth="1"/>
    <col min="19" max="19" width="9.85546875" bestFit="1" customWidth="1"/>
  </cols>
  <sheetData>
    <row r="1" spans="2:13" hidden="1" x14ac:dyDescent="0.2"/>
    <row r="2" spans="2:13" hidden="1" x14ac:dyDescent="0.2"/>
    <row r="3" spans="2:13" hidden="1" x14ac:dyDescent="0.2"/>
    <row r="4" spans="2:13" hidden="1" x14ac:dyDescent="0.2"/>
    <row r="5" spans="2:13" hidden="1" x14ac:dyDescent="0.2"/>
    <row r="6" spans="2:13" hidden="1" x14ac:dyDescent="0.2"/>
    <row r="7" spans="2:13" hidden="1" x14ac:dyDescent="0.2"/>
    <row r="8" spans="2:13" hidden="1" x14ac:dyDescent="0.2">
      <c r="E8" s="129"/>
      <c r="F8" s="118"/>
      <c r="G8" s="118"/>
      <c r="H8" s="118"/>
      <c r="I8" s="118"/>
      <c r="J8" s="118"/>
    </row>
    <row r="9" spans="2:13" ht="18" x14ac:dyDescent="0.25">
      <c r="B9" s="1" t="s">
        <v>19</v>
      </c>
      <c r="C9" s="278"/>
      <c r="D9" s="260"/>
      <c r="E9" s="127" t="s">
        <v>73</v>
      </c>
      <c r="F9" s="124" t="s">
        <v>74</v>
      </c>
      <c r="G9" s="2"/>
      <c r="H9" s="2"/>
      <c r="I9" s="2"/>
      <c r="J9" s="2"/>
      <c r="K9" s="2"/>
      <c r="L9" s="2"/>
      <c r="M9" s="2"/>
    </row>
    <row r="10" spans="2:13" x14ac:dyDescent="0.2">
      <c r="B10" s="2"/>
      <c r="C10" s="260"/>
      <c r="D10" s="260"/>
      <c r="E10" s="2"/>
      <c r="F10" s="2"/>
      <c r="G10" s="2"/>
      <c r="H10" s="2"/>
      <c r="I10" s="2"/>
      <c r="J10" s="2"/>
      <c r="K10" s="2"/>
      <c r="L10" s="2"/>
      <c r="M10" s="2"/>
    </row>
    <row r="11" spans="2:13" ht="18" x14ac:dyDescent="0.25">
      <c r="B11" s="353" t="s">
        <v>66</v>
      </c>
      <c r="C11" s="353"/>
      <c r="D11" s="353"/>
      <c r="E11" s="353"/>
      <c r="F11" s="3"/>
      <c r="G11" s="3"/>
      <c r="H11" s="2"/>
      <c r="I11" s="2"/>
      <c r="J11" s="2"/>
      <c r="K11" s="2"/>
      <c r="L11" s="2"/>
      <c r="M11" s="2"/>
    </row>
    <row r="12" spans="2:13" ht="13.5" thickBot="1" x14ac:dyDescent="0.25">
      <c r="B12" s="2"/>
      <c r="C12" s="126">
        <v>2019</v>
      </c>
      <c r="D12" s="126">
        <v>2020</v>
      </c>
      <c r="F12" s="2"/>
      <c r="G12" s="2"/>
      <c r="H12" s="2"/>
      <c r="I12" s="2"/>
      <c r="J12" s="2"/>
      <c r="K12" s="2"/>
      <c r="L12" s="2"/>
      <c r="M12" s="2"/>
    </row>
    <row r="13" spans="2:13" ht="26.25" thickBot="1" x14ac:dyDescent="0.25">
      <c r="B13" s="4" t="s">
        <v>1</v>
      </c>
      <c r="C13" s="81" t="s">
        <v>2</v>
      </c>
      <c r="D13" s="261" t="s">
        <v>41</v>
      </c>
      <c r="E13" s="2"/>
      <c r="F13" s="2"/>
      <c r="G13" s="2"/>
      <c r="H13" s="2"/>
      <c r="I13" s="2"/>
      <c r="J13" s="2"/>
      <c r="K13" s="2"/>
      <c r="L13" s="2"/>
      <c r="M13" s="2"/>
    </row>
    <row r="14" spans="2:13" x14ac:dyDescent="0.2">
      <c r="B14" s="123" t="s">
        <v>3</v>
      </c>
      <c r="C14" s="301">
        <v>31.58</v>
      </c>
      <c r="D14" s="301">
        <v>31.86</v>
      </c>
      <c r="E14" s="125" t="s">
        <v>72</v>
      </c>
      <c r="F14" s="8" t="s">
        <v>70</v>
      </c>
      <c r="G14" s="8"/>
      <c r="H14" s="8"/>
      <c r="I14" s="218" t="s">
        <v>70</v>
      </c>
      <c r="J14" s="8"/>
      <c r="K14" s="8"/>
      <c r="L14" s="2"/>
      <c r="M14" s="2"/>
    </row>
    <row r="15" spans="2:13" x14ac:dyDescent="0.2">
      <c r="B15" s="300" t="s">
        <v>39</v>
      </c>
      <c r="C15" s="304">
        <v>0.56999999999999995</v>
      </c>
      <c r="D15" s="304">
        <v>0.56999999999999995</v>
      </c>
      <c r="E15" s="132" t="s">
        <v>72</v>
      </c>
      <c r="F15" s="2" t="s">
        <v>70</v>
      </c>
      <c r="G15" s="2"/>
      <c r="H15" s="2"/>
      <c r="I15" s="218" t="s">
        <v>70</v>
      </c>
      <c r="J15" s="2"/>
      <c r="K15" s="2"/>
      <c r="L15" s="2"/>
      <c r="M15" s="2"/>
    </row>
    <row r="16" spans="2:13" ht="15" customHeight="1" x14ac:dyDescent="0.2">
      <c r="B16" s="258" t="s">
        <v>95</v>
      </c>
      <c r="C16" s="305">
        <v>0.6</v>
      </c>
      <c r="D16" s="305"/>
      <c r="E16" s="132" t="s">
        <v>72</v>
      </c>
      <c r="F16" s="2"/>
      <c r="G16" s="227"/>
      <c r="H16" s="212"/>
      <c r="I16" s="2"/>
      <c r="J16" s="124"/>
      <c r="K16" s="2"/>
      <c r="L16" s="2"/>
      <c r="M16" s="2"/>
    </row>
    <row r="17" spans="2:13" ht="15" customHeight="1" x14ac:dyDescent="0.2">
      <c r="B17" s="296"/>
      <c r="C17" s="306">
        <v>0</v>
      </c>
      <c r="D17" s="306">
        <v>0</v>
      </c>
      <c r="E17" s="132" t="s">
        <v>72</v>
      </c>
      <c r="F17" s="2"/>
      <c r="G17" s="227"/>
      <c r="H17" s="227"/>
      <c r="I17" s="2"/>
      <c r="J17" s="124"/>
      <c r="K17" s="2"/>
      <c r="L17" s="2"/>
      <c r="M17" s="2"/>
    </row>
    <row r="18" spans="2:13" x14ac:dyDescent="0.2">
      <c r="B18" s="6"/>
      <c r="C18" s="299">
        <v>0</v>
      </c>
      <c r="D18" s="299">
        <v>0</v>
      </c>
      <c r="E18" s="132" t="s">
        <v>12</v>
      </c>
      <c r="F18" s="2" t="s">
        <v>70</v>
      </c>
      <c r="G18" s="2"/>
      <c r="H18" s="2"/>
      <c r="I18" s="219" t="s">
        <v>70</v>
      </c>
      <c r="J18" s="2"/>
      <c r="K18" s="2"/>
      <c r="L18" s="2"/>
      <c r="M18" s="2"/>
    </row>
    <row r="19" spans="2:13" ht="15" customHeight="1" x14ac:dyDescent="0.2">
      <c r="B19" s="258" t="s">
        <v>96</v>
      </c>
      <c r="C19" s="307">
        <v>1E-3</v>
      </c>
      <c r="D19" s="307">
        <v>1E-3</v>
      </c>
      <c r="E19" s="132" t="s">
        <v>12</v>
      </c>
      <c r="F19" s="2"/>
      <c r="G19" s="228"/>
      <c r="H19" s="228"/>
      <c r="I19" s="2"/>
      <c r="J19" s="124"/>
      <c r="K19" s="2"/>
      <c r="L19" s="2"/>
      <c r="M19" s="2"/>
    </row>
    <row r="20" spans="2:13" x14ac:dyDescent="0.2">
      <c r="B20" s="6" t="s">
        <v>83</v>
      </c>
      <c r="C20" s="147">
        <v>5.0000000000000001E-4</v>
      </c>
      <c r="D20" s="147">
        <v>5.9999999999999995E-4</v>
      </c>
      <c r="E20" s="132" t="s">
        <v>12</v>
      </c>
      <c r="F20" s="2"/>
      <c r="G20" s="2"/>
      <c r="H20" s="2"/>
      <c r="I20" s="219" t="s">
        <v>70</v>
      </c>
      <c r="J20" s="2"/>
      <c r="K20" s="2"/>
      <c r="L20" s="2"/>
      <c r="M20" s="2"/>
    </row>
    <row r="21" spans="2:13" x14ac:dyDescent="0.2">
      <c r="B21" s="6" t="s">
        <v>107</v>
      </c>
      <c r="C21" s="302">
        <v>-0.74</v>
      </c>
      <c r="D21" s="302"/>
      <c r="E21" s="132" t="s">
        <v>72</v>
      </c>
      <c r="F21" s="2"/>
      <c r="G21" s="2"/>
      <c r="H21" s="2"/>
      <c r="I21" s="219"/>
      <c r="J21" s="2"/>
      <c r="K21" s="2"/>
      <c r="L21" s="2"/>
      <c r="M21" s="2"/>
    </row>
    <row r="22" spans="2:13" x14ac:dyDescent="0.2">
      <c r="B22" s="6"/>
      <c r="C22" s="147">
        <v>0</v>
      </c>
      <c r="D22" s="147">
        <v>0</v>
      </c>
      <c r="E22" s="132" t="s">
        <v>12</v>
      </c>
      <c r="F22" s="2"/>
      <c r="G22" s="2"/>
      <c r="H22" s="2"/>
      <c r="I22" s="219" t="s">
        <v>70</v>
      </c>
      <c r="J22" s="2"/>
      <c r="K22" s="2"/>
      <c r="L22" s="2"/>
      <c r="M22" s="2"/>
    </row>
    <row r="23" spans="2:13" x14ac:dyDescent="0.2">
      <c r="B23" s="6"/>
      <c r="C23" s="147">
        <v>0</v>
      </c>
      <c r="D23" s="147">
        <v>0</v>
      </c>
      <c r="E23" s="132" t="s">
        <v>12</v>
      </c>
      <c r="F23" s="2" t="s">
        <v>70</v>
      </c>
      <c r="G23" s="2"/>
      <c r="H23" s="2"/>
      <c r="I23" s="219" t="s">
        <v>70</v>
      </c>
      <c r="J23" s="2"/>
      <c r="K23" s="2"/>
      <c r="L23" s="2"/>
      <c r="M23" s="2"/>
    </row>
    <row r="24" spans="2:13" x14ac:dyDescent="0.2">
      <c r="B24" s="6"/>
      <c r="C24" s="147">
        <v>0</v>
      </c>
      <c r="D24" s="147">
        <v>0</v>
      </c>
      <c r="E24" s="132" t="s">
        <v>12</v>
      </c>
      <c r="F24" s="8" t="s">
        <v>70</v>
      </c>
      <c r="G24" s="8"/>
      <c r="H24" s="2"/>
      <c r="I24" s="219" t="s">
        <v>70</v>
      </c>
      <c r="J24" s="2"/>
      <c r="K24" s="2"/>
      <c r="L24" s="2"/>
      <c r="M24" s="2"/>
    </row>
    <row r="25" spans="2:13" x14ac:dyDescent="0.2">
      <c r="B25" s="83"/>
      <c r="C25" s="147">
        <v>0</v>
      </c>
      <c r="D25" s="147">
        <v>0</v>
      </c>
      <c r="E25" s="132" t="s">
        <v>12</v>
      </c>
      <c r="F25" s="8" t="s">
        <v>70</v>
      </c>
      <c r="G25" s="8"/>
      <c r="H25" s="2"/>
      <c r="I25" s="219" t="s">
        <v>70</v>
      </c>
      <c r="J25" s="2"/>
      <c r="K25" s="2"/>
      <c r="L25" s="2"/>
      <c r="M25" s="2"/>
    </row>
    <row r="26" spans="2:13" x14ac:dyDescent="0.2">
      <c r="B26" s="6" t="s">
        <v>5</v>
      </c>
      <c r="C26" s="299">
        <v>7.6E-3</v>
      </c>
      <c r="D26" s="299">
        <v>8.0000000000000002E-3</v>
      </c>
      <c r="E26" s="132" t="s">
        <v>12</v>
      </c>
      <c r="F26" s="8" t="s">
        <v>70</v>
      </c>
      <c r="G26" s="2"/>
      <c r="H26" s="2"/>
      <c r="I26" s="219" t="s">
        <v>70</v>
      </c>
      <c r="J26" s="2"/>
      <c r="K26" s="2"/>
      <c r="L26" s="2"/>
      <c r="M26" s="2"/>
    </row>
    <row r="27" spans="2:13" ht="30" customHeight="1" x14ac:dyDescent="0.2">
      <c r="B27" s="6" t="s">
        <v>6</v>
      </c>
      <c r="C27" s="299">
        <v>6.8999999999999999E-3</v>
      </c>
      <c r="D27" s="299">
        <v>7.0000000000000001E-3</v>
      </c>
      <c r="E27" s="132" t="s">
        <v>12</v>
      </c>
      <c r="F27" s="8" t="s">
        <v>70</v>
      </c>
      <c r="G27" s="2"/>
      <c r="H27" s="2"/>
      <c r="I27" s="219" t="s">
        <v>70</v>
      </c>
      <c r="J27" s="2"/>
      <c r="K27" s="2"/>
      <c r="L27" s="2"/>
      <c r="M27" s="2"/>
    </row>
    <row r="28" spans="2:13" x14ac:dyDescent="0.2">
      <c r="B28" s="6" t="s">
        <v>7</v>
      </c>
      <c r="C28" s="147">
        <v>3.0000000000000001E-3</v>
      </c>
      <c r="D28" s="147">
        <v>3.0000000000000001E-3</v>
      </c>
      <c r="E28" s="132" t="s">
        <v>12</v>
      </c>
      <c r="F28" s="2"/>
      <c r="G28" s="2"/>
      <c r="H28" s="2"/>
      <c r="I28" s="119" t="s">
        <v>70</v>
      </c>
      <c r="J28" s="2"/>
      <c r="K28" s="2"/>
      <c r="L28" s="2"/>
      <c r="M28" s="2"/>
    </row>
    <row r="29" spans="2:13" x14ac:dyDescent="0.2">
      <c r="B29" s="6" t="s">
        <v>87</v>
      </c>
      <c r="C29" s="147">
        <v>4.0000000000000002E-4</v>
      </c>
      <c r="D29" s="147">
        <v>4.0000000000000002E-4</v>
      </c>
      <c r="E29" s="132" t="s">
        <v>12</v>
      </c>
      <c r="F29" s="2"/>
      <c r="G29" s="2"/>
      <c r="H29" s="2"/>
      <c r="I29" s="119" t="s">
        <v>70</v>
      </c>
      <c r="J29" s="2"/>
      <c r="K29" s="2"/>
      <c r="L29" s="2"/>
      <c r="M29" s="2"/>
    </row>
    <row r="30" spans="2:13" x14ac:dyDescent="0.2">
      <c r="B30" s="6" t="s">
        <v>88</v>
      </c>
      <c r="C30" s="147">
        <v>5.0000000000000001E-4</v>
      </c>
      <c r="D30" s="147">
        <v>5.0000000000000001E-4</v>
      </c>
      <c r="E30" s="132" t="s">
        <v>12</v>
      </c>
      <c r="F30" s="2"/>
      <c r="G30" s="2"/>
      <c r="H30" s="2"/>
      <c r="I30" s="119" t="s">
        <v>70</v>
      </c>
      <c r="J30" s="2"/>
      <c r="K30" s="2"/>
      <c r="L30" s="2"/>
      <c r="M30" s="2"/>
    </row>
    <row r="31" spans="2:13" ht="23.25" customHeight="1" x14ac:dyDescent="0.2">
      <c r="B31" s="6" t="s">
        <v>9</v>
      </c>
      <c r="C31" s="303">
        <v>0.25</v>
      </c>
      <c r="D31" s="303">
        <v>0.25</v>
      </c>
      <c r="E31" s="132" t="s">
        <v>72</v>
      </c>
      <c r="F31" s="2"/>
      <c r="G31" s="2"/>
      <c r="H31" s="2"/>
      <c r="I31" s="220" t="s">
        <v>70</v>
      </c>
      <c r="J31" s="2"/>
      <c r="K31" s="2"/>
      <c r="L31" s="2"/>
      <c r="M31" s="2"/>
    </row>
    <row r="32" spans="2:13" ht="13.5" thickBot="1" x14ac:dyDescent="0.25">
      <c r="B32" s="7" t="s">
        <v>10</v>
      </c>
      <c r="C32" s="308">
        <v>1.0454000000000001</v>
      </c>
      <c r="D32" s="308">
        <v>1.0454000000000001</v>
      </c>
      <c r="E32" s="132" t="s">
        <v>64</v>
      </c>
      <c r="F32" s="2"/>
      <c r="G32" s="2"/>
      <c r="H32" s="2"/>
      <c r="I32" s="119" t="s">
        <v>70</v>
      </c>
      <c r="J32" s="2"/>
      <c r="K32" s="2"/>
      <c r="L32" s="2"/>
      <c r="M32" s="2"/>
    </row>
    <row r="33" spans="1:17" x14ac:dyDescent="0.2">
      <c r="B33" s="82"/>
      <c r="C33" s="260"/>
      <c r="D33" s="260"/>
      <c r="F33" s="2"/>
      <c r="G33" s="2"/>
      <c r="H33" s="2"/>
      <c r="I33" s="2"/>
      <c r="J33" s="124"/>
      <c r="K33" s="2"/>
      <c r="L33" s="2"/>
      <c r="M33" s="2"/>
    </row>
    <row r="34" spans="1:17" x14ac:dyDescent="0.2">
      <c r="B34" s="82"/>
      <c r="C34" s="260"/>
      <c r="D34" s="260"/>
      <c r="E34" s="75"/>
      <c r="F34" s="2"/>
      <c r="G34" s="2"/>
      <c r="H34" s="2"/>
      <c r="I34" s="2"/>
      <c r="J34" s="124"/>
      <c r="K34" s="2"/>
      <c r="L34" s="2"/>
      <c r="M34" s="2"/>
    </row>
    <row r="35" spans="1:17" x14ac:dyDescent="0.2">
      <c r="B35" s="82"/>
      <c r="C35" s="260"/>
      <c r="D35" s="260"/>
      <c r="E35" s="75"/>
      <c r="F35" s="2"/>
      <c r="G35" s="2"/>
      <c r="H35" s="2"/>
      <c r="I35" s="2"/>
      <c r="J35" s="124"/>
      <c r="K35" s="2"/>
      <c r="L35" s="2"/>
      <c r="M35" s="2"/>
    </row>
    <row r="36" spans="1:17" x14ac:dyDescent="0.2">
      <c r="B36" s="82" t="s">
        <v>32</v>
      </c>
      <c r="C36" s="214">
        <v>7.6999999999999999E-2</v>
      </c>
      <c r="D36" s="214">
        <v>7.6999999999999999E-2</v>
      </c>
      <c r="E36" s="76"/>
      <c r="F36" s="2"/>
      <c r="G36" s="2"/>
      <c r="H36" s="2"/>
      <c r="I36" s="2"/>
      <c r="J36" s="140"/>
      <c r="K36" s="2"/>
      <c r="L36" s="2"/>
      <c r="M36" s="2"/>
    </row>
    <row r="37" spans="1:17" x14ac:dyDescent="0.2">
      <c r="B37" s="82" t="s">
        <v>33</v>
      </c>
      <c r="C37" s="214">
        <v>8.8999999999999996E-2</v>
      </c>
      <c r="D37" s="214">
        <v>8.8999999999999996E-2</v>
      </c>
      <c r="E37" s="76"/>
      <c r="F37" s="2"/>
      <c r="G37" s="2"/>
      <c r="H37" s="2"/>
      <c r="I37" s="2"/>
      <c r="J37" s="2"/>
      <c r="K37" s="2"/>
      <c r="L37" s="2"/>
      <c r="M37" s="2"/>
    </row>
    <row r="38" spans="1:17" x14ac:dyDescent="0.2">
      <c r="B38" s="82" t="s">
        <v>34</v>
      </c>
      <c r="C38" s="214">
        <v>6.5000000000000002E-2</v>
      </c>
      <c r="D38" s="214">
        <v>6.5000000000000002E-2</v>
      </c>
      <c r="E38" s="76">
        <v>0.65</v>
      </c>
      <c r="F38" s="77">
        <f>C38*E38</f>
        <v>4.2250000000000003E-2</v>
      </c>
      <c r="G38" s="2"/>
      <c r="H38" s="2"/>
      <c r="I38" s="2"/>
      <c r="J38" s="2"/>
      <c r="K38" s="2"/>
      <c r="L38" s="2"/>
      <c r="M38" s="2"/>
    </row>
    <row r="39" spans="1:17" x14ac:dyDescent="0.2">
      <c r="B39" s="82" t="s">
        <v>35</v>
      </c>
      <c r="C39" s="214">
        <v>9.4E-2</v>
      </c>
      <c r="D39" s="214">
        <v>9.4E-2</v>
      </c>
      <c r="E39" s="76">
        <v>0.17</v>
      </c>
      <c r="F39" s="77">
        <f>C39*E39</f>
        <v>1.5980000000000001E-2</v>
      </c>
      <c r="G39" s="2"/>
      <c r="H39" s="2"/>
      <c r="I39" s="2"/>
      <c r="J39" s="2"/>
      <c r="K39" s="2"/>
      <c r="L39" s="2"/>
      <c r="M39" s="2"/>
    </row>
    <row r="40" spans="1:17" x14ac:dyDescent="0.2">
      <c r="B40" s="82" t="s">
        <v>36</v>
      </c>
      <c r="C40" s="214">
        <v>0.13400000000000001</v>
      </c>
      <c r="D40" s="214">
        <v>0.13400000000000001</v>
      </c>
      <c r="E40" s="76">
        <v>0.18</v>
      </c>
      <c r="F40" s="77">
        <f>C40*E40</f>
        <v>2.4119999999999999E-2</v>
      </c>
      <c r="G40" s="2"/>
      <c r="H40" s="2"/>
      <c r="I40" s="2"/>
      <c r="J40" s="2"/>
      <c r="K40" s="2"/>
      <c r="L40" s="2"/>
      <c r="M40" s="2"/>
    </row>
    <row r="41" spans="1:17" x14ac:dyDescent="0.2">
      <c r="B41" s="82"/>
      <c r="C41" s="260"/>
      <c r="D41" s="260"/>
      <c r="E41" s="2"/>
      <c r="F41" s="77"/>
      <c r="G41" s="2"/>
      <c r="H41" s="2"/>
      <c r="I41" s="2"/>
      <c r="J41" s="2"/>
      <c r="K41" s="2"/>
      <c r="L41" s="2"/>
      <c r="M41" s="2"/>
    </row>
    <row r="42" spans="1:17" ht="13.5" thickBot="1" x14ac:dyDescent="0.25">
      <c r="B42" s="82"/>
      <c r="C42" s="260"/>
      <c r="D42" s="260"/>
      <c r="E42" s="2"/>
      <c r="F42" s="2"/>
      <c r="G42" s="2"/>
      <c r="H42" s="2"/>
      <c r="I42" s="2"/>
      <c r="J42" s="2"/>
      <c r="K42" s="2"/>
      <c r="L42" s="2"/>
      <c r="M42" s="2"/>
    </row>
    <row r="43" spans="1:17" ht="13.5" thickBot="1" x14ac:dyDescent="0.25">
      <c r="B43" s="92" t="s">
        <v>11</v>
      </c>
      <c r="C43" s="95">
        <v>750</v>
      </c>
      <c r="D43" s="262" t="s">
        <v>12</v>
      </c>
      <c r="E43" s="253"/>
      <c r="F43" s="254" t="s">
        <v>70</v>
      </c>
      <c r="G43" s="97"/>
      <c r="H43" s="98" t="s">
        <v>14</v>
      </c>
      <c r="I43" s="99"/>
      <c r="J43" s="100">
        <f>C32</f>
        <v>1.0454000000000001</v>
      </c>
      <c r="K43" s="2"/>
      <c r="L43" s="2"/>
      <c r="M43" s="2"/>
    </row>
    <row r="44" spans="1:17" ht="13.5" thickBot="1" x14ac:dyDescent="0.25">
      <c r="B44" s="92" t="s">
        <v>15</v>
      </c>
      <c r="C44" s="101" t="s">
        <v>104</v>
      </c>
      <c r="D44" s="94" t="s">
        <v>70</v>
      </c>
      <c r="E44" s="255"/>
      <c r="F44" s="256"/>
      <c r="G44" s="97"/>
      <c r="H44" s="103" t="s">
        <v>16</v>
      </c>
      <c r="I44" s="104"/>
      <c r="J44" s="105">
        <f>D32</f>
        <v>1.0454000000000001</v>
      </c>
    </row>
    <row r="45" spans="1:17" x14ac:dyDescent="0.2">
      <c r="B45" s="84"/>
      <c r="C45" s="362" t="s">
        <v>40</v>
      </c>
      <c r="D45" s="363"/>
      <c r="E45" s="355"/>
      <c r="F45" s="354" t="s">
        <v>41</v>
      </c>
      <c r="G45" s="355"/>
      <c r="H45" s="356"/>
      <c r="I45" s="363" t="s">
        <v>42</v>
      </c>
      <c r="J45" s="364"/>
      <c r="K45" s="53"/>
      <c r="L45" s="116"/>
      <c r="M45" s="116"/>
      <c r="N45" s="53"/>
      <c r="O45" s="54"/>
      <c r="P45" s="359"/>
      <c r="Q45" s="359"/>
    </row>
    <row r="46" spans="1:17" x14ac:dyDescent="0.2">
      <c r="B46" s="357" t="str">
        <f>B11</f>
        <v>RESIDENTIAL (RPP TOU)</v>
      </c>
      <c r="C46" s="263" t="s">
        <v>43</v>
      </c>
      <c r="D46" s="263" t="s">
        <v>17</v>
      </c>
      <c r="E46" s="69" t="s">
        <v>44</v>
      </c>
      <c r="F46" s="64" t="s">
        <v>43</v>
      </c>
      <c r="G46" s="24" t="s">
        <v>17</v>
      </c>
      <c r="H46" s="70" t="s">
        <v>44</v>
      </c>
      <c r="I46" s="365" t="s">
        <v>24</v>
      </c>
      <c r="J46" s="365" t="s">
        <v>25</v>
      </c>
      <c r="K46" s="53"/>
      <c r="L46" s="116"/>
      <c r="M46" s="116"/>
      <c r="N46" s="53"/>
      <c r="O46" s="54"/>
      <c r="P46" s="360"/>
      <c r="Q46" s="360"/>
    </row>
    <row r="47" spans="1:17" x14ac:dyDescent="0.2">
      <c r="B47" s="358"/>
      <c r="C47" s="264" t="s">
        <v>45</v>
      </c>
      <c r="D47" s="264"/>
      <c r="E47" s="63" t="s">
        <v>45</v>
      </c>
      <c r="F47" s="65" t="s">
        <v>45</v>
      </c>
      <c r="G47" s="26"/>
      <c r="H47" s="66" t="s">
        <v>45</v>
      </c>
      <c r="I47" s="366"/>
      <c r="J47" s="366"/>
      <c r="K47" s="56"/>
      <c r="L47" s="56"/>
      <c r="M47" s="56"/>
      <c r="N47" s="56"/>
      <c r="O47" s="54"/>
      <c r="P47" s="361"/>
      <c r="Q47" s="361"/>
    </row>
    <row r="48" spans="1:17" ht="14.25" x14ac:dyDescent="0.2">
      <c r="A48" s="22" t="s">
        <v>70</v>
      </c>
      <c r="B48" s="85" t="s">
        <v>46</v>
      </c>
      <c r="C48" s="279">
        <f>C14</f>
        <v>31.58</v>
      </c>
      <c r="D48" s="265">
        <v>1</v>
      </c>
      <c r="E48" s="149">
        <f t="shared" ref="E48:E53" si="0">D48*C48</f>
        <v>31.58</v>
      </c>
      <c r="F48" s="150">
        <f>D14</f>
        <v>31.86</v>
      </c>
      <c r="G48" s="28">
        <v>1</v>
      </c>
      <c r="H48" s="151">
        <f>G48*F48</f>
        <v>31.86</v>
      </c>
      <c r="I48" s="152">
        <f t="shared" ref="I48:I67" si="1">H48-E48</f>
        <v>0.28000000000000114</v>
      </c>
      <c r="J48" s="322">
        <f t="shared" ref="J48:J76" si="2">IF((H48)=0,"",(I48/E48))</f>
        <v>8.8663711209626718E-3</v>
      </c>
      <c r="K48" s="46"/>
      <c r="L48" s="46"/>
      <c r="M48" s="46"/>
      <c r="N48" s="57"/>
      <c r="O48" s="46"/>
      <c r="P48" s="51"/>
      <c r="Q48" s="58"/>
    </row>
    <row r="49" spans="1:17" ht="14.25" x14ac:dyDescent="0.2">
      <c r="A49" s="22" t="s">
        <v>70</v>
      </c>
      <c r="B49" s="86" t="s">
        <v>4</v>
      </c>
      <c r="C49" s="280">
        <f>C18</f>
        <v>0</v>
      </c>
      <c r="D49" s="266">
        <f>C43</f>
        <v>750</v>
      </c>
      <c r="E49" s="197">
        <f t="shared" si="0"/>
        <v>0</v>
      </c>
      <c r="F49" s="252">
        <v>0</v>
      </c>
      <c r="G49" s="30">
        <f>+C43</f>
        <v>750</v>
      </c>
      <c r="H49" s="251">
        <v>0</v>
      </c>
      <c r="I49" s="193">
        <f t="shared" si="1"/>
        <v>0</v>
      </c>
      <c r="J49" s="323" t="str">
        <f t="shared" si="2"/>
        <v/>
      </c>
      <c r="K49" s="294" t="s">
        <v>70</v>
      </c>
      <c r="L49" s="48"/>
      <c r="M49" s="48"/>
      <c r="N49" s="59"/>
      <c r="O49" s="46"/>
      <c r="P49" s="51"/>
      <c r="Q49" s="58"/>
    </row>
    <row r="50" spans="1:17" ht="14.25" x14ac:dyDescent="0.2">
      <c r="B50" s="87" t="s">
        <v>99</v>
      </c>
      <c r="C50" s="290">
        <f>+C16</f>
        <v>0.6</v>
      </c>
      <c r="D50" s="266">
        <f>+D48</f>
        <v>1</v>
      </c>
      <c r="E50" s="197">
        <f t="shared" si="0"/>
        <v>0.6</v>
      </c>
      <c r="F50" s="291">
        <f>+D16</f>
        <v>0</v>
      </c>
      <c r="G50" s="30">
        <f>+G48</f>
        <v>1</v>
      </c>
      <c r="H50" s="251">
        <f t="shared" ref="H50:H53" si="3">G50*F50</f>
        <v>0</v>
      </c>
      <c r="I50" s="193">
        <f t="shared" si="1"/>
        <v>-0.6</v>
      </c>
      <c r="J50" s="323" t="str">
        <f t="shared" si="2"/>
        <v/>
      </c>
      <c r="K50" s="48"/>
      <c r="L50" s="48"/>
      <c r="M50" s="48"/>
      <c r="N50" s="59"/>
      <c r="O50" s="46"/>
      <c r="P50" s="51"/>
      <c r="Q50" s="58"/>
    </row>
    <row r="51" spans="1:17" ht="14.25" x14ac:dyDescent="0.2">
      <c r="B51" s="87" t="s">
        <v>97</v>
      </c>
      <c r="C51" s="290">
        <f>+C17</f>
        <v>0</v>
      </c>
      <c r="D51" s="269">
        <f>+D48</f>
        <v>1</v>
      </c>
      <c r="E51" s="197">
        <f t="shared" si="0"/>
        <v>0</v>
      </c>
      <c r="F51" s="250">
        <f>+D17</f>
        <v>0</v>
      </c>
      <c r="G51" s="34">
        <v>1</v>
      </c>
      <c r="H51" s="251">
        <f t="shared" si="3"/>
        <v>0</v>
      </c>
      <c r="I51" s="193">
        <f t="shared" ref="I51" si="4">H51-E51</f>
        <v>0</v>
      </c>
      <c r="J51" s="323" t="str">
        <f t="shared" si="2"/>
        <v/>
      </c>
      <c r="K51" s="46"/>
      <c r="L51" s="46"/>
      <c r="M51" s="46"/>
      <c r="N51" s="57"/>
      <c r="O51" s="46"/>
      <c r="P51" s="51"/>
      <c r="Q51" s="58"/>
    </row>
    <row r="52" spans="1:17" ht="14.25" x14ac:dyDescent="0.2">
      <c r="B52" s="87" t="s">
        <v>106</v>
      </c>
      <c r="C52" s="290">
        <f>+C21</f>
        <v>-0.74</v>
      </c>
      <c r="D52" s="269">
        <f>+D48</f>
        <v>1</v>
      </c>
      <c r="E52" s="197">
        <f>D52*C52</f>
        <v>-0.74</v>
      </c>
      <c r="F52" s="250">
        <f>+D21</f>
        <v>0</v>
      </c>
      <c r="G52" s="34">
        <v>1</v>
      </c>
      <c r="H52" s="251">
        <f t="shared" ref="H52" si="5">G52*F52</f>
        <v>0</v>
      </c>
      <c r="I52" s="193">
        <f t="shared" ref="I52" si="6">H52-E52</f>
        <v>0.74</v>
      </c>
      <c r="J52" s="323" t="str">
        <f t="shared" si="2"/>
        <v/>
      </c>
      <c r="K52" s="46"/>
      <c r="L52" s="46"/>
      <c r="M52" s="46"/>
      <c r="N52" s="57"/>
      <c r="O52" s="46"/>
      <c r="P52" s="51"/>
      <c r="Q52" s="58"/>
    </row>
    <row r="53" spans="1:17" ht="14.25" x14ac:dyDescent="0.2">
      <c r="B53" s="146" t="s">
        <v>91</v>
      </c>
      <c r="C53" s="281">
        <f>C20</f>
        <v>5.0000000000000001E-4</v>
      </c>
      <c r="D53" s="267">
        <f>C43</f>
        <v>750</v>
      </c>
      <c r="E53" s="157">
        <f t="shared" si="0"/>
        <v>0.375</v>
      </c>
      <c r="F53" s="209">
        <f>D20</f>
        <v>5.9999999999999995E-4</v>
      </c>
      <c r="G53" s="32">
        <f>+C43</f>
        <v>750</v>
      </c>
      <c r="H53" s="159">
        <f t="shared" si="3"/>
        <v>0.44999999999999996</v>
      </c>
      <c r="I53" s="152">
        <f t="shared" si="1"/>
        <v>7.4999999999999956E-2</v>
      </c>
      <c r="J53" s="322">
        <f t="shared" si="2"/>
        <v>0.19999999999999987</v>
      </c>
      <c r="K53" s="48"/>
      <c r="L53" s="240"/>
      <c r="M53" s="239"/>
      <c r="N53" s="59"/>
      <c r="O53" s="46"/>
      <c r="P53" s="51"/>
      <c r="Q53" s="58"/>
    </row>
    <row r="54" spans="1:17" ht="15" x14ac:dyDescent="0.2">
      <c r="B54" s="33" t="s">
        <v>47</v>
      </c>
      <c r="C54" s="282"/>
      <c r="D54" s="268"/>
      <c r="E54" s="161">
        <f>SUM(E48:E53)</f>
        <v>31.815000000000001</v>
      </c>
      <c r="F54" s="206"/>
      <c r="G54" s="74"/>
      <c r="H54" s="163">
        <f>SUM(H48:H53)</f>
        <v>32.31</v>
      </c>
      <c r="I54" s="164">
        <f t="shared" si="1"/>
        <v>0.49500000000000099</v>
      </c>
      <c r="J54" s="324">
        <f t="shared" si="2"/>
        <v>1.5558698727015589E-2</v>
      </c>
      <c r="K54" s="46"/>
      <c r="L54" s="117"/>
      <c r="M54" s="111"/>
      <c r="N54" s="59"/>
      <c r="O54" s="111"/>
      <c r="P54" s="49"/>
      <c r="Q54" s="50"/>
    </row>
    <row r="55" spans="1:17" ht="15.75" customHeight="1" x14ac:dyDescent="0.2">
      <c r="B55" s="87" t="s">
        <v>48</v>
      </c>
      <c r="C55" s="283">
        <f>C69*E38+C70*E39+C71*E40</f>
        <v>8.2350000000000007E-2</v>
      </c>
      <c r="D55" s="269">
        <f>$C43*($C32-1)</f>
        <v>34.050000000000082</v>
      </c>
      <c r="E55" s="149">
        <f>C55*D55</f>
        <v>2.8040175000000072</v>
      </c>
      <c r="F55" s="154">
        <f>C55</f>
        <v>8.2350000000000007E-2</v>
      </c>
      <c r="G55" s="34">
        <f>$C43*($C32-1)</f>
        <v>34.050000000000082</v>
      </c>
      <c r="H55" s="155">
        <f>F55*G55</f>
        <v>2.8040175000000072</v>
      </c>
      <c r="I55" s="152">
        <f t="shared" si="1"/>
        <v>0</v>
      </c>
      <c r="J55" s="322">
        <f t="shared" si="2"/>
        <v>0</v>
      </c>
      <c r="K55" s="60"/>
      <c r="L55" s="120"/>
      <c r="M55" s="60"/>
      <c r="N55" s="59"/>
      <c r="O55" s="46"/>
      <c r="P55" s="51"/>
      <c r="Q55" s="58"/>
    </row>
    <row r="56" spans="1:17" ht="14.25" x14ac:dyDescent="0.2">
      <c r="B56" s="87" t="s">
        <v>98</v>
      </c>
      <c r="C56" s="280">
        <f>+C19</f>
        <v>1E-3</v>
      </c>
      <c r="D56" s="269">
        <f>C43</f>
        <v>750</v>
      </c>
      <c r="E56" s="197">
        <f t="shared" ref="E56:E59" si="7">D56*C56</f>
        <v>0.75</v>
      </c>
      <c r="F56" s="204">
        <f>+D19</f>
        <v>1E-3</v>
      </c>
      <c r="G56" s="34">
        <f>+C43</f>
        <v>750</v>
      </c>
      <c r="H56" s="251">
        <f t="shared" ref="H56:H59" si="8">G56*F56</f>
        <v>0.75</v>
      </c>
      <c r="I56" s="193">
        <f t="shared" si="1"/>
        <v>0</v>
      </c>
      <c r="J56" s="323">
        <f t="shared" si="2"/>
        <v>0</v>
      </c>
      <c r="K56" s="60"/>
      <c r="L56" s="239"/>
      <c r="M56" s="60"/>
      <c r="N56" s="59"/>
      <c r="O56" s="46"/>
      <c r="P56" s="51"/>
      <c r="Q56" s="58"/>
    </row>
    <row r="57" spans="1:17" ht="14.25" x14ac:dyDescent="0.2">
      <c r="B57" s="87" t="s">
        <v>49</v>
      </c>
      <c r="C57" s="283">
        <f>+C23</f>
        <v>0</v>
      </c>
      <c r="D57" s="269">
        <f>C43</f>
        <v>750</v>
      </c>
      <c r="E57" s="149">
        <f t="shared" si="7"/>
        <v>0</v>
      </c>
      <c r="F57" s="154">
        <f>+D23</f>
        <v>0</v>
      </c>
      <c r="G57" s="34">
        <f>+C43</f>
        <v>750</v>
      </c>
      <c r="H57" s="155">
        <f t="shared" si="8"/>
        <v>0</v>
      </c>
      <c r="I57" s="152">
        <f t="shared" si="1"/>
        <v>0</v>
      </c>
      <c r="J57" s="322" t="str">
        <f t="shared" si="2"/>
        <v/>
      </c>
      <c r="K57" s="60"/>
      <c r="L57" s="60"/>
      <c r="M57" s="60"/>
      <c r="N57" s="59"/>
      <c r="O57" s="46"/>
      <c r="P57" s="51"/>
      <c r="Q57" s="58"/>
    </row>
    <row r="58" spans="1:17" ht="14.25" x14ac:dyDescent="0.2">
      <c r="B58" s="87" t="s">
        <v>90</v>
      </c>
      <c r="C58" s="283">
        <f>+C22</f>
        <v>0</v>
      </c>
      <c r="D58" s="269">
        <f>C43</f>
        <v>750</v>
      </c>
      <c r="E58" s="149">
        <f t="shared" si="7"/>
        <v>0</v>
      </c>
      <c r="F58" s="154">
        <f>D22</f>
        <v>0</v>
      </c>
      <c r="G58" s="34">
        <f>+C43</f>
        <v>750</v>
      </c>
      <c r="H58" s="155">
        <f t="shared" si="8"/>
        <v>0</v>
      </c>
      <c r="I58" s="152">
        <f t="shared" si="1"/>
        <v>0</v>
      </c>
      <c r="J58" s="322" t="str">
        <f t="shared" si="2"/>
        <v/>
      </c>
      <c r="K58" s="60"/>
      <c r="L58" s="238"/>
      <c r="M58" s="60"/>
      <c r="N58" s="59"/>
      <c r="O58" s="46"/>
      <c r="P58" s="51"/>
      <c r="Q58" s="58"/>
    </row>
    <row r="59" spans="1:17" ht="14.25" x14ac:dyDescent="0.2">
      <c r="B59" s="88" t="s">
        <v>50</v>
      </c>
      <c r="C59" s="284">
        <f>C15</f>
        <v>0.56999999999999995</v>
      </c>
      <c r="D59" s="269">
        <f>D48</f>
        <v>1</v>
      </c>
      <c r="E59" s="149">
        <f t="shared" si="7"/>
        <v>0.56999999999999995</v>
      </c>
      <c r="F59" s="194">
        <f>D15</f>
        <v>0.56999999999999995</v>
      </c>
      <c r="G59" s="34">
        <f>+G48</f>
        <v>1</v>
      </c>
      <c r="H59" s="155">
        <f t="shared" si="8"/>
        <v>0.56999999999999995</v>
      </c>
      <c r="I59" s="152">
        <f t="shared" si="1"/>
        <v>0</v>
      </c>
      <c r="J59" s="322">
        <f t="shared" si="2"/>
        <v>0</v>
      </c>
      <c r="K59" s="60"/>
      <c r="L59" s="60"/>
      <c r="M59" s="60"/>
      <c r="N59" s="59"/>
      <c r="O59" s="46"/>
      <c r="P59" s="51"/>
      <c r="Q59" s="58"/>
    </row>
    <row r="60" spans="1:17" ht="15" x14ac:dyDescent="0.2">
      <c r="B60" s="47" t="s">
        <v>51</v>
      </c>
      <c r="C60" s="270"/>
      <c r="D60" s="270"/>
      <c r="E60" s="166">
        <f>SUM(E55:E59)+E54</f>
        <v>35.939017500000006</v>
      </c>
      <c r="F60" s="167"/>
      <c r="G60" s="36"/>
      <c r="H60" s="169">
        <f>SUM(H55:H59)+H54</f>
        <v>36.43401750000001</v>
      </c>
      <c r="I60" s="164">
        <f t="shared" si="1"/>
        <v>0.49500000000000455</v>
      </c>
      <c r="J60" s="324">
        <f t="shared" si="2"/>
        <v>1.3773331449586914E-2</v>
      </c>
      <c r="K60" s="46"/>
      <c r="L60" s="46"/>
      <c r="M60" s="46" t="s">
        <v>118</v>
      </c>
      <c r="N60" s="49"/>
      <c r="O60" s="46"/>
      <c r="P60" s="49"/>
      <c r="Q60" s="50"/>
    </row>
    <row r="61" spans="1:17" ht="14.25" x14ac:dyDescent="0.2">
      <c r="B61" s="89" t="s">
        <v>52</v>
      </c>
      <c r="C61" s="283">
        <f>C26</f>
        <v>7.6E-3</v>
      </c>
      <c r="D61" s="271">
        <f>C43+D55</f>
        <v>784.05000000000007</v>
      </c>
      <c r="E61" s="149">
        <f>D61*C61</f>
        <v>5.9587800000000009</v>
      </c>
      <c r="F61" s="154">
        <f>D26</f>
        <v>8.0000000000000002E-3</v>
      </c>
      <c r="G61" s="215">
        <f>+C43+G55</f>
        <v>784.05000000000007</v>
      </c>
      <c r="H61" s="155">
        <f>G61*F61</f>
        <v>6.2724000000000011</v>
      </c>
      <c r="I61" s="152">
        <f t="shared" si="1"/>
        <v>0.31362000000000023</v>
      </c>
      <c r="J61" s="322">
        <f>IF((H61)=0,"",(I61/E61))</f>
        <v>5.2631578947368453E-2</v>
      </c>
      <c r="K61" s="60"/>
      <c r="L61" s="345"/>
      <c r="M61" s="380">
        <f>(+J61+'GS&lt;50'!J61+'GS&gt;50 '!J60+USL!J53+'SL '!J45+'ST '!J57)/6</f>
        <v>5.4350742087287997E-2</v>
      </c>
      <c r="N61" s="110"/>
      <c r="O61" s="46"/>
      <c r="P61" s="51"/>
      <c r="Q61" s="58"/>
    </row>
    <row r="62" spans="1:17" ht="21.75" customHeight="1" x14ac:dyDescent="0.2">
      <c r="B62" s="90" t="s">
        <v>53</v>
      </c>
      <c r="C62" s="283">
        <f>C27</f>
        <v>6.8999999999999999E-3</v>
      </c>
      <c r="D62" s="271">
        <f>+C43+D55</f>
        <v>784.05000000000007</v>
      </c>
      <c r="E62" s="149">
        <f>D62*C62</f>
        <v>5.4099450000000004</v>
      </c>
      <c r="F62" s="154">
        <f>D27</f>
        <v>7.0000000000000001E-3</v>
      </c>
      <c r="G62" s="215">
        <f>+C43+G55</f>
        <v>784.05000000000007</v>
      </c>
      <c r="H62" s="155">
        <f>G62*F62</f>
        <v>5.4883500000000005</v>
      </c>
      <c r="I62" s="152">
        <f t="shared" si="1"/>
        <v>7.8405000000000058E-2</v>
      </c>
      <c r="J62" s="322">
        <f t="shared" si="2"/>
        <v>1.4492753623188415E-2</v>
      </c>
      <c r="K62" s="60"/>
      <c r="L62" s="345"/>
      <c r="M62" s="380">
        <f>(+J62+'GS&lt;50'!J62+'GS&gt;50 '!J61+USL!J54+'SL '!J46+'ST '!J58)/6</f>
        <v>1.6252942033116651E-2</v>
      </c>
      <c r="N62" s="59"/>
      <c r="O62" s="46"/>
      <c r="P62" s="51"/>
      <c r="Q62" s="58"/>
    </row>
    <row r="63" spans="1:17" ht="15" x14ac:dyDescent="0.2">
      <c r="B63" s="47" t="s">
        <v>54</v>
      </c>
      <c r="C63" s="270"/>
      <c r="D63" s="270"/>
      <c r="E63" s="166">
        <f>SUM(E60:E62)</f>
        <v>47.30774250000001</v>
      </c>
      <c r="F63" s="168"/>
      <c r="G63" s="39"/>
      <c r="H63" s="169">
        <f>SUM(H60:H62)</f>
        <v>48.194767500000012</v>
      </c>
      <c r="I63" s="164">
        <f t="shared" si="1"/>
        <v>0.88702500000000128</v>
      </c>
      <c r="J63" s="324">
        <f t="shared" si="2"/>
        <v>1.8750102057818571E-2</v>
      </c>
      <c r="K63" s="44"/>
      <c r="L63" s="44"/>
      <c r="M63" s="44"/>
      <c r="N63" s="49"/>
      <c r="O63" s="44"/>
    </row>
    <row r="64" spans="1:17" ht="14.25" x14ac:dyDescent="0.2">
      <c r="B64" s="87" t="s">
        <v>55</v>
      </c>
      <c r="C64" s="285">
        <f>C28</f>
        <v>3.0000000000000001E-3</v>
      </c>
      <c r="D64" s="269">
        <f>C43+D55</f>
        <v>784.05000000000007</v>
      </c>
      <c r="E64" s="171">
        <f>D64*C64</f>
        <v>2.3521500000000004</v>
      </c>
      <c r="F64" s="154">
        <f>D28</f>
        <v>3.0000000000000001E-3</v>
      </c>
      <c r="G64" s="216">
        <f>+C43+G55</f>
        <v>784.05000000000007</v>
      </c>
      <c r="H64" s="172">
        <f>G64*F64</f>
        <v>2.3521500000000004</v>
      </c>
      <c r="I64" s="152">
        <f t="shared" si="1"/>
        <v>0</v>
      </c>
      <c r="J64" s="322">
        <f t="shared" si="2"/>
        <v>0</v>
      </c>
      <c r="K64" s="60"/>
      <c r="L64" s="60"/>
      <c r="M64" s="60"/>
      <c r="N64" s="61"/>
      <c r="O64" s="46"/>
      <c r="P64" s="51"/>
      <c r="Q64" s="52"/>
    </row>
    <row r="65" spans="2:19" ht="14.25" x14ac:dyDescent="0.2">
      <c r="B65" s="87" t="s">
        <v>87</v>
      </c>
      <c r="C65" s="285">
        <f>C29</f>
        <v>4.0000000000000002E-4</v>
      </c>
      <c r="D65" s="272">
        <f>C43+D55</f>
        <v>784.05000000000007</v>
      </c>
      <c r="E65" s="173">
        <f>D65*C65</f>
        <v>0.31362000000000007</v>
      </c>
      <c r="F65" s="154">
        <f>D29</f>
        <v>4.0000000000000002E-4</v>
      </c>
      <c r="G65" s="216">
        <f>+C43+G55</f>
        <v>784.05000000000007</v>
      </c>
      <c r="H65" s="172">
        <f>G65*F65</f>
        <v>0.31362000000000007</v>
      </c>
      <c r="I65" s="152">
        <f t="shared" si="1"/>
        <v>0</v>
      </c>
      <c r="J65" s="322">
        <f t="shared" si="2"/>
        <v>0</v>
      </c>
      <c r="K65" s="60"/>
      <c r="L65" s="60"/>
      <c r="M65" s="60"/>
      <c r="N65" s="61"/>
      <c r="O65" s="46"/>
      <c r="P65" s="51"/>
      <c r="Q65" s="52"/>
    </row>
    <row r="66" spans="2:19" ht="14.25" x14ac:dyDescent="0.2">
      <c r="B66" s="86" t="s">
        <v>56</v>
      </c>
      <c r="C66" s="285">
        <f>C30</f>
        <v>5.0000000000000001E-4</v>
      </c>
      <c r="D66" s="272">
        <f>+C43+D55</f>
        <v>784.05000000000007</v>
      </c>
      <c r="E66" s="173">
        <f>D66*C66</f>
        <v>0.39202500000000007</v>
      </c>
      <c r="F66" s="154">
        <f>D30</f>
        <v>5.0000000000000001E-4</v>
      </c>
      <c r="G66" s="216">
        <f>+C43+G55</f>
        <v>784.05000000000007</v>
      </c>
      <c r="H66" s="172">
        <f>G66*F66</f>
        <v>0.39202500000000007</v>
      </c>
      <c r="I66" s="152">
        <f t="shared" si="1"/>
        <v>0</v>
      </c>
      <c r="J66" s="322">
        <f t="shared" si="2"/>
        <v>0</v>
      </c>
      <c r="K66" s="60"/>
      <c r="L66" s="60"/>
      <c r="M66" s="60"/>
      <c r="N66" s="61"/>
      <c r="O66" s="46"/>
      <c r="P66" s="51"/>
      <c r="Q66" s="52"/>
    </row>
    <row r="67" spans="2:19" ht="14.25" x14ac:dyDescent="0.2">
      <c r="B67" s="85" t="s">
        <v>57</v>
      </c>
      <c r="C67" s="286">
        <f>C31</f>
        <v>0.25</v>
      </c>
      <c r="D67" s="273">
        <f>D48</f>
        <v>1</v>
      </c>
      <c r="E67" s="174">
        <f>D67*C67</f>
        <v>0.25</v>
      </c>
      <c r="F67" s="194">
        <f>D31</f>
        <v>0.25</v>
      </c>
      <c r="G67" s="38">
        <f>+G48</f>
        <v>1</v>
      </c>
      <c r="H67" s="172">
        <f>G67*F67</f>
        <v>0.25</v>
      </c>
      <c r="I67" s="152">
        <f t="shared" si="1"/>
        <v>0</v>
      </c>
      <c r="J67" s="322">
        <f t="shared" si="2"/>
        <v>0</v>
      </c>
      <c r="K67" s="60"/>
      <c r="L67" s="60"/>
      <c r="M67" s="60"/>
      <c r="N67" s="61"/>
      <c r="O67" s="46"/>
      <c r="P67" s="51"/>
      <c r="Q67" s="52"/>
    </row>
    <row r="68" spans="2:19" ht="15" x14ac:dyDescent="0.2">
      <c r="B68" s="47" t="s">
        <v>62</v>
      </c>
      <c r="C68" s="270"/>
      <c r="D68" s="270"/>
      <c r="E68" s="166">
        <f>SUM(E64:E67)</f>
        <v>3.3077950000000005</v>
      </c>
      <c r="F68" s="168"/>
      <c r="G68" s="39"/>
      <c r="H68" s="169">
        <f>SUM(H64:H67)</f>
        <v>3.3077950000000005</v>
      </c>
      <c r="I68" s="164">
        <f>SUM(I64:I67)</f>
        <v>0</v>
      </c>
      <c r="J68" s="324">
        <f t="shared" si="2"/>
        <v>0</v>
      </c>
      <c r="K68" s="60"/>
      <c r="L68" s="60"/>
      <c r="M68" s="60"/>
      <c r="N68" s="61"/>
      <c r="O68" s="46"/>
      <c r="P68" s="51"/>
      <c r="Q68" s="52"/>
    </row>
    <row r="69" spans="2:19" ht="14.25" x14ac:dyDescent="0.2">
      <c r="B69" s="87" t="s">
        <v>58</v>
      </c>
      <c r="C69" s="285">
        <f>C38</f>
        <v>6.5000000000000002E-2</v>
      </c>
      <c r="D69" s="269">
        <f>ROUND($C$43*$E38,2)</f>
        <v>487.5</v>
      </c>
      <c r="E69" s="175">
        <f>D69*C69</f>
        <v>31.6875</v>
      </c>
      <c r="F69" s="154">
        <f>C69</f>
        <v>6.5000000000000002E-2</v>
      </c>
      <c r="G69" s="34">
        <f>ROUND($C$43*$E38,2)</f>
        <v>487.5</v>
      </c>
      <c r="H69" s="172">
        <f>G69*F69</f>
        <v>31.6875</v>
      </c>
      <c r="I69" s="152">
        <f>H69-E69</f>
        <v>0</v>
      </c>
      <c r="J69" s="322">
        <f t="shared" si="2"/>
        <v>0</v>
      </c>
      <c r="K69" s="60"/>
      <c r="L69" s="60"/>
      <c r="M69" s="60"/>
      <c r="N69" s="61"/>
      <c r="O69" s="46"/>
      <c r="P69" s="51"/>
      <c r="Q69" s="52"/>
    </row>
    <row r="70" spans="2:19" ht="14.25" x14ac:dyDescent="0.2">
      <c r="B70" s="87" t="s">
        <v>59</v>
      </c>
      <c r="C70" s="285">
        <f>C39</f>
        <v>9.4E-2</v>
      </c>
      <c r="D70" s="269">
        <f>ROUND($C$43*$E39,2)</f>
        <v>127.5</v>
      </c>
      <c r="E70" s="175">
        <f>D70*C70</f>
        <v>11.984999999999999</v>
      </c>
      <c r="F70" s="154">
        <f>C70</f>
        <v>9.4E-2</v>
      </c>
      <c r="G70" s="34">
        <f>ROUND($C$43*$E39,2)</f>
        <v>127.5</v>
      </c>
      <c r="H70" s="172">
        <f>G70*F70</f>
        <v>11.984999999999999</v>
      </c>
      <c r="I70" s="152">
        <f>H70-E70</f>
        <v>0</v>
      </c>
      <c r="J70" s="322">
        <f t="shared" si="2"/>
        <v>0</v>
      </c>
      <c r="K70" s="60"/>
      <c r="L70" s="60"/>
      <c r="M70" s="60"/>
      <c r="N70" s="61"/>
      <c r="O70" s="46"/>
      <c r="P70" s="51"/>
      <c r="Q70" s="52"/>
    </row>
    <row r="71" spans="2:19" ht="14.25" x14ac:dyDescent="0.2">
      <c r="B71" s="87" t="s">
        <v>60</v>
      </c>
      <c r="C71" s="285">
        <f>C40</f>
        <v>0.13400000000000001</v>
      </c>
      <c r="D71" s="269">
        <f>ROUND($C$43*$E40,2)</f>
        <v>135</v>
      </c>
      <c r="E71" s="175">
        <f>D71*C71</f>
        <v>18.09</v>
      </c>
      <c r="F71" s="154">
        <f>C71</f>
        <v>0.13400000000000001</v>
      </c>
      <c r="G71" s="34">
        <f>ROUND($C$43*$E40,2)</f>
        <v>135</v>
      </c>
      <c r="H71" s="172">
        <f>G71*F71</f>
        <v>18.09</v>
      </c>
      <c r="I71" s="152">
        <f>H71-E71</f>
        <v>0</v>
      </c>
      <c r="J71" s="322">
        <f t="shared" si="2"/>
        <v>0</v>
      </c>
      <c r="K71" s="60"/>
      <c r="L71" s="60"/>
      <c r="M71" s="60"/>
      <c r="N71" s="61"/>
      <c r="O71" s="46"/>
      <c r="P71" s="51"/>
      <c r="Q71" s="52"/>
    </row>
    <row r="72" spans="2:19" ht="15.75" thickBot="1" x14ac:dyDescent="0.25">
      <c r="B72" s="47" t="s">
        <v>63</v>
      </c>
      <c r="C72" s="270"/>
      <c r="D72" s="270"/>
      <c r="E72" s="166">
        <f>SUM(E69:E71)</f>
        <v>61.762500000000003</v>
      </c>
      <c r="F72" s="168"/>
      <c r="G72" s="39"/>
      <c r="H72" s="169">
        <f>SUM(H69:H71)</f>
        <v>61.762500000000003</v>
      </c>
      <c r="I72" s="164">
        <f>H72-E72</f>
        <v>0</v>
      </c>
      <c r="J72" s="324">
        <f t="shared" si="2"/>
        <v>0</v>
      </c>
      <c r="K72" s="60"/>
      <c r="L72" s="121"/>
      <c r="M72" s="60"/>
      <c r="N72" s="61"/>
      <c r="O72" s="46"/>
      <c r="P72" s="51"/>
      <c r="Q72" s="52"/>
    </row>
    <row r="73" spans="2:19" ht="7.5" customHeight="1" thickBot="1" x14ac:dyDescent="0.25">
      <c r="B73" s="91"/>
      <c r="C73" s="287"/>
      <c r="D73" s="274"/>
      <c r="E73" s="177"/>
      <c r="F73" s="178"/>
      <c r="G73" s="41"/>
      <c r="H73" s="179"/>
      <c r="I73" s="180"/>
      <c r="J73" s="325" t="str">
        <f t="shared" si="2"/>
        <v/>
      </c>
      <c r="K73" s="46"/>
      <c r="L73" s="46"/>
      <c r="M73" s="46"/>
      <c r="N73" s="61"/>
      <c r="O73" s="46"/>
      <c r="P73" s="51"/>
      <c r="Q73" s="52"/>
      <c r="S73" s="51"/>
    </row>
    <row r="74" spans="2:19" ht="15" x14ac:dyDescent="0.2">
      <c r="B74" s="71" t="s">
        <v>61</v>
      </c>
      <c r="C74" s="288"/>
      <c r="D74" s="275"/>
      <c r="E74" s="182">
        <f>E72+E68+E63</f>
        <v>112.3780375</v>
      </c>
      <c r="F74" s="183"/>
      <c r="G74" s="43"/>
      <c r="H74" s="184">
        <f>H72+H68+H63</f>
        <v>113.26506250000001</v>
      </c>
      <c r="I74" s="152">
        <f>H74-E74</f>
        <v>0.88702500000000839</v>
      </c>
      <c r="J74" s="322">
        <f t="shared" si="2"/>
        <v>7.8932237982889519E-3</v>
      </c>
      <c r="K74" s="67"/>
      <c r="L74" s="67"/>
      <c r="M74" s="67"/>
      <c r="N74" s="49"/>
      <c r="O74" s="44"/>
      <c r="P74" s="49"/>
      <c r="Q74" s="49"/>
      <c r="S74" s="49"/>
    </row>
    <row r="75" spans="2:19" ht="14.25" x14ac:dyDescent="0.2">
      <c r="B75" s="72" t="s">
        <v>18</v>
      </c>
      <c r="C75" s="288">
        <v>0.13</v>
      </c>
      <c r="D75" s="276"/>
      <c r="E75" s="185">
        <f>E74*C75</f>
        <v>14.609144875000002</v>
      </c>
      <c r="F75" s="186">
        <v>0.13</v>
      </c>
      <c r="G75" s="27"/>
      <c r="H75" s="187">
        <f>H74*F75</f>
        <v>14.724458125000002</v>
      </c>
      <c r="I75" s="152">
        <f>H75-E75</f>
        <v>0.11531324999999981</v>
      </c>
      <c r="J75" s="322">
        <f t="shared" si="2"/>
        <v>7.8932237982888651E-3</v>
      </c>
      <c r="K75" s="45"/>
      <c r="L75" s="45"/>
      <c r="M75" s="45"/>
      <c r="N75" s="51"/>
      <c r="O75" s="46"/>
      <c r="P75" s="51"/>
      <c r="Q75" s="52"/>
    </row>
    <row r="76" spans="2:19" ht="14.25" x14ac:dyDescent="0.2">
      <c r="B76" s="72" t="s">
        <v>86</v>
      </c>
      <c r="C76" s="288">
        <v>-0.08</v>
      </c>
      <c r="D76" s="276"/>
      <c r="E76" s="188">
        <f>+E74*C76</f>
        <v>-8.9902430000000013</v>
      </c>
      <c r="F76" s="186">
        <v>-0.08</v>
      </c>
      <c r="G76" s="27"/>
      <c r="H76" s="187">
        <f>+H74*F76</f>
        <v>-9.0612050000000011</v>
      </c>
      <c r="I76" s="152">
        <f>H76-E76</f>
        <v>-7.0961999999999748E-2</v>
      </c>
      <c r="J76" s="322">
        <f t="shared" si="2"/>
        <v>7.8932237982888495E-3</v>
      </c>
      <c r="K76" s="45"/>
      <c r="L76" s="45"/>
      <c r="M76" s="45"/>
      <c r="N76" s="51"/>
      <c r="O76" s="46"/>
      <c r="P76" s="51"/>
      <c r="Q76" s="52"/>
    </row>
    <row r="77" spans="2:19" ht="15" x14ac:dyDescent="0.2">
      <c r="B77" s="78" t="s">
        <v>76</v>
      </c>
      <c r="C77" s="289"/>
      <c r="D77" s="277"/>
      <c r="E77" s="190">
        <f>SUM(E74:E76)</f>
        <v>117.996939375</v>
      </c>
      <c r="F77" s="191"/>
      <c r="G77" s="80"/>
      <c r="H77" s="169">
        <f>SUM(H74:H76)</f>
        <v>118.92831562500001</v>
      </c>
      <c r="I77" s="164">
        <f>H77-E77</f>
        <v>0.93137625000001378</v>
      </c>
      <c r="J77" s="324">
        <f>IF((H77)=0,"",(I77/E77))</f>
        <v>7.8932237982889952E-3</v>
      </c>
      <c r="K77" s="68"/>
      <c r="L77" s="68"/>
      <c r="M77" s="68"/>
      <c r="N77" s="49"/>
      <c r="O77" s="44"/>
      <c r="P77" s="49"/>
      <c r="Q77" s="50"/>
    </row>
    <row r="78" spans="2:19" ht="15" x14ac:dyDescent="0.2">
      <c r="B78" s="138"/>
      <c r="C78" s="276"/>
      <c r="D78" s="276"/>
      <c r="E78" s="229"/>
      <c r="F78" s="230"/>
      <c r="G78" s="68"/>
      <c r="H78" s="229"/>
      <c r="I78" s="229"/>
      <c r="J78" s="231"/>
      <c r="K78" s="68"/>
      <c r="L78" s="68"/>
      <c r="M78" s="68"/>
      <c r="N78" s="49"/>
      <c r="O78" s="44"/>
      <c r="P78" s="49"/>
      <c r="Q78" s="50"/>
    </row>
  </sheetData>
  <mergeCells count="10">
    <mergeCell ref="B11:E11"/>
    <mergeCell ref="F45:H45"/>
    <mergeCell ref="B46:B47"/>
    <mergeCell ref="P45:Q45"/>
    <mergeCell ref="P46:P47"/>
    <mergeCell ref="Q46:Q47"/>
    <mergeCell ref="C45:E45"/>
    <mergeCell ref="I45:J45"/>
    <mergeCell ref="I46:I47"/>
    <mergeCell ref="J46:J47"/>
  </mergeCells>
  <phoneticPr fontId="6" type="noConversion"/>
  <pageMargins left="0.75" right="0.75" top="1" bottom="1" header="0.5" footer="0.5"/>
  <pageSetup scale="88" orientation="landscape" r:id="rId1"/>
  <headerFooter alignWithMargins="0">
    <oddFooter>&amp;R&amp;F</oddFooter>
  </headerFooter>
  <ignoredErrors>
    <ignoredError sqref="D49 C59:D59 C69:D71 C48 F48 C53 C55:D55 C61:D62 C64:D67 D53 F55:G55 F59:G59 F61:G62 F64:G67 F69:G71 F53:G53 G57 G56 F58:G58" unlockedFormula="1"/>
    <ignoredError sqref="H60 E63 H63 E68 H68:I68 E60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Q78"/>
  <sheetViews>
    <sheetView showGridLines="0" topLeftCell="A39" zoomScale="90" zoomScaleNormal="90" workbookViewId="0">
      <selection activeCell="B43" sqref="B43:J77"/>
    </sheetView>
  </sheetViews>
  <sheetFormatPr defaultRowHeight="12.75" x14ac:dyDescent="0.2"/>
  <cols>
    <col min="1" max="1" width="2.42578125" customWidth="1"/>
    <col min="2" max="2" width="44.85546875" customWidth="1"/>
    <col min="3" max="3" width="11" style="259" customWidth="1"/>
    <col min="4" max="4" width="11.140625" style="259" customWidth="1"/>
    <col min="5" max="5" width="13" customWidth="1"/>
    <col min="6" max="6" width="11" customWidth="1"/>
    <col min="7" max="7" width="10.42578125" bestFit="1" customWidth="1"/>
    <col min="8" max="8" width="13.140625" customWidth="1"/>
    <col min="9" max="9" width="10.7109375" bestFit="1" customWidth="1"/>
    <col min="10" max="10" width="11.140625" bestFit="1" customWidth="1"/>
    <col min="11" max="11" width="13.140625" customWidth="1"/>
    <col min="14" max="14" width="9.85546875" bestFit="1" customWidth="1"/>
    <col min="15" max="15" width="12.28515625" customWidth="1"/>
    <col min="17" max="17" width="9.85546875" bestFit="1" customWidth="1"/>
  </cols>
  <sheetData>
    <row r="1" spans="2:11" hidden="1" x14ac:dyDescent="0.2"/>
    <row r="2" spans="2:11" hidden="1" x14ac:dyDescent="0.2"/>
    <row r="3" spans="2:11" hidden="1" x14ac:dyDescent="0.2"/>
    <row r="4" spans="2:11" hidden="1" x14ac:dyDescent="0.2"/>
    <row r="5" spans="2:11" hidden="1" x14ac:dyDescent="0.2"/>
    <row r="6" spans="2:11" hidden="1" x14ac:dyDescent="0.2"/>
    <row r="7" spans="2:11" hidden="1" x14ac:dyDescent="0.2"/>
    <row r="8" spans="2:11" hidden="1" x14ac:dyDescent="0.2"/>
    <row r="9" spans="2:11" ht="18" x14ac:dyDescent="0.25">
      <c r="B9" s="1" t="s">
        <v>19</v>
      </c>
      <c r="C9" s="260"/>
      <c r="D9" s="260"/>
      <c r="E9" s="127" t="s">
        <v>73</v>
      </c>
      <c r="F9" s="124" t="s">
        <v>74</v>
      </c>
      <c r="G9" s="2"/>
      <c r="H9" s="2"/>
      <c r="I9" s="2"/>
      <c r="J9" s="2"/>
      <c r="K9" s="2"/>
    </row>
    <row r="10" spans="2:11" x14ac:dyDescent="0.2">
      <c r="B10" s="2"/>
      <c r="C10" s="260"/>
      <c r="D10" s="260"/>
      <c r="E10" s="2"/>
      <c r="F10" s="2"/>
      <c r="G10" s="2"/>
      <c r="H10" s="2"/>
      <c r="I10" s="2"/>
      <c r="J10" s="2"/>
      <c r="K10" s="2"/>
    </row>
    <row r="11" spans="2:11" ht="18" x14ac:dyDescent="0.25">
      <c r="B11" s="353" t="s">
        <v>67</v>
      </c>
      <c r="C11" s="353"/>
      <c r="D11" s="353"/>
      <c r="E11" s="353"/>
      <c r="F11" s="3"/>
      <c r="G11" s="3"/>
      <c r="H11" s="2"/>
      <c r="I11" s="2"/>
      <c r="J11" s="2"/>
      <c r="K11" s="2"/>
    </row>
    <row r="12" spans="2:11" ht="13.5" thickBot="1" x14ac:dyDescent="0.25">
      <c r="B12" s="2"/>
      <c r="C12" s="260">
        <v>2019</v>
      </c>
      <c r="D12" s="260">
        <v>2020</v>
      </c>
      <c r="E12" s="2"/>
      <c r="F12" s="2"/>
      <c r="G12" s="2"/>
      <c r="H12" s="2"/>
      <c r="I12" s="2"/>
      <c r="J12" s="2"/>
      <c r="K12" s="2"/>
    </row>
    <row r="13" spans="2:11" ht="26.25" thickBot="1" x14ac:dyDescent="0.25">
      <c r="B13" s="4" t="s">
        <v>1</v>
      </c>
      <c r="C13" s="261" t="s">
        <v>2</v>
      </c>
      <c r="D13" s="261" t="s">
        <v>41</v>
      </c>
      <c r="E13" s="2"/>
      <c r="F13" s="2"/>
      <c r="G13" s="2"/>
      <c r="H13" s="2"/>
      <c r="I13" s="2"/>
      <c r="J13" s="2"/>
      <c r="K13" s="2"/>
    </row>
    <row r="14" spans="2:11" ht="13.15" customHeight="1" x14ac:dyDescent="0.2">
      <c r="B14" s="123" t="s">
        <v>3</v>
      </c>
      <c r="C14" s="301">
        <v>26.54</v>
      </c>
      <c r="D14" s="301">
        <v>26.78</v>
      </c>
      <c r="E14" s="124" t="s">
        <v>72</v>
      </c>
      <c r="F14" s="2"/>
      <c r="G14" s="2"/>
      <c r="H14" s="2"/>
      <c r="I14" s="221"/>
      <c r="J14" s="2"/>
      <c r="K14" s="2"/>
    </row>
    <row r="15" spans="2:11" ht="13.15" customHeight="1" x14ac:dyDescent="0.2">
      <c r="B15" s="83" t="s">
        <v>39</v>
      </c>
      <c r="C15" s="302">
        <v>0.56999999999999995</v>
      </c>
      <c r="D15" s="302">
        <v>0.56999999999999995</v>
      </c>
      <c r="E15" s="124" t="s">
        <v>72</v>
      </c>
      <c r="F15" s="2"/>
      <c r="G15" s="2"/>
      <c r="H15" s="2"/>
      <c r="I15" s="221"/>
      <c r="J15" s="2"/>
      <c r="K15" s="2"/>
    </row>
    <row r="16" spans="2:11" ht="13.15" customHeight="1" x14ac:dyDescent="0.2">
      <c r="B16" s="258" t="s">
        <v>95</v>
      </c>
      <c r="C16" s="311">
        <v>4.0199999999999996</v>
      </c>
      <c r="D16" s="311"/>
      <c r="E16" s="125" t="s">
        <v>72</v>
      </c>
      <c r="F16" s="2"/>
      <c r="G16" s="227"/>
      <c r="H16" s="228"/>
      <c r="I16" s="2"/>
      <c r="J16" s="2"/>
      <c r="K16" s="2"/>
    </row>
    <row r="17" spans="2:11" ht="13.15" customHeight="1" x14ac:dyDescent="0.2">
      <c r="B17" s="83" t="s">
        <v>4</v>
      </c>
      <c r="C17" s="147">
        <v>1.9699999999999999E-2</v>
      </c>
      <c r="D17" s="147">
        <v>1.9900000000000001E-2</v>
      </c>
      <c r="E17" s="132" t="s">
        <v>12</v>
      </c>
      <c r="F17" s="2"/>
      <c r="G17" s="2"/>
      <c r="H17" s="2"/>
      <c r="I17" s="222"/>
      <c r="J17" s="2"/>
      <c r="K17" s="2"/>
    </row>
    <row r="18" spans="2:11" ht="13.15" customHeight="1" x14ac:dyDescent="0.2">
      <c r="B18" s="6" t="s">
        <v>83</v>
      </c>
      <c r="C18" s="147">
        <v>4.0000000000000002E-4</v>
      </c>
      <c r="D18" s="147">
        <v>4.0000000000000002E-4</v>
      </c>
      <c r="E18" s="132" t="s">
        <v>12</v>
      </c>
      <c r="F18" s="2"/>
      <c r="G18" s="2"/>
      <c r="H18" s="2"/>
      <c r="I18" s="222"/>
      <c r="J18" s="2"/>
      <c r="K18" s="2"/>
    </row>
    <row r="19" spans="2:11" ht="13.15" customHeight="1" x14ac:dyDescent="0.2">
      <c r="B19" s="6">
        <v>1576</v>
      </c>
      <c r="C19" s="147">
        <v>-1E-3</v>
      </c>
      <c r="D19" s="147"/>
      <c r="E19" s="132" t="s">
        <v>12</v>
      </c>
      <c r="F19" s="2"/>
      <c r="G19" s="2"/>
      <c r="H19" s="2"/>
      <c r="I19" s="222"/>
      <c r="J19" s="2"/>
      <c r="K19" s="2"/>
    </row>
    <row r="20" spans="2:11" ht="13.15" customHeight="1" x14ac:dyDescent="0.2">
      <c r="B20" s="6"/>
      <c r="C20" s="147">
        <v>0</v>
      </c>
      <c r="D20" s="147">
        <v>0</v>
      </c>
      <c r="E20" s="132" t="s">
        <v>12</v>
      </c>
      <c r="F20" s="2"/>
      <c r="G20" s="2"/>
      <c r="H20" s="2"/>
      <c r="I20" s="222"/>
      <c r="J20" s="2"/>
      <c r="K20" s="2"/>
    </row>
    <row r="21" spans="2:11" ht="13.15" customHeight="1" x14ac:dyDescent="0.2">
      <c r="B21" s="258" t="s">
        <v>96</v>
      </c>
      <c r="C21" s="309">
        <v>8.9999999999999998E-4</v>
      </c>
      <c r="D21" s="309">
        <v>8.9999999999999998E-4</v>
      </c>
      <c r="E21" s="132" t="s">
        <v>12</v>
      </c>
      <c r="F21" s="2"/>
      <c r="G21" s="227"/>
      <c r="H21" s="228"/>
      <c r="I21" s="2"/>
      <c r="J21" s="2"/>
      <c r="K21" s="2"/>
    </row>
    <row r="22" spans="2:11" ht="13.15" customHeight="1" x14ac:dyDescent="0.2">
      <c r="B22" s="296"/>
      <c r="C22" s="310">
        <v>0</v>
      </c>
      <c r="D22" s="310">
        <v>0</v>
      </c>
      <c r="E22" s="132" t="s">
        <v>12</v>
      </c>
      <c r="F22" s="2"/>
      <c r="G22" s="227"/>
      <c r="H22" s="228"/>
      <c r="I22" s="2"/>
      <c r="J22" s="2"/>
      <c r="K22" s="2"/>
    </row>
    <row r="23" spans="2:11" ht="13.15" customHeight="1" x14ac:dyDescent="0.2">
      <c r="B23" s="83"/>
      <c r="C23" s="299">
        <v>0</v>
      </c>
      <c r="D23" s="299">
        <v>0</v>
      </c>
      <c r="E23" s="132" t="s">
        <v>12</v>
      </c>
      <c r="F23" s="2"/>
      <c r="G23" s="2"/>
      <c r="H23" s="2"/>
      <c r="I23" s="222"/>
      <c r="J23" s="2"/>
      <c r="K23" s="2"/>
    </row>
    <row r="24" spans="2:11" ht="13.15" customHeight="1" x14ac:dyDescent="0.2">
      <c r="B24" s="83"/>
      <c r="C24" s="147">
        <v>0</v>
      </c>
      <c r="D24" s="147">
        <v>0</v>
      </c>
      <c r="E24" s="132" t="s">
        <v>12</v>
      </c>
      <c r="F24" s="2"/>
      <c r="G24" s="2"/>
      <c r="H24" s="2"/>
      <c r="I24" s="222"/>
      <c r="J24" s="2"/>
      <c r="K24" s="2"/>
    </row>
    <row r="25" spans="2:11" ht="13.15" customHeight="1" x14ac:dyDescent="0.2">
      <c r="B25" s="83"/>
      <c r="C25" s="147">
        <v>0</v>
      </c>
      <c r="D25" s="147">
        <v>0</v>
      </c>
      <c r="E25" s="132" t="s">
        <v>12</v>
      </c>
      <c r="F25" s="2"/>
      <c r="G25" s="2"/>
      <c r="H25" s="2"/>
      <c r="I25" s="222"/>
      <c r="J25" s="2"/>
      <c r="K25" s="2"/>
    </row>
    <row r="26" spans="2:11" ht="13.15" customHeight="1" x14ac:dyDescent="0.2">
      <c r="B26" s="83" t="s">
        <v>5</v>
      </c>
      <c r="C26" s="299">
        <v>6.8999999999999999E-3</v>
      </c>
      <c r="D26" s="299">
        <v>7.3000000000000001E-3</v>
      </c>
      <c r="E26" s="132" t="s">
        <v>12</v>
      </c>
      <c r="F26" s="2"/>
      <c r="G26" s="2"/>
      <c r="H26" s="2"/>
      <c r="I26" s="223"/>
      <c r="J26" s="2"/>
      <c r="K26" s="2"/>
    </row>
    <row r="27" spans="2:11" ht="13.15" customHeight="1" x14ac:dyDescent="0.2">
      <c r="B27" s="83" t="s">
        <v>6</v>
      </c>
      <c r="C27" s="299">
        <v>6.4000000000000003E-3</v>
      </c>
      <c r="D27" s="299">
        <v>6.4999999999999997E-3</v>
      </c>
      <c r="E27" s="132" t="s">
        <v>12</v>
      </c>
      <c r="F27" s="2"/>
      <c r="G27" s="2"/>
      <c r="H27" s="2"/>
      <c r="I27" s="223"/>
      <c r="J27" s="2"/>
      <c r="K27" s="2"/>
    </row>
    <row r="28" spans="2:11" ht="13.15" customHeight="1" x14ac:dyDescent="0.2">
      <c r="B28" s="83" t="s">
        <v>7</v>
      </c>
      <c r="C28" s="147">
        <v>3.0000000000000001E-3</v>
      </c>
      <c r="D28" s="147">
        <v>3.0000000000000001E-3</v>
      </c>
      <c r="E28" s="132" t="s">
        <v>12</v>
      </c>
      <c r="F28" s="2"/>
      <c r="G28" s="2"/>
      <c r="H28" s="2"/>
      <c r="I28" s="214"/>
      <c r="J28" s="2"/>
      <c r="K28" s="2"/>
    </row>
    <row r="29" spans="2:11" ht="13.15" customHeight="1" x14ac:dyDescent="0.2">
      <c r="B29" s="83" t="s">
        <v>89</v>
      </c>
      <c r="C29" s="147">
        <v>4.0000000000000002E-4</v>
      </c>
      <c r="D29" s="147">
        <v>4.0000000000000002E-4</v>
      </c>
      <c r="E29" s="132" t="s">
        <v>12</v>
      </c>
      <c r="F29" s="2"/>
      <c r="G29" s="2"/>
      <c r="H29" s="2"/>
      <c r="I29" s="214"/>
      <c r="J29" s="2"/>
      <c r="K29" s="2"/>
    </row>
    <row r="30" spans="2:11" ht="13.15" customHeight="1" x14ac:dyDescent="0.2">
      <c r="B30" s="83" t="s">
        <v>8</v>
      </c>
      <c r="C30" s="147">
        <v>5.0000000000000001E-4</v>
      </c>
      <c r="D30" s="147">
        <v>5.0000000000000001E-4</v>
      </c>
      <c r="E30" s="132" t="s">
        <v>12</v>
      </c>
      <c r="F30" s="2"/>
      <c r="G30" s="2"/>
      <c r="H30" s="2"/>
      <c r="I30" s="214"/>
      <c r="J30" s="2"/>
      <c r="K30" s="2"/>
    </row>
    <row r="31" spans="2:11" ht="23.25" customHeight="1" x14ac:dyDescent="0.2">
      <c r="B31" s="83" t="s">
        <v>9</v>
      </c>
      <c r="C31" s="303">
        <v>0.25</v>
      </c>
      <c r="D31" s="303">
        <v>0.25</v>
      </c>
      <c r="E31" s="293" t="s">
        <v>72</v>
      </c>
      <c r="F31" s="2"/>
      <c r="G31" s="2"/>
      <c r="H31" s="2"/>
      <c r="I31" s="224"/>
      <c r="J31" s="2"/>
      <c r="K31" s="2"/>
    </row>
    <row r="32" spans="2:11" ht="13.5" thickBot="1" x14ac:dyDescent="0.25">
      <c r="B32" s="7" t="s">
        <v>10</v>
      </c>
      <c r="C32" s="308">
        <v>1.0454000000000001</v>
      </c>
      <c r="D32" s="308">
        <v>1.0454000000000001</v>
      </c>
      <c r="E32" s="132" t="s">
        <v>64</v>
      </c>
      <c r="F32" s="2"/>
      <c r="G32" s="2"/>
      <c r="H32" s="2"/>
      <c r="I32" s="214"/>
      <c r="J32" s="2"/>
      <c r="K32" s="2"/>
    </row>
    <row r="33" spans="1:15" x14ac:dyDescent="0.2">
      <c r="B33" s="213"/>
      <c r="C33" s="214"/>
      <c r="D33" s="214"/>
      <c r="E33" s="8"/>
      <c r="F33" s="2"/>
      <c r="G33" s="2"/>
      <c r="H33" s="2"/>
      <c r="I33" s="2"/>
      <c r="J33" s="2"/>
      <c r="K33" s="2"/>
    </row>
    <row r="34" spans="1:15" x14ac:dyDescent="0.2">
      <c r="B34" s="213"/>
      <c r="C34" s="214"/>
      <c r="D34" s="214"/>
      <c r="E34" s="8"/>
      <c r="F34" s="2"/>
      <c r="G34" s="226"/>
      <c r="H34" s="226"/>
      <c r="I34" s="2"/>
      <c r="J34" s="2"/>
      <c r="K34" s="2"/>
    </row>
    <row r="35" spans="1:15" x14ac:dyDescent="0.2">
      <c r="B35" s="82"/>
      <c r="C35" s="260"/>
      <c r="D35" s="260"/>
      <c r="E35" s="75" t="s">
        <v>64</v>
      </c>
      <c r="F35" s="2"/>
      <c r="G35" s="2"/>
      <c r="H35" s="2"/>
      <c r="I35" s="2"/>
      <c r="J35" s="2"/>
      <c r="K35" s="2"/>
    </row>
    <row r="36" spans="1:15" x14ac:dyDescent="0.2">
      <c r="B36" s="82" t="s">
        <v>32</v>
      </c>
      <c r="C36" s="214">
        <v>7.6999999999999999E-2</v>
      </c>
      <c r="D36" s="214">
        <v>7.6999999999999999E-2</v>
      </c>
      <c r="E36" s="76"/>
      <c r="F36" s="2"/>
      <c r="G36" s="2"/>
      <c r="H36" s="2"/>
      <c r="I36" s="2"/>
      <c r="J36" s="2"/>
      <c r="K36" s="2"/>
    </row>
    <row r="37" spans="1:15" x14ac:dyDescent="0.2">
      <c r="B37" s="82" t="s">
        <v>33</v>
      </c>
      <c r="C37" s="214">
        <v>8.8999999999999996E-2</v>
      </c>
      <c r="D37" s="214">
        <v>8.8999999999999996E-2</v>
      </c>
      <c r="E37" s="76"/>
      <c r="F37" s="2"/>
      <c r="G37" s="2"/>
      <c r="H37" s="2"/>
      <c r="I37" s="2"/>
      <c r="J37" s="2"/>
      <c r="K37" s="2"/>
    </row>
    <row r="38" spans="1:15" x14ac:dyDescent="0.2">
      <c r="B38" s="82" t="s">
        <v>34</v>
      </c>
      <c r="C38" s="214">
        <v>6.5000000000000002E-2</v>
      </c>
      <c r="D38" s="214">
        <v>6.5000000000000002E-2</v>
      </c>
      <c r="E38" s="76">
        <f>'Res '!E38</f>
        <v>0.65</v>
      </c>
      <c r="F38" s="77">
        <f>C38*E38</f>
        <v>4.2250000000000003E-2</v>
      </c>
      <c r="G38" s="2"/>
      <c r="H38" s="2"/>
      <c r="I38" s="2"/>
      <c r="J38" s="2"/>
      <c r="K38" s="2"/>
    </row>
    <row r="39" spans="1:15" x14ac:dyDescent="0.2">
      <c r="B39" s="82" t="s">
        <v>35</v>
      </c>
      <c r="C39" s="214">
        <v>9.4E-2</v>
      </c>
      <c r="D39" s="214">
        <v>9.4E-2</v>
      </c>
      <c r="E39" s="76">
        <f>'Res '!E39</f>
        <v>0.17</v>
      </c>
      <c r="F39" s="77">
        <f>C39*E39</f>
        <v>1.5980000000000001E-2</v>
      </c>
      <c r="G39" s="2"/>
      <c r="H39" s="2"/>
      <c r="I39" s="2"/>
      <c r="J39" s="2"/>
      <c r="K39" s="2"/>
    </row>
    <row r="40" spans="1:15" x14ac:dyDescent="0.2">
      <c r="B40" s="82" t="s">
        <v>36</v>
      </c>
      <c r="C40" s="214">
        <v>0.13400000000000001</v>
      </c>
      <c r="D40" s="214">
        <v>0.13400000000000001</v>
      </c>
      <c r="E40" s="76">
        <f>'Res '!E40</f>
        <v>0.18</v>
      </c>
      <c r="F40" s="77">
        <f>C40*E40</f>
        <v>2.4119999999999999E-2</v>
      </c>
      <c r="G40" s="2"/>
      <c r="H40" s="2"/>
      <c r="I40" s="2"/>
      <c r="J40" s="2"/>
      <c r="K40" s="2"/>
    </row>
    <row r="41" spans="1:15" x14ac:dyDescent="0.2">
      <c r="B41" s="82"/>
      <c r="C41" s="260"/>
      <c r="D41" s="260"/>
      <c r="E41" s="2"/>
      <c r="F41" s="77"/>
      <c r="G41" s="2"/>
      <c r="H41" s="2"/>
      <c r="I41" s="2"/>
      <c r="J41" s="2"/>
      <c r="K41" s="2"/>
    </row>
    <row r="42" spans="1:15" ht="13.5" thickBot="1" x14ac:dyDescent="0.25">
      <c r="B42" s="82"/>
      <c r="C42" s="260"/>
      <c r="D42" s="260"/>
      <c r="E42" s="2"/>
      <c r="F42" s="2"/>
      <c r="G42" s="2"/>
      <c r="H42" s="2"/>
      <c r="I42" s="2"/>
      <c r="J42" s="2"/>
      <c r="K42" s="2"/>
    </row>
    <row r="43" spans="1:15" ht="13.5" thickBot="1" x14ac:dyDescent="0.25">
      <c r="B43" s="92" t="s">
        <v>11</v>
      </c>
      <c r="C43" s="95">
        <v>2000</v>
      </c>
      <c r="D43" s="262" t="s">
        <v>12</v>
      </c>
      <c r="E43" s="253"/>
      <c r="F43" s="254"/>
      <c r="G43" s="97"/>
      <c r="H43" s="98" t="s">
        <v>14</v>
      </c>
      <c r="I43" s="99"/>
      <c r="J43" s="100">
        <f>C32</f>
        <v>1.0454000000000001</v>
      </c>
      <c r="K43" s="2"/>
    </row>
    <row r="44" spans="1:15" ht="13.5" thickBot="1" x14ac:dyDescent="0.25">
      <c r="B44" s="92" t="s">
        <v>15</v>
      </c>
      <c r="C44" s="329" t="s">
        <v>104</v>
      </c>
      <c r="D44" s="96" t="s">
        <v>70</v>
      </c>
      <c r="E44" s="255"/>
      <c r="F44" s="256"/>
      <c r="G44" s="97"/>
      <c r="H44" s="103" t="s">
        <v>16</v>
      </c>
      <c r="I44" s="104"/>
      <c r="J44" s="105">
        <f>D32</f>
        <v>1.0454000000000001</v>
      </c>
      <c r="K44" s="2"/>
    </row>
    <row r="45" spans="1:15" x14ac:dyDescent="0.2">
      <c r="B45" s="84"/>
      <c r="C45" s="367" t="s">
        <v>40</v>
      </c>
      <c r="D45" s="355"/>
      <c r="E45" s="355"/>
      <c r="F45" s="354" t="s">
        <v>41</v>
      </c>
      <c r="G45" s="355"/>
      <c r="H45" s="356"/>
      <c r="I45" s="363" t="s">
        <v>42</v>
      </c>
      <c r="J45" s="364"/>
      <c r="K45" s="55"/>
      <c r="L45" s="55"/>
      <c r="M45" s="54"/>
      <c r="N45" s="359"/>
      <c r="O45" s="359"/>
    </row>
    <row r="46" spans="1:15" x14ac:dyDescent="0.2">
      <c r="B46" s="357" t="str">
        <f>B11</f>
        <v>GS&lt;50 kW (RPP TOU)</v>
      </c>
      <c r="C46" s="263" t="s">
        <v>43</v>
      </c>
      <c r="D46" s="263" t="s">
        <v>17</v>
      </c>
      <c r="E46" s="69" t="s">
        <v>44</v>
      </c>
      <c r="F46" s="64" t="s">
        <v>43</v>
      </c>
      <c r="G46" s="24" t="s">
        <v>17</v>
      </c>
      <c r="H46" s="70" t="s">
        <v>44</v>
      </c>
      <c r="I46" s="365" t="s">
        <v>24</v>
      </c>
      <c r="J46" s="365" t="s">
        <v>25</v>
      </c>
      <c r="K46" s="55"/>
      <c r="L46" s="55"/>
      <c r="M46" s="54"/>
      <c r="N46" s="360"/>
      <c r="O46" s="360"/>
    </row>
    <row r="47" spans="1:15" x14ac:dyDescent="0.2">
      <c r="B47" s="358"/>
      <c r="C47" s="264" t="s">
        <v>45</v>
      </c>
      <c r="D47" s="264"/>
      <c r="E47" s="63" t="s">
        <v>45</v>
      </c>
      <c r="F47" s="65" t="s">
        <v>45</v>
      </c>
      <c r="G47" s="26"/>
      <c r="H47" s="66" t="s">
        <v>45</v>
      </c>
      <c r="I47" s="366"/>
      <c r="J47" s="366"/>
      <c r="K47" s="56"/>
      <c r="L47" s="56"/>
      <c r="M47" s="54"/>
      <c r="N47" s="361"/>
      <c r="O47" s="361"/>
    </row>
    <row r="48" spans="1:15" ht="14.25" x14ac:dyDescent="0.2">
      <c r="A48" s="22" t="s">
        <v>70</v>
      </c>
      <c r="B48" s="85" t="s">
        <v>46</v>
      </c>
      <c r="C48" s="279">
        <f>C14</f>
        <v>26.54</v>
      </c>
      <c r="D48" s="265">
        <v>1</v>
      </c>
      <c r="E48" s="149">
        <f>D48*C48</f>
        <v>26.54</v>
      </c>
      <c r="F48" s="150">
        <f>D14</f>
        <v>26.78</v>
      </c>
      <c r="G48" s="28">
        <v>1</v>
      </c>
      <c r="H48" s="151">
        <f>G48*F48</f>
        <v>26.78</v>
      </c>
      <c r="I48" s="152">
        <f t="shared" ref="I48:I67" si="0">H48-E48</f>
        <v>0.24000000000000199</v>
      </c>
      <c r="J48" s="322">
        <f>IF((H48)=0,"",(I48/E48))</f>
        <v>9.0429540316504138E-3</v>
      </c>
      <c r="K48" s="46"/>
      <c r="L48" s="57"/>
      <c r="M48" s="46"/>
      <c r="N48" s="51"/>
      <c r="O48" s="58"/>
    </row>
    <row r="49" spans="1:17" ht="14.25" x14ac:dyDescent="0.2">
      <c r="A49" s="22" t="s">
        <v>70</v>
      </c>
      <c r="B49" s="86" t="s">
        <v>4</v>
      </c>
      <c r="C49" s="280">
        <f>C17</f>
        <v>1.9699999999999999E-2</v>
      </c>
      <c r="D49" s="266">
        <f>C43</f>
        <v>2000</v>
      </c>
      <c r="E49" s="197">
        <f>D49*C49</f>
        <v>39.4</v>
      </c>
      <c r="F49" s="204">
        <f>D17</f>
        <v>1.9900000000000001E-2</v>
      </c>
      <c r="G49" s="30">
        <f>+C43</f>
        <v>2000</v>
      </c>
      <c r="H49" s="251">
        <f>G49*F49</f>
        <v>39.800000000000004</v>
      </c>
      <c r="I49" s="193">
        <f t="shared" si="0"/>
        <v>0.40000000000000568</v>
      </c>
      <c r="J49" s="323">
        <f t="shared" ref="J49:J77" si="1">IF((H49)=0,"",(I49/E49))</f>
        <v>1.0152284263959536E-2</v>
      </c>
      <c r="K49" s="48"/>
      <c r="L49" s="59"/>
      <c r="M49" s="46"/>
      <c r="N49" s="51"/>
      <c r="O49" s="58"/>
    </row>
    <row r="50" spans="1:17" ht="14.25" x14ac:dyDescent="0.2">
      <c r="B50" s="87" t="s">
        <v>99</v>
      </c>
      <c r="C50" s="280">
        <f>+C16</f>
        <v>4.0199999999999996</v>
      </c>
      <c r="D50" s="266">
        <f>+D48</f>
        <v>1</v>
      </c>
      <c r="E50" s="197">
        <f t="shared" ref="E50" si="2">D50*C50</f>
        <v>4.0199999999999996</v>
      </c>
      <c r="F50" s="204">
        <f>+D16</f>
        <v>0</v>
      </c>
      <c r="G50" s="30">
        <f>+G48</f>
        <v>1</v>
      </c>
      <c r="H50" s="251">
        <f t="shared" ref="H50" si="3">G50*F50</f>
        <v>0</v>
      </c>
      <c r="I50" s="193">
        <f t="shared" ref="I50" si="4">H50-E50</f>
        <v>-4.0199999999999996</v>
      </c>
      <c r="J50" s="323" t="str">
        <f t="shared" si="1"/>
        <v/>
      </c>
      <c r="K50" s="48"/>
      <c r="L50" s="59"/>
      <c r="M50" s="46"/>
      <c r="N50" s="51"/>
      <c r="O50" s="58"/>
    </row>
    <row r="51" spans="1:17" ht="14.25" x14ac:dyDescent="0.2">
      <c r="B51" s="87" t="s">
        <v>97</v>
      </c>
      <c r="C51" s="280">
        <f>+C22</f>
        <v>0</v>
      </c>
      <c r="D51" s="269">
        <f>+C43</f>
        <v>2000</v>
      </c>
      <c r="E51" s="197">
        <f t="shared" ref="E51:E53" si="5">D51*C51</f>
        <v>0</v>
      </c>
      <c r="F51" s="204">
        <f>+D22</f>
        <v>0</v>
      </c>
      <c r="G51" s="34">
        <f>+C43</f>
        <v>2000</v>
      </c>
      <c r="H51" s="251">
        <f t="shared" ref="H51" si="6">G51*F51</f>
        <v>0</v>
      </c>
      <c r="I51" s="193">
        <f t="shared" si="0"/>
        <v>0</v>
      </c>
      <c r="J51" s="323" t="str">
        <f t="shared" si="1"/>
        <v/>
      </c>
      <c r="K51" s="60"/>
      <c r="L51" s="238"/>
      <c r="N51" s="59"/>
      <c r="O51" s="46"/>
    </row>
    <row r="52" spans="1:17" ht="14.25" x14ac:dyDescent="0.2">
      <c r="B52" s="87" t="s">
        <v>106</v>
      </c>
      <c r="C52" s="280">
        <f>+C19</f>
        <v>-1E-3</v>
      </c>
      <c r="D52" s="269">
        <f>+C43</f>
        <v>2000</v>
      </c>
      <c r="E52" s="197">
        <f t="shared" ref="E52" si="7">D52*C52</f>
        <v>-2</v>
      </c>
      <c r="F52" s="204">
        <f>+D19</f>
        <v>0</v>
      </c>
      <c r="G52" s="34">
        <f>+C43</f>
        <v>2000</v>
      </c>
      <c r="H52" s="251">
        <f t="shared" ref="H52" si="8">G52*F52</f>
        <v>0</v>
      </c>
      <c r="I52" s="193">
        <f t="shared" ref="I52" si="9">H52-E52</f>
        <v>2</v>
      </c>
      <c r="J52" s="323" t="str">
        <f t="shared" si="1"/>
        <v/>
      </c>
      <c r="K52" s="60"/>
      <c r="L52" s="238"/>
      <c r="N52" s="59"/>
      <c r="O52" s="46"/>
    </row>
    <row r="53" spans="1:17" ht="14.25" x14ac:dyDescent="0.2">
      <c r="B53" s="146" t="s">
        <v>92</v>
      </c>
      <c r="C53" s="281">
        <f>C18</f>
        <v>4.0000000000000002E-4</v>
      </c>
      <c r="D53" s="267">
        <f>+C43</f>
        <v>2000</v>
      </c>
      <c r="E53" s="157">
        <f t="shared" si="5"/>
        <v>0.8</v>
      </c>
      <c r="F53" s="158">
        <f>D18</f>
        <v>4.0000000000000002E-4</v>
      </c>
      <c r="G53" s="32">
        <f>+C43</f>
        <v>2000</v>
      </c>
      <c r="H53" s="159">
        <f>G53*F53</f>
        <v>0.8</v>
      </c>
      <c r="I53" s="152">
        <f t="shared" si="0"/>
        <v>0</v>
      </c>
      <c r="J53" s="322">
        <f t="shared" si="1"/>
        <v>0</v>
      </c>
      <c r="K53" s="48"/>
      <c r="L53" s="240"/>
      <c r="M53" s="239"/>
      <c r="N53" s="51"/>
      <c r="O53" s="58"/>
    </row>
    <row r="54" spans="1:17" ht="15" x14ac:dyDescent="0.2">
      <c r="B54" s="33" t="s">
        <v>47</v>
      </c>
      <c r="C54" s="282"/>
      <c r="D54" s="268"/>
      <c r="E54" s="161">
        <f>SUM(E48:E53)</f>
        <v>68.759999999999991</v>
      </c>
      <c r="F54" s="162"/>
      <c r="G54" s="74"/>
      <c r="H54" s="163">
        <f>SUM(H48:H53)</f>
        <v>67.38000000000001</v>
      </c>
      <c r="I54" s="164">
        <f t="shared" si="0"/>
        <v>-1.3799999999999812</v>
      </c>
      <c r="J54" s="324">
        <f t="shared" si="1"/>
        <v>-2.006980802792294E-2</v>
      </c>
      <c r="K54" s="46"/>
      <c r="L54" s="117"/>
      <c r="M54" s="111"/>
      <c r="N54" s="59"/>
      <c r="O54" s="111"/>
    </row>
    <row r="55" spans="1:17" ht="14.25" x14ac:dyDescent="0.2">
      <c r="B55" s="87" t="s">
        <v>48</v>
      </c>
      <c r="C55" s="283">
        <f>C69*E38+C70*E39+C71*E40</f>
        <v>8.2350000000000007E-2</v>
      </c>
      <c r="D55" s="269">
        <f>$C43*($C32-1)</f>
        <v>90.80000000000021</v>
      </c>
      <c r="E55" s="149">
        <f>C55*D55</f>
        <v>7.4773800000000179</v>
      </c>
      <c r="F55" s="154">
        <f>F69*E38+F70*E39+F71*E40</f>
        <v>8.2350000000000007E-2</v>
      </c>
      <c r="G55" s="34">
        <f>$C43*($C32-1)</f>
        <v>90.80000000000021</v>
      </c>
      <c r="H55" s="155">
        <f>F55*G55</f>
        <v>7.4773800000000179</v>
      </c>
      <c r="I55" s="152">
        <f t="shared" si="0"/>
        <v>0</v>
      </c>
      <c r="J55" s="322">
        <f t="shared" si="1"/>
        <v>0</v>
      </c>
      <c r="K55" s="60"/>
      <c r="N55" s="59"/>
      <c r="O55" s="46"/>
    </row>
    <row r="56" spans="1:17" ht="14.25" x14ac:dyDescent="0.2">
      <c r="B56" s="87" t="s">
        <v>98</v>
      </c>
      <c r="C56" s="280">
        <f>+C21</f>
        <v>8.9999999999999998E-4</v>
      </c>
      <c r="D56" s="269">
        <f>C43</f>
        <v>2000</v>
      </c>
      <c r="E56" s="197">
        <f t="shared" ref="E56" si="10">D56*C56</f>
        <v>1.8</v>
      </c>
      <c r="F56" s="204">
        <f>+D21</f>
        <v>8.9999999999999998E-4</v>
      </c>
      <c r="G56" s="34">
        <f>+C43</f>
        <v>2000</v>
      </c>
      <c r="H56" s="251">
        <f t="shared" ref="H56" si="11">G56*F56</f>
        <v>1.8</v>
      </c>
      <c r="I56" s="193">
        <f t="shared" ref="I56" si="12">H56-E56</f>
        <v>0</v>
      </c>
      <c r="J56" s="323">
        <f t="shared" si="1"/>
        <v>0</v>
      </c>
      <c r="K56" s="60"/>
      <c r="N56" s="59"/>
      <c r="O56" s="46"/>
    </row>
    <row r="57" spans="1:17" ht="14.25" x14ac:dyDescent="0.2">
      <c r="B57" s="87" t="s">
        <v>49</v>
      </c>
      <c r="C57" s="283">
        <f>+C23</f>
        <v>0</v>
      </c>
      <c r="D57" s="269">
        <f>C43</f>
        <v>2000</v>
      </c>
      <c r="E57" s="149">
        <f>D57*C57</f>
        <v>0</v>
      </c>
      <c r="F57" s="154">
        <f>+D23</f>
        <v>0</v>
      </c>
      <c r="G57" s="34">
        <f>+C43</f>
        <v>2000</v>
      </c>
      <c r="H57" s="155">
        <f>G57*F57</f>
        <v>0</v>
      </c>
      <c r="I57" s="152">
        <f t="shared" si="0"/>
        <v>0</v>
      </c>
      <c r="J57" s="322" t="str">
        <f t="shared" si="1"/>
        <v/>
      </c>
      <c r="K57" s="60"/>
      <c r="N57" s="59"/>
      <c r="O57" s="46"/>
    </row>
    <row r="58" spans="1:17" ht="14.25" x14ac:dyDescent="0.2">
      <c r="B58" s="87" t="s">
        <v>90</v>
      </c>
      <c r="C58" s="283">
        <f>+C20</f>
        <v>0</v>
      </c>
      <c r="D58" s="269">
        <f>C43</f>
        <v>2000</v>
      </c>
      <c r="E58" s="149">
        <f>D58*C58</f>
        <v>0</v>
      </c>
      <c r="F58" s="154">
        <f>D20</f>
        <v>0</v>
      </c>
      <c r="G58" s="34">
        <f>+C43</f>
        <v>2000</v>
      </c>
      <c r="H58" s="155">
        <f>G58*F58</f>
        <v>0</v>
      </c>
      <c r="I58" s="152">
        <f t="shared" si="0"/>
        <v>0</v>
      </c>
      <c r="J58" s="322" t="str">
        <f t="shared" si="1"/>
        <v/>
      </c>
      <c r="K58" s="60"/>
      <c r="L58" s="238"/>
      <c r="M58" s="60"/>
      <c r="N58" s="59"/>
      <c r="O58" s="46"/>
      <c r="P58" s="51"/>
      <c r="Q58" s="58"/>
    </row>
    <row r="59" spans="1:17" ht="14.25" x14ac:dyDescent="0.2">
      <c r="B59" s="88" t="s">
        <v>50</v>
      </c>
      <c r="C59" s="284">
        <f>C15</f>
        <v>0.56999999999999995</v>
      </c>
      <c r="D59" s="269">
        <f>D48</f>
        <v>1</v>
      </c>
      <c r="E59" s="149">
        <f>D59*C59</f>
        <v>0.56999999999999995</v>
      </c>
      <c r="F59" s="194">
        <f>D15</f>
        <v>0.56999999999999995</v>
      </c>
      <c r="G59" s="34">
        <f>+G48</f>
        <v>1</v>
      </c>
      <c r="H59" s="155">
        <f>G59*F59</f>
        <v>0.56999999999999995</v>
      </c>
      <c r="I59" s="152">
        <f t="shared" si="0"/>
        <v>0</v>
      </c>
      <c r="J59" s="322">
        <f t="shared" si="1"/>
        <v>0</v>
      </c>
      <c r="K59" s="60"/>
      <c r="N59" s="59"/>
      <c r="O59" s="46"/>
    </row>
    <row r="60" spans="1:17" ht="15" x14ac:dyDescent="0.2">
      <c r="B60" s="47" t="s">
        <v>51</v>
      </c>
      <c r="C60" s="270"/>
      <c r="D60" s="270"/>
      <c r="E60" s="166">
        <f>SUM(E55:E59)+E54</f>
        <v>78.607380000000006</v>
      </c>
      <c r="F60" s="167"/>
      <c r="G60" s="36"/>
      <c r="H60" s="195">
        <f>SUM(H55:H59)+H54</f>
        <v>77.227380000000025</v>
      </c>
      <c r="I60" s="164">
        <f t="shared" si="0"/>
        <v>-1.3799999999999812</v>
      </c>
      <c r="J60" s="324">
        <f t="shared" si="1"/>
        <v>-1.7555603557833643E-2</v>
      </c>
      <c r="K60" s="46"/>
      <c r="N60" s="49"/>
      <c r="O60" s="46"/>
    </row>
    <row r="61" spans="1:17" ht="14.25" x14ac:dyDescent="0.2">
      <c r="B61" s="89" t="s">
        <v>52</v>
      </c>
      <c r="C61" s="283">
        <f>C26</f>
        <v>6.8999999999999999E-3</v>
      </c>
      <c r="D61" s="271">
        <f>C43+D55</f>
        <v>2090.8000000000002</v>
      </c>
      <c r="E61" s="149">
        <f>D61*C61</f>
        <v>14.426520000000002</v>
      </c>
      <c r="F61" s="154">
        <f>D26</f>
        <v>7.3000000000000001E-3</v>
      </c>
      <c r="G61" s="215">
        <f>+C43+G55</f>
        <v>2090.8000000000002</v>
      </c>
      <c r="H61" s="155">
        <f>G61*F61</f>
        <v>15.262840000000001</v>
      </c>
      <c r="I61" s="152">
        <f t="shared" si="0"/>
        <v>0.83631999999999884</v>
      </c>
      <c r="J61" s="322">
        <f t="shared" si="1"/>
        <v>5.7971014492753534E-2</v>
      </c>
      <c r="K61" s="60"/>
      <c r="N61" s="110"/>
      <c r="O61" s="46"/>
    </row>
    <row r="62" spans="1:17" ht="21.75" customHeight="1" x14ac:dyDescent="0.2">
      <c r="B62" s="90" t="s">
        <v>53</v>
      </c>
      <c r="C62" s="283">
        <f>C27</f>
        <v>6.4000000000000003E-3</v>
      </c>
      <c r="D62" s="271">
        <f>+C43+D55</f>
        <v>2090.8000000000002</v>
      </c>
      <c r="E62" s="149">
        <f>D62*C62</f>
        <v>13.381120000000001</v>
      </c>
      <c r="F62" s="154">
        <f>D27</f>
        <v>6.4999999999999997E-3</v>
      </c>
      <c r="G62" s="215">
        <f>+C43+G55</f>
        <v>2090.8000000000002</v>
      </c>
      <c r="H62" s="155">
        <f>G62*F62</f>
        <v>13.590200000000001</v>
      </c>
      <c r="I62" s="152">
        <f>H62-E62</f>
        <v>0.20908000000000015</v>
      </c>
      <c r="J62" s="322">
        <f t="shared" si="1"/>
        <v>1.562500000000001E-2</v>
      </c>
      <c r="K62" s="60"/>
      <c r="L62" s="239"/>
      <c r="M62" s="46"/>
      <c r="N62" s="51"/>
      <c r="O62" s="58"/>
    </row>
    <row r="63" spans="1:17" ht="15" x14ac:dyDescent="0.2">
      <c r="B63" s="47" t="s">
        <v>54</v>
      </c>
      <c r="C63" s="270"/>
      <c r="D63" s="270"/>
      <c r="E63" s="166">
        <f>SUM(E60:E62)</f>
        <v>106.41502</v>
      </c>
      <c r="F63" s="168"/>
      <c r="G63" s="39"/>
      <c r="H63" s="169">
        <f>SUM(H60:H62)</f>
        <v>106.08042000000002</v>
      </c>
      <c r="I63" s="164">
        <f t="shared" si="0"/>
        <v>-0.33459999999998047</v>
      </c>
      <c r="J63" s="324">
        <f t="shared" si="1"/>
        <v>-3.144292976686754E-3</v>
      </c>
      <c r="K63" s="44"/>
      <c r="L63" s="49"/>
      <c r="M63" s="44"/>
    </row>
    <row r="64" spans="1:17" ht="14.25" x14ac:dyDescent="0.2">
      <c r="B64" s="87" t="s">
        <v>55</v>
      </c>
      <c r="C64" s="285">
        <f>C28</f>
        <v>3.0000000000000001E-3</v>
      </c>
      <c r="D64" s="269">
        <f>C43+D55</f>
        <v>2090.8000000000002</v>
      </c>
      <c r="E64" s="175">
        <f t="shared" ref="E64:E71" si="13">D64*C64</f>
        <v>6.2724000000000011</v>
      </c>
      <c r="F64" s="154">
        <f>D28</f>
        <v>3.0000000000000001E-3</v>
      </c>
      <c r="G64" s="216">
        <f>+C43+G55</f>
        <v>2090.8000000000002</v>
      </c>
      <c r="H64" s="172">
        <f>G64*F64</f>
        <v>6.2724000000000011</v>
      </c>
      <c r="I64" s="193">
        <f t="shared" si="0"/>
        <v>0</v>
      </c>
      <c r="J64" s="323">
        <f t="shared" si="1"/>
        <v>0</v>
      </c>
      <c r="K64" s="60"/>
      <c r="L64" s="61"/>
      <c r="M64" s="46"/>
      <c r="N64" s="51"/>
      <c r="O64" s="52"/>
    </row>
    <row r="65" spans="2:17" ht="14.25" x14ac:dyDescent="0.2">
      <c r="B65" s="87" t="s">
        <v>87</v>
      </c>
      <c r="C65" s="285">
        <f>C29</f>
        <v>4.0000000000000002E-4</v>
      </c>
      <c r="D65" s="272">
        <f>+C43+D55</f>
        <v>2090.8000000000002</v>
      </c>
      <c r="E65" s="175">
        <f t="shared" si="13"/>
        <v>0.83632000000000006</v>
      </c>
      <c r="F65" s="154">
        <f>D29</f>
        <v>4.0000000000000002E-4</v>
      </c>
      <c r="G65" s="216">
        <f>+C43+G55</f>
        <v>2090.8000000000002</v>
      </c>
      <c r="H65" s="172">
        <f>G65*F65</f>
        <v>0.83632000000000006</v>
      </c>
      <c r="I65" s="193">
        <f t="shared" si="0"/>
        <v>0</v>
      </c>
      <c r="J65" s="323">
        <f t="shared" si="1"/>
        <v>0</v>
      </c>
      <c r="K65" s="60"/>
      <c r="L65" s="61"/>
      <c r="M65" s="46"/>
      <c r="N65" s="51"/>
      <c r="O65" s="52"/>
    </row>
    <row r="66" spans="2:17" ht="14.25" x14ac:dyDescent="0.2">
      <c r="B66" s="86" t="s">
        <v>56</v>
      </c>
      <c r="C66" s="285">
        <f>C30</f>
        <v>5.0000000000000001E-4</v>
      </c>
      <c r="D66" s="272">
        <f>+C43+D55</f>
        <v>2090.8000000000002</v>
      </c>
      <c r="E66" s="175">
        <f t="shared" si="13"/>
        <v>1.0454000000000001</v>
      </c>
      <c r="F66" s="154">
        <f>D30</f>
        <v>5.0000000000000001E-4</v>
      </c>
      <c r="G66" s="216">
        <f>+C43+G55</f>
        <v>2090.8000000000002</v>
      </c>
      <c r="H66" s="172">
        <f>G66*F66</f>
        <v>1.0454000000000001</v>
      </c>
      <c r="I66" s="193">
        <f t="shared" si="0"/>
        <v>0</v>
      </c>
      <c r="J66" s="323">
        <f t="shared" si="1"/>
        <v>0</v>
      </c>
      <c r="K66" s="60"/>
      <c r="L66" s="61"/>
      <c r="M66" s="46"/>
      <c r="N66" s="51"/>
      <c r="O66" s="52"/>
    </row>
    <row r="67" spans="2:17" ht="14.25" x14ac:dyDescent="0.2">
      <c r="B67" s="86" t="s">
        <v>57</v>
      </c>
      <c r="C67" s="292">
        <f>C31</f>
        <v>0.25</v>
      </c>
      <c r="D67" s="269">
        <f>D48</f>
        <v>1</v>
      </c>
      <c r="E67" s="175">
        <f t="shared" si="13"/>
        <v>0.25</v>
      </c>
      <c r="F67" s="194">
        <f>D31</f>
        <v>0.25</v>
      </c>
      <c r="G67" s="122">
        <f>+G48</f>
        <v>1</v>
      </c>
      <c r="H67" s="172">
        <f>G67*F67</f>
        <v>0.25</v>
      </c>
      <c r="I67" s="193">
        <f t="shared" si="0"/>
        <v>0</v>
      </c>
      <c r="J67" s="323">
        <f t="shared" si="1"/>
        <v>0</v>
      </c>
      <c r="K67" s="60"/>
      <c r="L67" s="61"/>
      <c r="M67" s="46"/>
      <c r="N67" s="51"/>
      <c r="O67" s="52"/>
    </row>
    <row r="68" spans="2:17" ht="15" x14ac:dyDescent="0.2">
      <c r="B68" s="47" t="s">
        <v>62</v>
      </c>
      <c r="C68" s="270"/>
      <c r="D68" s="270"/>
      <c r="E68" s="166">
        <f>SUM(E64:E67)</f>
        <v>8.4041200000000007</v>
      </c>
      <c r="F68" s="168"/>
      <c r="G68" s="39"/>
      <c r="H68" s="169">
        <f>SUM(H64:H67)</f>
        <v>8.4041200000000007</v>
      </c>
      <c r="I68" s="166">
        <f>SUM(I64:I67)</f>
        <v>0</v>
      </c>
      <c r="J68" s="327">
        <f t="shared" si="1"/>
        <v>0</v>
      </c>
      <c r="K68" s="60"/>
      <c r="L68" s="61"/>
      <c r="M68" s="46"/>
      <c r="N68" s="51"/>
      <c r="O68" s="52"/>
    </row>
    <row r="69" spans="2:17" ht="14.25" x14ac:dyDescent="0.2">
      <c r="B69" s="87" t="s">
        <v>58</v>
      </c>
      <c r="C69" s="285">
        <f>C38</f>
        <v>6.5000000000000002E-2</v>
      </c>
      <c r="D69" s="269">
        <f>ROUND($C$43*$E38,0)</f>
        <v>1300</v>
      </c>
      <c r="E69" s="175">
        <f t="shared" si="13"/>
        <v>84.5</v>
      </c>
      <c r="F69" s="154">
        <f>C69</f>
        <v>6.5000000000000002E-2</v>
      </c>
      <c r="G69" s="34">
        <f>ROUND($C$43*$E38,0)</f>
        <v>1300</v>
      </c>
      <c r="H69" s="172">
        <f>G69*F69</f>
        <v>84.5</v>
      </c>
      <c r="I69" s="193">
        <f>H69-E69</f>
        <v>0</v>
      </c>
      <c r="J69" s="323">
        <f t="shared" si="1"/>
        <v>0</v>
      </c>
      <c r="K69" s="60"/>
      <c r="L69" s="61"/>
      <c r="M69" s="46"/>
      <c r="N69" s="51"/>
      <c r="O69" s="52"/>
    </row>
    <row r="70" spans="2:17" ht="14.25" x14ac:dyDescent="0.2">
      <c r="B70" s="87" t="s">
        <v>59</v>
      </c>
      <c r="C70" s="285">
        <f>C39</f>
        <v>9.4E-2</v>
      </c>
      <c r="D70" s="269">
        <f>ROUND($C$43*$E39,0)</f>
        <v>340</v>
      </c>
      <c r="E70" s="175">
        <f t="shared" si="13"/>
        <v>31.96</v>
      </c>
      <c r="F70" s="154">
        <f>C70</f>
        <v>9.4E-2</v>
      </c>
      <c r="G70" s="34">
        <f>ROUND($C$43*$E39,0)</f>
        <v>340</v>
      </c>
      <c r="H70" s="172">
        <f>G70*F70</f>
        <v>31.96</v>
      </c>
      <c r="I70" s="193">
        <f>H70-E70</f>
        <v>0</v>
      </c>
      <c r="J70" s="323">
        <f t="shared" si="1"/>
        <v>0</v>
      </c>
      <c r="K70" s="60"/>
      <c r="L70" s="61"/>
      <c r="M70" s="46"/>
      <c r="N70" s="51"/>
      <c r="O70" s="52"/>
    </row>
    <row r="71" spans="2:17" ht="14.25" x14ac:dyDescent="0.2">
      <c r="B71" s="87" t="s">
        <v>60</v>
      </c>
      <c r="C71" s="285">
        <f>C40</f>
        <v>0.13400000000000001</v>
      </c>
      <c r="D71" s="269">
        <f>ROUND($C$43*$E40,0)</f>
        <v>360</v>
      </c>
      <c r="E71" s="175">
        <f t="shared" si="13"/>
        <v>48.24</v>
      </c>
      <c r="F71" s="154">
        <f>C71</f>
        <v>0.13400000000000001</v>
      </c>
      <c r="G71" s="34">
        <f>ROUND($C$43*$E40,0)</f>
        <v>360</v>
      </c>
      <c r="H71" s="172">
        <f>G71*F71</f>
        <v>48.24</v>
      </c>
      <c r="I71" s="193">
        <f>H71-E71</f>
        <v>0</v>
      </c>
      <c r="J71" s="323">
        <f t="shared" si="1"/>
        <v>0</v>
      </c>
      <c r="K71" s="60"/>
      <c r="L71" s="61"/>
      <c r="M71" s="46"/>
      <c r="N71" s="51"/>
      <c r="O71" s="52"/>
    </row>
    <row r="72" spans="2:17" ht="15.75" thickBot="1" x14ac:dyDescent="0.25">
      <c r="B72" s="47" t="s">
        <v>63</v>
      </c>
      <c r="C72" s="270"/>
      <c r="D72" s="270"/>
      <c r="E72" s="166">
        <f>SUM(E69:E71)</f>
        <v>164.70000000000002</v>
      </c>
      <c r="F72" s="168"/>
      <c r="G72" s="39"/>
      <c r="H72" s="169">
        <f>SUM(H69:H71)</f>
        <v>164.70000000000002</v>
      </c>
      <c r="I72" s="196">
        <f>H72-E72</f>
        <v>0</v>
      </c>
      <c r="J72" s="328">
        <f t="shared" si="1"/>
        <v>0</v>
      </c>
      <c r="K72" s="60"/>
      <c r="L72" s="61"/>
      <c r="M72" s="46"/>
      <c r="N72" s="51"/>
      <c r="O72" s="52"/>
    </row>
    <row r="73" spans="2:17" ht="6.75" customHeight="1" thickBot="1" x14ac:dyDescent="0.25">
      <c r="B73" s="91"/>
      <c r="C73" s="287"/>
      <c r="D73" s="274"/>
      <c r="E73" s="177"/>
      <c r="F73" s="178"/>
      <c r="G73" s="41"/>
      <c r="H73" s="179"/>
      <c r="I73" s="180"/>
      <c r="J73" s="325" t="str">
        <f t="shared" si="1"/>
        <v/>
      </c>
      <c r="K73" s="46"/>
      <c r="L73" s="61"/>
      <c r="M73" s="46"/>
      <c r="N73" s="51"/>
      <c r="O73" s="52"/>
      <c r="Q73" s="51"/>
    </row>
    <row r="74" spans="2:17" ht="15" x14ac:dyDescent="0.2">
      <c r="B74" s="71" t="s">
        <v>61</v>
      </c>
      <c r="C74" s="288"/>
      <c r="D74" s="275"/>
      <c r="E74" s="182">
        <f>E72+E68+E63</f>
        <v>279.51913999999999</v>
      </c>
      <c r="F74" s="183"/>
      <c r="G74" s="43"/>
      <c r="H74" s="184">
        <f>H72+H68+H63</f>
        <v>279.18454000000003</v>
      </c>
      <c r="I74" s="152">
        <f>H74-E74</f>
        <v>-0.33459999999996626</v>
      </c>
      <c r="J74" s="322">
        <f t="shared" si="1"/>
        <v>-1.1970557722808042E-3</v>
      </c>
      <c r="K74" s="67"/>
      <c r="L74" s="49"/>
      <c r="M74" s="44"/>
      <c r="N74" s="49"/>
      <c r="O74" s="49"/>
      <c r="Q74" s="49"/>
    </row>
    <row r="75" spans="2:17" ht="14.25" x14ac:dyDescent="0.2">
      <c r="B75" s="72" t="s">
        <v>18</v>
      </c>
      <c r="C75" s="288">
        <v>0.13</v>
      </c>
      <c r="D75" s="276"/>
      <c r="E75" s="185">
        <f>E74*C75</f>
        <v>36.337488200000003</v>
      </c>
      <c r="F75" s="186">
        <v>0.13</v>
      </c>
      <c r="G75" s="27"/>
      <c r="H75" s="187">
        <f>H74*F75</f>
        <v>36.293990200000003</v>
      </c>
      <c r="I75" s="152">
        <f>H75-E75</f>
        <v>-4.3497999999999593E-2</v>
      </c>
      <c r="J75" s="322">
        <f t="shared" si="1"/>
        <v>-1.1970557722809137E-3</v>
      </c>
      <c r="K75" s="45"/>
      <c r="L75" s="51"/>
      <c r="M75" s="46"/>
      <c r="N75" s="51"/>
      <c r="O75" s="52"/>
      <c r="Q75" s="51"/>
    </row>
    <row r="76" spans="2:17" ht="15" x14ac:dyDescent="0.2">
      <c r="B76" s="72" t="s">
        <v>86</v>
      </c>
      <c r="C76" s="288">
        <v>-0.08</v>
      </c>
      <c r="D76" s="276"/>
      <c r="E76" s="185">
        <f>+E74*C76</f>
        <v>-22.361531199999998</v>
      </c>
      <c r="F76" s="186">
        <v>-0.08</v>
      </c>
      <c r="G76" s="27"/>
      <c r="H76" s="187">
        <f>+H74*F76</f>
        <v>-22.334763200000001</v>
      </c>
      <c r="I76" s="152">
        <f>H76-E76</f>
        <v>2.6767999999997016E-2</v>
      </c>
      <c r="J76" s="322">
        <f t="shared" si="1"/>
        <v>-1.1970557722807917E-3</v>
      </c>
      <c r="K76" s="68"/>
      <c r="L76" s="49"/>
      <c r="M76" s="44"/>
      <c r="N76" s="49"/>
      <c r="O76" s="50"/>
    </row>
    <row r="77" spans="2:17" ht="15" x14ac:dyDescent="0.2">
      <c r="B77" s="78" t="s">
        <v>76</v>
      </c>
      <c r="C77" s="289"/>
      <c r="D77" s="277"/>
      <c r="E77" s="190">
        <f>SUM(E74:E76)</f>
        <v>293.49509699999999</v>
      </c>
      <c r="F77" s="191"/>
      <c r="G77" s="80"/>
      <c r="H77" s="169">
        <f>SUM(H74:H76)</f>
        <v>293.14376700000003</v>
      </c>
      <c r="I77" s="164">
        <f>H77-E77</f>
        <v>-0.35132999999996173</v>
      </c>
      <c r="J77" s="324">
        <f t="shared" si="1"/>
        <v>-1.1970557722807947E-3</v>
      </c>
      <c r="K77" s="10"/>
      <c r="L77" s="10"/>
      <c r="M77" s="10"/>
      <c r="N77" s="10"/>
      <c r="O77" s="10"/>
    </row>
    <row r="78" spans="2:17" x14ac:dyDescent="0.2">
      <c r="E78" s="145" t="s">
        <v>70</v>
      </c>
    </row>
  </sheetData>
  <mergeCells count="10">
    <mergeCell ref="B11:E11"/>
    <mergeCell ref="C45:E45"/>
    <mergeCell ref="F45:H45"/>
    <mergeCell ref="I45:J45"/>
    <mergeCell ref="N45:O45"/>
    <mergeCell ref="B46:B47"/>
    <mergeCell ref="I46:I47"/>
    <mergeCell ref="J46:J47"/>
    <mergeCell ref="N46:N47"/>
    <mergeCell ref="O46:O47"/>
  </mergeCells>
  <pageMargins left="0.75" right="0.75" top="1" bottom="1" header="0.5" footer="0.5"/>
  <pageSetup scale="89" orientation="landscape" r:id="rId1"/>
  <headerFooter alignWithMargins="0">
    <oddFooter>&amp;R&amp;F</oddFooter>
  </headerFooter>
  <ignoredErrors>
    <ignoredError sqref="C53 F48 D55 C59:D59 C61:D62 F61:G62 C64:D67 F64:G67 C69:D71 F69:G71 F49:G49 C49:D49 F55:G55 C48 F59:G59 G56 F58:G58 G57" unlockedFormula="1"/>
    <ignoredError sqref="E60 H60 E63 H63 E68 H68:I68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Q76"/>
  <sheetViews>
    <sheetView showGridLines="0" topLeftCell="A36" zoomScale="90" zoomScaleNormal="90" workbookViewId="0">
      <selection activeCell="C75" sqref="C75"/>
    </sheetView>
  </sheetViews>
  <sheetFormatPr defaultRowHeight="12.75" x14ac:dyDescent="0.2"/>
  <cols>
    <col min="1" max="1" width="2.28515625" customWidth="1"/>
    <col min="2" max="2" width="46.28515625" customWidth="1"/>
    <col min="3" max="3" width="11" customWidth="1"/>
    <col min="4" max="4" width="11.140625" style="259" customWidth="1"/>
    <col min="5" max="5" width="13" customWidth="1"/>
    <col min="6" max="6" width="14" customWidth="1"/>
    <col min="7" max="7" width="9.85546875" customWidth="1"/>
    <col min="8" max="8" width="13.140625" customWidth="1"/>
    <col min="9" max="9" width="10.7109375" bestFit="1" customWidth="1"/>
    <col min="10" max="10" width="11.140625" bestFit="1" customWidth="1"/>
    <col min="11" max="11" width="13.140625" customWidth="1"/>
    <col min="13" max="13" width="11" bestFit="1" customWidth="1"/>
    <col min="14" max="14" width="11.5703125" bestFit="1" customWidth="1"/>
    <col min="15" max="15" width="12.28515625" customWidth="1"/>
    <col min="17" max="17" width="9.85546875" customWidth="1"/>
  </cols>
  <sheetData>
    <row r="1" spans="2:11" hidden="1" x14ac:dyDescent="0.2"/>
    <row r="2" spans="2:11" hidden="1" x14ac:dyDescent="0.2"/>
    <row r="3" spans="2:11" hidden="1" x14ac:dyDescent="0.2"/>
    <row r="4" spans="2:11" hidden="1" x14ac:dyDescent="0.2"/>
    <row r="5" spans="2:11" hidden="1" x14ac:dyDescent="0.2"/>
    <row r="6" spans="2:11" hidden="1" x14ac:dyDescent="0.2"/>
    <row r="7" spans="2:11" hidden="1" x14ac:dyDescent="0.2"/>
    <row r="8" spans="2:11" hidden="1" x14ac:dyDescent="0.2"/>
    <row r="9" spans="2:11" ht="18" x14ac:dyDescent="0.25">
      <c r="B9" s="1" t="s">
        <v>19</v>
      </c>
      <c r="C9" s="2"/>
      <c r="D9" s="260"/>
      <c r="E9" s="127"/>
      <c r="F9" s="124" t="s">
        <v>74</v>
      </c>
      <c r="G9" s="2"/>
      <c r="H9" s="2"/>
      <c r="I9" s="2"/>
      <c r="J9" s="2"/>
      <c r="K9" s="2"/>
    </row>
    <row r="10" spans="2:11" x14ac:dyDescent="0.2">
      <c r="B10" s="2"/>
      <c r="C10" s="2"/>
      <c r="D10" s="260"/>
      <c r="E10" s="2"/>
      <c r="F10" s="2"/>
      <c r="G10" s="2"/>
      <c r="H10" s="2"/>
      <c r="I10" s="2"/>
      <c r="J10" s="2"/>
      <c r="K10" s="2"/>
    </row>
    <row r="11" spans="2:11" ht="18" x14ac:dyDescent="0.25">
      <c r="B11" s="353" t="s">
        <v>20</v>
      </c>
      <c r="C11" s="353"/>
      <c r="D11" s="353"/>
      <c r="E11" s="353"/>
      <c r="F11" s="3"/>
      <c r="G11" s="3"/>
      <c r="H11" s="2"/>
      <c r="I11" s="2"/>
      <c r="J11" s="2"/>
      <c r="K11" s="2"/>
    </row>
    <row r="12" spans="2:11" ht="13.5" thickBot="1" x14ac:dyDescent="0.25">
      <c r="B12" s="124"/>
      <c r="C12" s="142">
        <v>2019</v>
      </c>
      <c r="D12" s="142">
        <v>2020</v>
      </c>
      <c r="E12" s="124"/>
      <c r="F12" s="124"/>
      <c r="G12" s="124"/>
      <c r="H12" s="124"/>
      <c r="I12" s="124"/>
      <c r="J12" s="124"/>
      <c r="K12" s="2"/>
    </row>
    <row r="13" spans="2:11" ht="26.25" thickBot="1" x14ac:dyDescent="0.25">
      <c r="B13" s="4" t="s">
        <v>1</v>
      </c>
      <c r="C13" s="81" t="s">
        <v>2</v>
      </c>
      <c r="D13" s="261" t="s">
        <v>41</v>
      </c>
      <c r="E13" s="124"/>
      <c r="F13" s="124"/>
      <c r="G13" s="124"/>
      <c r="H13" s="124"/>
      <c r="I13" s="124"/>
      <c r="J13" s="124"/>
      <c r="K13" s="2"/>
    </row>
    <row r="14" spans="2:11" x14ac:dyDescent="0.2">
      <c r="B14" s="5" t="s">
        <v>3</v>
      </c>
      <c r="C14" s="301">
        <v>202.15</v>
      </c>
      <c r="D14" s="301">
        <v>203.97</v>
      </c>
      <c r="E14" s="124" t="s">
        <v>72</v>
      </c>
      <c r="F14" s="124"/>
      <c r="G14" s="124"/>
      <c r="H14" s="124"/>
      <c r="I14" s="218"/>
      <c r="J14" s="124"/>
      <c r="K14" s="2"/>
    </row>
    <row r="15" spans="2:11" x14ac:dyDescent="0.2">
      <c r="B15" s="6" t="s">
        <v>4</v>
      </c>
      <c r="C15" s="147">
        <v>4.0373999999999999</v>
      </c>
      <c r="D15" s="147">
        <v>4.0736999999999997</v>
      </c>
      <c r="E15" s="124" t="s">
        <v>105</v>
      </c>
      <c r="F15" s="124"/>
      <c r="G15" s="124"/>
      <c r="H15" s="124"/>
      <c r="I15" s="219"/>
      <c r="J15" s="124"/>
      <c r="K15" s="2"/>
    </row>
    <row r="16" spans="2:11" x14ac:dyDescent="0.2">
      <c r="B16" s="6" t="s">
        <v>83</v>
      </c>
      <c r="C16" s="147">
        <v>0.1182</v>
      </c>
      <c r="D16" s="147">
        <v>0.1459</v>
      </c>
      <c r="E16" s="124"/>
      <c r="F16" s="124"/>
      <c r="G16" s="124"/>
      <c r="H16" s="124"/>
      <c r="I16" s="219"/>
      <c r="J16" s="124"/>
      <c r="K16" s="2"/>
    </row>
    <row r="17" spans="2:11" x14ac:dyDescent="0.2">
      <c r="B17" s="6">
        <v>1576</v>
      </c>
      <c r="C17" s="147">
        <v>-0.4446</v>
      </c>
      <c r="D17" s="147"/>
      <c r="E17" s="124" t="s">
        <v>105</v>
      </c>
      <c r="F17" s="124"/>
      <c r="G17" s="124"/>
      <c r="H17" s="124"/>
      <c r="I17" s="219"/>
      <c r="J17" s="124"/>
      <c r="K17" s="2"/>
    </row>
    <row r="18" spans="2:11" x14ac:dyDescent="0.2">
      <c r="B18" s="6"/>
      <c r="C18" s="147">
        <v>0</v>
      </c>
      <c r="D18" s="147">
        <v>0</v>
      </c>
      <c r="E18" s="124" t="s">
        <v>105</v>
      </c>
      <c r="F18" s="124"/>
      <c r="G18" s="124"/>
      <c r="H18" s="124"/>
      <c r="I18" s="225"/>
      <c r="J18" s="124"/>
      <c r="K18" s="2"/>
    </row>
    <row r="19" spans="2:11" x14ac:dyDescent="0.2">
      <c r="B19" s="258" t="s">
        <v>96</v>
      </c>
      <c r="C19" s="309">
        <v>0.31809999999999999</v>
      </c>
      <c r="D19" s="309">
        <v>0.31809999999999999</v>
      </c>
      <c r="E19" s="124" t="s">
        <v>105</v>
      </c>
      <c r="F19" s="228"/>
      <c r="G19" s="228"/>
      <c r="H19" s="124"/>
      <c r="I19" s="124"/>
      <c r="J19" s="124"/>
      <c r="K19" s="2"/>
    </row>
    <row r="20" spans="2:11" x14ac:dyDescent="0.2">
      <c r="B20" s="296"/>
      <c r="C20" s="310">
        <v>0</v>
      </c>
      <c r="D20" s="310">
        <v>0</v>
      </c>
      <c r="E20" s="124" t="s">
        <v>105</v>
      </c>
      <c r="F20" s="228"/>
      <c r="G20" s="228"/>
      <c r="H20" s="124"/>
      <c r="I20" s="124"/>
      <c r="J20" s="124"/>
      <c r="K20" s="2"/>
    </row>
    <row r="21" spans="2:11" x14ac:dyDescent="0.2">
      <c r="B21" s="83"/>
      <c r="C21" s="299">
        <v>0</v>
      </c>
      <c r="D21" s="299">
        <v>0</v>
      </c>
      <c r="E21" s="124" t="s">
        <v>105</v>
      </c>
      <c r="F21" s="124"/>
      <c r="G21" s="124"/>
      <c r="H21" s="124"/>
      <c r="I21" s="219"/>
      <c r="J21" s="124"/>
      <c r="K21" s="2"/>
    </row>
    <row r="22" spans="2:11" x14ac:dyDescent="0.2">
      <c r="B22" s="83"/>
      <c r="C22" s="147">
        <v>0</v>
      </c>
      <c r="D22" s="147">
        <v>0</v>
      </c>
      <c r="E22" s="124" t="s">
        <v>105</v>
      </c>
      <c r="F22" s="124"/>
      <c r="G22" s="124"/>
      <c r="H22" s="124"/>
      <c r="I22" s="219"/>
      <c r="J22" s="124"/>
      <c r="K22" s="2"/>
    </row>
    <row r="23" spans="2:11" ht="12.75" customHeight="1" x14ac:dyDescent="0.2">
      <c r="B23" s="317" t="s">
        <v>75</v>
      </c>
      <c r="C23" s="318">
        <f>SUM(C21:C22)</f>
        <v>0</v>
      </c>
      <c r="D23" s="318">
        <f>SUM(D21:D22)</f>
        <v>0</v>
      </c>
      <c r="E23" s="124" t="s">
        <v>105</v>
      </c>
      <c r="F23" s="124"/>
      <c r="G23" s="124"/>
      <c r="H23" s="124"/>
      <c r="I23" s="219"/>
      <c r="J23" s="124"/>
      <c r="K23" s="2"/>
    </row>
    <row r="24" spans="2:11" x14ac:dyDescent="0.2">
      <c r="B24" s="83"/>
      <c r="C24" s="147">
        <v>0</v>
      </c>
      <c r="D24" s="147">
        <v>0</v>
      </c>
      <c r="E24" s="132" t="s">
        <v>12</v>
      </c>
      <c r="F24" s="124"/>
      <c r="G24" s="124"/>
      <c r="H24" s="124"/>
      <c r="I24" s="219"/>
      <c r="J24" s="124"/>
      <c r="K24" s="2"/>
    </row>
    <row r="25" spans="2:11" x14ac:dyDescent="0.2">
      <c r="B25" s="6" t="s">
        <v>5</v>
      </c>
      <c r="C25" s="299">
        <v>2.7517</v>
      </c>
      <c r="D25" s="299">
        <v>2.8961999999999999</v>
      </c>
      <c r="E25" s="124" t="s">
        <v>105</v>
      </c>
      <c r="F25" s="124"/>
      <c r="G25" s="124"/>
      <c r="H25" s="124"/>
      <c r="I25" s="219"/>
      <c r="J25" s="124"/>
      <c r="K25" s="2"/>
    </row>
    <row r="26" spans="2:11" ht="30" customHeight="1" x14ac:dyDescent="0.2">
      <c r="B26" s="6" t="s">
        <v>6</v>
      </c>
      <c r="C26" s="299">
        <v>2.4356</v>
      </c>
      <c r="D26" s="299">
        <v>2.4775999999999998</v>
      </c>
      <c r="E26" s="124" t="s">
        <v>105</v>
      </c>
      <c r="F26" s="124"/>
      <c r="G26" s="124"/>
      <c r="H26" s="124"/>
      <c r="I26" s="219"/>
      <c r="J26" s="124"/>
      <c r="K26" s="2"/>
    </row>
    <row r="27" spans="2:11" x14ac:dyDescent="0.2">
      <c r="B27" s="6" t="s">
        <v>7</v>
      </c>
      <c r="C27" s="147">
        <v>3.0000000000000001E-3</v>
      </c>
      <c r="D27" s="147">
        <v>3.0000000000000001E-3</v>
      </c>
      <c r="E27" s="132" t="s">
        <v>12</v>
      </c>
      <c r="F27" s="124"/>
      <c r="G27" s="124"/>
      <c r="H27" s="124"/>
      <c r="I27" s="119"/>
      <c r="J27" s="124"/>
      <c r="K27" s="2"/>
    </row>
    <row r="28" spans="2:11" x14ac:dyDescent="0.2">
      <c r="B28" s="6" t="s">
        <v>87</v>
      </c>
      <c r="C28" s="147">
        <v>4.0000000000000002E-4</v>
      </c>
      <c r="D28" s="147">
        <v>4.0000000000000002E-4</v>
      </c>
      <c r="E28" s="132" t="s">
        <v>12</v>
      </c>
      <c r="F28" s="124"/>
      <c r="G28" s="124"/>
      <c r="H28" s="124"/>
      <c r="I28" s="119"/>
      <c r="J28" s="124"/>
      <c r="K28" s="2"/>
    </row>
    <row r="29" spans="2:11" x14ac:dyDescent="0.2">
      <c r="B29" s="6" t="s">
        <v>8</v>
      </c>
      <c r="C29" s="147">
        <v>5.0000000000000001E-4</v>
      </c>
      <c r="D29" s="147">
        <v>5.0000000000000001E-4</v>
      </c>
      <c r="E29" s="132" t="s">
        <v>12</v>
      </c>
      <c r="F29" s="124"/>
      <c r="G29" s="124"/>
      <c r="H29" s="124"/>
      <c r="I29" s="119"/>
      <c r="J29" s="124"/>
      <c r="K29" s="2"/>
    </row>
    <row r="30" spans="2:11" ht="23.25" customHeight="1" x14ac:dyDescent="0.2">
      <c r="B30" s="6" t="s">
        <v>9</v>
      </c>
      <c r="C30" s="303">
        <v>0.25</v>
      </c>
      <c r="D30" s="303">
        <v>0.25</v>
      </c>
      <c r="E30" s="124" t="s">
        <v>72</v>
      </c>
      <c r="F30" s="124"/>
      <c r="G30" s="124"/>
      <c r="H30" s="124"/>
      <c r="I30" s="220"/>
      <c r="J30" s="124"/>
      <c r="K30" s="2"/>
    </row>
    <row r="31" spans="2:11" ht="13.5" thickBot="1" x14ac:dyDescent="0.25">
      <c r="B31" s="7" t="s">
        <v>10</v>
      </c>
      <c r="C31" s="308">
        <v>1.0454000000000001</v>
      </c>
      <c r="D31" s="308">
        <v>1.0454000000000001</v>
      </c>
      <c r="E31" s="132" t="s">
        <v>64</v>
      </c>
      <c r="F31" s="124"/>
      <c r="G31" s="124"/>
      <c r="H31" s="124"/>
      <c r="I31" s="119"/>
      <c r="J31" s="124"/>
      <c r="K31" s="2"/>
    </row>
    <row r="32" spans="2:11" x14ac:dyDescent="0.2">
      <c r="B32" s="82"/>
      <c r="C32" s="124"/>
      <c r="D32" s="278"/>
      <c r="F32" s="124"/>
      <c r="G32" s="124"/>
      <c r="H32" s="124"/>
      <c r="I32" s="132"/>
      <c r="J32" s="124"/>
      <c r="K32" s="2"/>
    </row>
    <row r="33" spans="1:15" x14ac:dyDescent="0.2">
      <c r="B33" s="82"/>
      <c r="C33" s="124"/>
      <c r="D33" s="278"/>
      <c r="E33" s="75"/>
      <c r="F33" s="124"/>
      <c r="G33" s="124"/>
      <c r="H33" s="124"/>
      <c r="I33" s="124"/>
      <c r="J33" s="124"/>
      <c r="K33" s="2"/>
    </row>
    <row r="34" spans="1:15" x14ac:dyDescent="0.2">
      <c r="B34" s="82"/>
      <c r="C34" s="124"/>
      <c r="D34" s="278"/>
      <c r="E34" s="75"/>
      <c r="F34" s="124"/>
      <c r="G34" s="124"/>
      <c r="H34" s="124"/>
      <c r="I34" s="124"/>
      <c r="J34" s="124"/>
      <c r="K34" s="2"/>
    </row>
    <row r="35" spans="1:15" x14ac:dyDescent="0.2">
      <c r="B35" s="82"/>
      <c r="C35" s="124"/>
      <c r="D35" s="278"/>
      <c r="E35" s="75" t="s">
        <v>64</v>
      </c>
      <c r="F35" s="124"/>
      <c r="G35" s="124"/>
      <c r="H35" s="124"/>
      <c r="I35" s="124"/>
      <c r="J35" s="124"/>
      <c r="K35" s="2"/>
    </row>
    <row r="36" spans="1:15" x14ac:dyDescent="0.2">
      <c r="B36" s="82" t="s">
        <v>32</v>
      </c>
      <c r="C36" s="214">
        <v>7.6999999999999999E-2</v>
      </c>
      <c r="D36" s="214">
        <v>7.6999999999999999E-2</v>
      </c>
      <c r="E36" s="143"/>
      <c r="F36" s="124"/>
      <c r="G36" s="124"/>
      <c r="H36" s="124"/>
      <c r="I36" s="124"/>
      <c r="J36" s="124"/>
      <c r="K36" s="2"/>
    </row>
    <row r="37" spans="1:15" x14ac:dyDescent="0.2">
      <c r="B37" s="82" t="s">
        <v>33</v>
      </c>
      <c r="C37" s="214">
        <v>8.8999999999999996E-2</v>
      </c>
      <c r="D37" s="214">
        <v>8.8999999999999996E-2</v>
      </c>
      <c r="E37" s="143"/>
      <c r="F37" s="124"/>
      <c r="G37" s="124"/>
      <c r="H37" s="124"/>
      <c r="I37" s="124"/>
      <c r="J37" s="124"/>
      <c r="K37" s="2"/>
    </row>
    <row r="38" spans="1:15" x14ac:dyDescent="0.2">
      <c r="B38" s="82" t="s">
        <v>34</v>
      </c>
      <c r="C38" s="214">
        <v>6.5000000000000002E-2</v>
      </c>
      <c r="D38" s="214">
        <v>6.5000000000000002E-2</v>
      </c>
      <c r="E38" s="143">
        <f>'Res '!E38</f>
        <v>0.65</v>
      </c>
      <c r="F38" s="144">
        <f>C38*E38</f>
        <v>4.2250000000000003E-2</v>
      </c>
      <c r="G38" s="124"/>
      <c r="H38" s="124"/>
      <c r="I38" s="124"/>
      <c r="J38" s="124"/>
      <c r="K38" s="2"/>
    </row>
    <row r="39" spans="1:15" x14ac:dyDescent="0.2">
      <c r="B39" s="82" t="s">
        <v>35</v>
      </c>
      <c r="C39" s="214">
        <v>9.4E-2</v>
      </c>
      <c r="D39" s="214">
        <v>9.4E-2</v>
      </c>
      <c r="E39" s="143">
        <f>'Res '!E39</f>
        <v>0.17</v>
      </c>
      <c r="F39" s="144">
        <f>C39*E39</f>
        <v>1.5980000000000001E-2</v>
      </c>
      <c r="G39" s="124"/>
      <c r="H39" s="124"/>
      <c r="I39" s="124"/>
      <c r="J39" s="124"/>
      <c r="K39" s="2"/>
    </row>
    <row r="40" spans="1:15" x14ac:dyDescent="0.2">
      <c r="B40" s="82" t="s">
        <v>36</v>
      </c>
      <c r="C40" s="214">
        <v>0.13400000000000001</v>
      </c>
      <c r="D40" s="214">
        <v>0.13400000000000001</v>
      </c>
      <c r="E40" s="143">
        <f>'Res '!E40</f>
        <v>0.18</v>
      </c>
      <c r="F40" s="144">
        <f>C40*E40</f>
        <v>2.4119999999999999E-2</v>
      </c>
      <c r="G40" s="124"/>
      <c r="H40" s="124"/>
      <c r="I40" s="124"/>
      <c r="J40" s="124"/>
      <c r="K40" s="2"/>
    </row>
    <row r="41" spans="1:15" x14ac:dyDescent="0.2">
      <c r="B41" s="82"/>
      <c r="C41" s="124"/>
      <c r="D41" s="278"/>
      <c r="E41" s="124"/>
      <c r="F41" s="144"/>
      <c r="G41" s="124"/>
      <c r="H41" s="124"/>
      <c r="I41" s="124"/>
      <c r="J41" s="124"/>
      <c r="K41" s="2"/>
    </row>
    <row r="42" spans="1:15" ht="13.5" thickBot="1" x14ac:dyDescent="0.25">
      <c r="B42" s="82"/>
      <c r="C42" s="124"/>
      <c r="D42" s="278"/>
      <c r="E42" s="124"/>
      <c r="F42" s="124"/>
      <c r="G42" s="124"/>
      <c r="H42" s="124"/>
      <c r="I42" s="124"/>
      <c r="J42" s="124"/>
      <c r="K42" s="2"/>
    </row>
    <row r="43" spans="1:15" ht="13.5" thickBot="1" x14ac:dyDescent="0.25">
      <c r="B43" s="92" t="s">
        <v>11</v>
      </c>
      <c r="C43" s="93">
        <v>40000</v>
      </c>
      <c r="D43" s="262" t="s">
        <v>12</v>
      </c>
      <c r="E43" s="95">
        <v>100</v>
      </c>
      <c r="F43" s="96" t="s">
        <v>13</v>
      </c>
      <c r="G43" s="97"/>
      <c r="H43" s="98" t="s">
        <v>14</v>
      </c>
      <c r="I43" s="99"/>
      <c r="J43" s="100">
        <f>C31</f>
        <v>1.0454000000000001</v>
      </c>
      <c r="K43" s="2"/>
    </row>
    <row r="44" spans="1:15" ht="13.5" thickBot="1" x14ac:dyDescent="0.25">
      <c r="B44" s="92" t="s">
        <v>15</v>
      </c>
      <c r="C44" s="101" t="s">
        <v>104</v>
      </c>
      <c r="D44" s="262" t="s">
        <v>70</v>
      </c>
      <c r="E44" s="102" t="s">
        <v>70</v>
      </c>
      <c r="F44" s="330" t="s">
        <v>70</v>
      </c>
      <c r="G44" s="97"/>
      <c r="H44" s="103" t="s">
        <v>16</v>
      </c>
      <c r="I44" s="104"/>
      <c r="J44" s="105">
        <f>D31</f>
        <v>1.0454000000000001</v>
      </c>
      <c r="K44" s="2"/>
    </row>
    <row r="45" spans="1:15" x14ac:dyDescent="0.2">
      <c r="B45" s="84"/>
      <c r="C45" s="367" t="s">
        <v>40</v>
      </c>
      <c r="D45" s="355"/>
      <c r="E45" s="355"/>
      <c r="F45" s="354" t="s">
        <v>41</v>
      </c>
      <c r="G45" s="355"/>
      <c r="H45" s="355"/>
      <c r="I45" s="354" t="s">
        <v>42</v>
      </c>
      <c r="J45" s="368"/>
      <c r="K45" s="55"/>
      <c r="L45" s="55"/>
      <c r="M45" s="54"/>
      <c r="N45" s="359"/>
      <c r="O45" s="359"/>
    </row>
    <row r="46" spans="1:15" ht="18" customHeight="1" x14ac:dyDescent="0.2">
      <c r="B46" s="357" t="str">
        <f>B11</f>
        <v>GENERAL SERVICE 50 to 4,999 KW (Non-RPP)</v>
      </c>
      <c r="C46" s="23" t="s">
        <v>43</v>
      </c>
      <c r="D46" s="263" t="s">
        <v>17</v>
      </c>
      <c r="E46" s="69" t="s">
        <v>44</v>
      </c>
      <c r="F46" s="64" t="s">
        <v>43</v>
      </c>
      <c r="G46" s="24" t="s">
        <v>17</v>
      </c>
      <c r="H46" s="69" t="s">
        <v>44</v>
      </c>
      <c r="I46" s="370" t="s">
        <v>24</v>
      </c>
      <c r="J46" s="365" t="s">
        <v>25</v>
      </c>
      <c r="K46" s="55"/>
      <c r="L46" s="55"/>
      <c r="M46" s="54"/>
      <c r="N46" s="360"/>
      <c r="O46" s="360"/>
    </row>
    <row r="47" spans="1:15" ht="21.75" customHeight="1" x14ac:dyDescent="0.2">
      <c r="B47" s="369"/>
      <c r="C47" s="25" t="s">
        <v>45</v>
      </c>
      <c r="D47" s="264"/>
      <c r="E47" s="63" t="s">
        <v>45</v>
      </c>
      <c r="F47" s="65" t="s">
        <v>45</v>
      </c>
      <c r="G47" s="26"/>
      <c r="H47" s="63" t="s">
        <v>45</v>
      </c>
      <c r="I47" s="371"/>
      <c r="J47" s="366"/>
      <c r="K47" s="56"/>
      <c r="L47" s="56"/>
      <c r="M47" s="54"/>
      <c r="N47" s="360"/>
      <c r="O47" s="361"/>
    </row>
    <row r="48" spans="1:15" ht="14.25" x14ac:dyDescent="0.2">
      <c r="A48" s="22" t="s">
        <v>70</v>
      </c>
      <c r="B48" s="85" t="s">
        <v>46</v>
      </c>
      <c r="C48" s="201">
        <f>C14</f>
        <v>202.15</v>
      </c>
      <c r="D48" s="265">
        <v>1</v>
      </c>
      <c r="E48" s="197">
        <f>D48*C48</f>
        <v>202.15</v>
      </c>
      <c r="F48" s="150">
        <f>D14</f>
        <v>203.97</v>
      </c>
      <c r="G48" s="28">
        <v>1</v>
      </c>
      <c r="H48" s="198">
        <f>G48*F48</f>
        <v>203.97</v>
      </c>
      <c r="I48" s="331">
        <f t="shared" ref="I48:I53" si="0">H48-E48</f>
        <v>1.8199999999999932</v>
      </c>
      <c r="J48" s="333">
        <f t="shared" ref="J48:J73" si="1">IF((H48)=0,"",(I48/E48))</f>
        <v>9.0032154340835679E-3</v>
      </c>
      <c r="K48" s="46"/>
      <c r="L48" s="57"/>
      <c r="M48" s="46"/>
      <c r="N48" s="51"/>
      <c r="O48" s="10"/>
    </row>
    <row r="49" spans="1:16" ht="14.25" x14ac:dyDescent="0.2">
      <c r="A49" s="22" t="s">
        <v>70</v>
      </c>
      <c r="B49" s="85" t="s">
        <v>4</v>
      </c>
      <c r="C49" s="203">
        <f>C15</f>
        <v>4.0373999999999999</v>
      </c>
      <c r="D49" s="266">
        <f>E43</f>
        <v>100</v>
      </c>
      <c r="E49" s="197">
        <f>D49*C49</f>
        <v>403.74</v>
      </c>
      <c r="F49" s="154">
        <f>D15</f>
        <v>4.0736999999999997</v>
      </c>
      <c r="G49" s="30">
        <f>+E43</f>
        <v>100</v>
      </c>
      <c r="H49" s="149">
        <f>G49*F49</f>
        <v>407.36999999999995</v>
      </c>
      <c r="I49" s="331">
        <f t="shared" si="0"/>
        <v>3.6299999999999386</v>
      </c>
      <c r="J49" s="334">
        <f t="shared" si="1"/>
        <v>8.9909347599939037E-3</v>
      </c>
      <c r="K49" s="48"/>
      <c r="L49" s="59"/>
      <c r="M49" s="46"/>
      <c r="N49" s="51"/>
      <c r="O49" s="10"/>
    </row>
    <row r="50" spans="1:16" ht="14.25" x14ac:dyDescent="0.2">
      <c r="B50" s="87" t="s">
        <v>97</v>
      </c>
      <c r="C50" s="203">
        <f>+C20</f>
        <v>0</v>
      </c>
      <c r="D50" s="269">
        <f>+E43</f>
        <v>100</v>
      </c>
      <c r="E50" s="197">
        <f t="shared" ref="E50:E52" si="2">D50*C50</f>
        <v>0</v>
      </c>
      <c r="F50" s="204">
        <f>+D20</f>
        <v>0</v>
      </c>
      <c r="G50" s="34">
        <f>+E43</f>
        <v>100</v>
      </c>
      <c r="H50" s="197">
        <f t="shared" ref="H50:H52" si="3">G50*F50</f>
        <v>0</v>
      </c>
      <c r="I50" s="332">
        <f t="shared" si="0"/>
        <v>0</v>
      </c>
      <c r="J50" s="335" t="str">
        <f t="shared" si="1"/>
        <v/>
      </c>
      <c r="K50" s="60"/>
      <c r="N50" s="59"/>
      <c r="O50" s="10"/>
      <c r="P50" s="51"/>
    </row>
    <row r="51" spans="1:16" ht="14.25" x14ac:dyDescent="0.2">
      <c r="B51" s="87" t="s">
        <v>106</v>
      </c>
      <c r="C51" s="203">
        <f>+C17</f>
        <v>-0.4446</v>
      </c>
      <c r="D51" s="269">
        <f>+E43</f>
        <v>100</v>
      </c>
      <c r="E51" s="197">
        <f t="shared" ref="E51" si="4">D51*C51</f>
        <v>-44.46</v>
      </c>
      <c r="F51" s="204">
        <f>+D17</f>
        <v>0</v>
      </c>
      <c r="G51" s="34">
        <f>+E43</f>
        <v>100</v>
      </c>
      <c r="H51" s="197">
        <f t="shared" ref="H51" si="5">G51*F51</f>
        <v>0</v>
      </c>
      <c r="I51" s="332">
        <f t="shared" ref="I51" si="6">H51-E51</f>
        <v>44.46</v>
      </c>
      <c r="J51" s="335" t="str">
        <f t="shared" si="1"/>
        <v/>
      </c>
      <c r="K51" s="60"/>
      <c r="N51" s="59"/>
      <c r="O51" s="10"/>
      <c r="P51" s="51"/>
    </row>
    <row r="52" spans="1:16" ht="14.25" x14ac:dyDescent="0.2">
      <c r="B52" s="146" t="s">
        <v>92</v>
      </c>
      <c r="C52" s="156">
        <f>C16</f>
        <v>0.1182</v>
      </c>
      <c r="D52" s="267">
        <f>+E43</f>
        <v>100</v>
      </c>
      <c r="E52" s="199">
        <f t="shared" si="2"/>
        <v>11.82</v>
      </c>
      <c r="F52" s="158">
        <f>D16</f>
        <v>0.1459</v>
      </c>
      <c r="G52" s="32">
        <f>+E43</f>
        <v>100</v>
      </c>
      <c r="H52" s="157">
        <f t="shared" si="3"/>
        <v>14.59</v>
      </c>
      <c r="I52" s="331">
        <f t="shared" si="0"/>
        <v>2.7699999999999996</v>
      </c>
      <c r="J52" s="336">
        <f t="shared" si="1"/>
        <v>0.23434856175972923</v>
      </c>
      <c r="K52" s="48"/>
      <c r="L52" s="240"/>
      <c r="M52" s="239"/>
      <c r="N52" s="51"/>
      <c r="O52" s="10"/>
    </row>
    <row r="53" spans="1:16" ht="15" x14ac:dyDescent="0.2">
      <c r="B53" s="33" t="s">
        <v>47</v>
      </c>
      <c r="C53" s="160"/>
      <c r="D53" s="268"/>
      <c r="E53" s="161">
        <f>SUM(E48:E52)</f>
        <v>573.25</v>
      </c>
      <c r="F53" s="162"/>
      <c r="G53" s="74"/>
      <c r="H53" s="161">
        <f>SUM(H48:H52)</f>
        <v>625.92999999999995</v>
      </c>
      <c r="I53" s="200">
        <f t="shared" si="0"/>
        <v>52.67999999999995</v>
      </c>
      <c r="J53" s="326">
        <f t="shared" si="1"/>
        <v>9.1897078063671964E-2</v>
      </c>
      <c r="K53" s="46"/>
      <c r="L53" s="117"/>
      <c r="M53" s="111"/>
      <c r="N53" s="59"/>
      <c r="O53" s="10"/>
      <c r="P53" s="49"/>
    </row>
    <row r="54" spans="1:16" ht="14.25" x14ac:dyDescent="0.2">
      <c r="B54" s="87" t="s">
        <v>48</v>
      </c>
      <c r="C54" s="153">
        <f>C68</f>
        <v>0.11169999999999999</v>
      </c>
      <c r="D54" s="269">
        <f>$C43*($C31-1)</f>
        <v>1816.0000000000043</v>
      </c>
      <c r="E54" s="149">
        <f>C54*D54</f>
        <v>202.84720000000047</v>
      </c>
      <c r="F54" s="154">
        <f>C54</f>
        <v>0.11169999999999999</v>
      </c>
      <c r="G54" s="34">
        <f>$C43*($C31-1)</f>
        <v>1816.0000000000043</v>
      </c>
      <c r="H54" s="149">
        <f>F54*G54</f>
        <v>202.84720000000047</v>
      </c>
      <c r="I54" s="331">
        <f t="shared" ref="I54:I68" si="7">H54-E54</f>
        <v>0</v>
      </c>
      <c r="J54" s="334">
        <f t="shared" si="1"/>
        <v>0</v>
      </c>
      <c r="K54" s="60"/>
      <c r="N54" s="59"/>
      <c r="O54" s="10"/>
      <c r="P54" s="51"/>
    </row>
    <row r="55" spans="1:16" ht="14.25" x14ac:dyDescent="0.2">
      <c r="B55" s="87" t="s">
        <v>98</v>
      </c>
      <c r="C55" s="203">
        <f>+C19</f>
        <v>0.31809999999999999</v>
      </c>
      <c r="D55" s="269">
        <f>+E43</f>
        <v>100</v>
      </c>
      <c r="E55" s="197">
        <f t="shared" ref="E55" si="8">D55*C55</f>
        <v>31.81</v>
      </c>
      <c r="F55" s="204">
        <f>D19</f>
        <v>0.31809999999999999</v>
      </c>
      <c r="G55" s="34">
        <f>+E43</f>
        <v>100</v>
      </c>
      <c r="H55" s="197">
        <f t="shared" ref="H55" si="9">G55*F55</f>
        <v>31.81</v>
      </c>
      <c r="I55" s="332">
        <f t="shared" ref="I55" si="10">H55-E55</f>
        <v>0</v>
      </c>
      <c r="J55" s="335">
        <f t="shared" si="1"/>
        <v>0</v>
      </c>
      <c r="K55" s="60"/>
      <c r="N55" s="59"/>
      <c r="O55" s="10"/>
      <c r="P55" s="51"/>
    </row>
    <row r="56" spans="1:16" ht="14.25" x14ac:dyDescent="0.2">
      <c r="B56" s="87" t="s">
        <v>93</v>
      </c>
      <c r="C56" s="203">
        <f>+C23</f>
        <v>0</v>
      </c>
      <c r="D56" s="269">
        <f>+E43</f>
        <v>100</v>
      </c>
      <c r="E56" s="149">
        <f>D56*C56</f>
        <v>0</v>
      </c>
      <c r="F56" s="154">
        <f>D23</f>
        <v>0</v>
      </c>
      <c r="G56" s="34">
        <f>+E43</f>
        <v>100</v>
      </c>
      <c r="H56" s="149">
        <f>G56*F56</f>
        <v>0</v>
      </c>
      <c r="I56" s="331">
        <f t="shared" si="7"/>
        <v>0</v>
      </c>
      <c r="J56" s="334" t="str">
        <f t="shared" si="1"/>
        <v/>
      </c>
      <c r="K56" s="60"/>
      <c r="N56" s="59"/>
      <c r="O56" s="10"/>
      <c r="P56" s="51"/>
    </row>
    <row r="57" spans="1:16" ht="14.25" customHeight="1" x14ac:dyDescent="0.2">
      <c r="B57" s="87" t="s">
        <v>90</v>
      </c>
      <c r="C57" s="203">
        <f>+C18</f>
        <v>0</v>
      </c>
      <c r="D57" s="269">
        <f>+E43</f>
        <v>100</v>
      </c>
      <c r="E57" s="149">
        <f>D57*C57</f>
        <v>0</v>
      </c>
      <c r="F57" s="154">
        <f>D18</f>
        <v>0</v>
      </c>
      <c r="G57" s="34">
        <f>+E43</f>
        <v>100</v>
      </c>
      <c r="H57" s="149">
        <f>G57*F57</f>
        <v>0</v>
      </c>
      <c r="I57" s="331">
        <f t="shared" si="7"/>
        <v>0</v>
      </c>
      <c r="J57" s="334" t="str">
        <f t="shared" si="1"/>
        <v/>
      </c>
      <c r="K57" s="60"/>
      <c r="L57" s="238"/>
      <c r="N57" s="59"/>
      <c r="O57" s="10"/>
      <c r="P57" s="51"/>
    </row>
    <row r="58" spans="1:16" ht="14.25" customHeight="1" x14ac:dyDescent="0.2">
      <c r="B58" s="87" t="s">
        <v>94</v>
      </c>
      <c r="C58" s="203">
        <f>C24</f>
        <v>0</v>
      </c>
      <c r="D58" s="269">
        <f>C43</f>
        <v>40000</v>
      </c>
      <c r="E58" s="149">
        <f>D58*C58</f>
        <v>0</v>
      </c>
      <c r="F58" s="154">
        <f>D24</f>
        <v>0</v>
      </c>
      <c r="G58" s="34">
        <f>C43</f>
        <v>40000</v>
      </c>
      <c r="H58" s="149">
        <f>G58*F58</f>
        <v>0</v>
      </c>
      <c r="I58" s="331">
        <f t="shared" ref="I58" si="11">H58-E58</f>
        <v>0</v>
      </c>
      <c r="J58" s="334" t="str">
        <f t="shared" si="1"/>
        <v/>
      </c>
      <c r="K58" s="60"/>
      <c r="N58" s="59"/>
      <c r="O58" s="10"/>
      <c r="P58" s="51"/>
    </row>
    <row r="59" spans="1:16" ht="15" x14ac:dyDescent="0.2">
      <c r="B59" s="47" t="s">
        <v>51</v>
      </c>
      <c r="C59" s="165"/>
      <c r="D59" s="270"/>
      <c r="E59" s="166">
        <f>SUM(E54:E58)+E53</f>
        <v>807.90720000000044</v>
      </c>
      <c r="F59" s="167"/>
      <c r="G59" s="36"/>
      <c r="H59" s="166">
        <f>SUM(H54:H58)+H53</f>
        <v>860.58720000000039</v>
      </c>
      <c r="I59" s="200">
        <f>H59-E59</f>
        <v>52.67999999999995</v>
      </c>
      <c r="J59" s="326">
        <f t="shared" si="1"/>
        <v>6.520550875150008E-2</v>
      </c>
      <c r="K59" s="46"/>
      <c r="N59" s="49"/>
      <c r="O59" s="10"/>
      <c r="P59" s="49"/>
    </row>
    <row r="60" spans="1:16" ht="14.25" x14ac:dyDescent="0.2">
      <c r="B60" s="89" t="s">
        <v>52</v>
      </c>
      <c r="C60" s="203">
        <f>C25</f>
        <v>2.7517</v>
      </c>
      <c r="D60" s="271">
        <f>E43</f>
        <v>100</v>
      </c>
      <c r="E60" s="197">
        <f>D60*C60</f>
        <v>275.17</v>
      </c>
      <c r="F60" s="154">
        <f>D25</f>
        <v>2.8961999999999999</v>
      </c>
      <c r="G60" s="38">
        <f>+E43</f>
        <v>100</v>
      </c>
      <c r="H60" s="149">
        <f>G60*F60</f>
        <v>289.62</v>
      </c>
      <c r="I60" s="331">
        <f t="shared" si="7"/>
        <v>14.449999999999989</v>
      </c>
      <c r="J60" s="334">
        <f t="shared" si="1"/>
        <v>5.2512991968601187E-2</v>
      </c>
      <c r="K60" s="60"/>
      <c r="N60" s="110"/>
      <c r="O60" s="10"/>
      <c r="P60" s="51"/>
    </row>
    <row r="61" spans="1:16" ht="21.75" customHeight="1" x14ac:dyDescent="0.2">
      <c r="B61" s="90" t="s">
        <v>53</v>
      </c>
      <c r="C61" s="203">
        <f>C26</f>
        <v>2.4356</v>
      </c>
      <c r="D61" s="273">
        <f>+E43</f>
        <v>100</v>
      </c>
      <c r="E61" s="197">
        <f>D61*C61</f>
        <v>243.56</v>
      </c>
      <c r="F61" s="154">
        <f>D26</f>
        <v>2.4775999999999998</v>
      </c>
      <c r="G61" s="38">
        <f>+E43</f>
        <v>100</v>
      </c>
      <c r="H61" s="149">
        <f>G61*F61</f>
        <v>247.76</v>
      </c>
      <c r="I61" s="331">
        <f t="shared" si="7"/>
        <v>4.1999999999999886</v>
      </c>
      <c r="J61" s="334">
        <f t="shared" si="1"/>
        <v>1.724421087206433E-2</v>
      </c>
      <c r="K61" s="60"/>
      <c r="L61" s="239"/>
      <c r="N61" s="59"/>
      <c r="O61" s="10"/>
      <c r="P61" s="51"/>
    </row>
    <row r="62" spans="1:16" ht="15" x14ac:dyDescent="0.2">
      <c r="B62" s="47" t="s">
        <v>54</v>
      </c>
      <c r="C62" s="165"/>
      <c r="D62" s="270"/>
      <c r="E62" s="166">
        <f>SUM(E59:E61)</f>
        <v>1326.6372000000003</v>
      </c>
      <c r="F62" s="168"/>
      <c r="G62" s="39"/>
      <c r="H62" s="166">
        <f>SUM(H59:H61)</f>
        <v>1397.9672000000003</v>
      </c>
      <c r="I62" s="200">
        <f>H62-E62</f>
        <v>71.329999999999927</v>
      </c>
      <c r="J62" s="326">
        <f t="shared" si="1"/>
        <v>5.3767525891781048E-2</v>
      </c>
      <c r="K62" s="44"/>
      <c r="L62" s="49"/>
      <c r="M62" s="44"/>
      <c r="O62" s="10"/>
    </row>
    <row r="63" spans="1:16" ht="14.25" x14ac:dyDescent="0.2">
      <c r="B63" s="87" t="s">
        <v>55</v>
      </c>
      <c r="C63" s="170">
        <f>C27</f>
        <v>3.0000000000000001E-3</v>
      </c>
      <c r="D63" s="269">
        <f>C43+D54</f>
        <v>41816.000000000007</v>
      </c>
      <c r="E63" s="175">
        <f t="shared" ref="E63:E68" si="12">D63*C63</f>
        <v>125.44800000000002</v>
      </c>
      <c r="F63" s="192">
        <f>D27</f>
        <v>3.0000000000000001E-3</v>
      </c>
      <c r="G63" s="122">
        <f>+C43+G54</f>
        <v>41816.000000000007</v>
      </c>
      <c r="H63" s="172">
        <f t="shared" ref="H63:H68" si="13">G63*F63</f>
        <v>125.44800000000002</v>
      </c>
      <c r="I63" s="337">
        <f t="shared" si="7"/>
        <v>0</v>
      </c>
      <c r="J63" s="335">
        <f t="shared" si="1"/>
        <v>0</v>
      </c>
      <c r="K63" s="60"/>
      <c r="L63" s="61"/>
      <c r="M63" s="46"/>
      <c r="N63" s="51"/>
      <c r="O63" s="10"/>
    </row>
    <row r="64" spans="1:16" ht="14.25" x14ac:dyDescent="0.2">
      <c r="B64" s="87" t="s">
        <v>87</v>
      </c>
      <c r="C64" s="170">
        <f>C28</f>
        <v>4.0000000000000002E-4</v>
      </c>
      <c r="D64" s="269">
        <f>+C43+D54</f>
        <v>41816.000000000007</v>
      </c>
      <c r="E64" s="175">
        <f t="shared" si="12"/>
        <v>16.726400000000005</v>
      </c>
      <c r="F64" s="192">
        <f>D28</f>
        <v>4.0000000000000002E-4</v>
      </c>
      <c r="G64" s="122">
        <f>+C43+G54</f>
        <v>41816.000000000007</v>
      </c>
      <c r="H64" s="172">
        <f t="shared" si="13"/>
        <v>16.726400000000005</v>
      </c>
      <c r="I64" s="337">
        <f t="shared" si="7"/>
        <v>0</v>
      </c>
      <c r="J64" s="335">
        <f t="shared" si="1"/>
        <v>0</v>
      </c>
      <c r="K64" s="60"/>
      <c r="L64" s="61"/>
      <c r="M64" s="46"/>
      <c r="N64" s="51"/>
      <c r="O64" s="10"/>
    </row>
    <row r="65" spans="2:17" ht="14.25" x14ac:dyDescent="0.2">
      <c r="B65" s="86" t="s">
        <v>56</v>
      </c>
      <c r="C65" s="170">
        <f>C29</f>
        <v>5.0000000000000001E-4</v>
      </c>
      <c r="D65" s="269">
        <f>+C43+D54</f>
        <v>41816.000000000007</v>
      </c>
      <c r="E65" s="175">
        <f t="shared" si="12"/>
        <v>20.908000000000005</v>
      </c>
      <c r="F65" s="192">
        <f>D29</f>
        <v>5.0000000000000001E-4</v>
      </c>
      <c r="G65" s="122">
        <f>+C43+G54</f>
        <v>41816.000000000007</v>
      </c>
      <c r="H65" s="175">
        <f t="shared" si="13"/>
        <v>20.908000000000005</v>
      </c>
      <c r="I65" s="332">
        <f t="shared" si="7"/>
        <v>0</v>
      </c>
      <c r="J65" s="335">
        <f t="shared" si="1"/>
        <v>0</v>
      </c>
      <c r="K65" s="60"/>
      <c r="L65" s="61"/>
      <c r="M65" s="46"/>
      <c r="N65" s="51"/>
      <c r="O65" s="10"/>
    </row>
    <row r="66" spans="2:17" ht="14.25" x14ac:dyDescent="0.2">
      <c r="B66" s="86" t="s">
        <v>57</v>
      </c>
      <c r="C66" s="210">
        <f>C30</f>
        <v>0.25</v>
      </c>
      <c r="D66" s="269">
        <f>D48</f>
        <v>1</v>
      </c>
      <c r="E66" s="175">
        <f t="shared" si="12"/>
        <v>0.25</v>
      </c>
      <c r="F66" s="211">
        <f>D30</f>
        <v>0.25</v>
      </c>
      <c r="G66" s="122">
        <f>+G48</f>
        <v>1</v>
      </c>
      <c r="H66" s="175">
        <f t="shared" si="13"/>
        <v>0.25</v>
      </c>
      <c r="I66" s="332">
        <f t="shared" si="7"/>
        <v>0</v>
      </c>
      <c r="J66" s="335">
        <f t="shared" si="1"/>
        <v>0</v>
      </c>
      <c r="K66" s="60"/>
      <c r="L66" s="61"/>
      <c r="M66" s="46"/>
      <c r="N66" s="51"/>
      <c r="O66" s="10"/>
    </row>
    <row r="67" spans="2:17" ht="15" x14ac:dyDescent="0.2">
      <c r="B67" s="47" t="s">
        <v>62</v>
      </c>
      <c r="C67" s="165"/>
      <c r="D67" s="270"/>
      <c r="E67" s="166">
        <f>SUM(E63:E66)</f>
        <v>163.33240000000004</v>
      </c>
      <c r="F67" s="168"/>
      <c r="G67" s="39"/>
      <c r="H67" s="166">
        <f>SUM(H63:H66)</f>
        <v>163.33240000000004</v>
      </c>
      <c r="I67" s="200">
        <f>SUM(I63:I66)</f>
        <v>0</v>
      </c>
      <c r="J67" s="339">
        <f t="shared" si="1"/>
        <v>0</v>
      </c>
      <c r="K67" s="60"/>
      <c r="L67" s="61"/>
      <c r="M67" s="46"/>
      <c r="N67" s="51"/>
      <c r="O67" s="10"/>
    </row>
    <row r="68" spans="2:17" ht="14.25" x14ac:dyDescent="0.2">
      <c r="B68" s="87" t="s">
        <v>65</v>
      </c>
      <c r="C68" s="170">
        <f>11.17/100</f>
        <v>0.11169999999999999</v>
      </c>
      <c r="D68" s="269">
        <f>C43</f>
        <v>40000</v>
      </c>
      <c r="E68" s="175">
        <f t="shared" si="12"/>
        <v>4468</v>
      </c>
      <c r="F68" s="192">
        <f>C68</f>
        <v>0.11169999999999999</v>
      </c>
      <c r="G68" s="122">
        <f>+C43</f>
        <v>40000</v>
      </c>
      <c r="H68" s="172">
        <f t="shared" si="13"/>
        <v>4468</v>
      </c>
      <c r="I68" s="337">
        <f t="shared" si="7"/>
        <v>0</v>
      </c>
      <c r="J68" s="335">
        <f t="shared" si="1"/>
        <v>0</v>
      </c>
      <c r="K68" s="60"/>
      <c r="L68" s="61"/>
      <c r="M68" s="46"/>
      <c r="N68" s="51"/>
      <c r="O68" s="10"/>
    </row>
    <row r="69" spans="2:17" ht="15.75" thickBot="1" x14ac:dyDescent="0.25">
      <c r="B69" s="47" t="s">
        <v>63</v>
      </c>
      <c r="C69" s="165"/>
      <c r="D69" s="270"/>
      <c r="E69" s="166">
        <f>SUM(E68:E68)</f>
        <v>4468</v>
      </c>
      <c r="F69" s="168"/>
      <c r="G69" s="39"/>
      <c r="H69" s="166">
        <f>SUM(H68:H68)</f>
        <v>4468</v>
      </c>
      <c r="I69" s="200">
        <f>H69-E69</f>
        <v>0</v>
      </c>
      <c r="J69" s="326">
        <f t="shared" si="1"/>
        <v>0</v>
      </c>
      <c r="K69" s="60"/>
      <c r="L69" s="61"/>
      <c r="M69" s="46"/>
      <c r="N69" s="51"/>
      <c r="O69" s="10"/>
    </row>
    <row r="70" spans="2:17" ht="8.25" customHeight="1" thickBot="1" x14ac:dyDescent="0.25">
      <c r="B70" s="91"/>
      <c r="C70" s="176"/>
      <c r="D70" s="274"/>
      <c r="E70" s="177"/>
      <c r="F70" s="178"/>
      <c r="G70" s="41"/>
      <c r="H70" s="177"/>
      <c r="I70" s="338"/>
      <c r="J70" s="340" t="str">
        <f t="shared" si="1"/>
        <v/>
      </c>
      <c r="K70" s="46"/>
      <c r="L70" s="61"/>
      <c r="M70" s="46"/>
      <c r="N70" s="51"/>
      <c r="O70" s="10"/>
      <c r="Q70" s="51"/>
    </row>
    <row r="71" spans="2:17" ht="15" x14ac:dyDescent="0.2">
      <c r="B71" s="71" t="s">
        <v>100</v>
      </c>
      <c r="C71" s="181"/>
      <c r="D71" s="275"/>
      <c r="E71" s="182">
        <f>E69+E67+E62</f>
        <v>5957.9696000000004</v>
      </c>
      <c r="F71" s="183"/>
      <c r="G71" s="43"/>
      <c r="H71" s="184">
        <f>H69+H67+H62</f>
        <v>6029.2996000000003</v>
      </c>
      <c r="I71" s="337">
        <f>H71-E71</f>
        <v>71.329999999999927</v>
      </c>
      <c r="J71" s="335">
        <f t="shared" si="1"/>
        <v>1.1972199388194247E-2</v>
      </c>
      <c r="K71" s="67"/>
      <c r="L71" s="49"/>
      <c r="M71" s="44"/>
      <c r="N71" s="49"/>
      <c r="O71" s="10"/>
      <c r="Q71" s="49"/>
    </row>
    <row r="72" spans="2:17" ht="14.25" x14ac:dyDescent="0.2">
      <c r="B72" s="72" t="s">
        <v>18</v>
      </c>
      <c r="C72" s="181">
        <v>0.13</v>
      </c>
      <c r="D72" s="276"/>
      <c r="E72" s="185">
        <f>E71*C72</f>
        <v>774.53604800000005</v>
      </c>
      <c r="F72" s="186">
        <v>0.13</v>
      </c>
      <c r="G72" s="27"/>
      <c r="H72" s="187">
        <f>H71*F72</f>
        <v>783.8089480000001</v>
      </c>
      <c r="I72" s="337">
        <f>H72-E72</f>
        <v>9.2729000000000497</v>
      </c>
      <c r="J72" s="335">
        <f t="shared" si="1"/>
        <v>1.1972199388194323E-2</v>
      </c>
      <c r="K72" s="45"/>
      <c r="L72" s="51"/>
      <c r="M72" s="46"/>
      <c r="N72" s="51"/>
      <c r="O72" s="10"/>
      <c r="Q72" s="51"/>
    </row>
    <row r="73" spans="2:17" ht="15" x14ac:dyDescent="0.2">
      <c r="B73" s="78" t="s">
        <v>101</v>
      </c>
      <c r="C73" s="189"/>
      <c r="D73" s="277"/>
      <c r="E73" s="190">
        <f>SUM(E71:E72)</f>
        <v>6732.5056480000003</v>
      </c>
      <c r="F73" s="191"/>
      <c r="G73" s="80"/>
      <c r="H73" s="169">
        <f>SUM(H71:H72)</f>
        <v>6813.1085480000002</v>
      </c>
      <c r="I73" s="200">
        <f>H73-E73</f>
        <v>80.602899999999863</v>
      </c>
      <c r="J73" s="326">
        <f t="shared" si="1"/>
        <v>1.197219938819424E-2</v>
      </c>
      <c r="K73" s="10"/>
      <c r="L73" s="10"/>
      <c r="M73" s="10"/>
      <c r="N73" s="10"/>
      <c r="O73" s="10"/>
    </row>
    <row r="74" spans="2:17" ht="15" x14ac:dyDescent="0.2">
      <c r="B74" s="138"/>
      <c r="C74" s="45"/>
      <c r="D74" s="276"/>
      <c r="E74" s="49"/>
      <c r="F74" s="68"/>
      <c r="G74" s="68"/>
      <c r="H74" s="49"/>
      <c r="I74" s="49"/>
      <c r="J74" s="139"/>
      <c r="K74" s="10"/>
      <c r="L74" s="10"/>
      <c r="M74" s="10"/>
      <c r="N74" s="10"/>
      <c r="O74" s="10"/>
    </row>
    <row r="75" spans="2:17" x14ac:dyDescent="0.2">
      <c r="B75" s="131" t="s">
        <v>117</v>
      </c>
      <c r="C75" s="131"/>
      <c r="D75" s="295"/>
      <c r="E75" s="131"/>
      <c r="F75" s="131"/>
      <c r="G75" s="131"/>
      <c r="H75" s="131"/>
      <c r="I75" s="131"/>
      <c r="L75" s="118"/>
    </row>
    <row r="76" spans="2:17" x14ac:dyDescent="0.2">
      <c r="L76" s="118"/>
    </row>
  </sheetData>
  <mergeCells count="10">
    <mergeCell ref="N46:N47"/>
    <mergeCell ref="O46:O47"/>
    <mergeCell ref="B11:E11"/>
    <mergeCell ref="C45:E45"/>
    <mergeCell ref="F45:H45"/>
    <mergeCell ref="I45:J45"/>
    <mergeCell ref="N45:O45"/>
    <mergeCell ref="B46:B47"/>
    <mergeCell ref="I46:I47"/>
    <mergeCell ref="J46:J47"/>
  </mergeCells>
  <pageMargins left="0.75" right="0.75" top="1" bottom="1" header="0.5" footer="0.5"/>
  <pageSetup scale="88" orientation="landscape" r:id="rId1"/>
  <headerFooter alignWithMargins="0">
    <oddFooter>&amp;R&amp;F</oddFooter>
  </headerFooter>
  <ignoredErrors>
    <ignoredError sqref="C52 D49 C58:D58 F58:G58 C60:D60 C61 F60:F61 C63:D63 C64:C65 C66:D66 F63:F66 F68 C54:D54 F54 F48:F49 D68 C48:C49" unlockedFormula="1"/>
    <ignoredError sqref="E59 H59 E62 H62 E67 H67:I67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S69"/>
  <sheetViews>
    <sheetView showGridLines="0" topLeftCell="A30" zoomScale="90" workbookViewId="0">
      <selection activeCell="B38" sqref="B38:J68"/>
    </sheetView>
  </sheetViews>
  <sheetFormatPr defaultRowHeight="12.75" x14ac:dyDescent="0.2"/>
  <cols>
    <col min="1" max="1" width="2.42578125" customWidth="1"/>
    <col min="2" max="2" width="44.85546875" customWidth="1"/>
    <col min="3" max="3" width="11" customWidth="1"/>
    <col min="4" max="4" width="11.140625" customWidth="1"/>
    <col min="5" max="5" width="13" customWidth="1"/>
    <col min="6" max="6" width="11.28515625" customWidth="1"/>
    <col min="7" max="7" width="9.85546875" bestFit="1" customWidth="1"/>
    <col min="8" max="8" width="13.140625" customWidth="1"/>
    <col min="9" max="9" width="10.7109375" bestFit="1" customWidth="1"/>
    <col min="10" max="10" width="11.140625" bestFit="1" customWidth="1"/>
    <col min="11" max="11" width="13.140625" customWidth="1"/>
    <col min="14" max="14" width="9.85546875" bestFit="1" customWidth="1"/>
    <col min="15" max="15" width="12.28515625" customWidth="1"/>
    <col min="17" max="17" width="9.85546875" bestFit="1" customWidth="1"/>
  </cols>
  <sheetData>
    <row r="1" spans="2:11" hidden="1" x14ac:dyDescent="0.2"/>
    <row r="2" spans="2:11" hidden="1" x14ac:dyDescent="0.2"/>
    <row r="3" spans="2:11" hidden="1" x14ac:dyDescent="0.2"/>
    <row r="4" spans="2:11" hidden="1" x14ac:dyDescent="0.2"/>
    <row r="5" spans="2:11" hidden="1" x14ac:dyDescent="0.2"/>
    <row r="6" spans="2:11" hidden="1" x14ac:dyDescent="0.2"/>
    <row r="7" spans="2:11" hidden="1" x14ac:dyDescent="0.2"/>
    <row r="8" spans="2:11" hidden="1" x14ac:dyDescent="0.2"/>
    <row r="9" spans="2:11" ht="18" x14ac:dyDescent="0.25">
      <c r="B9" s="1" t="s">
        <v>19</v>
      </c>
      <c r="C9" s="2"/>
      <c r="D9" s="2"/>
      <c r="E9" s="127" t="s">
        <v>73</v>
      </c>
      <c r="F9" s="124" t="s">
        <v>74</v>
      </c>
      <c r="G9" s="2"/>
      <c r="H9" s="2"/>
      <c r="I9" s="2"/>
      <c r="J9" s="2"/>
      <c r="K9" s="2"/>
    </row>
    <row r="10" spans="2:11" x14ac:dyDescent="0.2"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2:11" ht="18" x14ac:dyDescent="0.25">
      <c r="B11" s="353" t="s">
        <v>68</v>
      </c>
      <c r="C11" s="353"/>
      <c r="D11" s="353"/>
      <c r="E11" s="353"/>
      <c r="F11" s="3"/>
      <c r="G11" s="3"/>
      <c r="H11" s="2"/>
      <c r="I11" s="2"/>
      <c r="J11" s="2"/>
      <c r="K11" s="2"/>
    </row>
    <row r="12" spans="2:11" ht="13.5" thickBot="1" x14ac:dyDescent="0.25">
      <c r="B12" s="2"/>
      <c r="C12" s="126">
        <v>2019</v>
      </c>
      <c r="D12" s="126">
        <v>2020</v>
      </c>
      <c r="E12" s="2"/>
      <c r="F12" s="2"/>
      <c r="G12" s="2"/>
      <c r="H12" s="2"/>
      <c r="I12" s="2"/>
      <c r="J12" s="2"/>
      <c r="K12" s="2"/>
    </row>
    <row r="13" spans="2:11" ht="26.25" thickBot="1" x14ac:dyDescent="0.25">
      <c r="B13" s="4" t="s">
        <v>1</v>
      </c>
      <c r="C13" s="81" t="s">
        <v>2</v>
      </c>
      <c r="D13" s="81" t="s">
        <v>41</v>
      </c>
      <c r="E13" s="2"/>
      <c r="F13" s="2"/>
      <c r="G13" s="2"/>
      <c r="H13" s="2"/>
      <c r="I13" s="2"/>
      <c r="J13" s="2"/>
      <c r="K13" s="2"/>
    </row>
    <row r="14" spans="2:11" x14ac:dyDescent="0.2">
      <c r="B14" s="123" t="s">
        <v>3</v>
      </c>
      <c r="C14" s="301">
        <v>9.83</v>
      </c>
      <c r="D14" s="301">
        <v>9.92</v>
      </c>
      <c r="E14" s="8" t="s">
        <v>72</v>
      </c>
      <c r="F14" s="2"/>
      <c r="G14" s="2"/>
      <c r="H14" s="2"/>
      <c r="I14" s="218"/>
      <c r="J14" s="2"/>
      <c r="K14" s="2"/>
    </row>
    <row r="15" spans="2:11" x14ac:dyDescent="0.2">
      <c r="B15" s="83" t="s">
        <v>4</v>
      </c>
      <c r="C15" s="147">
        <v>3.1399999999999997E-2</v>
      </c>
      <c r="D15" s="147">
        <v>3.1699999999999999E-2</v>
      </c>
      <c r="E15" s="8" t="s">
        <v>12</v>
      </c>
      <c r="F15" s="2"/>
      <c r="G15" s="2"/>
      <c r="H15" s="2"/>
      <c r="I15" s="219"/>
      <c r="J15" s="2"/>
      <c r="K15" s="2"/>
    </row>
    <row r="16" spans="2:11" x14ac:dyDescent="0.2">
      <c r="B16" s="83">
        <v>1576</v>
      </c>
      <c r="C16" s="147">
        <v>-1E-3</v>
      </c>
      <c r="D16" s="147"/>
      <c r="E16" s="8" t="s">
        <v>12</v>
      </c>
      <c r="F16" s="2"/>
      <c r="G16" s="2"/>
      <c r="H16" s="2"/>
      <c r="I16" s="219"/>
      <c r="J16" s="2"/>
      <c r="K16" s="2"/>
    </row>
    <row r="17" spans="2:11" x14ac:dyDescent="0.2">
      <c r="B17" s="6"/>
      <c r="C17" s="147">
        <v>0</v>
      </c>
      <c r="D17" s="147">
        <v>0</v>
      </c>
      <c r="E17" s="8" t="s">
        <v>12</v>
      </c>
      <c r="F17" s="2"/>
      <c r="G17" s="2"/>
      <c r="H17" s="2"/>
      <c r="I17" s="225"/>
      <c r="J17" s="2"/>
      <c r="K17" s="2"/>
    </row>
    <row r="18" spans="2:11" x14ac:dyDescent="0.2">
      <c r="B18" s="83"/>
      <c r="C18" s="147">
        <v>0</v>
      </c>
      <c r="D18" s="147">
        <v>0</v>
      </c>
      <c r="E18" s="8" t="s">
        <v>12</v>
      </c>
      <c r="F18" s="2"/>
      <c r="G18" s="2"/>
      <c r="H18" s="2"/>
      <c r="I18" s="219"/>
      <c r="J18" s="2"/>
      <c r="K18" s="2"/>
    </row>
    <row r="19" spans="2:11" x14ac:dyDescent="0.2">
      <c r="B19" s="258" t="s">
        <v>96</v>
      </c>
      <c r="C19" s="309">
        <v>8.9999999999999998E-4</v>
      </c>
      <c r="D19" s="309">
        <v>8.9999999999999998E-4</v>
      </c>
      <c r="E19" s="8" t="s">
        <v>12</v>
      </c>
      <c r="F19" s="228"/>
      <c r="G19" s="228"/>
      <c r="H19" s="2"/>
      <c r="I19" s="2"/>
      <c r="J19" s="2"/>
      <c r="K19" s="2"/>
    </row>
    <row r="20" spans="2:11" x14ac:dyDescent="0.2">
      <c r="B20" s="296"/>
      <c r="C20" s="310">
        <v>0</v>
      </c>
      <c r="D20" s="310">
        <v>0</v>
      </c>
      <c r="E20" s="8" t="s">
        <v>12</v>
      </c>
      <c r="F20" s="228"/>
      <c r="G20" s="228"/>
      <c r="H20" s="2"/>
      <c r="I20" s="2"/>
      <c r="J20" s="2"/>
      <c r="K20" s="2"/>
    </row>
    <row r="21" spans="2:11" x14ac:dyDescent="0.2">
      <c r="B21" s="83" t="s">
        <v>5</v>
      </c>
      <c r="C21" s="299">
        <v>6.8999999999999999E-3</v>
      </c>
      <c r="D21" s="299">
        <v>7.3000000000000001E-3</v>
      </c>
      <c r="E21" s="8" t="s">
        <v>12</v>
      </c>
      <c r="F21" s="2"/>
      <c r="G21" s="2"/>
      <c r="H21" s="2"/>
      <c r="I21" s="219"/>
      <c r="J21" s="2"/>
      <c r="K21" s="2"/>
    </row>
    <row r="22" spans="2:11" ht="24.75" customHeight="1" x14ac:dyDescent="0.2">
      <c r="B22" s="83" t="s">
        <v>6</v>
      </c>
      <c r="C22" s="299">
        <v>6.4000000000000003E-3</v>
      </c>
      <c r="D22" s="299">
        <v>6.4999999999999997E-3</v>
      </c>
      <c r="E22" s="8" t="s">
        <v>12</v>
      </c>
      <c r="F22" s="2"/>
      <c r="G22" s="2"/>
      <c r="H22" s="2"/>
      <c r="I22" s="219"/>
      <c r="J22" s="2"/>
      <c r="K22" s="2"/>
    </row>
    <row r="23" spans="2:11" x14ac:dyDescent="0.2">
      <c r="B23" s="83" t="s">
        <v>7</v>
      </c>
      <c r="C23" s="147">
        <v>3.0000000000000001E-3</v>
      </c>
      <c r="D23" s="147">
        <v>3.0000000000000001E-3</v>
      </c>
      <c r="E23" s="8" t="s">
        <v>12</v>
      </c>
      <c r="F23" s="2"/>
      <c r="G23" s="2"/>
      <c r="H23" s="2"/>
      <c r="I23" s="119"/>
      <c r="J23" s="2"/>
      <c r="K23" s="2"/>
    </row>
    <row r="24" spans="2:11" x14ac:dyDescent="0.2">
      <c r="B24" s="83" t="s">
        <v>87</v>
      </c>
      <c r="C24" s="147">
        <v>4.0000000000000002E-4</v>
      </c>
      <c r="D24" s="147">
        <v>4.0000000000000002E-4</v>
      </c>
      <c r="E24" s="8" t="s">
        <v>12</v>
      </c>
      <c r="F24" s="2"/>
      <c r="G24" s="2"/>
      <c r="H24" s="2"/>
      <c r="I24" s="119"/>
      <c r="J24" s="2"/>
      <c r="K24" s="2"/>
    </row>
    <row r="25" spans="2:11" x14ac:dyDescent="0.2">
      <c r="B25" s="83" t="s">
        <v>8</v>
      </c>
      <c r="C25" s="147">
        <v>5.0000000000000001E-4</v>
      </c>
      <c r="D25" s="147">
        <v>5.0000000000000001E-4</v>
      </c>
      <c r="E25" s="8" t="s">
        <v>12</v>
      </c>
      <c r="F25" s="2"/>
      <c r="G25" s="2"/>
      <c r="H25" s="2"/>
      <c r="I25" s="119"/>
      <c r="J25" s="2"/>
      <c r="K25" s="2"/>
    </row>
    <row r="26" spans="2:11" ht="23.25" customHeight="1" x14ac:dyDescent="0.2">
      <c r="B26" s="83" t="s">
        <v>9</v>
      </c>
      <c r="C26" s="303">
        <v>0.25</v>
      </c>
      <c r="D26" s="303">
        <v>0.25</v>
      </c>
      <c r="E26" s="2" t="s">
        <v>72</v>
      </c>
      <c r="F26" s="2"/>
      <c r="G26" s="2"/>
      <c r="H26" s="2"/>
      <c r="I26" s="220"/>
      <c r="J26" s="2"/>
      <c r="K26" s="2"/>
    </row>
    <row r="27" spans="2:11" ht="13.5" thickBot="1" x14ac:dyDescent="0.25">
      <c r="B27" s="7" t="s">
        <v>10</v>
      </c>
      <c r="C27" s="308">
        <v>1.0454000000000001</v>
      </c>
      <c r="D27" s="308">
        <v>1.0454000000000001</v>
      </c>
      <c r="E27" s="132" t="s">
        <v>64</v>
      </c>
      <c r="F27" s="2"/>
      <c r="G27" s="2"/>
      <c r="H27" s="2"/>
      <c r="I27" s="119"/>
      <c r="J27" s="2"/>
      <c r="K27" s="2"/>
    </row>
    <row r="28" spans="2:11" x14ac:dyDescent="0.2">
      <c r="B28" s="213"/>
      <c r="C28" s="119"/>
      <c r="D28" s="119"/>
      <c r="E28" s="2"/>
      <c r="F28" s="2"/>
      <c r="G28" s="2"/>
      <c r="H28" s="2"/>
      <c r="I28" s="2"/>
      <c r="J28" s="2"/>
      <c r="K28" s="2"/>
    </row>
    <row r="29" spans="2:11" x14ac:dyDescent="0.2">
      <c r="B29" s="213"/>
      <c r="C29" s="119"/>
      <c r="D29" s="119"/>
      <c r="E29" s="2"/>
      <c r="F29" s="2"/>
      <c r="G29" s="2"/>
      <c r="H29" s="2"/>
      <c r="I29" s="2"/>
      <c r="J29" s="2"/>
      <c r="K29" s="2"/>
    </row>
    <row r="30" spans="2:11" x14ac:dyDescent="0.2">
      <c r="B30" s="82"/>
      <c r="C30" s="2"/>
      <c r="D30" s="2"/>
      <c r="E30" s="75" t="s">
        <v>64</v>
      </c>
      <c r="F30" s="2"/>
      <c r="G30" s="2"/>
      <c r="H30" s="2"/>
      <c r="I30" s="2"/>
      <c r="J30" s="2"/>
      <c r="K30" s="2"/>
    </row>
    <row r="31" spans="2:11" x14ac:dyDescent="0.2">
      <c r="B31" s="82" t="s">
        <v>32</v>
      </c>
      <c r="C31" s="214">
        <v>7.6999999999999999E-2</v>
      </c>
      <c r="D31" s="214">
        <v>7.6999999999999999E-2</v>
      </c>
      <c r="E31" s="76"/>
      <c r="F31" s="2"/>
      <c r="G31" s="2"/>
      <c r="H31" s="2"/>
      <c r="I31" s="2"/>
      <c r="J31" s="2"/>
      <c r="K31" s="2"/>
    </row>
    <row r="32" spans="2:11" x14ac:dyDescent="0.2">
      <c r="B32" s="82" t="s">
        <v>33</v>
      </c>
      <c r="C32" s="214">
        <v>8.8999999999999996E-2</v>
      </c>
      <c r="D32" s="214">
        <v>8.8999999999999996E-2</v>
      </c>
      <c r="E32" s="76"/>
      <c r="F32" s="2"/>
      <c r="G32" s="2"/>
      <c r="H32" s="2"/>
      <c r="I32" s="2"/>
      <c r="J32" s="2"/>
      <c r="K32" s="2"/>
    </row>
    <row r="33" spans="1:12" x14ac:dyDescent="0.2">
      <c r="B33" s="82" t="s">
        <v>34</v>
      </c>
      <c r="C33" s="214">
        <v>6.5000000000000002E-2</v>
      </c>
      <c r="D33" s="214">
        <v>6.5000000000000002E-2</v>
      </c>
      <c r="E33" s="76">
        <f>+'Res '!E38</f>
        <v>0.65</v>
      </c>
      <c r="F33" s="77">
        <f>C33*E33</f>
        <v>4.2250000000000003E-2</v>
      </c>
      <c r="G33" s="2"/>
      <c r="H33" s="2"/>
      <c r="I33" s="2"/>
      <c r="J33" s="2"/>
      <c r="K33" s="2"/>
    </row>
    <row r="34" spans="1:12" x14ac:dyDescent="0.2">
      <c r="B34" s="82" t="s">
        <v>35</v>
      </c>
      <c r="C34" s="214">
        <v>9.4E-2</v>
      </c>
      <c r="D34" s="214">
        <v>9.4E-2</v>
      </c>
      <c r="E34" s="76">
        <f>+'Res '!E39</f>
        <v>0.17</v>
      </c>
      <c r="F34" s="77">
        <f>C34*E34</f>
        <v>1.5980000000000001E-2</v>
      </c>
      <c r="G34" s="2"/>
      <c r="H34" s="2"/>
      <c r="I34" s="2"/>
      <c r="J34" s="2"/>
      <c r="K34" s="2"/>
    </row>
    <row r="35" spans="1:12" x14ac:dyDescent="0.2">
      <c r="B35" s="82" t="s">
        <v>36</v>
      </c>
      <c r="C35" s="214">
        <v>0.13400000000000001</v>
      </c>
      <c r="D35" s="214">
        <v>0.13400000000000001</v>
      </c>
      <c r="E35" s="76">
        <f>+'Res '!E40</f>
        <v>0.18</v>
      </c>
      <c r="F35" s="77">
        <f>C35*E35</f>
        <v>2.4119999999999999E-2</v>
      </c>
      <c r="G35" s="2"/>
      <c r="H35" s="2"/>
      <c r="I35" s="2"/>
      <c r="J35" s="2"/>
      <c r="K35" s="2"/>
    </row>
    <row r="36" spans="1:12" x14ac:dyDescent="0.2">
      <c r="B36" s="82"/>
      <c r="C36" s="2"/>
      <c r="D36" s="2"/>
      <c r="E36" s="2"/>
      <c r="F36" s="77"/>
      <c r="G36" s="2"/>
      <c r="H36" s="2"/>
      <c r="I36" s="2"/>
      <c r="J36" s="2"/>
      <c r="K36" s="2"/>
    </row>
    <row r="37" spans="1:12" ht="13.5" thickBot="1" x14ac:dyDescent="0.25">
      <c r="B37" s="82"/>
      <c r="C37" s="2"/>
      <c r="D37" s="2"/>
      <c r="E37" s="2"/>
      <c r="F37" s="2"/>
      <c r="G37" s="2"/>
      <c r="H37" s="2"/>
      <c r="I37" s="2"/>
      <c r="J37" s="2"/>
      <c r="K37" s="2"/>
    </row>
    <row r="38" spans="1:12" ht="13.5" thickBot="1" x14ac:dyDescent="0.25">
      <c r="B38" s="92" t="s">
        <v>11</v>
      </c>
      <c r="C38" s="93">
        <v>500</v>
      </c>
      <c r="D38" s="94" t="s">
        <v>12</v>
      </c>
      <c r="E38" s="253"/>
      <c r="F38" s="254"/>
      <c r="G38" s="97"/>
      <c r="H38" s="98" t="s">
        <v>14</v>
      </c>
      <c r="I38" s="99"/>
      <c r="J38" s="100">
        <f>C27</f>
        <v>1.0454000000000001</v>
      </c>
      <c r="K38" s="2"/>
    </row>
    <row r="39" spans="1:12" ht="13.5" thickBot="1" x14ac:dyDescent="0.25">
      <c r="B39" s="92" t="s">
        <v>15</v>
      </c>
      <c r="C39" s="101">
        <v>750</v>
      </c>
      <c r="D39" s="94" t="s">
        <v>12</v>
      </c>
      <c r="E39" s="255"/>
      <c r="F39" s="256"/>
      <c r="G39" s="97"/>
      <c r="H39" s="257" t="s">
        <v>16</v>
      </c>
      <c r="I39" s="104"/>
      <c r="J39" s="105">
        <f>D27</f>
        <v>1.0454000000000001</v>
      </c>
      <c r="K39" s="2"/>
    </row>
    <row r="40" spans="1:12" x14ac:dyDescent="0.2">
      <c r="B40" s="84"/>
      <c r="C40" s="362" t="s">
        <v>40</v>
      </c>
      <c r="D40" s="363"/>
      <c r="E40" s="355"/>
      <c r="F40" s="354" t="s">
        <v>41</v>
      </c>
      <c r="G40" s="355"/>
      <c r="H40" s="372"/>
      <c r="I40" s="354" t="s">
        <v>42</v>
      </c>
      <c r="J40" s="368"/>
      <c r="K40" s="55"/>
      <c r="L40" s="55"/>
    </row>
    <row r="41" spans="1:12" x14ac:dyDescent="0.2">
      <c r="B41" s="357" t="str">
        <f>B11</f>
        <v xml:space="preserve">UNMETERED SCATTERED LOAD (RPP TIER) </v>
      </c>
      <c r="C41" s="23" t="s">
        <v>43</v>
      </c>
      <c r="D41" s="23" t="s">
        <v>17</v>
      </c>
      <c r="E41" s="69" t="s">
        <v>44</v>
      </c>
      <c r="F41" s="64" t="s">
        <v>43</v>
      </c>
      <c r="G41" s="24" t="s">
        <v>17</v>
      </c>
      <c r="H41" s="69" t="s">
        <v>44</v>
      </c>
      <c r="I41" s="374" t="s">
        <v>24</v>
      </c>
      <c r="J41" s="376" t="s">
        <v>25</v>
      </c>
      <c r="K41" s="55"/>
      <c r="L41" s="55"/>
    </row>
    <row r="42" spans="1:12" ht="27" customHeight="1" x14ac:dyDescent="0.2">
      <c r="B42" s="373"/>
      <c r="C42" s="25" t="s">
        <v>45</v>
      </c>
      <c r="D42" s="25"/>
      <c r="E42" s="63" t="s">
        <v>45</v>
      </c>
      <c r="F42" s="65" t="s">
        <v>45</v>
      </c>
      <c r="G42" s="26"/>
      <c r="H42" s="63" t="s">
        <v>45</v>
      </c>
      <c r="I42" s="375"/>
      <c r="J42" s="377"/>
      <c r="K42" s="56"/>
      <c r="L42" s="56"/>
    </row>
    <row r="43" spans="1:12" ht="14.25" x14ac:dyDescent="0.2">
      <c r="A43" s="22" t="s">
        <v>70</v>
      </c>
      <c r="B43" s="85" t="s">
        <v>46</v>
      </c>
      <c r="C43" s="148">
        <f>C14</f>
        <v>9.83</v>
      </c>
      <c r="D43" s="27">
        <v>1</v>
      </c>
      <c r="E43" s="197">
        <f>D43*C43</f>
        <v>9.83</v>
      </c>
      <c r="F43" s="150">
        <f>D14</f>
        <v>9.92</v>
      </c>
      <c r="G43" s="28">
        <v>1</v>
      </c>
      <c r="H43" s="198">
        <f>G43*F43</f>
        <v>9.92</v>
      </c>
      <c r="I43" s="331">
        <f t="shared" ref="I43:I47" si="0">H43-E43</f>
        <v>8.9999999999999858E-2</v>
      </c>
      <c r="J43" s="334">
        <f t="shared" ref="J43:J63" si="1">IF((H43)=0,"",(I43/E43))</f>
        <v>9.1556459816886943E-3</v>
      </c>
      <c r="K43" s="46"/>
      <c r="L43" s="57"/>
    </row>
    <row r="44" spans="1:12" ht="14.25" x14ac:dyDescent="0.2">
      <c r="A44" s="22" t="s">
        <v>70</v>
      </c>
      <c r="B44" s="85" t="s">
        <v>4</v>
      </c>
      <c r="C44" s="153">
        <f>C15</f>
        <v>3.1399999999999997E-2</v>
      </c>
      <c r="D44" s="29">
        <f>C38</f>
        <v>500</v>
      </c>
      <c r="E44" s="197">
        <f>D44*C44</f>
        <v>15.7</v>
      </c>
      <c r="F44" s="154">
        <f>D15</f>
        <v>3.1699999999999999E-2</v>
      </c>
      <c r="G44" s="30">
        <f>+C38</f>
        <v>500</v>
      </c>
      <c r="H44" s="149">
        <f>G44*F44</f>
        <v>15.85</v>
      </c>
      <c r="I44" s="331">
        <f t="shared" si="0"/>
        <v>0.15000000000000036</v>
      </c>
      <c r="J44" s="334">
        <f t="shared" si="1"/>
        <v>9.5541401273885589E-3</v>
      </c>
      <c r="K44" s="48"/>
      <c r="L44" s="59"/>
    </row>
    <row r="45" spans="1:12" ht="14.25" x14ac:dyDescent="0.2">
      <c r="B45" s="87" t="s">
        <v>97</v>
      </c>
      <c r="C45" s="203">
        <f>+C20</f>
        <v>0</v>
      </c>
      <c r="D45" s="34">
        <f>+C38</f>
        <v>500</v>
      </c>
      <c r="E45" s="197">
        <f>D45*C45</f>
        <v>0</v>
      </c>
      <c r="F45" s="204">
        <f>+D20</f>
        <v>0</v>
      </c>
      <c r="G45" s="34">
        <f>+C38</f>
        <v>500</v>
      </c>
      <c r="H45" s="197">
        <f>G45*F45</f>
        <v>0</v>
      </c>
      <c r="I45" s="332">
        <f>H45-E45</f>
        <v>0</v>
      </c>
      <c r="J45" s="335" t="str">
        <f>IF((H45)=0,"",(I45/E45))</f>
        <v/>
      </c>
      <c r="K45" s="60"/>
    </row>
    <row r="46" spans="1:12" ht="14.25" x14ac:dyDescent="0.2">
      <c r="B46" s="87" t="s">
        <v>106</v>
      </c>
      <c r="C46" s="203">
        <f>+C16</f>
        <v>-1E-3</v>
      </c>
      <c r="D46" s="34">
        <f>+C38</f>
        <v>500</v>
      </c>
      <c r="E46" s="197">
        <f>D46*C46</f>
        <v>-0.5</v>
      </c>
      <c r="F46" s="204">
        <f>+D16</f>
        <v>0</v>
      </c>
      <c r="G46" s="34">
        <f>+C38</f>
        <v>500</v>
      </c>
      <c r="H46" s="197">
        <f>G46*F46</f>
        <v>0</v>
      </c>
      <c r="I46" s="332">
        <f>H46-E46</f>
        <v>0.5</v>
      </c>
      <c r="J46" s="335" t="str">
        <f>IF((H46)=0,"",(I46/E46))</f>
        <v/>
      </c>
      <c r="K46" s="60"/>
    </row>
    <row r="47" spans="1:12" ht="15" x14ac:dyDescent="0.2">
      <c r="B47" s="47" t="s">
        <v>47</v>
      </c>
      <c r="C47" s="241"/>
      <c r="D47" s="242"/>
      <c r="E47" s="243">
        <f>SUM(E43:E46)</f>
        <v>25.03</v>
      </c>
      <c r="F47" s="206"/>
      <c r="G47" s="39"/>
      <c r="H47" s="244">
        <f>SUM(H43:H46)</f>
        <v>25.77</v>
      </c>
      <c r="I47" s="200">
        <f t="shared" si="0"/>
        <v>0.73999999999999844</v>
      </c>
      <c r="J47" s="326">
        <f t="shared" si="1"/>
        <v>2.9564522572912443E-2</v>
      </c>
      <c r="K47" s="46"/>
      <c r="L47" s="117"/>
    </row>
    <row r="48" spans="1:12" ht="14.25" x14ac:dyDescent="0.2">
      <c r="B48" s="87" t="s">
        <v>48</v>
      </c>
      <c r="C48" s="203">
        <f>+C31</f>
        <v>7.6999999999999999E-2</v>
      </c>
      <c r="D48" s="34">
        <f>$C38*($C27-1)</f>
        <v>22.700000000000053</v>
      </c>
      <c r="E48" s="197">
        <f>C48*D48</f>
        <v>1.747900000000004</v>
      </c>
      <c r="F48" s="154">
        <f>+C48</f>
        <v>7.6999999999999999E-2</v>
      </c>
      <c r="G48" s="34">
        <f>$C38*($C27-1)</f>
        <v>22.700000000000053</v>
      </c>
      <c r="H48" s="149">
        <f>F48*G48</f>
        <v>1.747900000000004</v>
      </c>
      <c r="I48" s="331">
        <f t="shared" ref="I48:I62" si="2">H48-E48</f>
        <v>0</v>
      </c>
      <c r="J48" s="334">
        <f t="shared" si="1"/>
        <v>0</v>
      </c>
      <c r="K48" s="60"/>
    </row>
    <row r="49" spans="2:19" ht="14.25" x14ac:dyDescent="0.2">
      <c r="B49" s="87" t="s">
        <v>98</v>
      </c>
      <c r="C49" s="203">
        <f>+C19</f>
        <v>8.9999999999999998E-4</v>
      </c>
      <c r="D49" s="34">
        <f>+C38</f>
        <v>500</v>
      </c>
      <c r="E49" s="197">
        <f t="shared" ref="E49" si="3">D49*C49</f>
        <v>0.45</v>
      </c>
      <c r="F49" s="204">
        <f>+D19</f>
        <v>8.9999999999999998E-4</v>
      </c>
      <c r="G49" s="34">
        <f>+C38</f>
        <v>500</v>
      </c>
      <c r="H49" s="197">
        <f t="shared" ref="H49" si="4">G49*F49</f>
        <v>0.45</v>
      </c>
      <c r="I49" s="332">
        <f t="shared" ref="I49" si="5">H49-E49</f>
        <v>0</v>
      </c>
      <c r="J49" s="335">
        <f t="shared" ref="J49" si="6">IF((H49)=0,"",(I49/E49))</f>
        <v>0</v>
      </c>
      <c r="K49" s="60"/>
    </row>
    <row r="50" spans="2:19" ht="14.25" x14ac:dyDescent="0.2">
      <c r="B50" s="87" t="s">
        <v>49</v>
      </c>
      <c r="C50" s="153">
        <f>+C18</f>
        <v>0</v>
      </c>
      <c r="D50" s="34">
        <f>+C38</f>
        <v>500</v>
      </c>
      <c r="E50" s="197">
        <f>D50*C50</f>
        <v>0</v>
      </c>
      <c r="F50" s="154">
        <f>D18</f>
        <v>0</v>
      </c>
      <c r="G50" s="34">
        <f>+C38</f>
        <v>500</v>
      </c>
      <c r="H50" s="149">
        <f>G50*F50</f>
        <v>0</v>
      </c>
      <c r="I50" s="331">
        <f t="shared" si="2"/>
        <v>0</v>
      </c>
      <c r="J50" s="334" t="str">
        <f t="shared" si="1"/>
        <v/>
      </c>
      <c r="K50" s="60"/>
    </row>
    <row r="51" spans="2:19" ht="14.25" x14ac:dyDescent="0.2">
      <c r="B51" s="87" t="s">
        <v>90</v>
      </c>
      <c r="C51" s="153">
        <f>+C17</f>
        <v>0</v>
      </c>
      <c r="D51" s="34">
        <f>+C38</f>
        <v>500</v>
      </c>
      <c r="E51" s="197">
        <f>D51*C51</f>
        <v>0</v>
      </c>
      <c r="F51" s="154">
        <f>+D17</f>
        <v>0</v>
      </c>
      <c r="G51" s="34">
        <f>+C38</f>
        <v>500</v>
      </c>
      <c r="H51" s="149">
        <f>G51*F51</f>
        <v>0</v>
      </c>
      <c r="I51" s="331">
        <f t="shared" si="2"/>
        <v>0</v>
      </c>
      <c r="J51" s="334" t="str">
        <f t="shared" si="1"/>
        <v/>
      </c>
      <c r="K51" s="60"/>
      <c r="L51" s="238"/>
      <c r="N51" s="59"/>
      <c r="O51" s="46"/>
      <c r="P51" s="51"/>
    </row>
    <row r="52" spans="2:19" ht="15" x14ac:dyDescent="0.2">
      <c r="B52" s="47" t="s">
        <v>51</v>
      </c>
      <c r="C52" s="165"/>
      <c r="D52" s="35"/>
      <c r="E52" s="166">
        <f>SUM(E48:E51)+E47</f>
        <v>27.227900000000005</v>
      </c>
      <c r="F52" s="167"/>
      <c r="G52" s="36"/>
      <c r="H52" s="166">
        <f>SUM(H48:H51)+H47</f>
        <v>27.967900000000004</v>
      </c>
      <c r="I52" s="200">
        <f>H52-E52</f>
        <v>0.73999999999999844</v>
      </c>
      <c r="J52" s="326">
        <f t="shared" si="1"/>
        <v>2.7178004914077042E-2</v>
      </c>
      <c r="K52" s="46"/>
    </row>
    <row r="53" spans="2:19" ht="15" x14ac:dyDescent="0.2">
      <c r="B53" s="89" t="s">
        <v>52</v>
      </c>
      <c r="C53" s="153">
        <f>C21</f>
        <v>6.8999999999999999E-3</v>
      </c>
      <c r="D53" s="62">
        <f>C38+D48</f>
        <v>522.70000000000005</v>
      </c>
      <c r="E53" s="197">
        <f>D53*C53</f>
        <v>3.6066300000000004</v>
      </c>
      <c r="F53" s="154">
        <f>D21</f>
        <v>7.3000000000000001E-3</v>
      </c>
      <c r="G53" s="215">
        <f>+C38+G48</f>
        <v>522.70000000000005</v>
      </c>
      <c r="H53" s="149">
        <f>G53*F53</f>
        <v>3.8157100000000002</v>
      </c>
      <c r="I53" s="331">
        <f t="shared" si="2"/>
        <v>0.20907999999999971</v>
      </c>
      <c r="J53" s="334">
        <f t="shared" si="1"/>
        <v>5.7971014492753534E-2</v>
      </c>
      <c r="K53" s="60"/>
      <c r="S53" s="49"/>
    </row>
    <row r="54" spans="2:19" ht="21.75" customHeight="1" x14ac:dyDescent="0.2">
      <c r="B54" s="90" t="s">
        <v>53</v>
      </c>
      <c r="C54" s="153">
        <f>C22</f>
        <v>6.4000000000000003E-3</v>
      </c>
      <c r="D54" s="62">
        <f>+C38+D48</f>
        <v>522.70000000000005</v>
      </c>
      <c r="E54" s="197">
        <f>D54*C54</f>
        <v>3.3452800000000003</v>
      </c>
      <c r="F54" s="154">
        <f>D22</f>
        <v>6.4999999999999997E-3</v>
      </c>
      <c r="G54" s="215">
        <f>+C38+G48</f>
        <v>522.70000000000005</v>
      </c>
      <c r="H54" s="149">
        <f>G54*F54</f>
        <v>3.3975500000000003</v>
      </c>
      <c r="I54" s="331">
        <f t="shared" si="2"/>
        <v>5.2270000000000039E-2</v>
      </c>
      <c r="J54" s="334">
        <f t="shared" si="1"/>
        <v>1.562500000000001E-2</v>
      </c>
      <c r="K54" s="60"/>
      <c r="L54" s="239"/>
    </row>
    <row r="55" spans="2:19" ht="15" x14ac:dyDescent="0.2">
      <c r="B55" s="47" t="s">
        <v>54</v>
      </c>
      <c r="C55" s="165"/>
      <c r="D55" s="35"/>
      <c r="E55" s="166">
        <f>SUM(E52:E54)</f>
        <v>34.179810000000003</v>
      </c>
      <c r="F55" s="168"/>
      <c r="G55" s="39"/>
      <c r="H55" s="166">
        <f>SUM(H52:H54)</f>
        <v>35.181160000000006</v>
      </c>
      <c r="I55" s="200">
        <f>H55-E55</f>
        <v>1.0013500000000022</v>
      </c>
      <c r="J55" s="326">
        <f t="shared" si="1"/>
        <v>2.9296535001218618E-2</v>
      </c>
      <c r="K55" s="44"/>
      <c r="L55" s="49"/>
    </row>
    <row r="56" spans="2:19" ht="14.25" x14ac:dyDescent="0.2">
      <c r="B56" s="87" t="s">
        <v>55</v>
      </c>
      <c r="C56" s="170">
        <f>C23</f>
        <v>3.0000000000000001E-3</v>
      </c>
      <c r="D56" s="34">
        <f>C38+D48</f>
        <v>522.70000000000005</v>
      </c>
      <c r="E56" s="175">
        <f t="shared" ref="E56:E62" si="7">D56*C56</f>
        <v>1.5681000000000003</v>
      </c>
      <c r="F56" s="192">
        <f>D23</f>
        <v>3.0000000000000001E-3</v>
      </c>
      <c r="G56" s="216">
        <f>+C38+G48</f>
        <v>522.70000000000005</v>
      </c>
      <c r="H56" s="172">
        <f t="shared" ref="H56:H62" si="8">G56*F56</f>
        <v>1.5681000000000003</v>
      </c>
      <c r="I56" s="337">
        <f t="shared" si="2"/>
        <v>0</v>
      </c>
      <c r="J56" s="335">
        <f t="shared" si="1"/>
        <v>0</v>
      </c>
      <c r="K56" s="60"/>
      <c r="L56" s="61"/>
    </row>
    <row r="57" spans="2:19" ht="14.25" x14ac:dyDescent="0.2">
      <c r="B57" s="87" t="s">
        <v>87</v>
      </c>
      <c r="C57" s="170">
        <f>C24</f>
        <v>4.0000000000000002E-4</v>
      </c>
      <c r="D57" s="141">
        <f>+C38+D48</f>
        <v>522.70000000000005</v>
      </c>
      <c r="E57" s="175">
        <f t="shared" si="7"/>
        <v>0.20908000000000002</v>
      </c>
      <c r="F57" s="192">
        <f>D24</f>
        <v>4.0000000000000002E-4</v>
      </c>
      <c r="G57" s="216">
        <f>+C38+G48</f>
        <v>522.70000000000005</v>
      </c>
      <c r="H57" s="172">
        <f t="shared" si="8"/>
        <v>0.20908000000000002</v>
      </c>
      <c r="I57" s="337">
        <f t="shared" si="2"/>
        <v>0</v>
      </c>
      <c r="J57" s="335">
        <f t="shared" si="1"/>
        <v>0</v>
      </c>
      <c r="K57" s="60"/>
      <c r="L57" s="61"/>
    </row>
    <row r="58" spans="2:19" ht="14.25" x14ac:dyDescent="0.2">
      <c r="B58" s="86" t="s">
        <v>56</v>
      </c>
      <c r="C58" s="170">
        <f>C25</f>
        <v>5.0000000000000001E-4</v>
      </c>
      <c r="D58" s="141">
        <f>+C38+D48</f>
        <v>522.70000000000005</v>
      </c>
      <c r="E58" s="175">
        <f t="shared" si="7"/>
        <v>0.26135000000000003</v>
      </c>
      <c r="F58" s="192">
        <f>D25</f>
        <v>5.0000000000000001E-4</v>
      </c>
      <c r="G58" s="216">
        <f>+C38+G48</f>
        <v>522.70000000000005</v>
      </c>
      <c r="H58" s="175">
        <f t="shared" si="8"/>
        <v>0.26135000000000003</v>
      </c>
      <c r="I58" s="332">
        <f t="shared" si="2"/>
        <v>0</v>
      </c>
      <c r="J58" s="335">
        <f t="shared" si="1"/>
        <v>0</v>
      </c>
      <c r="K58" s="60"/>
      <c r="L58" s="61"/>
    </row>
    <row r="59" spans="2:19" ht="14.25" x14ac:dyDescent="0.2">
      <c r="B59" s="86" t="s">
        <v>57</v>
      </c>
      <c r="C59" s="210">
        <f>C26</f>
        <v>0.25</v>
      </c>
      <c r="D59" s="34">
        <f>D43</f>
        <v>1</v>
      </c>
      <c r="E59" s="175">
        <f t="shared" si="7"/>
        <v>0.25</v>
      </c>
      <c r="F59" s="211">
        <f>D26</f>
        <v>0.25</v>
      </c>
      <c r="G59" s="122">
        <f>+G43</f>
        <v>1</v>
      </c>
      <c r="H59" s="175">
        <f t="shared" si="8"/>
        <v>0.25</v>
      </c>
      <c r="I59" s="332">
        <f t="shared" si="2"/>
        <v>0</v>
      </c>
      <c r="J59" s="335">
        <f t="shared" si="1"/>
        <v>0</v>
      </c>
      <c r="K59" s="60"/>
      <c r="L59" s="61"/>
    </row>
    <row r="60" spans="2:19" ht="15" x14ac:dyDescent="0.2">
      <c r="B60" s="47" t="s">
        <v>62</v>
      </c>
      <c r="C60" s="165"/>
      <c r="D60" s="35"/>
      <c r="E60" s="166">
        <f>SUM(E56:E59)</f>
        <v>2.2885300000000002</v>
      </c>
      <c r="F60" s="168"/>
      <c r="G60" s="39"/>
      <c r="H60" s="166">
        <f>SUM(H56:H59)</f>
        <v>2.2885300000000002</v>
      </c>
      <c r="I60" s="200">
        <f>SUM(I56:I59)</f>
        <v>0</v>
      </c>
      <c r="J60" s="326">
        <f t="shared" si="1"/>
        <v>0</v>
      </c>
      <c r="K60" s="60"/>
      <c r="L60" s="61"/>
    </row>
    <row r="61" spans="2:19" ht="14.25" x14ac:dyDescent="0.2">
      <c r="B61" s="87" t="s">
        <v>32</v>
      </c>
      <c r="C61" s="170">
        <f>C31</f>
        <v>7.6999999999999999E-2</v>
      </c>
      <c r="D61" s="34">
        <f>IF(C38&gt;C39,C39,C38)</f>
        <v>500</v>
      </c>
      <c r="E61" s="175">
        <f t="shared" si="7"/>
        <v>38.5</v>
      </c>
      <c r="F61" s="192">
        <f>C61</f>
        <v>7.6999999999999999E-2</v>
      </c>
      <c r="G61" s="34">
        <f>IF(C38&gt;C39,C39,C38)</f>
        <v>500</v>
      </c>
      <c r="H61" s="172">
        <f t="shared" si="8"/>
        <v>38.5</v>
      </c>
      <c r="I61" s="337">
        <f t="shared" si="2"/>
        <v>0</v>
      </c>
      <c r="J61" s="335">
        <f t="shared" si="1"/>
        <v>0</v>
      </c>
      <c r="K61" s="60"/>
      <c r="L61" s="61"/>
    </row>
    <row r="62" spans="2:19" ht="14.25" x14ac:dyDescent="0.2">
      <c r="B62" s="87" t="s">
        <v>33</v>
      </c>
      <c r="C62" s="170">
        <f>C32</f>
        <v>8.8999999999999996E-2</v>
      </c>
      <c r="D62" s="34">
        <f>IF(C38&gt;C39,C39-C38,0)</f>
        <v>0</v>
      </c>
      <c r="E62" s="175">
        <f t="shared" si="7"/>
        <v>0</v>
      </c>
      <c r="F62" s="192">
        <f>C62</f>
        <v>8.8999999999999996E-2</v>
      </c>
      <c r="G62" s="122">
        <f>D62</f>
        <v>0</v>
      </c>
      <c r="H62" s="175">
        <f t="shared" si="8"/>
        <v>0</v>
      </c>
      <c r="I62" s="332">
        <f t="shared" si="2"/>
        <v>0</v>
      </c>
      <c r="J62" s="335" t="str">
        <f t="shared" si="1"/>
        <v/>
      </c>
      <c r="K62" s="60"/>
      <c r="L62" s="61"/>
    </row>
    <row r="63" spans="2:19" ht="15.75" thickBot="1" x14ac:dyDescent="0.25">
      <c r="B63" s="47" t="s">
        <v>63</v>
      </c>
      <c r="C63" s="165"/>
      <c r="D63" s="35"/>
      <c r="E63" s="166">
        <f>SUM(E61:E62)</f>
        <v>38.5</v>
      </c>
      <c r="F63" s="168"/>
      <c r="G63" s="39"/>
      <c r="H63" s="166">
        <f>SUM(H61:H62)</f>
        <v>38.5</v>
      </c>
      <c r="I63" s="200">
        <f>H63-E63</f>
        <v>0</v>
      </c>
      <c r="J63" s="326">
        <f t="shared" si="1"/>
        <v>0</v>
      </c>
      <c r="K63" s="60"/>
      <c r="L63" s="61"/>
      <c r="N63" s="130"/>
    </row>
    <row r="64" spans="2:19" ht="8.25" customHeight="1" thickBot="1" x14ac:dyDescent="0.25">
      <c r="B64" s="91"/>
      <c r="C64" s="176"/>
      <c r="D64" s="40"/>
      <c r="E64" s="177"/>
      <c r="F64" s="178"/>
      <c r="G64" s="41"/>
      <c r="H64" s="177"/>
      <c r="I64" s="338"/>
      <c r="J64" s="340"/>
      <c r="K64" s="46"/>
      <c r="L64" s="61"/>
    </row>
    <row r="65" spans="2:17" ht="15" x14ac:dyDescent="0.2">
      <c r="B65" s="71" t="s">
        <v>102</v>
      </c>
      <c r="C65" s="181"/>
      <c r="D65" s="42"/>
      <c r="E65" s="182">
        <f>E63+E60+E55</f>
        <v>74.968340000000012</v>
      </c>
      <c r="F65" s="183"/>
      <c r="G65" s="43"/>
      <c r="H65" s="184">
        <f>H63+H60+H55</f>
        <v>75.969690000000014</v>
      </c>
      <c r="I65" s="341">
        <f>H65-E65</f>
        <v>1.0013500000000022</v>
      </c>
      <c r="J65" s="334">
        <f>IF((H65)=0,"",(I65/E65))</f>
        <v>1.3356971756344106E-2</v>
      </c>
      <c r="K65" s="67"/>
      <c r="L65" s="49"/>
      <c r="M65" s="44"/>
      <c r="N65" s="49"/>
      <c r="O65" s="49"/>
      <c r="Q65" s="49"/>
    </row>
    <row r="66" spans="2:17" ht="14.25" x14ac:dyDescent="0.2">
      <c r="B66" s="72" t="s">
        <v>18</v>
      </c>
      <c r="C66" s="181">
        <v>0.13</v>
      </c>
      <c r="D66" s="45"/>
      <c r="E66" s="185">
        <f>E65*C66</f>
        <v>9.7458842000000026</v>
      </c>
      <c r="F66" s="186">
        <v>0.13</v>
      </c>
      <c r="G66" s="27"/>
      <c r="H66" s="187">
        <f>H65*F66</f>
        <v>9.8760597000000026</v>
      </c>
      <c r="I66" s="341">
        <f>H66-E66</f>
        <v>0.1301755</v>
      </c>
      <c r="J66" s="334">
        <f>IF((H66)=0,"",(I66/E66))</f>
        <v>1.3356971756344075E-2</v>
      </c>
      <c r="K66" s="45"/>
      <c r="L66" s="51"/>
      <c r="M66" s="46"/>
      <c r="N66" s="51"/>
      <c r="O66" s="52"/>
      <c r="Q66" s="51"/>
    </row>
    <row r="67" spans="2:17" ht="15" x14ac:dyDescent="0.2">
      <c r="B67" s="72" t="s">
        <v>86</v>
      </c>
      <c r="C67" s="181">
        <v>-0.08</v>
      </c>
      <c r="D67" s="45"/>
      <c r="E67" s="185">
        <f>+E65*C67</f>
        <v>-5.9974672000000009</v>
      </c>
      <c r="F67" s="186">
        <v>-0.08</v>
      </c>
      <c r="G67" s="27"/>
      <c r="H67" s="187">
        <f>+H65*F67</f>
        <v>-6.077575200000001</v>
      </c>
      <c r="I67" s="341">
        <f>H67-E67</f>
        <v>-8.0108000000000068E-2</v>
      </c>
      <c r="J67" s="334">
        <f>IF((H67)=0,"",(I67/E67))</f>
        <v>1.3356971756344087E-2</v>
      </c>
      <c r="K67" s="68"/>
      <c r="L67" s="49"/>
      <c r="M67" s="44"/>
      <c r="N67" s="49"/>
      <c r="O67" s="50"/>
    </row>
    <row r="68" spans="2:17" ht="15" x14ac:dyDescent="0.2">
      <c r="B68" s="78" t="s">
        <v>103</v>
      </c>
      <c r="C68" s="189"/>
      <c r="D68" s="79"/>
      <c r="E68" s="190">
        <f>SUM(E65:E67)</f>
        <v>78.716757000000015</v>
      </c>
      <c r="F68" s="191"/>
      <c r="G68" s="80"/>
      <c r="H68" s="169">
        <f>SUM(H65:H67)</f>
        <v>79.768174500000015</v>
      </c>
      <c r="I68" s="166">
        <f>H68-E68</f>
        <v>1.0514174999999994</v>
      </c>
      <c r="J68" s="326">
        <f>IF((H68)=0,"",(I68/E68))</f>
        <v>1.3356971756344068E-2</v>
      </c>
      <c r="K68" s="10"/>
      <c r="L68" s="10"/>
      <c r="M68" s="10"/>
      <c r="N68" s="10"/>
      <c r="O68" s="10"/>
    </row>
    <row r="69" spans="2:17" x14ac:dyDescent="0.2">
      <c r="L69" s="118"/>
    </row>
  </sheetData>
  <mergeCells count="7">
    <mergeCell ref="B11:E11"/>
    <mergeCell ref="C40:E40"/>
    <mergeCell ref="F40:H40"/>
    <mergeCell ref="I40:J40"/>
    <mergeCell ref="B41:B42"/>
    <mergeCell ref="I41:I42"/>
    <mergeCell ref="J41:J42"/>
  </mergeCells>
  <pageMargins left="0.75" right="0.75" top="1" bottom="1" header="0.5" footer="0.5"/>
  <pageSetup scale="89" orientation="landscape" r:id="rId1"/>
  <headerFooter alignWithMargins="0">
    <oddFooter>&amp;R&amp;F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R60"/>
  <sheetViews>
    <sheetView showGridLines="0" topLeftCell="A18" zoomScale="90" workbookViewId="0">
      <selection activeCell="B34" sqref="B34:J59"/>
    </sheetView>
  </sheetViews>
  <sheetFormatPr defaultRowHeight="12.75" x14ac:dyDescent="0.2"/>
  <cols>
    <col min="1" max="1" width="2.28515625" customWidth="1"/>
    <col min="2" max="2" width="45.140625" customWidth="1"/>
    <col min="3" max="3" width="11.5703125" customWidth="1"/>
    <col min="4" max="4" width="11.140625" customWidth="1"/>
    <col min="5" max="5" width="13" customWidth="1"/>
    <col min="6" max="6" width="11.140625" customWidth="1"/>
    <col min="7" max="7" width="9.85546875" bestFit="1" customWidth="1"/>
    <col min="8" max="8" width="13.140625" customWidth="1"/>
    <col min="9" max="9" width="10.7109375" bestFit="1" customWidth="1"/>
    <col min="10" max="10" width="11.140625" bestFit="1" customWidth="1"/>
    <col min="11" max="11" width="13.140625" customWidth="1"/>
    <col min="14" max="14" width="9.85546875" bestFit="1" customWidth="1"/>
    <col min="15" max="15" width="12.28515625" customWidth="1"/>
    <col min="17" max="17" width="9.85546875" bestFit="1" customWidth="1"/>
  </cols>
  <sheetData>
    <row r="1" spans="2:11" hidden="1" x14ac:dyDescent="0.2"/>
    <row r="2" spans="2:11" hidden="1" x14ac:dyDescent="0.2"/>
    <row r="3" spans="2:11" hidden="1" x14ac:dyDescent="0.2"/>
    <row r="4" spans="2:11" hidden="1" x14ac:dyDescent="0.2"/>
    <row r="5" spans="2:11" hidden="1" x14ac:dyDescent="0.2"/>
    <row r="6" spans="2:11" hidden="1" x14ac:dyDescent="0.2"/>
    <row r="7" spans="2:11" hidden="1" x14ac:dyDescent="0.2"/>
    <row r="8" spans="2:11" hidden="1" x14ac:dyDescent="0.2"/>
    <row r="9" spans="2:11" ht="18" x14ac:dyDescent="0.25">
      <c r="B9" s="1" t="s">
        <v>19</v>
      </c>
      <c r="C9" s="2"/>
      <c r="D9" s="2"/>
      <c r="E9" s="127" t="s">
        <v>73</v>
      </c>
      <c r="F9" s="124" t="s">
        <v>74</v>
      </c>
      <c r="G9" s="2"/>
      <c r="H9" s="2"/>
      <c r="I9" s="2"/>
      <c r="J9" s="2"/>
      <c r="K9" s="2"/>
    </row>
    <row r="10" spans="2:11" x14ac:dyDescent="0.2"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2:11" ht="18" x14ac:dyDescent="0.25">
      <c r="B11" s="353" t="s">
        <v>69</v>
      </c>
      <c r="C11" s="353"/>
      <c r="D11" s="353"/>
      <c r="E11" s="353"/>
      <c r="F11" s="3"/>
      <c r="G11" s="3"/>
      <c r="H11" s="2"/>
      <c r="I11" s="2"/>
      <c r="J11" s="2"/>
      <c r="K11" s="2"/>
    </row>
    <row r="12" spans="2:11" ht="13.5" thickBot="1" x14ac:dyDescent="0.25">
      <c r="B12" s="2"/>
      <c r="C12" s="126">
        <v>2019</v>
      </c>
      <c r="D12" s="126">
        <v>2020</v>
      </c>
      <c r="E12" s="2"/>
      <c r="F12" s="2"/>
      <c r="G12" s="2"/>
      <c r="H12" s="2"/>
      <c r="I12" s="2"/>
      <c r="J12" s="2"/>
      <c r="K12" s="2"/>
    </row>
    <row r="13" spans="2:11" ht="26.25" thickBot="1" x14ac:dyDescent="0.25">
      <c r="B13" s="4" t="s">
        <v>1</v>
      </c>
      <c r="C13" s="81" t="s">
        <v>2</v>
      </c>
      <c r="D13" s="81" t="s">
        <v>41</v>
      </c>
      <c r="E13" s="2"/>
      <c r="F13" s="2"/>
      <c r="G13" s="2"/>
      <c r="H13" s="2"/>
      <c r="I13" s="226"/>
      <c r="J13" s="2"/>
      <c r="K13" s="2"/>
    </row>
    <row r="14" spans="2:11" x14ac:dyDescent="0.2">
      <c r="B14" s="123" t="s">
        <v>3</v>
      </c>
      <c r="C14" s="315">
        <v>5.78</v>
      </c>
      <c r="D14" s="315">
        <v>5.83</v>
      </c>
      <c r="E14" s="2" t="s">
        <v>72</v>
      </c>
      <c r="F14" s="2"/>
      <c r="G14" s="2"/>
      <c r="H14" s="2"/>
      <c r="I14" s="218"/>
      <c r="J14" s="218"/>
      <c r="K14" s="2"/>
    </row>
    <row r="15" spans="2:11" x14ac:dyDescent="0.2">
      <c r="B15" s="83" t="s">
        <v>4</v>
      </c>
      <c r="C15" s="312">
        <v>15.5436</v>
      </c>
      <c r="D15" s="312">
        <v>15.6835</v>
      </c>
      <c r="E15" s="2" t="s">
        <v>105</v>
      </c>
      <c r="F15" s="2"/>
      <c r="G15" s="2"/>
      <c r="H15" s="2"/>
      <c r="I15" s="219"/>
      <c r="J15" s="219"/>
      <c r="K15" s="2"/>
    </row>
    <row r="16" spans="2:11" x14ac:dyDescent="0.2">
      <c r="B16" s="83"/>
      <c r="C16" s="312">
        <v>0</v>
      </c>
      <c r="D16" s="312">
        <v>0</v>
      </c>
      <c r="E16" s="2" t="s">
        <v>105</v>
      </c>
      <c r="F16" s="208"/>
      <c r="G16" s="2"/>
      <c r="H16" s="2"/>
      <c r="I16" s="219"/>
      <c r="J16" s="219"/>
      <c r="K16" s="2"/>
    </row>
    <row r="17" spans="2:11" x14ac:dyDescent="0.2">
      <c r="B17" s="83" t="s">
        <v>5</v>
      </c>
      <c r="C17" s="313">
        <v>2.0859000000000001</v>
      </c>
      <c r="D17" s="313">
        <v>2.1953999999999998</v>
      </c>
      <c r="E17" s="2" t="s">
        <v>105</v>
      </c>
      <c r="F17" s="2"/>
      <c r="G17" s="2"/>
      <c r="H17" s="2"/>
      <c r="I17" s="219"/>
      <c r="J17" s="219"/>
      <c r="K17" s="2"/>
    </row>
    <row r="18" spans="2:11" ht="26.25" customHeight="1" x14ac:dyDescent="0.2">
      <c r="B18" s="83" t="s">
        <v>6</v>
      </c>
      <c r="C18" s="313">
        <v>1.9224000000000001</v>
      </c>
      <c r="D18" s="313">
        <v>1.9556</v>
      </c>
      <c r="E18" s="2" t="s">
        <v>105</v>
      </c>
      <c r="F18" s="2"/>
      <c r="G18" s="2"/>
      <c r="H18" s="2"/>
      <c r="I18" s="219"/>
      <c r="J18" s="219"/>
      <c r="K18" s="2"/>
    </row>
    <row r="19" spans="2:11" x14ac:dyDescent="0.2">
      <c r="B19" s="83" t="s">
        <v>7</v>
      </c>
      <c r="C19" s="128">
        <v>3.0000000000000001E-3</v>
      </c>
      <c r="D19" s="128">
        <v>3.0000000000000001E-3</v>
      </c>
      <c r="E19" s="2" t="s">
        <v>12</v>
      </c>
      <c r="F19" s="2"/>
      <c r="G19" s="2"/>
      <c r="H19" s="2"/>
      <c r="I19" s="119"/>
      <c r="J19" s="119"/>
      <c r="K19" s="2"/>
    </row>
    <row r="20" spans="2:11" x14ac:dyDescent="0.2">
      <c r="B20" s="83" t="s">
        <v>87</v>
      </c>
      <c r="C20" s="128">
        <v>4.0000000000000002E-4</v>
      </c>
      <c r="D20" s="128">
        <v>4.0000000000000002E-4</v>
      </c>
      <c r="E20" s="2" t="s">
        <v>12</v>
      </c>
      <c r="F20" s="2"/>
      <c r="G20" s="2"/>
      <c r="H20" s="2"/>
      <c r="I20" s="119"/>
      <c r="J20" s="119"/>
      <c r="K20" s="2"/>
    </row>
    <row r="21" spans="2:11" x14ac:dyDescent="0.2">
      <c r="B21" s="83" t="s">
        <v>8</v>
      </c>
      <c r="C21" s="128">
        <v>5.0000000000000001E-4</v>
      </c>
      <c r="D21" s="128">
        <v>5.0000000000000001E-4</v>
      </c>
      <c r="E21" s="2" t="s">
        <v>12</v>
      </c>
      <c r="F21" s="2"/>
      <c r="G21" s="2"/>
      <c r="H21" s="2"/>
      <c r="I21" s="119"/>
      <c r="J21" s="119"/>
      <c r="K21" s="2"/>
    </row>
    <row r="22" spans="2:11" ht="23.25" customHeight="1" x14ac:dyDescent="0.2">
      <c r="B22" s="83" t="s">
        <v>9</v>
      </c>
      <c r="C22" s="316">
        <v>0.25</v>
      </c>
      <c r="D22" s="316">
        <v>0.25</v>
      </c>
      <c r="E22" s="2" t="s">
        <v>72</v>
      </c>
      <c r="F22" s="2"/>
      <c r="G22" s="2"/>
      <c r="H22" s="2"/>
      <c r="I22" s="220"/>
      <c r="J22" s="220"/>
      <c r="K22" s="2"/>
    </row>
    <row r="23" spans="2:11" ht="13.5" thickBot="1" x14ac:dyDescent="0.25">
      <c r="B23" s="7" t="s">
        <v>10</v>
      </c>
      <c r="C23" s="314">
        <v>1.0454000000000001</v>
      </c>
      <c r="D23" s="314">
        <v>1.0454000000000001</v>
      </c>
      <c r="E23" s="132" t="s">
        <v>64</v>
      </c>
      <c r="F23" s="2"/>
      <c r="G23" s="2"/>
      <c r="H23" s="2"/>
      <c r="I23" s="119"/>
      <c r="J23" s="119"/>
      <c r="K23" s="2"/>
    </row>
    <row r="24" spans="2:11" x14ac:dyDescent="0.2">
      <c r="B24" s="82"/>
      <c r="C24" s="2"/>
      <c r="D24" s="2"/>
      <c r="E24" s="2"/>
      <c r="F24" s="2"/>
      <c r="G24" s="2"/>
      <c r="H24" s="2"/>
      <c r="I24" s="226"/>
      <c r="J24" s="226"/>
      <c r="K24" s="2"/>
    </row>
    <row r="25" spans="2:11" x14ac:dyDescent="0.2">
      <c r="B25" s="82"/>
      <c r="C25" s="2"/>
      <c r="D25" s="2"/>
      <c r="E25" s="2"/>
      <c r="F25" s="2"/>
      <c r="G25" s="2"/>
      <c r="H25" s="2"/>
      <c r="I25" s="2"/>
      <c r="J25" s="2"/>
      <c r="K25" s="2"/>
    </row>
    <row r="26" spans="2:11" x14ac:dyDescent="0.2">
      <c r="B26" s="82"/>
      <c r="C26" s="2"/>
      <c r="D26" s="2"/>
      <c r="E26" s="2"/>
      <c r="F26" s="2"/>
      <c r="G26" s="2"/>
      <c r="H26" s="2"/>
      <c r="I26" s="2"/>
      <c r="J26" s="2"/>
      <c r="K26" s="2"/>
    </row>
    <row r="27" spans="2:11" x14ac:dyDescent="0.2">
      <c r="B27" s="82" t="s">
        <v>32</v>
      </c>
      <c r="C27" s="214">
        <v>7.6999999999999999E-2</v>
      </c>
      <c r="D27" s="214">
        <v>7.6999999999999999E-2</v>
      </c>
      <c r="E27" s="76"/>
      <c r="F27" s="2"/>
      <c r="G27" s="2"/>
      <c r="H27" s="2"/>
      <c r="I27" s="2"/>
      <c r="J27" s="2"/>
      <c r="K27" s="2"/>
    </row>
    <row r="28" spans="2:11" x14ac:dyDescent="0.2">
      <c r="B28" s="82" t="s">
        <v>33</v>
      </c>
      <c r="C28" s="214">
        <v>8.8999999999999996E-2</v>
      </c>
      <c r="D28" s="214">
        <v>8.8999999999999996E-2</v>
      </c>
      <c r="E28" s="76"/>
      <c r="F28" s="2"/>
      <c r="G28" s="2"/>
      <c r="H28" s="2"/>
      <c r="I28" s="2"/>
      <c r="J28" s="2"/>
      <c r="K28" s="2"/>
    </row>
    <row r="29" spans="2:11" x14ac:dyDescent="0.2">
      <c r="B29" s="82" t="s">
        <v>34</v>
      </c>
      <c r="C29" s="214">
        <v>6.5000000000000002E-2</v>
      </c>
      <c r="D29" s="214">
        <v>6.5000000000000002E-2</v>
      </c>
      <c r="E29" s="76">
        <f>'Res '!E38</f>
        <v>0.65</v>
      </c>
      <c r="F29" s="77">
        <f>C29*E29</f>
        <v>4.2250000000000003E-2</v>
      </c>
      <c r="G29" s="2"/>
      <c r="H29" s="2"/>
      <c r="I29" s="2"/>
      <c r="J29" s="2"/>
      <c r="K29" s="2"/>
    </row>
    <row r="30" spans="2:11" x14ac:dyDescent="0.2">
      <c r="B30" s="82" t="s">
        <v>35</v>
      </c>
      <c r="C30" s="214">
        <v>9.4E-2</v>
      </c>
      <c r="D30" s="214">
        <v>9.4E-2</v>
      </c>
      <c r="E30" s="76">
        <f>'Res '!E39</f>
        <v>0.17</v>
      </c>
      <c r="F30" s="77">
        <f>C30*E30</f>
        <v>1.5980000000000001E-2</v>
      </c>
      <c r="G30" s="2"/>
      <c r="H30" s="2"/>
      <c r="I30" s="2"/>
      <c r="J30" s="2"/>
      <c r="K30" s="2"/>
    </row>
    <row r="31" spans="2:11" x14ac:dyDescent="0.2">
      <c r="B31" s="82" t="s">
        <v>36</v>
      </c>
      <c r="C31" s="214">
        <v>0.13400000000000001</v>
      </c>
      <c r="D31" s="214">
        <v>0.13400000000000001</v>
      </c>
      <c r="E31" s="76">
        <f>'Res '!E40</f>
        <v>0.18</v>
      </c>
      <c r="F31" s="77">
        <f>C31*E31</f>
        <v>2.4119999999999999E-2</v>
      </c>
      <c r="G31" s="2"/>
      <c r="H31" s="2"/>
      <c r="I31" s="2"/>
      <c r="J31" s="2"/>
      <c r="K31" s="2"/>
    </row>
    <row r="32" spans="2:11" x14ac:dyDescent="0.2">
      <c r="B32" s="82"/>
      <c r="C32" s="2"/>
      <c r="D32" s="2"/>
      <c r="E32" s="2"/>
      <c r="F32" s="77"/>
      <c r="G32" s="2"/>
      <c r="H32" s="2"/>
      <c r="I32" s="2"/>
      <c r="J32" s="2"/>
      <c r="K32" s="2"/>
    </row>
    <row r="33" spans="1:12" ht="13.5" thickBot="1" x14ac:dyDescent="0.25">
      <c r="B33" s="82"/>
      <c r="C33" s="2"/>
      <c r="D33" s="2"/>
      <c r="E33" s="2"/>
      <c r="F33" s="2"/>
      <c r="G33" s="2"/>
      <c r="H33" s="2"/>
      <c r="I33" s="2"/>
      <c r="J33" s="2"/>
      <c r="K33" s="2"/>
    </row>
    <row r="34" spans="1:12" ht="13.5" thickBot="1" x14ac:dyDescent="0.25">
      <c r="B34" s="92" t="s">
        <v>11</v>
      </c>
      <c r="C34" s="93">
        <v>150</v>
      </c>
      <c r="D34" s="94" t="s">
        <v>12</v>
      </c>
      <c r="E34" s="95">
        <v>1</v>
      </c>
      <c r="F34" s="96" t="s">
        <v>13</v>
      </c>
      <c r="G34" s="97"/>
      <c r="H34" s="98" t="s">
        <v>14</v>
      </c>
      <c r="I34" s="99"/>
      <c r="J34" s="100">
        <f>C23</f>
        <v>1.0454000000000001</v>
      </c>
      <c r="K34" s="2"/>
    </row>
    <row r="35" spans="1:12" ht="13.5" thickBot="1" x14ac:dyDescent="0.25">
      <c r="B35" s="92" t="s">
        <v>15</v>
      </c>
      <c r="C35" s="101">
        <v>750</v>
      </c>
      <c r="D35" s="94" t="s">
        <v>12</v>
      </c>
      <c r="E35" s="102" t="s">
        <v>70</v>
      </c>
      <c r="F35" s="330" t="s">
        <v>70</v>
      </c>
      <c r="G35" s="97"/>
      <c r="H35" s="103" t="s">
        <v>16</v>
      </c>
      <c r="I35" s="104"/>
      <c r="J35" s="105">
        <f>D23</f>
        <v>1.0454000000000001</v>
      </c>
      <c r="K35" s="2"/>
    </row>
    <row r="36" spans="1:12" x14ac:dyDescent="0.2">
      <c r="B36" s="84"/>
      <c r="C36" s="367" t="s">
        <v>40</v>
      </c>
      <c r="D36" s="355"/>
      <c r="E36" s="355"/>
      <c r="F36" s="354" t="s">
        <v>41</v>
      </c>
      <c r="G36" s="355"/>
      <c r="H36" s="355"/>
      <c r="I36" s="354" t="s">
        <v>42</v>
      </c>
      <c r="J36" s="368"/>
      <c r="K36" s="55"/>
    </row>
    <row r="37" spans="1:12" ht="18" customHeight="1" x14ac:dyDescent="0.2">
      <c r="B37" s="357" t="str">
        <f>B11</f>
        <v>SENTINEL LIGHTING (RPP TIER)</v>
      </c>
      <c r="C37" s="23" t="s">
        <v>43</v>
      </c>
      <c r="D37" s="23" t="s">
        <v>17</v>
      </c>
      <c r="E37" s="69" t="s">
        <v>44</v>
      </c>
      <c r="F37" s="64" t="s">
        <v>43</v>
      </c>
      <c r="G37" s="24" t="s">
        <v>17</v>
      </c>
      <c r="H37" s="69" t="s">
        <v>44</v>
      </c>
      <c r="I37" s="370" t="s">
        <v>24</v>
      </c>
      <c r="J37" s="365" t="s">
        <v>25</v>
      </c>
      <c r="K37" s="55"/>
    </row>
    <row r="38" spans="1:12" ht="21.75" customHeight="1" x14ac:dyDescent="0.2">
      <c r="B38" s="369"/>
      <c r="C38" s="25" t="s">
        <v>45</v>
      </c>
      <c r="D38" s="25"/>
      <c r="E38" s="63" t="s">
        <v>45</v>
      </c>
      <c r="F38" s="65" t="s">
        <v>45</v>
      </c>
      <c r="G38" s="26"/>
      <c r="H38" s="63" t="s">
        <v>45</v>
      </c>
      <c r="I38" s="371"/>
      <c r="J38" s="366"/>
      <c r="K38" s="56"/>
    </row>
    <row r="39" spans="1:12" ht="14.25" x14ac:dyDescent="0.2">
      <c r="A39" s="22" t="s">
        <v>70</v>
      </c>
      <c r="B39" s="85" t="s">
        <v>46</v>
      </c>
      <c r="C39" s="201">
        <f>C14</f>
        <v>5.78</v>
      </c>
      <c r="D39" s="27">
        <v>1</v>
      </c>
      <c r="E39" s="149">
        <f>D39*C39</f>
        <v>5.78</v>
      </c>
      <c r="F39" s="150">
        <f>D14</f>
        <v>5.83</v>
      </c>
      <c r="G39" s="28">
        <v>1</v>
      </c>
      <c r="H39" s="198">
        <f>G39*F39</f>
        <v>5.83</v>
      </c>
      <c r="I39" s="331">
        <f t="shared" ref="I39:I41" si="0">H39-E39</f>
        <v>4.9999999999999822E-2</v>
      </c>
      <c r="J39" s="333">
        <f t="shared" ref="J39:J59" si="1">IF((H39)=0,"",(I39/E39))</f>
        <v>8.650519031141838E-3</v>
      </c>
      <c r="K39" s="46"/>
    </row>
    <row r="40" spans="1:12" ht="14.25" x14ac:dyDescent="0.2">
      <c r="A40" s="22" t="s">
        <v>70</v>
      </c>
      <c r="B40" s="85" t="s">
        <v>4</v>
      </c>
      <c r="C40" s="203">
        <f>C15</f>
        <v>15.5436</v>
      </c>
      <c r="D40" s="29">
        <f>E34</f>
        <v>1</v>
      </c>
      <c r="E40" s="149">
        <f>D40*C40</f>
        <v>15.5436</v>
      </c>
      <c r="F40" s="154">
        <f>D15</f>
        <v>15.6835</v>
      </c>
      <c r="G40" s="30">
        <f>+E34</f>
        <v>1</v>
      </c>
      <c r="H40" s="149">
        <f>G40*F40</f>
        <v>15.6835</v>
      </c>
      <c r="I40" s="331">
        <f t="shared" si="0"/>
        <v>0.1399000000000008</v>
      </c>
      <c r="J40" s="334">
        <f t="shared" si="1"/>
        <v>9.0004889472194861E-3</v>
      </c>
      <c r="K40" s="48"/>
    </row>
    <row r="41" spans="1:12" ht="15" x14ac:dyDescent="0.2">
      <c r="B41" s="47" t="s">
        <v>47</v>
      </c>
      <c r="C41" s="241"/>
      <c r="D41" s="242"/>
      <c r="E41" s="243">
        <f>SUM(E39:E40)</f>
        <v>21.323599999999999</v>
      </c>
      <c r="F41" s="206"/>
      <c r="G41" s="39"/>
      <c r="H41" s="243">
        <f>SUM(H39:H40)</f>
        <v>21.513500000000001</v>
      </c>
      <c r="I41" s="200">
        <f t="shared" si="0"/>
        <v>0.18990000000000151</v>
      </c>
      <c r="J41" s="326">
        <f t="shared" si="1"/>
        <v>8.9056256917219197E-3</v>
      </c>
      <c r="K41" s="46"/>
    </row>
    <row r="42" spans="1:12" ht="14.25" x14ac:dyDescent="0.2">
      <c r="B42" s="87" t="s">
        <v>48</v>
      </c>
      <c r="C42" s="283">
        <f>+C53</f>
        <v>7.6999999999999999E-2</v>
      </c>
      <c r="D42" s="34">
        <f>$C34*($C23-1)</f>
        <v>6.8100000000000165</v>
      </c>
      <c r="E42" s="149">
        <f>C42*D42</f>
        <v>0.52437000000000122</v>
      </c>
      <c r="F42" s="154">
        <f>C42</f>
        <v>7.6999999999999999E-2</v>
      </c>
      <c r="G42" s="34">
        <f>$C34*($C23-1)</f>
        <v>6.8100000000000165</v>
      </c>
      <c r="H42" s="149">
        <f>F42*G42</f>
        <v>0.52437000000000122</v>
      </c>
      <c r="I42" s="331">
        <f t="shared" ref="I42:I54" si="2">H42-E42</f>
        <v>0</v>
      </c>
      <c r="J42" s="334">
        <f t="shared" si="1"/>
        <v>0</v>
      </c>
      <c r="K42" s="60"/>
    </row>
    <row r="43" spans="1:12" ht="14.25" x14ac:dyDescent="0.2">
      <c r="B43" s="87" t="s">
        <v>49</v>
      </c>
      <c r="C43" s="203">
        <f>+C16</f>
        <v>0</v>
      </c>
      <c r="D43" s="34">
        <f>+E34</f>
        <v>1</v>
      </c>
      <c r="E43" s="149">
        <f>D43*C43</f>
        <v>0</v>
      </c>
      <c r="F43" s="154">
        <f>D16</f>
        <v>0</v>
      </c>
      <c r="G43" s="34">
        <f>+E34</f>
        <v>1</v>
      </c>
      <c r="H43" s="149">
        <f>G43*F43</f>
        <v>0</v>
      </c>
      <c r="I43" s="331">
        <f t="shared" si="2"/>
        <v>0</v>
      </c>
      <c r="J43" s="334" t="str">
        <f t="shared" si="1"/>
        <v/>
      </c>
      <c r="K43" s="60"/>
      <c r="L43" s="238"/>
    </row>
    <row r="44" spans="1:12" ht="15" x14ac:dyDescent="0.2">
      <c r="B44" s="47" t="s">
        <v>51</v>
      </c>
      <c r="C44" s="165"/>
      <c r="D44" s="35"/>
      <c r="E44" s="166">
        <f>SUM(E42:E43)+E41</f>
        <v>21.84797</v>
      </c>
      <c r="F44" s="167"/>
      <c r="G44" s="36"/>
      <c r="H44" s="166">
        <f>SUM(H42:H43)+H41</f>
        <v>22.037870000000002</v>
      </c>
      <c r="I44" s="200">
        <f>H44-E44</f>
        <v>0.18990000000000151</v>
      </c>
      <c r="J44" s="326">
        <f t="shared" si="1"/>
        <v>8.6918830445117563E-3</v>
      </c>
      <c r="K44" s="46"/>
    </row>
    <row r="45" spans="1:12" ht="14.25" x14ac:dyDescent="0.2">
      <c r="B45" s="89" t="s">
        <v>52</v>
      </c>
      <c r="C45" s="153">
        <f>C17</f>
        <v>2.0859000000000001</v>
      </c>
      <c r="D45" s="62">
        <f>E34</f>
        <v>1</v>
      </c>
      <c r="E45" s="149">
        <f>D45*C45</f>
        <v>2.0859000000000001</v>
      </c>
      <c r="F45" s="154">
        <f>D17</f>
        <v>2.1953999999999998</v>
      </c>
      <c r="G45" s="38">
        <f>+E34</f>
        <v>1</v>
      </c>
      <c r="H45" s="149">
        <f>G45*F45</f>
        <v>2.1953999999999998</v>
      </c>
      <c r="I45" s="331">
        <f t="shared" si="2"/>
        <v>0.10949999999999971</v>
      </c>
      <c r="J45" s="334">
        <f t="shared" si="1"/>
        <v>5.2495325758665182E-2</v>
      </c>
      <c r="K45" s="60"/>
    </row>
    <row r="46" spans="1:12" ht="21.75" customHeight="1" x14ac:dyDescent="0.2">
      <c r="B46" s="90" t="s">
        <v>53</v>
      </c>
      <c r="C46" s="153">
        <f>C18</f>
        <v>1.9224000000000001</v>
      </c>
      <c r="D46" s="37">
        <f>+E34</f>
        <v>1</v>
      </c>
      <c r="E46" s="149">
        <f>D46*C46</f>
        <v>1.9224000000000001</v>
      </c>
      <c r="F46" s="154">
        <f>D18</f>
        <v>1.9556</v>
      </c>
      <c r="G46" s="38">
        <f>+E34</f>
        <v>1</v>
      </c>
      <c r="H46" s="149">
        <f>G46*F46</f>
        <v>1.9556</v>
      </c>
      <c r="I46" s="331">
        <f t="shared" si="2"/>
        <v>3.3199999999999896E-2</v>
      </c>
      <c r="J46" s="334">
        <f t="shared" si="1"/>
        <v>1.7270079067831821E-2</v>
      </c>
      <c r="K46" s="60"/>
      <c r="L46" s="239"/>
    </row>
    <row r="47" spans="1:12" ht="15" x14ac:dyDescent="0.2">
      <c r="B47" s="47" t="s">
        <v>54</v>
      </c>
      <c r="C47" s="165"/>
      <c r="D47" s="35"/>
      <c r="E47" s="166">
        <f>SUM(E44:E46)</f>
        <v>25.856269999999999</v>
      </c>
      <c r="F47" s="168"/>
      <c r="G47" s="39"/>
      <c r="H47" s="166">
        <f>SUM(H44:H46)</f>
        <v>26.188870000000001</v>
      </c>
      <c r="I47" s="200">
        <f>H47-E47</f>
        <v>0.33260000000000289</v>
      </c>
      <c r="J47" s="326">
        <f t="shared" si="1"/>
        <v>1.2863417654596077E-2</v>
      </c>
      <c r="K47" s="44"/>
    </row>
    <row r="48" spans="1:12" ht="14.25" x14ac:dyDescent="0.2">
      <c r="B48" s="87" t="s">
        <v>55</v>
      </c>
      <c r="C48" s="170">
        <f>C19</f>
        <v>3.0000000000000001E-3</v>
      </c>
      <c r="D48" s="34">
        <f>C34+D42</f>
        <v>156.81</v>
      </c>
      <c r="E48" s="175">
        <f t="shared" ref="E48:E54" si="3">D48*C48</f>
        <v>0.47043000000000001</v>
      </c>
      <c r="F48" s="192">
        <f>D19</f>
        <v>3.0000000000000001E-3</v>
      </c>
      <c r="G48" s="216">
        <f>+C34+G42</f>
        <v>156.81</v>
      </c>
      <c r="H48" s="172">
        <f t="shared" ref="H48:H54" si="4">G48*F48</f>
        <v>0.47043000000000001</v>
      </c>
      <c r="I48" s="332">
        <f t="shared" si="2"/>
        <v>0</v>
      </c>
      <c r="J48" s="335">
        <f t="shared" si="1"/>
        <v>0</v>
      </c>
      <c r="K48" s="60"/>
    </row>
    <row r="49" spans="2:18" ht="14.25" x14ac:dyDescent="0.2">
      <c r="B49" s="87" t="s">
        <v>87</v>
      </c>
      <c r="C49" s="170">
        <f>C20</f>
        <v>4.0000000000000002E-4</v>
      </c>
      <c r="D49" s="141">
        <f>+C34+D42</f>
        <v>156.81</v>
      </c>
      <c r="E49" s="175">
        <f t="shared" si="3"/>
        <v>6.2724000000000002E-2</v>
      </c>
      <c r="F49" s="192">
        <f>D20</f>
        <v>4.0000000000000002E-4</v>
      </c>
      <c r="G49" s="216">
        <f>+C34+G42</f>
        <v>156.81</v>
      </c>
      <c r="H49" s="172">
        <f t="shared" si="4"/>
        <v>6.2724000000000002E-2</v>
      </c>
      <c r="I49" s="332">
        <f t="shared" si="2"/>
        <v>0</v>
      </c>
      <c r="J49" s="335">
        <f t="shared" si="1"/>
        <v>0</v>
      </c>
      <c r="K49" s="60"/>
    </row>
    <row r="50" spans="2:18" ht="14.25" x14ac:dyDescent="0.2">
      <c r="B50" s="86" t="s">
        <v>56</v>
      </c>
      <c r="C50" s="170">
        <f>C21</f>
        <v>5.0000000000000001E-4</v>
      </c>
      <c r="D50" s="141">
        <f>+C34+D42</f>
        <v>156.81</v>
      </c>
      <c r="E50" s="175">
        <f t="shared" si="3"/>
        <v>7.8405000000000002E-2</v>
      </c>
      <c r="F50" s="192">
        <f>D21</f>
        <v>5.0000000000000001E-4</v>
      </c>
      <c r="G50" s="216">
        <f>+C34+G42</f>
        <v>156.81</v>
      </c>
      <c r="H50" s="175">
        <f t="shared" si="4"/>
        <v>7.8405000000000002E-2</v>
      </c>
      <c r="I50" s="332">
        <f t="shared" si="2"/>
        <v>0</v>
      </c>
      <c r="J50" s="335">
        <f t="shared" si="1"/>
        <v>0</v>
      </c>
      <c r="K50" s="60"/>
    </row>
    <row r="51" spans="2:18" ht="14.25" x14ac:dyDescent="0.2">
      <c r="B51" s="86" t="s">
        <v>57</v>
      </c>
      <c r="C51" s="210">
        <f>C22</f>
        <v>0.25</v>
      </c>
      <c r="D51" s="34">
        <f>D39</f>
        <v>1</v>
      </c>
      <c r="E51" s="175">
        <f t="shared" si="3"/>
        <v>0.25</v>
      </c>
      <c r="F51" s="211">
        <f>D22</f>
        <v>0.25</v>
      </c>
      <c r="G51" s="122">
        <f>+G39</f>
        <v>1</v>
      </c>
      <c r="H51" s="175">
        <f t="shared" si="4"/>
        <v>0.25</v>
      </c>
      <c r="I51" s="332">
        <f t="shared" si="2"/>
        <v>0</v>
      </c>
      <c r="J51" s="335">
        <f t="shared" si="1"/>
        <v>0</v>
      </c>
      <c r="K51" s="60"/>
    </row>
    <row r="52" spans="2:18" ht="15" x14ac:dyDescent="0.2">
      <c r="B52" s="47" t="s">
        <v>62</v>
      </c>
      <c r="C52" s="165"/>
      <c r="D52" s="35"/>
      <c r="E52" s="166">
        <f>SUM(E48:E51)</f>
        <v>0.86155899999999996</v>
      </c>
      <c r="F52" s="168"/>
      <c r="G52" s="39"/>
      <c r="H52" s="166">
        <f>SUM(H48:H51)</f>
        <v>0.86155899999999996</v>
      </c>
      <c r="I52" s="200">
        <f>SUM(I48:I51)</f>
        <v>0</v>
      </c>
      <c r="J52" s="326">
        <f t="shared" si="1"/>
        <v>0</v>
      </c>
      <c r="K52" s="60"/>
    </row>
    <row r="53" spans="2:18" ht="14.25" x14ac:dyDescent="0.2">
      <c r="B53" s="87" t="s">
        <v>32</v>
      </c>
      <c r="C53" s="170">
        <f>+C27</f>
        <v>7.6999999999999999E-2</v>
      </c>
      <c r="D53" s="34">
        <f>IF(C34&gt;C35,C35,C34)</f>
        <v>150</v>
      </c>
      <c r="E53" s="175">
        <f t="shared" si="3"/>
        <v>11.55</v>
      </c>
      <c r="F53" s="192">
        <f>C53</f>
        <v>7.6999999999999999E-2</v>
      </c>
      <c r="G53" s="34">
        <f>IF(C34&gt;C35,C35,C34)</f>
        <v>150</v>
      </c>
      <c r="H53" s="172">
        <f t="shared" si="4"/>
        <v>11.55</v>
      </c>
      <c r="I53" s="337">
        <f t="shared" si="2"/>
        <v>0</v>
      </c>
      <c r="J53" s="335">
        <f t="shared" si="1"/>
        <v>0</v>
      </c>
      <c r="K53" s="60"/>
    </row>
    <row r="54" spans="2:18" ht="14.25" x14ac:dyDescent="0.2">
      <c r="B54" s="87" t="s">
        <v>33</v>
      </c>
      <c r="C54" s="170">
        <f>+C28</f>
        <v>8.8999999999999996E-2</v>
      </c>
      <c r="D54" s="34">
        <f>IF(C30&gt;C31,C31-C30,0)</f>
        <v>0</v>
      </c>
      <c r="E54" s="175">
        <f t="shared" si="3"/>
        <v>0</v>
      </c>
      <c r="F54" s="192">
        <f>C54</f>
        <v>8.8999999999999996E-2</v>
      </c>
      <c r="G54" s="122">
        <f>D54</f>
        <v>0</v>
      </c>
      <c r="H54" s="175">
        <f t="shared" si="4"/>
        <v>0</v>
      </c>
      <c r="I54" s="332">
        <f t="shared" si="2"/>
        <v>0</v>
      </c>
      <c r="J54" s="335" t="str">
        <f t="shared" si="1"/>
        <v/>
      </c>
      <c r="K54" s="60"/>
    </row>
    <row r="55" spans="2:18" ht="15.75" thickBot="1" x14ac:dyDescent="0.25">
      <c r="B55" s="47" t="s">
        <v>63</v>
      </c>
      <c r="C55" s="165"/>
      <c r="D55" s="35"/>
      <c r="E55" s="207">
        <f>SUM(E53:E54)</f>
        <v>11.55</v>
      </c>
      <c r="F55" s="168"/>
      <c r="G55" s="39"/>
      <c r="H55" s="166">
        <f>SUM(H53:H54)</f>
        <v>11.55</v>
      </c>
      <c r="I55" s="200">
        <f>H55-E55</f>
        <v>0</v>
      </c>
      <c r="J55" s="326">
        <f t="shared" si="1"/>
        <v>0</v>
      </c>
      <c r="K55" s="60"/>
    </row>
    <row r="56" spans="2:18" ht="7.5" customHeight="1" thickBot="1" x14ac:dyDescent="0.25">
      <c r="B56" s="91"/>
      <c r="C56" s="176"/>
      <c r="D56" s="40"/>
      <c r="E56" s="177"/>
      <c r="F56" s="178"/>
      <c r="G56" s="41"/>
      <c r="H56" s="177"/>
      <c r="I56" s="338"/>
      <c r="J56" s="340" t="str">
        <f t="shared" si="1"/>
        <v/>
      </c>
      <c r="K56" s="46"/>
    </row>
    <row r="57" spans="2:18" ht="15" x14ac:dyDescent="0.2">
      <c r="B57" s="71" t="s">
        <v>102</v>
      </c>
      <c r="C57" s="181"/>
      <c r="D57" s="42"/>
      <c r="E57" s="182">
        <f>E55+E52+E47</f>
        <v>38.267828999999999</v>
      </c>
      <c r="F57" s="183"/>
      <c r="G57" s="43"/>
      <c r="H57" s="184">
        <f>H55+H52+H47</f>
        <v>38.600429000000005</v>
      </c>
      <c r="I57" s="332">
        <f>H57-E57</f>
        <v>0.33260000000000645</v>
      </c>
      <c r="J57" s="335">
        <f t="shared" si="1"/>
        <v>8.6913736339734992E-3</v>
      </c>
      <c r="K57" s="67"/>
    </row>
    <row r="58" spans="2:18" ht="14.25" x14ac:dyDescent="0.2">
      <c r="B58" s="72" t="s">
        <v>18</v>
      </c>
      <c r="C58" s="181">
        <v>0.13</v>
      </c>
      <c r="D58" s="45"/>
      <c r="E58" s="185">
        <f>E57*C58</f>
        <v>4.9748177700000005</v>
      </c>
      <c r="F58" s="186">
        <v>0.13</v>
      </c>
      <c r="G58" s="27"/>
      <c r="H58" s="187">
        <f>H57*F58</f>
        <v>5.018055770000001</v>
      </c>
      <c r="I58" s="332">
        <f>H58-E58</f>
        <v>4.3238000000000554E-2</v>
      </c>
      <c r="J58" s="335">
        <f t="shared" si="1"/>
        <v>8.6913736339734402E-3</v>
      </c>
      <c r="K58" s="45"/>
    </row>
    <row r="59" spans="2:18" ht="15" x14ac:dyDescent="0.2">
      <c r="B59" s="78" t="s">
        <v>103</v>
      </c>
      <c r="C59" s="189"/>
      <c r="D59" s="79"/>
      <c r="E59" s="190">
        <f>SUM(E57:E58)</f>
        <v>43.24264677</v>
      </c>
      <c r="F59" s="191"/>
      <c r="G59" s="80"/>
      <c r="H59" s="169">
        <f>SUM(H57:H58)</f>
        <v>43.618484770000009</v>
      </c>
      <c r="I59" s="200">
        <f>H59-E59</f>
        <v>0.37583800000000878</v>
      </c>
      <c r="J59" s="326">
        <f t="shared" si="1"/>
        <v>8.6913736339735339E-3</v>
      </c>
      <c r="K59" s="10"/>
      <c r="L59" s="10"/>
      <c r="M59" s="10"/>
      <c r="N59" s="10"/>
      <c r="O59" s="10"/>
      <c r="P59" s="118"/>
      <c r="Q59" s="118"/>
      <c r="R59" s="118"/>
    </row>
    <row r="60" spans="2:18" x14ac:dyDescent="0.2">
      <c r="B60" s="22"/>
      <c r="L60" s="118"/>
      <c r="M60" s="118"/>
      <c r="N60" s="118"/>
      <c r="O60" s="118"/>
      <c r="P60" s="118"/>
      <c r="Q60" s="118"/>
      <c r="R60" s="118"/>
    </row>
  </sheetData>
  <mergeCells count="7">
    <mergeCell ref="B11:E11"/>
    <mergeCell ref="C36:E36"/>
    <mergeCell ref="F36:H36"/>
    <mergeCell ref="I36:J36"/>
    <mergeCell ref="B37:B38"/>
    <mergeCell ref="I37:I38"/>
    <mergeCell ref="J37:J38"/>
  </mergeCells>
  <pageMargins left="0.75" right="0.75" top="1" bottom="1" header="0.5" footer="0.5"/>
  <pageSetup scale="88" orientation="landscape" r:id="rId1"/>
  <headerFooter alignWithMargins="0">
    <oddFooter>&amp;R&amp;F</oddFooter>
  </headerFooter>
  <ignoredErrors>
    <ignoredError sqref="F39 D42 F42:G42 G43 C45:D46 F45:G46 C48:D51 F48:G51 F40 C40:D40 C39" unlockedFormula="1"/>
    <ignoredError sqref="E44 H44 E47 H47 E52 H52:I52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R75"/>
  <sheetViews>
    <sheetView showGridLines="0" topLeftCell="A33" zoomScale="90" workbookViewId="0">
      <selection activeCell="D79" sqref="D79"/>
    </sheetView>
  </sheetViews>
  <sheetFormatPr defaultRowHeight="12.75" x14ac:dyDescent="0.2"/>
  <cols>
    <col min="1" max="1" width="2.28515625" customWidth="1"/>
    <col min="2" max="2" width="47.42578125" customWidth="1"/>
    <col min="3" max="3" width="11" customWidth="1"/>
    <col min="4" max="4" width="11.140625" customWidth="1"/>
    <col min="5" max="5" width="14.28515625" customWidth="1"/>
    <col min="6" max="6" width="10.42578125" customWidth="1"/>
    <col min="7" max="7" width="11.5703125" bestFit="1" customWidth="1"/>
    <col min="8" max="8" width="15.5703125" customWidth="1"/>
    <col min="9" max="9" width="12.7109375" bestFit="1" customWidth="1"/>
    <col min="10" max="10" width="11.140625" customWidth="1"/>
    <col min="11" max="11" width="13.140625" customWidth="1"/>
    <col min="12" max="12" width="12.7109375" bestFit="1" customWidth="1"/>
    <col min="13" max="13" width="13.85546875" bestFit="1" customWidth="1"/>
    <col min="14" max="14" width="10" customWidth="1"/>
    <col min="15" max="15" width="10.42578125" bestFit="1" customWidth="1"/>
    <col min="16" max="16" width="9.28515625" bestFit="1" customWidth="1"/>
  </cols>
  <sheetData>
    <row r="1" spans="2:11" hidden="1" x14ac:dyDescent="0.2"/>
    <row r="2" spans="2:11" hidden="1" x14ac:dyDescent="0.2"/>
    <row r="3" spans="2:11" hidden="1" x14ac:dyDescent="0.2"/>
    <row r="4" spans="2:11" hidden="1" x14ac:dyDescent="0.2"/>
    <row r="5" spans="2:11" hidden="1" x14ac:dyDescent="0.2"/>
    <row r="6" spans="2:11" hidden="1" x14ac:dyDescent="0.2"/>
    <row r="7" spans="2:11" hidden="1" x14ac:dyDescent="0.2"/>
    <row r="8" spans="2:11" hidden="1" x14ac:dyDescent="0.2"/>
    <row r="9" spans="2:11" ht="18" x14ac:dyDescent="0.25">
      <c r="B9" s="1" t="s">
        <v>19</v>
      </c>
      <c r="C9" s="2"/>
      <c r="D9" s="2"/>
      <c r="E9" s="127"/>
      <c r="F9" s="124" t="s">
        <v>74</v>
      </c>
      <c r="G9" s="2"/>
      <c r="H9" s="2"/>
      <c r="I9" s="2"/>
      <c r="J9" s="2"/>
      <c r="K9" s="2"/>
    </row>
    <row r="10" spans="2:11" x14ac:dyDescent="0.2"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2:11" ht="18" x14ac:dyDescent="0.25">
      <c r="B11" s="353" t="s">
        <v>21</v>
      </c>
      <c r="C11" s="353"/>
      <c r="D11" s="353"/>
      <c r="E11" s="353"/>
      <c r="F11" s="3"/>
      <c r="G11" s="3"/>
      <c r="H11" s="2"/>
      <c r="I11" s="2"/>
      <c r="J11" s="2"/>
      <c r="K11" s="2"/>
    </row>
    <row r="12" spans="2:11" ht="13.5" thickBot="1" x14ac:dyDescent="0.25">
      <c r="B12" s="2"/>
      <c r="C12" s="126">
        <v>2019</v>
      </c>
      <c r="D12" s="126">
        <v>2020</v>
      </c>
      <c r="E12" s="2"/>
      <c r="F12" s="2"/>
      <c r="G12" s="2"/>
      <c r="H12" s="2"/>
      <c r="I12" s="2"/>
      <c r="J12" s="2"/>
      <c r="K12" s="2"/>
    </row>
    <row r="13" spans="2:11" ht="13.5" thickBot="1" x14ac:dyDescent="0.25">
      <c r="B13" s="4" t="s">
        <v>1</v>
      </c>
      <c r="C13" s="81" t="s">
        <v>113</v>
      </c>
      <c r="D13" s="81" t="s">
        <v>41</v>
      </c>
      <c r="E13" s="2"/>
      <c r="F13" s="2"/>
      <c r="G13" s="2"/>
      <c r="H13" s="2"/>
      <c r="I13" s="2"/>
      <c r="J13" s="2"/>
      <c r="K13" s="2"/>
    </row>
    <row r="14" spans="2:11" x14ac:dyDescent="0.2">
      <c r="B14" s="123" t="s">
        <v>3</v>
      </c>
      <c r="C14" s="301">
        <v>1.78</v>
      </c>
      <c r="D14" s="301">
        <v>1.8</v>
      </c>
      <c r="E14" s="2" t="s">
        <v>72</v>
      </c>
      <c r="F14" s="2"/>
      <c r="G14" s="2"/>
      <c r="H14" s="2"/>
      <c r="I14" s="218"/>
      <c r="J14" s="2"/>
      <c r="K14" s="2"/>
    </row>
    <row r="15" spans="2:11" x14ac:dyDescent="0.2">
      <c r="B15" s="83" t="s">
        <v>4</v>
      </c>
      <c r="C15" s="147">
        <v>6.8009000000000004</v>
      </c>
      <c r="D15" s="147">
        <v>6.8620999999999999</v>
      </c>
      <c r="E15" s="2" t="s">
        <v>13</v>
      </c>
      <c r="F15" s="2"/>
      <c r="G15" s="2"/>
      <c r="H15" s="2"/>
      <c r="I15" s="219"/>
      <c r="J15" s="2"/>
      <c r="K15" s="2"/>
    </row>
    <row r="16" spans="2:11" x14ac:dyDescent="0.2">
      <c r="B16" s="6" t="s">
        <v>83</v>
      </c>
      <c r="C16" s="147">
        <v>3.5817999999999999</v>
      </c>
      <c r="D16" s="147">
        <v>6.1482999999999999</v>
      </c>
      <c r="E16" s="2"/>
      <c r="F16" s="2"/>
      <c r="G16" s="2"/>
      <c r="H16" s="2"/>
      <c r="I16" s="219"/>
      <c r="J16" s="2"/>
      <c r="K16" s="2"/>
    </row>
    <row r="17" spans="2:11" x14ac:dyDescent="0.2">
      <c r="B17" s="6">
        <v>1576</v>
      </c>
      <c r="C17" s="147">
        <v>-0.38979999999999998</v>
      </c>
      <c r="D17" s="147"/>
      <c r="E17" s="2" t="s">
        <v>13</v>
      </c>
      <c r="F17" s="2"/>
      <c r="G17" s="2"/>
      <c r="H17" s="2"/>
      <c r="I17" s="219"/>
      <c r="J17" s="2"/>
      <c r="K17" s="2"/>
    </row>
    <row r="18" spans="2:11" x14ac:dyDescent="0.2">
      <c r="B18" s="6"/>
      <c r="C18" s="147">
        <v>0</v>
      </c>
      <c r="D18" s="147">
        <v>0</v>
      </c>
      <c r="E18" s="2" t="s">
        <v>13</v>
      </c>
      <c r="F18" s="2"/>
      <c r="G18" s="2"/>
      <c r="H18" s="2"/>
      <c r="I18" s="225"/>
      <c r="J18" s="2"/>
      <c r="K18" s="2"/>
    </row>
    <row r="19" spans="2:11" x14ac:dyDescent="0.2">
      <c r="B19" s="83"/>
      <c r="C19" s="147">
        <v>0</v>
      </c>
      <c r="D19" s="147">
        <v>0</v>
      </c>
      <c r="E19" s="2" t="s">
        <v>13</v>
      </c>
      <c r="F19" s="2"/>
      <c r="G19" s="2"/>
      <c r="H19" s="2"/>
      <c r="I19" s="219"/>
      <c r="J19" s="2"/>
      <c r="K19" s="2"/>
    </row>
    <row r="20" spans="2:11" s="118" customFormat="1" x14ac:dyDescent="0.2">
      <c r="B20" s="298"/>
      <c r="C20" s="299">
        <v>0</v>
      </c>
      <c r="D20" s="299">
        <v>0</v>
      </c>
      <c r="E20" s="2" t="s">
        <v>12</v>
      </c>
      <c r="F20" s="8"/>
      <c r="G20" s="8"/>
      <c r="H20" s="8"/>
      <c r="I20" s="9"/>
      <c r="J20" s="8"/>
      <c r="K20" s="8"/>
    </row>
    <row r="21" spans="2:11" x14ac:dyDescent="0.2">
      <c r="B21" s="258" t="s">
        <v>96</v>
      </c>
      <c r="C21" s="309">
        <v>0.24590000000000001</v>
      </c>
      <c r="D21" s="309">
        <v>0.24590000000000001</v>
      </c>
      <c r="E21" s="2" t="s">
        <v>13</v>
      </c>
      <c r="F21" s="228"/>
      <c r="G21" s="228"/>
      <c r="H21" s="2"/>
      <c r="I21" s="2"/>
      <c r="J21" s="2"/>
      <c r="K21" s="2"/>
    </row>
    <row r="22" spans="2:11" x14ac:dyDescent="0.2">
      <c r="B22" s="296"/>
      <c r="C22" s="310">
        <v>0</v>
      </c>
      <c r="D22" s="310">
        <v>0</v>
      </c>
      <c r="E22" s="2" t="s">
        <v>13</v>
      </c>
      <c r="F22" s="228"/>
      <c r="G22" s="228"/>
      <c r="H22" s="2"/>
      <c r="I22" s="2"/>
      <c r="J22" s="2"/>
      <c r="K22" s="2"/>
    </row>
    <row r="23" spans="2:11" x14ac:dyDescent="0.2">
      <c r="B23" s="83" t="s">
        <v>5</v>
      </c>
      <c r="C23" s="299">
        <v>2.0752999999999999</v>
      </c>
      <c r="D23" s="299">
        <v>2.1842999999999999</v>
      </c>
      <c r="E23" s="2" t="s">
        <v>13</v>
      </c>
      <c r="F23" s="2"/>
      <c r="G23" s="2"/>
      <c r="H23" s="2"/>
      <c r="I23" s="219"/>
      <c r="J23" s="2"/>
      <c r="K23" s="2"/>
    </row>
    <row r="24" spans="2:11" ht="27" customHeight="1" x14ac:dyDescent="0.2">
      <c r="B24" s="83" t="s">
        <v>6</v>
      </c>
      <c r="C24" s="299">
        <v>1.8829</v>
      </c>
      <c r="D24" s="299">
        <v>1.9154</v>
      </c>
      <c r="E24" s="2" t="s">
        <v>13</v>
      </c>
      <c r="F24" s="2"/>
      <c r="G24" s="2"/>
      <c r="H24" s="2"/>
      <c r="I24" s="219"/>
      <c r="J24" s="2"/>
      <c r="K24" s="2"/>
    </row>
    <row r="25" spans="2:11" x14ac:dyDescent="0.2">
      <c r="B25" s="83" t="s">
        <v>7</v>
      </c>
      <c r="C25" s="147">
        <v>3.0000000000000001E-3</v>
      </c>
      <c r="D25" s="147">
        <v>3.0000000000000001E-3</v>
      </c>
      <c r="E25" s="2" t="s">
        <v>12</v>
      </c>
      <c r="F25" s="2"/>
      <c r="G25" s="2"/>
      <c r="H25" s="2"/>
      <c r="I25" s="119"/>
      <c r="J25" s="2"/>
      <c r="K25" s="2"/>
    </row>
    <row r="26" spans="2:11" x14ac:dyDescent="0.2">
      <c r="B26" s="83" t="s">
        <v>87</v>
      </c>
      <c r="C26" s="147">
        <v>4.0000000000000002E-4</v>
      </c>
      <c r="D26" s="147">
        <v>4.0000000000000002E-4</v>
      </c>
      <c r="E26" s="2" t="s">
        <v>12</v>
      </c>
      <c r="F26" s="2"/>
      <c r="G26" s="2"/>
      <c r="H26" s="2"/>
      <c r="I26" s="119"/>
      <c r="J26" s="2"/>
      <c r="K26" s="2"/>
    </row>
    <row r="27" spans="2:11" x14ac:dyDescent="0.2">
      <c r="B27" s="83" t="s">
        <v>8</v>
      </c>
      <c r="C27" s="147">
        <v>5.0000000000000001E-4</v>
      </c>
      <c r="D27" s="147">
        <v>5.0000000000000001E-4</v>
      </c>
      <c r="E27" s="2" t="s">
        <v>12</v>
      </c>
      <c r="F27" s="2"/>
      <c r="G27" s="2"/>
      <c r="H27" s="2"/>
      <c r="I27" s="119"/>
      <c r="J27" s="2"/>
      <c r="K27" s="2"/>
    </row>
    <row r="28" spans="2:11" ht="23.25" customHeight="1" x14ac:dyDescent="0.2">
      <c r="B28" s="83" t="s">
        <v>9</v>
      </c>
      <c r="C28" s="303">
        <v>0.25</v>
      </c>
      <c r="D28" s="303">
        <v>0.25</v>
      </c>
      <c r="E28" s="2" t="s">
        <v>72</v>
      </c>
      <c r="F28" s="2"/>
      <c r="G28" s="2"/>
      <c r="H28" s="2"/>
      <c r="I28" s="220"/>
      <c r="J28" s="2"/>
      <c r="K28" s="2"/>
    </row>
    <row r="29" spans="2:11" ht="13.5" thickBot="1" x14ac:dyDescent="0.25">
      <c r="B29" s="7" t="s">
        <v>10</v>
      </c>
      <c r="C29" s="314">
        <v>1.0454000000000001</v>
      </c>
      <c r="D29" s="314">
        <v>1.0454000000000001</v>
      </c>
      <c r="E29" s="132" t="s">
        <v>64</v>
      </c>
      <c r="F29" s="2"/>
      <c r="G29" s="2"/>
      <c r="H29" s="2"/>
      <c r="I29" s="119"/>
      <c r="J29" s="2"/>
      <c r="K29" s="2"/>
    </row>
    <row r="30" spans="2:11" x14ac:dyDescent="0.2">
      <c r="B30" s="82"/>
      <c r="C30" s="2"/>
      <c r="D30" s="2"/>
      <c r="E30" s="2"/>
      <c r="F30" s="2"/>
      <c r="G30" s="2"/>
      <c r="H30" s="2"/>
      <c r="I30" s="2"/>
      <c r="J30" s="2"/>
      <c r="K30" s="2"/>
    </row>
    <row r="31" spans="2:11" x14ac:dyDescent="0.2">
      <c r="B31" s="82"/>
      <c r="C31" s="2"/>
      <c r="D31" s="2"/>
      <c r="E31" s="2"/>
      <c r="F31" s="2"/>
      <c r="G31" s="2"/>
      <c r="H31" s="2"/>
      <c r="I31" s="2"/>
      <c r="J31" s="2"/>
      <c r="K31" s="2"/>
    </row>
    <row r="32" spans="2:11" x14ac:dyDescent="0.2">
      <c r="B32" s="82"/>
      <c r="C32" s="2"/>
      <c r="D32" s="2"/>
      <c r="E32" s="2"/>
      <c r="F32" s="2"/>
      <c r="G32" s="2"/>
      <c r="H32" s="2"/>
      <c r="I32" s="2"/>
      <c r="J32" s="2"/>
      <c r="K32" s="2"/>
    </row>
    <row r="33" spans="1:17" x14ac:dyDescent="0.2">
      <c r="B33" s="82"/>
      <c r="C33" s="2"/>
      <c r="D33" s="2"/>
      <c r="E33" s="2"/>
      <c r="F33" s="2"/>
      <c r="G33" s="2"/>
      <c r="H33" s="2"/>
      <c r="I33" s="2"/>
      <c r="J33" s="2"/>
      <c r="K33" s="2"/>
    </row>
    <row r="34" spans="1:17" x14ac:dyDescent="0.2">
      <c r="B34" s="82" t="s">
        <v>32</v>
      </c>
      <c r="C34" s="214">
        <v>7.6999999999999999E-2</v>
      </c>
      <c r="D34" s="214">
        <v>7.6999999999999999E-2</v>
      </c>
      <c r="E34" s="76"/>
      <c r="F34" s="2"/>
      <c r="G34" s="2"/>
      <c r="H34" s="2"/>
      <c r="I34" s="2"/>
      <c r="J34" s="2"/>
      <c r="K34" s="2"/>
    </row>
    <row r="35" spans="1:17" x14ac:dyDescent="0.2">
      <c r="B35" s="82" t="s">
        <v>33</v>
      </c>
      <c r="C35" s="214">
        <v>8.8999999999999996E-2</v>
      </c>
      <c r="D35" s="214">
        <v>8.8999999999999996E-2</v>
      </c>
      <c r="E35" s="76"/>
      <c r="F35" s="2"/>
      <c r="G35" s="2"/>
      <c r="H35" s="2"/>
      <c r="I35" s="2"/>
      <c r="J35" s="2"/>
      <c r="K35" s="2"/>
    </row>
    <row r="36" spans="1:17" x14ac:dyDescent="0.2">
      <c r="B36" s="82" t="s">
        <v>34</v>
      </c>
      <c r="C36" s="214">
        <v>6.5000000000000002E-2</v>
      </c>
      <c r="D36" s="214">
        <v>6.5000000000000002E-2</v>
      </c>
      <c r="E36" s="76">
        <f>'Res '!E38</f>
        <v>0.65</v>
      </c>
      <c r="F36" s="77">
        <f>C36*E36</f>
        <v>4.2250000000000003E-2</v>
      </c>
      <c r="G36" s="2"/>
      <c r="H36" s="2"/>
      <c r="I36" s="2"/>
      <c r="J36" s="2"/>
      <c r="K36" s="2"/>
    </row>
    <row r="37" spans="1:17" x14ac:dyDescent="0.2">
      <c r="B37" s="82" t="s">
        <v>35</v>
      </c>
      <c r="C37" s="214">
        <v>9.4E-2</v>
      </c>
      <c r="D37" s="214">
        <v>9.4E-2</v>
      </c>
      <c r="E37" s="76">
        <f>'Res '!E39</f>
        <v>0.17</v>
      </c>
      <c r="F37" s="77">
        <f>C37*E37</f>
        <v>1.5980000000000001E-2</v>
      </c>
      <c r="G37" s="2"/>
      <c r="H37" s="2"/>
      <c r="I37" s="2"/>
      <c r="J37" s="2"/>
      <c r="K37" s="2"/>
    </row>
    <row r="38" spans="1:17" x14ac:dyDescent="0.2">
      <c r="B38" s="82" t="s">
        <v>36</v>
      </c>
      <c r="C38" s="214">
        <v>0.13400000000000001</v>
      </c>
      <c r="D38" s="214">
        <v>0.13400000000000001</v>
      </c>
      <c r="E38" s="76">
        <f>'Res '!E40</f>
        <v>0.18</v>
      </c>
      <c r="F38" s="77">
        <f>C38*E38</f>
        <v>2.4119999999999999E-2</v>
      </c>
      <c r="G38" s="2"/>
      <c r="H38" s="2"/>
      <c r="I38" s="2"/>
      <c r="J38" s="2"/>
      <c r="K38" s="2"/>
    </row>
    <row r="39" spans="1:17" x14ac:dyDescent="0.2">
      <c r="B39" s="82"/>
      <c r="C39" s="2"/>
      <c r="D39" s="2"/>
      <c r="E39" s="2"/>
      <c r="F39" s="77"/>
      <c r="G39" s="2"/>
      <c r="H39" s="2"/>
      <c r="I39" s="2"/>
      <c r="J39" s="2"/>
      <c r="K39" s="2"/>
    </row>
    <row r="40" spans="1:17" ht="13.5" thickBot="1" x14ac:dyDescent="0.25">
      <c r="B40" s="82"/>
      <c r="C40" s="2"/>
      <c r="D40" s="2"/>
      <c r="E40" s="2"/>
      <c r="F40" s="2"/>
      <c r="G40" s="2"/>
      <c r="H40" s="2"/>
      <c r="I40" s="2"/>
      <c r="J40" s="2"/>
      <c r="K40" s="2"/>
    </row>
    <row r="41" spans="1:17" ht="13.5" thickBot="1" x14ac:dyDescent="0.25">
      <c r="B41" s="92" t="s">
        <v>11</v>
      </c>
      <c r="C41" s="93">
        <v>283400</v>
      </c>
      <c r="D41" s="94" t="s">
        <v>12</v>
      </c>
      <c r="E41" s="246">
        <v>736</v>
      </c>
      <c r="F41" s="94" t="s">
        <v>13</v>
      </c>
      <c r="G41" s="97"/>
      <c r="H41" s="247" t="s">
        <v>14</v>
      </c>
      <c r="I41" s="248"/>
      <c r="J41" s="249">
        <f>C29</f>
        <v>1.0454000000000001</v>
      </c>
      <c r="K41" s="2"/>
    </row>
    <row r="42" spans="1:17" x14ac:dyDescent="0.2">
      <c r="B42" s="245"/>
      <c r="C42" s="367" t="s">
        <v>40</v>
      </c>
      <c r="D42" s="355"/>
      <c r="E42" s="355"/>
      <c r="F42" s="354" t="s">
        <v>41</v>
      </c>
      <c r="G42" s="355"/>
      <c r="H42" s="355"/>
      <c r="I42" s="354" t="s">
        <v>42</v>
      </c>
      <c r="J42" s="368"/>
      <c r="K42" s="2"/>
    </row>
    <row r="43" spans="1:17" ht="18" customHeight="1" x14ac:dyDescent="0.2">
      <c r="B43" s="378" t="str">
        <f>B11</f>
        <v>STREET LIGHTING (Non-RPP)</v>
      </c>
      <c r="C43" s="23" t="s">
        <v>43</v>
      </c>
      <c r="D43" s="23" t="s">
        <v>17</v>
      </c>
      <c r="E43" s="69" t="s">
        <v>44</v>
      </c>
      <c r="F43" s="64" t="s">
        <v>43</v>
      </c>
      <c r="G43" s="24" t="s">
        <v>17</v>
      </c>
      <c r="H43" s="69" t="s">
        <v>44</v>
      </c>
      <c r="I43" s="374" t="s">
        <v>24</v>
      </c>
      <c r="J43" s="376" t="s">
        <v>25</v>
      </c>
      <c r="K43" s="55"/>
      <c r="L43" s="55"/>
      <c r="M43" s="54"/>
    </row>
    <row r="44" spans="1:17" ht="21.75" customHeight="1" x14ac:dyDescent="0.2">
      <c r="B44" s="379"/>
      <c r="C44" s="25" t="s">
        <v>45</v>
      </c>
      <c r="D44" s="25"/>
      <c r="E44" s="63" t="s">
        <v>45</v>
      </c>
      <c r="F44" s="65" t="s">
        <v>45</v>
      </c>
      <c r="G44" s="26"/>
      <c r="H44" s="63" t="s">
        <v>45</v>
      </c>
      <c r="I44" s="375"/>
      <c r="J44" s="377"/>
      <c r="K44" s="56"/>
      <c r="L44" s="56"/>
      <c r="M44" s="54"/>
    </row>
    <row r="45" spans="1:17" ht="14.25" x14ac:dyDescent="0.2">
      <c r="A45" s="22" t="s">
        <v>70</v>
      </c>
      <c r="B45" s="85" t="s">
        <v>46</v>
      </c>
      <c r="C45" s="201">
        <f>C14</f>
        <v>1.78</v>
      </c>
      <c r="D45" s="106">
        <v>12262</v>
      </c>
      <c r="E45" s="149">
        <f>D45*C45</f>
        <v>21826.36</v>
      </c>
      <c r="F45" s="202">
        <f>D14</f>
        <v>1.8</v>
      </c>
      <c r="G45" s="216">
        <f>+D45</f>
        <v>12262</v>
      </c>
      <c r="H45" s="198">
        <f>G45*F45</f>
        <v>22071.600000000002</v>
      </c>
      <c r="I45" s="331">
        <f t="shared" ref="I45:I50" si="0">H45-E45</f>
        <v>245.2400000000016</v>
      </c>
      <c r="J45" s="334">
        <f t="shared" ref="J45:J70" si="1">IF((H45)=0,"",(I45/E45))</f>
        <v>1.1235955056179848E-2</v>
      </c>
      <c r="K45" s="46"/>
      <c r="L45" s="57"/>
      <c r="M45" s="46"/>
    </row>
    <row r="46" spans="1:17" ht="14.25" x14ac:dyDescent="0.2">
      <c r="A46" s="22" t="s">
        <v>70</v>
      </c>
      <c r="B46" s="85" t="s">
        <v>4</v>
      </c>
      <c r="C46" s="203">
        <f>C15</f>
        <v>6.8009000000000004</v>
      </c>
      <c r="D46" s="29">
        <f>E41</f>
        <v>736</v>
      </c>
      <c r="E46" s="149">
        <f>D46*C46</f>
        <v>5005.4624000000003</v>
      </c>
      <c r="F46" s="204">
        <f>D15</f>
        <v>6.8620999999999999</v>
      </c>
      <c r="G46" s="30">
        <f>+E41</f>
        <v>736</v>
      </c>
      <c r="H46" s="149">
        <f>G46*F46</f>
        <v>5050.5055999999995</v>
      </c>
      <c r="I46" s="331">
        <f t="shared" si="0"/>
        <v>45.04319999999916</v>
      </c>
      <c r="J46" s="334">
        <f t="shared" si="1"/>
        <v>8.9988089811640897E-3</v>
      </c>
      <c r="K46" s="48"/>
      <c r="L46" s="59"/>
      <c r="M46" s="46"/>
      <c r="O46" s="133"/>
      <c r="P46" s="133"/>
      <c r="Q46" s="133"/>
    </row>
    <row r="47" spans="1:17" ht="14.25" x14ac:dyDescent="0.2">
      <c r="B47" s="87" t="s">
        <v>97</v>
      </c>
      <c r="C47" s="203">
        <f>+C22</f>
        <v>0</v>
      </c>
      <c r="D47" s="34">
        <f>+E41</f>
        <v>736</v>
      </c>
      <c r="E47" s="197">
        <f>D47*C47</f>
        <v>0</v>
      </c>
      <c r="F47" s="204">
        <f>+D22</f>
        <v>0</v>
      </c>
      <c r="G47" s="34">
        <f>+E41</f>
        <v>736</v>
      </c>
      <c r="H47" s="197">
        <f>G47*F47</f>
        <v>0</v>
      </c>
      <c r="I47" s="332">
        <f>H47-E47</f>
        <v>0</v>
      </c>
      <c r="J47" s="335" t="str">
        <f t="shared" si="1"/>
        <v/>
      </c>
      <c r="K47" s="60"/>
      <c r="N47" s="22"/>
      <c r="O47" s="133"/>
      <c r="P47" s="133"/>
      <c r="Q47" s="133"/>
    </row>
    <row r="48" spans="1:17" ht="14.25" x14ac:dyDescent="0.2">
      <c r="B48" s="87" t="s">
        <v>106</v>
      </c>
      <c r="C48" s="203">
        <f>+C17</f>
        <v>-0.38979999999999998</v>
      </c>
      <c r="D48" s="34">
        <f>+E41</f>
        <v>736</v>
      </c>
      <c r="E48" s="197">
        <f>D48*C48</f>
        <v>-286.89279999999997</v>
      </c>
      <c r="F48" s="204">
        <f>+D17</f>
        <v>0</v>
      </c>
      <c r="G48" s="34">
        <f>+E41</f>
        <v>736</v>
      </c>
      <c r="H48" s="197">
        <f>G48*F48</f>
        <v>0</v>
      </c>
      <c r="I48" s="332">
        <f>H48-E48</f>
        <v>286.89279999999997</v>
      </c>
      <c r="J48" s="335" t="str">
        <f t="shared" si="1"/>
        <v/>
      </c>
      <c r="K48" s="60"/>
      <c r="N48" s="22"/>
      <c r="O48" s="133"/>
      <c r="P48" s="133"/>
      <c r="Q48" s="133"/>
    </row>
    <row r="49" spans="2:17" ht="14.25" x14ac:dyDescent="0.2">
      <c r="B49" s="146" t="s">
        <v>91</v>
      </c>
      <c r="C49" s="205">
        <f>C16</f>
        <v>3.5817999999999999</v>
      </c>
      <c r="D49" s="31">
        <f>+D48</f>
        <v>736</v>
      </c>
      <c r="E49" s="157">
        <f t="shared" ref="E49" si="2">D49*C49</f>
        <v>2636.2048</v>
      </c>
      <c r="F49" s="158">
        <f>D16</f>
        <v>6.1482999999999999</v>
      </c>
      <c r="G49" s="32">
        <f>+E41</f>
        <v>736</v>
      </c>
      <c r="H49" s="157">
        <f t="shared" ref="H49" si="3">G49*F49</f>
        <v>4525.1487999999999</v>
      </c>
      <c r="I49" s="331">
        <f t="shared" si="0"/>
        <v>1888.944</v>
      </c>
      <c r="J49" s="334">
        <f t="shared" si="1"/>
        <v>0.71653917024959513</v>
      </c>
      <c r="K49" s="48"/>
      <c r="L49" s="240"/>
      <c r="M49" s="239"/>
      <c r="N49" s="22"/>
      <c r="O49" s="133"/>
      <c r="P49" s="133"/>
      <c r="Q49" s="133"/>
    </row>
    <row r="50" spans="2:17" ht="15" x14ac:dyDescent="0.2">
      <c r="B50" s="33" t="s">
        <v>47</v>
      </c>
      <c r="C50" s="160"/>
      <c r="D50" s="73"/>
      <c r="E50" s="161">
        <f>SUM(E45:E49)</f>
        <v>29181.134399999999</v>
      </c>
      <c r="F50" s="162"/>
      <c r="G50" s="74"/>
      <c r="H50" s="161">
        <f>SUM(H45:H49)</f>
        <v>31647.254400000002</v>
      </c>
      <c r="I50" s="200">
        <f t="shared" si="0"/>
        <v>2466.1200000000026</v>
      </c>
      <c r="J50" s="326">
        <f t="shared" si="1"/>
        <v>8.4510765284025513E-2</v>
      </c>
      <c r="K50" s="46"/>
      <c r="L50" s="117"/>
      <c r="M50" s="111"/>
      <c r="N50" s="22"/>
      <c r="O50" s="133"/>
      <c r="P50" s="133"/>
      <c r="Q50" s="133"/>
    </row>
    <row r="51" spans="2:17" ht="14.25" x14ac:dyDescent="0.2">
      <c r="B51" s="87" t="s">
        <v>48</v>
      </c>
      <c r="C51" s="203">
        <f>'GS&gt;50 '!C54</f>
        <v>0.11169999999999999</v>
      </c>
      <c r="D51" s="34">
        <f>$C41*($C29-1)</f>
        <v>12866.36000000003</v>
      </c>
      <c r="E51" s="197">
        <f>C51*D51</f>
        <v>1437.1724120000033</v>
      </c>
      <c r="F51" s="154">
        <f>C51</f>
        <v>0.11169999999999999</v>
      </c>
      <c r="G51" s="34">
        <f>$C41*($C29-1)</f>
        <v>12866.36000000003</v>
      </c>
      <c r="H51" s="149">
        <f>F51*G51</f>
        <v>1437.1724120000033</v>
      </c>
      <c r="I51" s="331">
        <f t="shared" ref="I51:I65" si="4">H51-E51</f>
        <v>0</v>
      </c>
      <c r="J51" s="334">
        <f t="shared" si="1"/>
        <v>0</v>
      </c>
      <c r="K51" s="60"/>
      <c r="N51" s="22"/>
      <c r="O51" s="133"/>
      <c r="P51" s="133"/>
      <c r="Q51" s="133"/>
    </row>
    <row r="52" spans="2:17" ht="14.25" x14ac:dyDescent="0.2">
      <c r="B52" s="87" t="s">
        <v>98</v>
      </c>
      <c r="C52" s="203">
        <f>+C21</f>
        <v>0.24590000000000001</v>
      </c>
      <c r="D52" s="34">
        <f>+E41</f>
        <v>736</v>
      </c>
      <c r="E52" s="197">
        <f t="shared" ref="E52" si="5">D52*C52</f>
        <v>180.98240000000001</v>
      </c>
      <c r="F52" s="204">
        <f>+D21</f>
        <v>0.24590000000000001</v>
      </c>
      <c r="G52" s="34">
        <f>+E41</f>
        <v>736</v>
      </c>
      <c r="H52" s="197">
        <f t="shared" ref="H52" si="6">G52*F52</f>
        <v>180.98240000000001</v>
      </c>
      <c r="I52" s="332">
        <f t="shared" ref="I52" si="7">H52-E52</f>
        <v>0</v>
      </c>
      <c r="J52" s="335">
        <f t="shared" si="1"/>
        <v>0</v>
      </c>
      <c r="K52" s="60"/>
      <c r="N52" s="22"/>
      <c r="O52" s="133"/>
      <c r="P52" s="133"/>
      <c r="Q52" s="133"/>
    </row>
    <row r="53" spans="2:17" ht="14.25" x14ac:dyDescent="0.2">
      <c r="B53" s="87" t="s">
        <v>93</v>
      </c>
      <c r="C53" s="153">
        <f>+C19</f>
        <v>0</v>
      </c>
      <c r="D53" s="34">
        <f>+E41</f>
        <v>736</v>
      </c>
      <c r="E53" s="197">
        <f>D53*C53</f>
        <v>0</v>
      </c>
      <c r="F53" s="204">
        <f>D19</f>
        <v>0</v>
      </c>
      <c r="G53" s="34">
        <f>+E41</f>
        <v>736</v>
      </c>
      <c r="H53" s="149">
        <f>G53*F53</f>
        <v>0</v>
      </c>
      <c r="I53" s="331">
        <f t="shared" si="4"/>
        <v>0</v>
      </c>
      <c r="J53" s="334" t="str">
        <f t="shared" si="1"/>
        <v/>
      </c>
      <c r="K53" s="60"/>
      <c r="N53" s="22"/>
      <c r="O53" s="133"/>
      <c r="P53" s="133"/>
      <c r="Q53" s="133"/>
    </row>
    <row r="54" spans="2:17" ht="14.25" x14ac:dyDescent="0.2">
      <c r="B54" s="87" t="s">
        <v>90</v>
      </c>
      <c r="C54" s="153">
        <f>+C18</f>
        <v>0</v>
      </c>
      <c r="D54" s="34">
        <f>+E41</f>
        <v>736</v>
      </c>
      <c r="E54" s="197">
        <f>D54*C54</f>
        <v>0</v>
      </c>
      <c r="F54" s="204">
        <f>D18</f>
        <v>0</v>
      </c>
      <c r="G54" s="34">
        <f>+E41</f>
        <v>736</v>
      </c>
      <c r="H54" s="149">
        <f>G54*F54</f>
        <v>0</v>
      </c>
      <c r="I54" s="331">
        <f t="shared" si="4"/>
        <v>0</v>
      </c>
      <c r="J54" s="334" t="str">
        <f t="shared" si="1"/>
        <v/>
      </c>
      <c r="K54" s="60"/>
      <c r="L54" s="238"/>
      <c r="N54" s="59"/>
      <c r="O54" s="46"/>
      <c r="P54" s="51"/>
    </row>
    <row r="55" spans="2:17" ht="14.85" customHeight="1" x14ac:dyDescent="0.2">
      <c r="B55" s="87" t="s">
        <v>94</v>
      </c>
      <c r="C55" s="153">
        <f>C20</f>
        <v>0</v>
      </c>
      <c r="D55" s="34">
        <f>C41</f>
        <v>283400</v>
      </c>
      <c r="E55" s="197">
        <f>D55*C55</f>
        <v>0</v>
      </c>
      <c r="F55" s="204">
        <f>D20</f>
        <v>0</v>
      </c>
      <c r="G55" s="34">
        <f>C41</f>
        <v>283400</v>
      </c>
      <c r="H55" s="149">
        <f>G55*F55</f>
        <v>0</v>
      </c>
      <c r="I55" s="331">
        <f t="shared" ref="I55" si="8">H55-E55</f>
        <v>0</v>
      </c>
      <c r="J55" s="334" t="str">
        <f t="shared" si="1"/>
        <v/>
      </c>
      <c r="K55" s="60"/>
      <c r="N55" s="22"/>
      <c r="O55" s="137"/>
      <c r="P55" s="137"/>
      <c r="Q55" s="133"/>
    </row>
    <row r="56" spans="2:17" ht="15" x14ac:dyDescent="0.2">
      <c r="B56" s="47" t="s">
        <v>51</v>
      </c>
      <c r="C56" s="165"/>
      <c r="D56" s="35"/>
      <c r="E56" s="166">
        <f>SUM(E51:E55)+E50</f>
        <v>30799.289212000003</v>
      </c>
      <c r="F56" s="167"/>
      <c r="G56" s="36"/>
      <c r="H56" s="166">
        <f>SUM(H51:H55)+H50</f>
        <v>33265.409212000006</v>
      </c>
      <c r="I56" s="200">
        <f>H56-E56</f>
        <v>2466.1200000000026</v>
      </c>
      <c r="J56" s="326">
        <f t="shared" si="1"/>
        <v>8.0070679002525624E-2</v>
      </c>
      <c r="K56" s="46"/>
      <c r="N56" s="22"/>
      <c r="O56" s="137"/>
      <c r="P56" s="137"/>
      <c r="Q56" s="133"/>
    </row>
    <row r="57" spans="2:17" ht="14.25" x14ac:dyDescent="0.2">
      <c r="B57" s="89" t="s">
        <v>52</v>
      </c>
      <c r="C57" s="153">
        <f>C23</f>
        <v>2.0752999999999999</v>
      </c>
      <c r="D57" s="62">
        <f>E41</f>
        <v>736</v>
      </c>
      <c r="E57" s="197">
        <f>D57*C57</f>
        <v>1527.4207999999999</v>
      </c>
      <c r="F57" s="154">
        <f>D23</f>
        <v>2.1842999999999999</v>
      </c>
      <c r="G57" s="38">
        <f>+E41</f>
        <v>736</v>
      </c>
      <c r="H57" s="149">
        <f>G57*F57</f>
        <v>1607.6448</v>
      </c>
      <c r="I57" s="331">
        <f t="shared" si="4"/>
        <v>80.22400000000016</v>
      </c>
      <c r="J57" s="334">
        <f t="shared" si="1"/>
        <v>5.2522526863586098E-2</v>
      </c>
      <c r="K57" s="60"/>
      <c r="N57" s="22"/>
      <c r="O57" s="137"/>
      <c r="P57" s="137"/>
    </row>
    <row r="58" spans="2:17" ht="21.75" customHeight="1" x14ac:dyDescent="0.2">
      <c r="B58" s="90" t="s">
        <v>53</v>
      </c>
      <c r="C58" s="153">
        <f>C24</f>
        <v>1.8829</v>
      </c>
      <c r="D58" s="37">
        <f>+E41</f>
        <v>736</v>
      </c>
      <c r="E58" s="197">
        <f>D58*C58</f>
        <v>1385.8144</v>
      </c>
      <c r="F58" s="154">
        <f>D24</f>
        <v>1.9154</v>
      </c>
      <c r="G58" s="38">
        <f>+E41</f>
        <v>736</v>
      </c>
      <c r="H58" s="149">
        <f>G58*F58</f>
        <v>1409.7344000000001</v>
      </c>
      <c r="I58" s="331">
        <f t="shared" si="4"/>
        <v>23.920000000000073</v>
      </c>
      <c r="J58" s="334">
        <f t="shared" si="1"/>
        <v>1.7260608635615328E-2</v>
      </c>
      <c r="K58" s="60"/>
      <c r="L58" s="239"/>
      <c r="M58" s="46"/>
      <c r="O58" s="137"/>
      <c r="P58" s="137"/>
      <c r="Q58" s="22"/>
    </row>
    <row r="59" spans="2:17" ht="15" x14ac:dyDescent="0.2">
      <c r="B59" s="47" t="s">
        <v>54</v>
      </c>
      <c r="C59" s="165"/>
      <c r="D59" s="35"/>
      <c r="E59" s="166">
        <f>SUM(E56:E58)</f>
        <v>33712.524412000006</v>
      </c>
      <c r="F59" s="168"/>
      <c r="G59" s="39"/>
      <c r="H59" s="166">
        <f>SUM(H56:H58)</f>
        <v>36282.788412000009</v>
      </c>
      <c r="I59" s="200">
        <f>H59-E59</f>
        <v>2570.2640000000029</v>
      </c>
      <c r="J59" s="326">
        <f t="shared" si="1"/>
        <v>7.62406270319263E-2</v>
      </c>
      <c r="K59" s="44"/>
      <c r="L59" s="49"/>
      <c r="M59" s="44"/>
    </row>
    <row r="60" spans="2:17" ht="14.25" x14ac:dyDescent="0.2">
      <c r="B60" s="87" t="s">
        <v>55</v>
      </c>
      <c r="C60" s="170">
        <f>C25</f>
        <v>3.0000000000000001E-3</v>
      </c>
      <c r="D60" s="34">
        <f>C41+D51</f>
        <v>296266.36000000004</v>
      </c>
      <c r="E60" s="175">
        <f t="shared" ref="E60:E65" si="9">D60*C60</f>
        <v>888.79908000000012</v>
      </c>
      <c r="F60" s="192">
        <f>D25</f>
        <v>3.0000000000000001E-3</v>
      </c>
      <c r="G60" s="122">
        <f>+C41+G51</f>
        <v>296266.36000000004</v>
      </c>
      <c r="H60" s="172">
        <f t="shared" ref="H60:H65" si="10">G60*F60</f>
        <v>888.79908000000012</v>
      </c>
      <c r="I60" s="332">
        <f t="shared" si="4"/>
        <v>0</v>
      </c>
      <c r="J60" s="335">
        <f t="shared" si="1"/>
        <v>0</v>
      </c>
      <c r="K60" s="60"/>
      <c r="L60" s="61"/>
      <c r="M60" s="46"/>
    </row>
    <row r="61" spans="2:17" ht="14.25" x14ac:dyDescent="0.2">
      <c r="B61" s="87" t="s">
        <v>87</v>
      </c>
      <c r="C61" s="170">
        <f>C26</f>
        <v>4.0000000000000002E-4</v>
      </c>
      <c r="D61" s="34">
        <f>+C41+D51</f>
        <v>296266.36000000004</v>
      </c>
      <c r="E61" s="175">
        <f t="shared" si="9"/>
        <v>118.50654400000002</v>
      </c>
      <c r="F61" s="192">
        <f>D26</f>
        <v>4.0000000000000002E-4</v>
      </c>
      <c r="G61" s="122">
        <f>+C41+G51</f>
        <v>296266.36000000004</v>
      </c>
      <c r="H61" s="172">
        <f t="shared" si="10"/>
        <v>118.50654400000002</v>
      </c>
      <c r="I61" s="332">
        <f t="shared" si="4"/>
        <v>0</v>
      </c>
      <c r="J61" s="335">
        <f t="shared" si="1"/>
        <v>0</v>
      </c>
      <c r="K61" s="60"/>
      <c r="L61" s="61"/>
      <c r="M61" s="46"/>
    </row>
    <row r="62" spans="2:17" ht="14.25" x14ac:dyDescent="0.2">
      <c r="B62" s="86" t="s">
        <v>56</v>
      </c>
      <c r="C62" s="170">
        <f>C27</f>
        <v>5.0000000000000001E-4</v>
      </c>
      <c r="D62" s="34">
        <f>+C41+D51</f>
        <v>296266.36000000004</v>
      </c>
      <c r="E62" s="175">
        <f t="shared" si="9"/>
        <v>148.13318000000004</v>
      </c>
      <c r="F62" s="192">
        <f>D27</f>
        <v>5.0000000000000001E-4</v>
      </c>
      <c r="G62" s="122">
        <f>+C41+G51</f>
        <v>296266.36000000004</v>
      </c>
      <c r="H62" s="175">
        <f t="shared" si="10"/>
        <v>148.13318000000004</v>
      </c>
      <c r="I62" s="332">
        <f t="shared" si="4"/>
        <v>0</v>
      </c>
      <c r="J62" s="335">
        <f t="shared" si="1"/>
        <v>0</v>
      </c>
      <c r="K62" s="60"/>
      <c r="L62" s="61"/>
      <c r="M62" s="46"/>
    </row>
    <row r="63" spans="2:17" ht="14.25" x14ac:dyDescent="0.2">
      <c r="B63" s="86" t="s">
        <v>57</v>
      </c>
      <c r="C63" s="210">
        <f>C28</f>
        <v>0.25</v>
      </c>
      <c r="D63" s="34">
        <f>+D45</f>
        <v>12262</v>
      </c>
      <c r="E63" s="175">
        <f t="shared" si="9"/>
        <v>3065.5</v>
      </c>
      <c r="F63" s="211">
        <f>D28</f>
        <v>0.25</v>
      </c>
      <c r="G63" s="122">
        <f>+G45</f>
        <v>12262</v>
      </c>
      <c r="H63" s="175">
        <f t="shared" si="10"/>
        <v>3065.5</v>
      </c>
      <c r="I63" s="332">
        <f t="shared" si="4"/>
        <v>0</v>
      </c>
      <c r="J63" s="335">
        <f t="shared" si="1"/>
        <v>0</v>
      </c>
      <c r="K63" s="60"/>
      <c r="L63" s="61"/>
      <c r="M63" s="46"/>
    </row>
    <row r="64" spans="2:17" ht="15" x14ac:dyDescent="0.2">
      <c r="B64" s="47" t="s">
        <v>62</v>
      </c>
      <c r="C64" s="165"/>
      <c r="D64" s="35"/>
      <c r="E64" s="166">
        <f>SUM(E60:E63)</f>
        <v>4220.9388040000003</v>
      </c>
      <c r="F64" s="168"/>
      <c r="G64" s="39"/>
      <c r="H64" s="166">
        <f>SUM(H60:H63)</f>
        <v>4220.9388040000003</v>
      </c>
      <c r="I64" s="200">
        <f>SUM(I60:I63)</f>
        <v>0</v>
      </c>
      <c r="J64" s="326">
        <f t="shared" si="1"/>
        <v>0</v>
      </c>
      <c r="K64" s="60"/>
      <c r="L64" s="61"/>
      <c r="M64" s="46"/>
    </row>
    <row r="65" spans="2:18" ht="14.25" x14ac:dyDescent="0.2">
      <c r="B65" s="87" t="s">
        <v>65</v>
      </c>
      <c r="C65" s="170">
        <f>C51</f>
        <v>0.11169999999999999</v>
      </c>
      <c r="D65" s="34">
        <f>C41</f>
        <v>283400</v>
      </c>
      <c r="E65" s="175">
        <f t="shared" si="9"/>
        <v>31655.78</v>
      </c>
      <c r="F65" s="192">
        <f>C65</f>
        <v>0.11169999999999999</v>
      </c>
      <c r="G65" s="217">
        <f>+C41</f>
        <v>283400</v>
      </c>
      <c r="H65" s="321">
        <f t="shared" si="10"/>
        <v>31655.78</v>
      </c>
      <c r="I65" s="332">
        <f t="shared" si="4"/>
        <v>0</v>
      </c>
      <c r="J65" s="335">
        <f t="shared" si="1"/>
        <v>0</v>
      </c>
      <c r="K65" s="60"/>
      <c r="L65" s="61"/>
      <c r="M65" s="61"/>
    </row>
    <row r="66" spans="2:18" ht="15.75" thickBot="1" x14ac:dyDescent="0.25">
      <c r="B66" s="47" t="s">
        <v>63</v>
      </c>
      <c r="C66" s="165"/>
      <c r="D66" s="35"/>
      <c r="E66" s="166">
        <f>SUM(E65:E65)</f>
        <v>31655.78</v>
      </c>
      <c r="F66" s="168"/>
      <c r="G66" s="39"/>
      <c r="H66" s="166">
        <f>SUM(H65:H65)</f>
        <v>31655.78</v>
      </c>
      <c r="I66" s="200">
        <f>H66-E66</f>
        <v>0</v>
      </c>
      <c r="J66" s="326">
        <f t="shared" si="1"/>
        <v>0</v>
      </c>
      <c r="K66" s="60"/>
      <c r="L66" s="61"/>
      <c r="M66" s="46"/>
    </row>
    <row r="67" spans="2:18" ht="7.5" customHeight="1" thickBot="1" x14ac:dyDescent="0.25">
      <c r="B67" s="91"/>
      <c r="C67" s="176"/>
      <c r="D67" s="40"/>
      <c r="E67" s="177"/>
      <c r="F67" s="178"/>
      <c r="G67" s="41"/>
      <c r="H67" s="177"/>
      <c r="I67" s="338"/>
      <c r="J67" s="340" t="str">
        <f t="shared" si="1"/>
        <v/>
      </c>
      <c r="K67" s="46"/>
      <c r="L67" s="61"/>
      <c r="M67" s="46"/>
    </row>
    <row r="68" spans="2:18" ht="15" x14ac:dyDescent="0.2">
      <c r="B68" s="71" t="s">
        <v>100</v>
      </c>
      <c r="C68" s="181"/>
      <c r="D68" s="42"/>
      <c r="E68" s="182">
        <f>E66+E64+E59</f>
        <v>69589.243216000003</v>
      </c>
      <c r="F68" s="183"/>
      <c r="G68" s="43"/>
      <c r="H68" s="184">
        <f>H66+H64+H59</f>
        <v>72159.507215999998</v>
      </c>
      <c r="I68" s="341">
        <f>H68-E68</f>
        <v>2570.2639999999956</v>
      </c>
      <c r="J68" s="335">
        <f t="shared" si="1"/>
        <v>3.6934788786566926E-2</v>
      </c>
      <c r="K68" s="67"/>
      <c r="L68" s="49"/>
      <c r="M68" s="44"/>
    </row>
    <row r="69" spans="2:18" ht="14.25" x14ac:dyDescent="0.2">
      <c r="B69" s="72" t="s">
        <v>18</v>
      </c>
      <c r="C69" s="181">
        <v>0.13</v>
      </c>
      <c r="D69" s="45"/>
      <c r="E69" s="185">
        <f>E68*C69</f>
        <v>9046.6016180799998</v>
      </c>
      <c r="F69" s="186">
        <v>0.13</v>
      </c>
      <c r="G69" s="27"/>
      <c r="H69" s="187">
        <f>H68*F69</f>
        <v>9380.7359380800008</v>
      </c>
      <c r="I69" s="341">
        <f>H69-E69</f>
        <v>334.13432000000103</v>
      </c>
      <c r="J69" s="335">
        <f t="shared" si="1"/>
        <v>3.6934788786567106E-2</v>
      </c>
      <c r="K69" s="45"/>
      <c r="L69" s="51"/>
      <c r="M69" s="46"/>
    </row>
    <row r="70" spans="2:18" ht="15" x14ac:dyDescent="0.2">
      <c r="B70" s="78" t="s">
        <v>101</v>
      </c>
      <c r="C70" s="189"/>
      <c r="D70" s="79"/>
      <c r="E70" s="190">
        <f>SUM(E68:E69)</f>
        <v>78635.844834079995</v>
      </c>
      <c r="F70" s="191"/>
      <c r="G70" s="80"/>
      <c r="H70" s="169">
        <f>SUM(H68:H69)</f>
        <v>81540.243154080003</v>
      </c>
      <c r="I70" s="166">
        <f>H70-E70</f>
        <v>2904.3983200000075</v>
      </c>
      <c r="J70" s="326">
        <f t="shared" si="1"/>
        <v>3.6934788786567092E-2</v>
      </c>
      <c r="K70" s="10"/>
      <c r="L70" s="10"/>
      <c r="M70" s="10"/>
    </row>
    <row r="71" spans="2:18" ht="15" x14ac:dyDescent="0.2">
      <c r="B71" s="138"/>
      <c r="C71" s="45"/>
      <c r="D71" s="45"/>
      <c r="E71" s="49"/>
      <c r="F71" s="68"/>
      <c r="G71" s="68"/>
      <c r="H71" s="49"/>
      <c r="I71" s="49"/>
      <c r="J71" s="139"/>
      <c r="K71" s="10"/>
      <c r="L71" s="10"/>
      <c r="M71" s="10"/>
    </row>
    <row r="72" spans="2:18" s="131" customFormat="1" ht="11.25" x14ac:dyDescent="0.2">
      <c r="B72" s="131" t="s">
        <v>117</v>
      </c>
    </row>
    <row r="73" spans="2:18" ht="15" x14ac:dyDescent="0.25">
      <c r="I73" s="319"/>
      <c r="J73" s="320"/>
      <c r="K73" s="320"/>
      <c r="L73" s="320"/>
      <c r="M73" s="320"/>
      <c r="N73" s="320"/>
      <c r="O73" s="320"/>
      <c r="P73" s="320"/>
      <c r="Q73" s="320"/>
      <c r="R73" s="118"/>
    </row>
    <row r="74" spans="2:18" ht="15" x14ac:dyDescent="0.25">
      <c r="I74" s="297"/>
      <c r="J74" s="297"/>
      <c r="K74" s="297"/>
      <c r="L74" s="297"/>
      <c r="M74" s="297"/>
      <c r="N74" s="297"/>
      <c r="O74" s="297"/>
      <c r="P74" s="297"/>
      <c r="Q74" s="297"/>
    </row>
    <row r="75" spans="2:18" ht="15" x14ac:dyDescent="0.25">
      <c r="I75" s="297"/>
      <c r="J75" s="297"/>
      <c r="K75" s="297"/>
      <c r="L75" s="297"/>
      <c r="M75" s="297"/>
      <c r="N75" s="297"/>
      <c r="O75" s="118"/>
      <c r="P75" s="118"/>
      <c r="Q75" s="118"/>
    </row>
  </sheetData>
  <mergeCells count="7">
    <mergeCell ref="B11:E11"/>
    <mergeCell ref="B43:B44"/>
    <mergeCell ref="I43:I44"/>
    <mergeCell ref="J43:J44"/>
    <mergeCell ref="C42:E42"/>
    <mergeCell ref="F42:H42"/>
    <mergeCell ref="I42:J42"/>
  </mergeCells>
  <pageMargins left="0.75" right="0.75" top="1" bottom="1" header="0.5" footer="0.5"/>
  <pageSetup scale="85" orientation="landscape" r:id="rId1"/>
  <headerFooter alignWithMargins="0">
    <oddFooter>&amp;R&amp;F</oddFooter>
  </headerFooter>
  <ignoredErrors>
    <ignoredError sqref="C46:D46 C45 F46:G46 C51:D51 F51:G51 G53 F54:G54 C55:D55 F55:G55 C57:D57 F57:G57 C58:D58 F58:G58 C60:D60 F60:G60 C61:D61 F61:G61 C62:D62 F62:G62 C63 F63 F65 F45 C65:D65" unlockedFormula="1"/>
    <ignoredError sqref="E56 H56 E59 H59 E64 H64:I6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Summary Bill Impact</vt:lpstr>
      <vt:lpstr>Res </vt:lpstr>
      <vt:lpstr>GS&lt;50</vt:lpstr>
      <vt:lpstr>GS&gt;50 </vt:lpstr>
      <vt:lpstr>USL</vt:lpstr>
      <vt:lpstr>SL </vt:lpstr>
      <vt:lpstr>ST </vt:lpstr>
      <vt:lpstr>'GS&lt;50'!Print_Area</vt:lpstr>
      <vt:lpstr>'GS&gt;50 '!Print_Area</vt:lpstr>
      <vt:lpstr>'Res '!Print_Area</vt:lpstr>
      <vt:lpstr>'SL '!Print_Area</vt:lpstr>
      <vt:lpstr>'ST '!Print_Area</vt:lpstr>
      <vt:lpstr>USL!Print_Area</vt:lpstr>
    </vt:vector>
  </TitlesOfParts>
  <Company>whitby hydro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sreffle</dc:creator>
  <cp:lastModifiedBy>Cindy Perrin</cp:lastModifiedBy>
  <cp:lastPrinted>2019-08-09T15:12:25Z</cp:lastPrinted>
  <dcterms:created xsi:type="dcterms:W3CDTF">2011-09-29T22:51:34Z</dcterms:created>
  <dcterms:modified xsi:type="dcterms:W3CDTF">2019-08-10T18:01:43Z</dcterms:modified>
</cp:coreProperties>
</file>