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Finance\Finance Mgmt\2020 IRM Rate App\2020 Annual IR Application (EB-2019-0062)\1 Models (2020 IRM application)\"/>
    </mc:Choice>
  </mc:AlternateContent>
  <bookViews>
    <workbookView xWindow="0" yWindow="0" windowWidth="19152" windowHeight="7140" tabRatio="856" firstSheet="4"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Report'!$A$1:$BT$56</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52511"/>
</workbook>
</file>

<file path=xl/calcChain.xml><?xml version="1.0" encoding="utf-8"?>
<calcChain xmlns="http://schemas.openxmlformats.org/spreadsheetml/2006/main">
  <c r="E63" i="85" l="1"/>
  <c r="G63" i="85" s="1"/>
  <c r="E62" i="85"/>
  <c r="G62" i="85" s="1"/>
  <c r="E61" i="85"/>
  <c r="G61" i="85" s="1"/>
  <c r="G60" i="85"/>
  <c r="E60" i="85"/>
  <c r="E59" i="85"/>
  <c r="G59" i="85" s="1"/>
  <c r="E58" i="85"/>
  <c r="G58" i="85" s="1"/>
  <c r="G64" i="85" s="1"/>
  <c r="O561" i="79" l="1"/>
  <c r="P515" i="79" l="1"/>
  <c r="Q515" i="79"/>
  <c r="R515" i="79"/>
  <c r="S515" i="79"/>
  <c r="T515" i="79"/>
  <c r="U515" i="79"/>
  <c r="V515" i="79"/>
  <c r="W515" i="79"/>
  <c r="X515" i="79"/>
  <c r="P512" i="79"/>
  <c r="Q512" i="79"/>
  <c r="R512" i="79"/>
  <c r="S512" i="79"/>
  <c r="T512" i="79"/>
  <c r="U512" i="79"/>
  <c r="V512" i="79"/>
  <c r="W512" i="79"/>
  <c r="X512" i="79"/>
  <c r="O512" i="79"/>
  <c r="O515" i="79"/>
  <c r="E515" i="79"/>
  <c r="F515" i="79"/>
  <c r="G515" i="79"/>
  <c r="H515" i="79"/>
  <c r="I515" i="79"/>
  <c r="J515" i="79"/>
  <c r="K515" i="79"/>
  <c r="L515" i="79"/>
  <c r="M515" i="79"/>
  <c r="D515" i="79"/>
  <c r="E512" i="79"/>
  <c r="F512" i="79"/>
  <c r="G512" i="79"/>
  <c r="H512" i="79"/>
  <c r="I512" i="79"/>
  <c r="J512" i="79"/>
  <c r="K512" i="79"/>
  <c r="L512" i="79"/>
  <c r="M512" i="79"/>
  <c r="D512" i="79"/>
  <c r="P490" i="79" l="1"/>
  <c r="Q490" i="79"/>
  <c r="R490" i="79"/>
  <c r="S490" i="79"/>
  <c r="T490" i="79"/>
  <c r="U490" i="79"/>
  <c r="V490" i="79"/>
  <c r="W490" i="79"/>
  <c r="X490" i="79"/>
  <c r="P487" i="79"/>
  <c r="Q487" i="79"/>
  <c r="R487" i="79"/>
  <c r="S487" i="79"/>
  <c r="T487" i="79"/>
  <c r="U487" i="79"/>
  <c r="V487" i="79"/>
  <c r="W487" i="79"/>
  <c r="X487" i="79"/>
  <c r="E487" i="79"/>
  <c r="F487" i="79"/>
  <c r="G487" i="79"/>
  <c r="H487" i="79"/>
  <c r="I487" i="79"/>
  <c r="J487" i="79"/>
  <c r="K487" i="79"/>
  <c r="L487" i="79"/>
  <c r="M487" i="79"/>
  <c r="E490" i="79"/>
  <c r="F490" i="79"/>
  <c r="G490" i="79"/>
  <c r="H490" i="79"/>
  <c r="I490" i="79"/>
  <c r="J490" i="79"/>
  <c r="K490" i="79"/>
  <c r="L490" i="79"/>
  <c r="M490" i="79"/>
  <c r="D490" i="79"/>
  <c r="D487" i="79"/>
  <c r="O490" i="79"/>
  <c r="O487" i="79"/>
  <c r="P471" i="79"/>
  <c r="Q471" i="79"/>
  <c r="R471" i="79"/>
  <c r="S471" i="79"/>
  <c r="T471" i="79"/>
  <c r="U471" i="79"/>
  <c r="V471" i="79"/>
  <c r="W471" i="79"/>
  <c r="X471" i="79"/>
  <c r="P474" i="79"/>
  <c r="Q474" i="79"/>
  <c r="R474" i="79"/>
  <c r="S474" i="79"/>
  <c r="T474" i="79"/>
  <c r="U474" i="79"/>
  <c r="V474" i="79"/>
  <c r="W474" i="79"/>
  <c r="X474" i="79"/>
  <c r="P480" i="79"/>
  <c r="Q480" i="79"/>
  <c r="R480" i="79"/>
  <c r="S480" i="79"/>
  <c r="T480" i="79"/>
  <c r="U480" i="79"/>
  <c r="V480" i="79"/>
  <c r="W480" i="79"/>
  <c r="X480" i="79"/>
  <c r="O480" i="79"/>
  <c r="O474" i="79"/>
  <c r="O471" i="79"/>
  <c r="E480" i="79"/>
  <c r="F480" i="79"/>
  <c r="G480" i="79"/>
  <c r="H480" i="79"/>
  <c r="I480" i="79"/>
  <c r="J480" i="79"/>
  <c r="K480" i="79"/>
  <c r="L480" i="79"/>
  <c r="M480" i="79"/>
  <c r="E474" i="79"/>
  <c r="F474" i="79"/>
  <c r="G474" i="79"/>
  <c r="H474" i="79"/>
  <c r="I474" i="79"/>
  <c r="J474" i="79"/>
  <c r="K474" i="79"/>
  <c r="L474" i="79"/>
  <c r="M474" i="79"/>
  <c r="E471" i="79"/>
  <c r="F471" i="79"/>
  <c r="G471" i="79"/>
  <c r="H471" i="79"/>
  <c r="I471" i="79"/>
  <c r="J471" i="79"/>
  <c r="K471" i="79"/>
  <c r="L471" i="79"/>
  <c r="M471" i="79"/>
  <c r="D480" i="79"/>
  <c r="D474" i="79"/>
  <c r="D471" i="79"/>
  <c r="P326" i="79"/>
  <c r="Q326" i="79"/>
  <c r="R326" i="79"/>
  <c r="S326" i="79"/>
  <c r="T326" i="79"/>
  <c r="U326" i="79"/>
  <c r="V326" i="79"/>
  <c r="W326" i="79"/>
  <c r="X326" i="79"/>
  <c r="E326" i="79"/>
  <c r="F326" i="79"/>
  <c r="G326" i="79"/>
  <c r="H326" i="79"/>
  <c r="I326" i="79"/>
  <c r="J326" i="79"/>
  <c r="K326" i="79"/>
  <c r="L326" i="79"/>
  <c r="M326" i="79"/>
  <c r="D326" i="79"/>
  <c r="O326" i="79"/>
  <c r="E323" i="79"/>
  <c r="F323" i="79"/>
  <c r="G323" i="79"/>
  <c r="H323" i="79"/>
  <c r="I323" i="79"/>
  <c r="J323" i="79"/>
  <c r="K323" i="79"/>
  <c r="L323" i="79"/>
  <c r="M323" i="79"/>
  <c r="P323" i="79"/>
  <c r="Q323" i="79"/>
  <c r="R323" i="79"/>
  <c r="S323" i="79"/>
  <c r="T323" i="79"/>
  <c r="U323" i="79"/>
  <c r="V323" i="79"/>
  <c r="W323" i="79"/>
  <c r="X323" i="79"/>
  <c r="O323" i="79"/>
  <c r="D323" i="79"/>
  <c r="P302" i="79"/>
  <c r="Q302" i="79"/>
  <c r="R302" i="79"/>
  <c r="S302" i="79"/>
  <c r="T302" i="79"/>
  <c r="U302" i="79"/>
  <c r="V302" i="79"/>
  <c r="W302" i="79"/>
  <c r="X302" i="79"/>
  <c r="E302" i="79"/>
  <c r="F302" i="79"/>
  <c r="G302" i="79"/>
  <c r="H302" i="79"/>
  <c r="I302" i="79"/>
  <c r="J302" i="79"/>
  <c r="K302" i="79"/>
  <c r="L302" i="79"/>
  <c r="M302" i="79"/>
  <c r="D302" i="79"/>
  <c r="O302" i="79"/>
  <c r="P295" i="79"/>
  <c r="Q295" i="79"/>
  <c r="R295" i="79"/>
  <c r="S295" i="79"/>
  <c r="T295" i="79"/>
  <c r="U295" i="79"/>
  <c r="V295" i="79"/>
  <c r="W295" i="79"/>
  <c r="X295" i="79"/>
  <c r="O295" i="79"/>
  <c r="E295" i="79"/>
  <c r="F295" i="79"/>
  <c r="G295" i="79"/>
  <c r="H295" i="79"/>
  <c r="I295" i="79"/>
  <c r="J295" i="79"/>
  <c r="K295" i="79"/>
  <c r="L295" i="79"/>
  <c r="M295" i="79"/>
  <c r="D295" i="79"/>
  <c r="P310" i="79"/>
  <c r="Q310" i="79"/>
  <c r="R310" i="79"/>
  <c r="S310" i="79"/>
  <c r="T310" i="79"/>
  <c r="U310" i="79"/>
  <c r="V310" i="79"/>
  <c r="W310" i="79"/>
  <c r="X310" i="79"/>
  <c r="E310" i="79"/>
  <c r="F310" i="79"/>
  <c r="G310" i="79"/>
  <c r="H310" i="79"/>
  <c r="I310" i="79"/>
  <c r="J310" i="79"/>
  <c r="K310" i="79"/>
  <c r="L310" i="79"/>
  <c r="M310" i="79"/>
  <c r="D310" i="79"/>
  <c r="O310" i="79"/>
  <c r="P307" i="79"/>
  <c r="Q307" i="79"/>
  <c r="R307" i="79"/>
  <c r="S307" i="79"/>
  <c r="T307" i="79"/>
  <c r="U307" i="79"/>
  <c r="V307" i="79"/>
  <c r="W307" i="79"/>
  <c r="X307" i="79"/>
  <c r="P308" i="79"/>
  <c r="Q308" i="79"/>
  <c r="R308" i="79"/>
  <c r="S308" i="79"/>
  <c r="T308" i="79"/>
  <c r="U308" i="79"/>
  <c r="V308" i="79"/>
  <c r="W308" i="79"/>
  <c r="X308" i="79"/>
  <c r="E307" i="79"/>
  <c r="F307" i="79"/>
  <c r="G307" i="79"/>
  <c r="H307" i="79"/>
  <c r="I307" i="79"/>
  <c r="J307" i="79"/>
  <c r="K307" i="79"/>
  <c r="L307" i="79"/>
  <c r="M307" i="79"/>
  <c r="E308" i="79"/>
  <c r="F308" i="79"/>
  <c r="G308" i="79"/>
  <c r="H308" i="79"/>
  <c r="I308" i="79"/>
  <c r="J308" i="79"/>
  <c r="K308" i="79"/>
  <c r="L308" i="79"/>
  <c r="M308" i="79"/>
  <c r="O308" i="79"/>
  <c r="O307" i="79"/>
  <c r="D308" i="79"/>
  <c r="D307" i="79"/>
  <c r="E304" i="79"/>
  <c r="F304" i="79"/>
  <c r="G304" i="79"/>
  <c r="H304" i="79"/>
  <c r="I304" i="79"/>
  <c r="J304" i="79"/>
  <c r="K304" i="79"/>
  <c r="L304" i="79"/>
  <c r="M304" i="79"/>
  <c r="E305" i="79"/>
  <c r="F305" i="79"/>
  <c r="G305" i="79"/>
  <c r="H305" i="79"/>
  <c r="I305" i="79"/>
  <c r="J305" i="79"/>
  <c r="K305" i="79"/>
  <c r="L305" i="79"/>
  <c r="M305" i="79"/>
  <c r="D305" i="79"/>
  <c r="D304" i="79"/>
  <c r="P304" i="79"/>
  <c r="Q304" i="79"/>
  <c r="R304" i="79"/>
  <c r="S304" i="79"/>
  <c r="T304" i="79"/>
  <c r="U304" i="79"/>
  <c r="V304" i="79"/>
  <c r="W304" i="79"/>
  <c r="X304" i="79"/>
  <c r="P305" i="79"/>
  <c r="Q305" i="79"/>
  <c r="R305" i="79"/>
  <c r="S305" i="79"/>
  <c r="T305" i="79"/>
  <c r="U305" i="79"/>
  <c r="V305" i="79"/>
  <c r="W305" i="79"/>
  <c r="X305" i="79"/>
  <c r="O305" i="79"/>
  <c r="O304" i="79"/>
  <c r="P291" i="79"/>
  <c r="Q291" i="79"/>
  <c r="R291" i="79"/>
  <c r="S291" i="79"/>
  <c r="T291" i="79"/>
  <c r="U291" i="79"/>
  <c r="V291" i="79"/>
  <c r="W291" i="79"/>
  <c r="X291" i="79"/>
  <c r="P292" i="79"/>
  <c r="Q292" i="79"/>
  <c r="R292" i="79"/>
  <c r="S292" i="79"/>
  <c r="T292" i="79"/>
  <c r="U292" i="79"/>
  <c r="V292" i="79"/>
  <c r="W292" i="79"/>
  <c r="X292" i="79"/>
  <c r="O292" i="79"/>
  <c r="O291" i="79"/>
  <c r="E291" i="79"/>
  <c r="F291" i="79"/>
  <c r="G291" i="79"/>
  <c r="H291" i="79"/>
  <c r="I291" i="79"/>
  <c r="J291" i="79"/>
  <c r="K291" i="79"/>
  <c r="L291" i="79"/>
  <c r="M291" i="79"/>
  <c r="E292" i="79"/>
  <c r="F292" i="79"/>
  <c r="G292" i="79"/>
  <c r="H292" i="79"/>
  <c r="I292" i="79"/>
  <c r="J292" i="79"/>
  <c r="K292" i="79"/>
  <c r="L292" i="79"/>
  <c r="M292" i="79"/>
  <c r="D292" i="79"/>
  <c r="D291" i="79"/>
  <c r="E288" i="79"/>
  <c r="F288" i="79"/>
  <c r="G288" i="79"/>
  <c r="H288" i="79"/>
  <c r="I288" i="79"/>
  <c r="J288" i="79"/>
  <c r="K288" i="79"/>
  <c r="L288" i="79"/>
  <c r="M288" i="79"/>
  <c r="E289" i="79"/>
  <c r="F289" i="79"/>
  <c r="G289" i="79"/>
  <c r="H289" i="79"/>
  <c r="I289" i="79"/>
  <c r="J289" i="79"/>
  <c r="K289" i="79"/>
  <c r="L289" i="79"/>
  <c r="M289" i="79"/>
  <c r="D289" i="79"/>
  <c r="D288" i="79"/>
  <c r="P289" i="79"/>
  <c r="Q289" i="79"/>
  <c r="R289" i="79"/>
  <c r="S289" i="79"/>
  <c r="T289" i="79"/>
  <c r="U289" i="79"/>
  <c r="V289" i="79"/>
  <c r="W289" i="79"/>
  <c r="X289" i="79"/>
  <c r="O289" i="79"/>
  <c r="P288" i="79"/>
  <c r="Q288" i="79"/>
  <c r="R288" i="79"/>
  <c r="S288" i="79"/>
  <c r="T288" i="79"/>
  <c r="U288" i="79"/>
  <c r="V288" i="79"/>
  <c r="W288" i="79"/>
  <c r="X288" i="79"/>
  <c r="O288" i="79"/>
  <c r="P122" i="79"/>
  <c r="Q122" i="79"/>
  <c r="R122" i="79"/>
  <c r="S122" i="79"/>
  <c r="T122" i="79"/>
  <c r="U122" i="79"/>
  <c r="V122" i="79"/>
  <c r="W122" i="79"/>
  <c r="X122" i="79"/>
  <c r="E122" i="79"/>
  <c r="F122" i="79"/>
  <c r="G122" i="79"/>
  <c r="H122" i="79"/>
  <c r="I122" i="79"/>
  <c r="J122" i="79"/>
  <c r="K122" i="79"/>
  <c r="L122" i="79"/>
  <c r="M122" i="79"/>
  <c r="D122" i="79"/>
  <c r="O122" i="79"/>
  <c r="P58" i="79"/>
  <c r="Q58" i="79"/>
  <c r="R58" i="79"/>
  <c r="S58" i="79"/>
  <c r="T58" i="79"/>
  <c r="U58" i="79"/>
  <c r="V58" i="79"/>
  <c r="W58" i="79"/>
  <c r="X58" i="79"/>
  <c r="O58" i="79"/>
  <c r="E58" i="79"/>
  <c r="F58" i="79"/>
  <c r="G58" i="79"/>
  <c r="H58" i="79"/>
  <c r="I58" i="79"/>
  <c r="J58" i="79"/>
  <c r="K58" i="79"/>
  <c r="L58" i="79"/>
  <c r="M58" i="79"/>
  <c r="D58" i="79"/>
  <c r="P57" i="79"/>
  <c r="Q57" i="79"/>
  <c r="R57" i="79"/>
  <c r="S57" i="79"/>
  <c r="T57" i="79"/>
  <c r="U57" i="79"/>
  <c r="V57" i="79"/>
  <c r="W57" i="79"/>
  <c r="X57" i="79"/>
  <c r="E57" i="79"/>
  <c r="F57" i="79"/>
  <c r="G57" i="79"/>
  <c r="H57" i="79"/>
  <c r="I57" i="79"/>
  <c r="J57" i="79"/>
  <c r="K57" i="79"/>
  <c r="L57" i="79"/>
  <c r="M57" i="79"/>
  <c r="D57" i="79"/>
  <c r="O57" i="79"/>
  <c r="P51" i="79"/>
  <c r="Q51" i="79"/>
  <c r="R51" i="79"/>
  <c r="S51" i="79"/>
  <c r="T51" i="79"/>
  <c r="U51" i="79"/>
  <c r="V51" i="79"/>
  <c r="W51" i="79"/>
  <c r="X51" i="79"/>
  <c r="O51" i="79"/>
  <c r="E51" i="79"/>
  <c r="F51" i="79"/>
  <c r="G51" i="79"/>
  <c r="H51" i="79"/>
  <c r="I51" i="79"/>
  <c r="J51" i="79"/>
  <c r="K51" i="79"/>
  <c r="L51" i="79"/>
  <c r="M51" i="79"/>
  <c r="D51" i="79"/>
  <c r="P48" i="79"/>
  <c r="Q48" i="79"/>
  <c r="R48" i="79"/>
  <c r="S48" i="79"/>
  <c r="T48" i="79"/>
  <c r="U48" i="79"/>
  <c r="V48" i="79"/>
  <c r="W48" i="79"/>
  <c r="X48" i="79"/>
  <c r="E48" i="79"/>
  <c r="F48" i="79"/>
  <c r="G48" i="79"/>
  <c r="H48" i="79"/>
  <c r="I48" i="79"/>
  <c r="J48" i="79"/>
  <c r="K48" i="79"/>
  <c r="L48" i="79"/>
  <c r="M48" i="79"/>
  <c r="D48" i="79"/>
  <c r="O48" i="79"/>
  <c r="M47" i="79"/>
  <c r="E47" i="79"/>
  <c r="F47" i="79"/>
  <c r="G47" i="79"/>
  <c r="H47" i="79"/>
  <c r="I47" i="79"/>
  <c r="J47" i="79"/>
  <c r="K47" i="79"/>
  <c r="L47" i="79"/>
  <c r="P47" i="79"/>
  <c r="Q47" i="79"/>
  <c r="R47" i="79"/>
  <c r="S47" i="79"/>
  <c r="T47" i="79"/>
  <c r="U47" i="79"/>
  <c r="V47" i="79"/>
  <c r="W47" i="79"/>
  <c r="X47" i="79"/>
  <c r="O47" i="79"/>
  <c r="D47" i="79"/>
  <c r="P42" i="79"/>
  <c r="Q42" i="79"/>
  <c r="R42" i="79"/>
  <c r="S42" i="79"/>
  <c r="T42" i="79"/>
  <c r="U42" i="79"/>
  <c r="V42" i="79"/>
  <c r="W42" i="79"/>
  <c r="X42" i="79"/>
  <c r="E42" i="79"/>
  <c r="F42" i="79"/>
  <c r="G42" i="79"/>
  <c r="H42" i="79"/>
  <c r="I42" i="79"/>
  <c r="J42" i="79"/>
  <c r="K42" i="79"/>
  <c r="L42" i="79"/>
  <c r="M42" i="79"/>
  <c r="D42" i="79"/>
  <c r="O42" i="79"/>
  <c r="E41" i="79"/>
  <c r="F41" i="79"/>
  <c r="G41" i="79"/>
  <c r="H41" i="79"/>
  <c r="I41" i="79"/>
  <c r="J41" i="79"/>
  <c r="K41" i="79"/>
  <c r="L41" i="79"/>
  <c r="M41" i="79"/>
  <c r="P41" i="79"/>
  <c r="Q41" i="79"/>
  <c r="R41" i="79"/>
  <c r="S41" i="79"/>
  <c r="T41" i="79"/>
  <c r="U41" i="79"/>
  <c r="V41" i="79"/>
  <c r="W41" i="79"/>
  <c r="X41" i="79"/>
  <c r="O41" i="79"/>
  <c r="D41" i="79"/>
  <c r="E44" i="79"/>
  <c r="F44" i="79"/>
  <c r="G44" i="79"/>
  <c r="H44" i="79"/>
  <c r="I44" i="79"/>
  <c r="J44" i="79"/>
  <c r="K44" i="79"/>
  <c r="L44" i="79"/>
  <c r="M44" i="79"/>
  <c r="D44" i="79"/>
  <c r="P44" i="79"/>
  <c r="Q44" i="79"/>
  <c r="R44" i="79"/>
  <c r="S44" i="79"/>
  <c r="T44" i="79"/>
  <c r="U44" i="79"/>
  <c r="V44" i="79"/>
  <c r="W44" i="79"/>
  <c r="X44" i="79"/>
  <c r="O44" i="79"/>
  <c r="P39" i="79"/>
  <c r="Q39" i="79"/>
  <c r="R39" i="79"/>
  <c r="S39" i="79"/>
  <c r="T39" i="79"/>
  <c r="U39" i="79"/>
  <c r="V39" i="79"/>
  <c r="W39" i="79"/>
  <c r="X39" i="79"/>
  <c r="O39" i="79"/>
  <c r="E39" i="79"/>
  <c r="F39" i="79"/>
  <c r="G39" i="79"/>
  <c r="H39" i="79"/>
  <c r="I39" i="79"/>
  <c r="J39" i="79"/>
  <c r="K39" i="79"/>
  <c r="L39" i="79"/>
  <c r="M39" i="79"/>
  <c r="D39" i="79"/>
  <c r="E38" i="79"/>
  <c r="F38" i="79"/>
  <c r="G38" i="79"/>
  <c r="H38" i="79"/>
  <c r="I38" i="79"/>
  <c r="J38" i="79"/>
  <c r="K38" i="79"/>
  <c r="L38" i="79"/>
  <c r="M38" i="79"/>
  <c r="D38" i="79"/>
  <c r="P38" i="79"/>
  <c r="Q38" i="79"/>
  <c r="R38" i="79"/>
  <c r="S38" i="79"/>
  <c r="T38" i="79"/>
  <c r="U38" i="79"/>
  <c r="V38" i="79"/>
  <c r="W38" i="79"/>
  <c r="X38" i="79"/>
  <c r="O38" i="79"/>
  <c r="P71" i="79"/>
  <c r="Q71" i="79"/>
  <c r="R71" i="79"/>
  <c r="S71" i="79"/>
  <c r="T71" i="79"/>
  <c r="U71" i="79"/>
  <c r="V71" i="79"/>
  <c r="W71" i="79"/>
  <c r="X71" i="79"/>
  <c r="O71" i="79"/>
  <c r="E71" i="79"/>
  <c r="F71" i="79"/>
  <c r="G71" i="79"/>
  <c r="H71" i="79"/>
  <c r="I71" i="79"/>
  <c r="J71" i="79"/>
  <c r="K71" i="79"/>
  <c r="L71" i="79"/>
  <c r="M71" i="79"/>
  <c r="D71" i="79"/>
  <c r="P80" i="79"/>
  <c r="Q80" i="79"/>
  <c r="R80" i="79"/>
  <c r="S80" i="79"/>
  <c r="T80" i="79"/>
  <c r="U80" i="79"/>
  <c r="V80" i="79"/>
  <c r="W80" i="79"/>
  <c r="X80" i="79"/>
  <c r="O80" i="79"/>
  <c r="E80" i="79"/>
  <c r="F80" i="79"/>
  <c r="G80" i="79"/>
  <c r="H80" i="79"/>
  <c r="I80" i="79"/>
  <c r="J80" i="79"/>
  <c r="K80" i="79"/>
  <c r="L80" i="79"/>
  <c r="M80" i="79"/>
  <c r="D80" i="79"/>
  <c r="P76" i="79"/>
  <c r="Q76" i="79"/>
  <c r="R76" i="79"/>
  <c r="S76" i="79"/>
  <c r="T76" i="79"/>
  <c r="U76" i="79"/>
  <c r="V76" i="79"/>
  <c r="W76" i="79"/>
  <c r="X76" i="79"/>
  <c r="O76" i="79"/>
  <c r="E76" i="79"/>
  <c r="F76" i="79"/>
  <c r="G76" i="79"/>
  <c r="H76" i="79"/>
  <c r="I76" i="79"/>
  <c r="J76" i="79"/>
  <c r="K76" i="79"/>
  <c r="L76" i="79"/>
  <c r="M76" i="79"/>
  <c r="D76" i="79"/>
  <c r="P94" i="79"/>
  <c r="Q94" i="79"/>
  <c r="R94" i="79"/>
  <c r="S94" i="79"/>
  <c r="T94" i="79"/>
  <c r="U94" i="79"/>
  <c r="V94" i="79"/>
  <c r="W94" i="79"/>
  <c r="X94" i="79"/>
  <c r="O94" i="79"/>
  <c r="E94" i="79"/>
  <c r="F94" i="79"/>
  <c r="G94" i="79"/>
  <c r="H94" i="79"/>
  <c r="I94" i="79"/>
  <c r="J94" i="79"/>
  <c r="K94" i="79"/>
  <c r="L94" i="79"/>
  <c r="M94" i="79"/>
  <c r="D94" i="79"/>
  <c r="P27" i="85" l="1"/>
  <c r="P49" i="85" s="1"/>
  <c r="C28" i="85" s="1"/>
  <c r="K27" i="85"/>
  <c r="K49" i="85" s="1"/>
  <c r="C27" i="85" s="1"/>
  <c r="D28" i="85" l="1"/>
  <c r="F28" i="85"/>
  <c r="F39" i="85" s="1"/>
  <c r="N184" i="79" l="1"/>
  <c r="D22" i="45" l="1"/>
  <c r="O927" i="79" l="1"/>
  <c r="E44" i="44" l="1"/>
  <c r="AM139" i="79" l="1"/>
  <c r="Q46" i="44"/>
  <c r="P46" i="44"/>
  <c r="O46" i="44"/>
  <c r="N46" i="44"/>
  <c r="M46" i="44"/>
  <c r="L46" i="44"/>
  <c r="K46" i="44"/>
  <c r="J46" i="44"/>
  <c r="I46" i="44"/>
  <c r="H46" i="44"/>
  <c r="G46" i="44"/>
  <c r="F46" i="44"/>
  <c r="E46" i="44"/>
  <c r="D46" i="44"/>
  <c r="O1110" i="79" l="1"/>
  <c r="O744"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AD561" i="79" s="1"/>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D378" i="79" s="1"/>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E50"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D50" i="44" s="1"/>
  <c r="Y951" i="79"/>
  <c r="Y1110" i="79" s="1"/>
  <c r="Y402" i="79"/>
  <c r="Y561" i="79" s="1"/>
  <c r="Y768" i="79"/>
  <c r="Y927" i="79" s="1"/>
  <c r="Y585" i="79"/>
  <c r="Y744" i="79" s="1"/>
  <c r="Y219" i="79"/>
  <c r="Y378" i="79" s="1"/>
  <c r="Y36" i="79"/>
  <c r="Y195" i="79" s="1"/>
  <c r="AC278" i="46"/>
  <c r="AC395" i="46" s="1"/>
  <c r="H14" i="44"/>
  <c r="H18" i="44" s="1"/>
  <c r="H50" i="44" s="1"/>
  <c r="AC768" i="79"/>
  <c r="AC944" i="79" s="1"/>
  <c r="AC585" i="79"/>
  <c r="AC219" i="79"/>
  <c r="AC951" i="79"/>
  <c r="AC1110" i="79" s="1"/>
  <c r="AC402" i="79"/>
  <c r="AC36" i="79"/>
  <c r="AD148" i="46"/>
  <c r="I13" i="44"/>
  <c r="AD401" i="79"/>
  <c r="AD584" i="79"/>
  <c r="AD950" i="79"/>
  <c r="AD767" i="79"/>
  <c r="AD218" i="79"/>
  <c r="AD35" i="79"/>
  <c r="H123" i="45"/>
  <c r="I14" i="44"/>
  <c r="I18" i="44" s="1"/>
  <c r="I50"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F50" i="44" s="1"/>
  <c r="AA402" i="79"/>
  <c r="AA576" i="79" s="1"/>
  <c r="AA768" i="79"/>
  <c r="AA219" i="79"/>
  <c r="AA951" i="79"/>
  <c r="AA1110" i="79" s="1"/>
  <c r="AA585" i="79"/>
  <c r="AA36" i="79"/>
  <c r="AA208" i="79" s="1"/>
  <c r="AB406" i="46"/>
  <c r="G13" i="44"/>
  <c r="AB767" i="79"/>
  <c r="AB584" i="79"/>
  <c r="AB218" i="79"/>
  <c r="AB950" i="79"/>
  <c r="AB401" i="79"/>
  <c r="AB35" i="79"/>
  <c r="AB407" i="46"/>
  <c r="G14" i="44"/>
  <c r="G18" i="44" s="1"/>
  <c r="G50"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6" i="79" l="1"/>
  <c r="AC578"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Y196" i="79" s="1"/>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78" i="79"/>
  <c r="AC392" i="79"/>
  <c r="AC394" i="79"/>
  <c r="AC378" i="79"/>
  <c r="AC393" i="79"/>
  <c r="AC395" i="79"/>
  <c r="AB577" i="79"/>
  <c r="AB578" i="79"/>
  <c r="AB561" i="79"/>
  <c r="AA760" i="79"/>
  <c r="AA744" i="79"/>
  <c r="AA761" i="79"/>
  <c r="AA578" i="79"/>
  <c r="AA577" i="79"/>
  <c r="AA561" i="79"/>
  <c r="AD393" i="79"/>
  <c r="AD395" i="79"/>
  <c r="AD394"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F516" i="46" s="1"/>
  <c r="H130" i="45"/>
  <c r="AD564" i="79" s="1"/>
  <c r="AD571" i="79" s="1"/>
  <c r="C133" i="45"/>
  <c r="Y1113" i="79" s="1"/>
  <c r="N130" i="45"/>
  <c r="K125" i="45"/>
  <c r="AG258" i="46" s="1"/>
  <c r="AG259" i="46" s="1"/>
  <c r="K128" i="45"/>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AE745" i="79"/>
  <c r="AA514" i="46"/>
  <c r="AE514" i="46"/>
  <c r="AC379" i="79"/>
  <c r="AB745" i="79"/>
  <c r="AC1111" i="79"/>
  <c r="AE379" i="79"/>
  <c r="Z928" i="79"/>
  <c r="AD514" i="46"/>
  <c r="AA562" i="79"/>
  <c r="AD1111" i="79"/>
  <c r="AE928" i="79"/>
  <c r="AB379" i="79"/>
  <c r="AB1111" i="79"/>
  <c r="AA745" i="79"/>
  <c r="AD562" i="79"/>
  <c r="AD573" i="79" s="1"/>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387" i="46" l="1"/>
  <c r="AJ389" i="46" s="1"/>
  <c r="AI387" i="46"/>
  <c r="AI389" i="46" s="1"/>
  <c r="AL387" i="46"/>
  <c r="AL389" i="46" s="1"/>
  <c r="AK516" i="46"/>
  <c r="AK520" i="46" s="1"/>
  <c r="AL258" i="46"/>
  <c r="AL259" i="46" s="1"/>
  <c r="AH130" i="46"/>
  <c r="AH131" i="46" s="1"/>
  <c r="M54" i="43" s="1"/>
  <c r="AH258" i="46"/>
  <c r="AH260" i="46" s="1"/>
  <c r="AK258" i="46"/>
  <c r="AK260" i="46" s="1"/>
  <c r="AJ258" i="46"/>
  <c r="AJ260" i="46" s="1"/>
  <c r="AI258" i="46"/>
  <c r="AI260" i="46" s="1"/>
  <c r="AK130" i="46"/>
  <c r="AK131" i="46" s="1"/>
  <c r="P54" i="43" s="1"/>
  <c r="AL130" i="46"/>
  <c r="AL131" i="46" s="1"/>
  <c r="Q54" i="43" s="1"/>
  <c r="AH516" i="46"/>
  <c r="AH522" i="46" s="1"/>
  <c r="M64" i="43" s="1"/>
  <c r="AL516" i="46"/>
  <c r="AL520" i="46" s="1"/>
  <c r="AI130" i="46"/>
  <c r="AI131" i="46" s="1"/>
  <c r="N54" i="43" s="1"/>
  <c r="AJ130" i="46"/>
  <c r="AJ131" i="46" s="1"/>
  <c r="O54" i="43" s="1"/>
  <c r="AI516" i="46"/>
  <c r="AI517" i="46" s="1"/>
  <c r="AK564" i="79"/>
  <c r="AK573" i="79" s="1"/>
  <c r="P73" i="43"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AF517" i="46"/>
  <c r="AK387" i="46"/>
  <c r="AK389" i="46" s="1"/>
  <c r="AH387" i="46"/>
  <c r="AH392" i="46" s="1"/>
  <c r="M61" i="43" s="1"/>
  <c r="AG132" i="46"/>
  <c r="L55" i="43" s="1"/>
  <c r="AA389" i="79"/>
  <c r="F70" i="43" s="1"/>
  <c r="AF522" i="46"/>
  <c r="K64" i="43" s="1"/>
  <c r="AF519" i="46"/>
  <c r="AI381" i="79"/>
  <c r="AI383" i="79" s="1"/>
  <c r="AG522" i="46"/>
  <c r="L64" i="43" s="1"/>
  <c r="Y757" i="79"/>
  <c r="AJ390" i="46"/>
  <c r="AI390" i="46"/>
  <c r="Y202" i="79"/>
  <c r="Y200" i="79"/>
  <c r="Y201" i="79"/>
  <c r="Y205" i="79"/>
  <c r="AA388" i="46"/>
  <c r="AA389" i="46"/>
  <c r="AC519" i="46"/>
  <c r="AC518" i="46"/>
  <c r="AK518" i="46"/>
  <c r="AE519" i="46"/>
  <c r="AE518" i="46"/>
  <c r="Z518" i="46"/>
  <c r="Z519" i="46"/>
  <c r="AB518" i="46"/>
  <c r="AB519" i="46"/>
  <c r="AA518" i="46"/>
  <c r="AA519" i="46"/>
  <c r="Y388" i="46"/>
  <c r="Y389" i="46"/>
  <c r="AD388" i="46"/>
  <c r="AD389" i="46"/>
  <c r="AD519" i="46"/>
  <c r="AD518" i="46"/>
  <c r="AK517" i="46"/>
  <c r="AK522" i="46"/>
  <c r="P64" i="43" s="1"/>
  <c r="AL517"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J388" i="46" l="1"/>
  <c r="AK519" i="46"/>
  <c r="AI388" i="46"/>
  <c r="AL388" i="46"/>
  <c r="AL392" i="46"/>
  <c r="Q61" i="43" s="1"/>
  <c r="AL390" i="46"/>
  <c r="AL391" i="46" s="1"/>
  <c r="Q60" i="43" s="1"/>
  <c r="AL522" i="46"/>
  <c r="Q64" i="43" s="1"/>
  <c r="AL519" i="46"/>
  <c r="AL518" i="46"/>
  <c r="AK262" i="46"/>
  <c r="P58" i="43" s="1"/>
  <c r="AK259" i="46"/>
  <c r="AK261" i="46" s="1"/>
  <c r="P57" i="43" s="1"/>
  <c r="AK566" i="79"/>
  <c r="AK568" i="79"/>
  <c r="AL260" i="46"/>
  <c r="AL261" i="46" s="1"/>
  <c r="Q57" i="43" s="1"/>
  <c r="AI132" i="46"/>
  <c r="N55" i="43" s="1"/>
  <c r="S23" i="47" s="1"/>
  <c r="AH262" i="46"/>
  <c r="M58" i="43" s="1"/>
  <c r="AH259" i="46"/>
  <c r="AH261" i="46" s="1"/>
  <c r="M57" i="43" s="1"/>
  <c r="AI522" i="46"/>
  <c r="N64" i="43" s="1"/>
  <c r="AI519" i="46"/>
  <c r="AJ259" i="46"/>
  <c r="AJ261" i="46" s="1"/>
  <c r="O57" i="43" s="1"/>
  <c r="AI518" i="46"/>
  <c r="AJ262" i="46"/>
  <c r="O58" i="43" s="1"/>
  <c r="AH520" i="46"/>
  <c r="AL262" i="46"/>
  <c r="Q58" i="43" s="1"/>
  <c r="AH517" i="46"/>
  <c r="AH519" i="46"/>
  <c r="AH518" i="46"/>
  <c r="AI520" i="46"/>
  <c r="AK565" i="79"/>
  <c r="AK569" i="79"/>
  <c r="AK571" i="79"/>
  <c r="AK570" i="79"/>
  <c r="AI262" i="46"/>
  <c r="N58" i="43" s="1"/>
  <c r="AK567" i="79"/>
  <c r="AI259" i="46"/>
  <c r="AI261" i="46" s="1"/>
  <c r="N57" i="43" s="1"/>
  <c r="AK132" i="46"/>
  <c r="P55" i="43" s="1"/>
  <c r="U18" i="47" s="1"/>
  <c r="AL132" i="46"/>
  <c r="Q55" i="43" s="1"/>
  <c r="V23" i="47" s="1"/>
  <c r="AJ522" i="46"/>
  <c r="O64" i="43" s="1"/>
  <c r="AJ132" i="46"/>
  <c r="O55" i="43" s="1"/>
  <c r="T18" i="47" s="1"/>
  <c r="AJ518" i="46"/>
  <c r="AJ519" i="46"/>
  <c r="AJ517" i="46"/>
  <c r="Y756" i="79"/>
  <c r="D75" i="43" s="1"/>
  <c r="P20" i="47"/>
  <c r="Q15" i="47"/>
  <c r="R26" i="47"/>
  <c r="AB570" i="79"/>
  <c r="AB569" i="79"/>
  <c r="AB201" i="79"/>
  <c r="AB202" i="79"/>
  <c r="AA199" i="79"/>
  <c r="AA202" i="79"/>
  <c r="AA203" i="79"/>
  <c r="AD569" i="79"/>
  <c r="I73" i="43"/>
  <c r="Z202" i="79"/>
  <c r="Z203" i="79"/>
  <c r="AJ570" i="79"/>
  <c r="AJ573" i="79"/>
  <c r="O73" i="43" s="1"/>
  <c r="Y567" i="79"/>
  <c r="Y570" i="79"/>
  <c r="Y571" i="79"/>
  <c r="Z568" i="79"/>
  <c r="Z570" i="79"/>
  <c r="Y521" i="46"/>
  <c r="Z1125" i="79"/>
  <c r="E82" i="43" s="1"/>
  <c r="D70" i="43"/>
  <c r="AM131" i="46"/>
  <c r="C93" i="43" s="1"/>
  <c r="D76" i="43"/>
  <c r="AM260" i="46"/>
  <c r="D67" i="43"/>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AI391" i="46"/>
  <c r="N60" i="43" s="1"/>
  <c r="AJ391" i="46"/>
  <c r="O60" i="43" s="1"/>
  <c r="Y204" i="79"/>
  <c r="Y261" i="46"/>
  <c r="D57" i="43" s="1"/>
  <c r="D58" i="43"/>
  <c r="Q34" i="47"/>
  <c r="Q40" i="47"/>
  <c r="Q41" i="47"/>
  <c r="Q36" i="47"/>
  <c r="Q30" i="47"/>
  <c r="Q35" i="47"/>
  <c r="Q37" i="47"/>
  <c r="Q38" i="47"/>
  <c r="Q39" i="47"/>
  <c r="Q33" i="47"/>
  <c r="Q32" i="47"/>
  <c r="AK521" i="46"/>
  <c r="P63"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L521" i="46" l="1"/>
  <c r="Q63" i="43" s="1"/>
  <c r="S15" i="47"/>
  <c r="S25" i="47"/>
  <c r="S26" i="47"/>
  <c r="S21" i="47"/>
  <c r="S17" i="47"/>
  <c r="S20" i="47"/>
  <c r="S22" i="47"/>
  <c r="F94" i="43"/>
  <c r="S16" i="47"/>
  <c r="S24" i="47"/>
  <c r="S18" i="47"/>
  <c r="R30" i="47"/>
  <c r="V20" i="47"/>
  <c r="S19" i="47"/>
  <c r="D94" i="43"/>
  <c r="V17" i="47"/>
  <c r="V19" i="47"/>
  <c r="R64" i="43"/>
  <c r="V16" i="47"/>
  <c r="AI521" i="46"/>
  <c r="N63" i="43" s="1"/>
  <c r="S66" i="47" s="1"/>
  <c r="F93" i="43"/>
  <c r="AH521" i="46"/>
  <c r="M63" i="43" s="1"/>
  <c r="R58" i="43"/>
  <c r="T30" i="47"/>
  <c r="AM519" i="46"/>
  <c r="T33" i="47"/>
  <c r="T36" i="47"/>
  <c r="AM262" i="46"/>
  <c r="D104" i="43" s="1"/>
  <c r="T15" i="47"/>
  <c r="AM520" i="46"/>
  <c r="S39" i="47"/>
  <c r="V24" i="47"/>
  <c r="V26" i="47"/>
  <c r="V18" i="47"/>
  <c r="V21" i="47"/>
  <c r="V15" i="47"/>
  <c r="V39" i="47"/>
  <c r="V25" i="47"/>
  <c r="AM518" i="46"/>
  <c r="V22" i="47"/>
  <c r="AK572" i="79"/>
  <c r="P72" i="43" s="1"/>
  <c r="T37" i="47"/>
  <c r="T21" i="47"/>
  <c r="T39" i="47"/>
  <c r="T25" i="47"/>
  <c r="AM522" i="46"/>
  <c r="F104" i="43" s="1"/>
  <c r="T38" i="47"/>
  <c r="T23" i="47"/>
  <c r="T31" i="47"/>
  <c r="T22" i="47"/>
  <c r="T35" i="47"/>
  <c r="T40" i="47"/>
  <c r="T20" i="47"/>
  <c r="T16" i="47"/>
  <c r="T41" i="47"/>
  <c r="T32" i="47"/>
  <c r="T26" i="47"/>
  <c r="T19" i="47"/>
  <c r="T34" i="47"/>
  <c r="T17" i="47"/>
  <c r="T24" i="47"/>
  <c r="U25" i="47"/>
  <c r="S32" i="47"/>
  <c r="S56" i="47"/>
  <c r="S41" i="47"/>
  <c r="S34" i="47"/>
  <c r="U15" i="47"/>
  <c r="D93" i="43"/>
  <c r="U16" i="47"/>
  <c r="S35" i="47"/>
  <c r="S31" i="47"/>
  <c r="U21" i="47"/>
  <c r="U23" i="47"/>
  <c r="S36" i="47"/>
  <c r="S38" i="47"/>
  <c r="S30" i="47"/>
  <c r="U19" i="47"/>
  <c r="U22" i="47"/>
  <c r="U17" i="47"/>
  <c r="S37" i="47"/>
  <c r="S40" i="47"/>
  <c r="U26" i="47"/>
  <c r="U20" i="47"/>
  <c r="AM259" i="46"/>
  <c r="AM261" i="46" s="1"/>
  <c r="AM263" i="46" s="1"/>
  <c r="U24" i="47"/>
  <c r="S33" i="47"/>
  <c r="AM132" i="46"/>
  <c r="C104" i="43" s="1"/>
  <c r="AJ521" i="46"/>
  <c r="O63" i="43" s="1"/>
  <c r="T71" i="47" s="1"/>
  <c r="AM517" i="46"/>
  <c r="R54" i="43"/>
  <c r="AM382" i="79"/>
  <c r="AM384" i="79"/>
  <c r="AM383" i="79"/>
  <c r="Z756" i="79"/>
  <c r="E75" i="43" s="1"/>
  <c r="Y572" i="79"/>
  <c r="D72" i="43" s="1"/>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65" i="47"/>
  <c r="S51" i="47"/>
  <c r="S54" i="47"/>
  <c r="S47" i="47"/>
  <c r="S53" i="47"/>
  <c r="T54" i="47"/>
  <c r="T52" i="47"/>
  <c r="T56" i="47"/>
  <c r="T48" i="47"/>
  <c r="T53" i="47"/>
  <c r="T45" i="47"/>
  <c r="T55" i="47"/>
  <c r="T46" i="47"/>
  <c r="T51" i="47"/>
  <c r="T49" i="47"/>
  <c r="T50" i="47"/>
  <c r="F96" i="43"/>
  <c r="F95" i="43"/>
  <c r="D63"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N105" i="47" l="1"/>
  <c r="S27" i="47"/>
  <c r="S29" i="47" s="1"/>
  <c r="S42" i="47" s="1"/>
  <c r="S44" i="47" s="1"/>
  <c r="S57" i="47" s="1"/>
  <c r="S59" i="47" s="1"/>
  <c r="T64" i="47"/>
  <c r="D103" i="43"/>
  <c r="S68" i="47"/>
  <c r="S62" i="47"/>
  <c r="S67" i="47"/>
  <c r="S64" i="47"/>
  <c r="S63" i="47"/>
  <c r="S70" i="47"/>
  <c r="S60" i="47"/>
  <c r="S69" i="47"/>
  <c r="S71" i="47"/>
  <c r="S61" i="47"/>
  <c r="V27" i="47"/>
  <c r="V29" i="47" s="1"/>
  <c r="V42" i="47" s="1"/>
  <c r="V44" i="47" s="1"/>
  <c r="V57" i="47" s="1"/>
  <c r="V59" i="47" s="1"/>
  <c r="V72" i="47" s="1"/>
  <c r="V74" i="47" s="1"/>
  <c r="R68" i="47"/>
  <c r="AM521" i="46"/>
  <c r="AM523" i="46" s="1"/>
  <c r="T27" i="47"/>
  <c r="T29" i="47" s="1"/>
  <c r="T42" i="47" s="1"/>
  <c r="T44" i="47" s="1"/>
  <c r="T57" i="47" s="1"/>
  <c r="T59" i="47" s="1"/>
  <c r="T75" i="47"/>
  <c r="T69" i="47"/>
  <c r="T66" i="47"/>
  <c r="T65" i="47"/>
  <c r="AM133" i="46"/>
  <c r="U27" i="47"/>
  <c r="U29" i="47" s="1"/>
  <c r="U42" i="47" s="1"/>
  <c r="U44" i="47" s="1"/>
  <c r="U83" i="47"/>
  <c r="T67" i="47"/>
  <c r="T70" i="47"/>
  <c r="T63" i="47"/>
  <c r="R63" i="43"/>
  <c r="T62" i="47"/>
  <c r="T60" i="47"/>
  <c r="T68" i="47"/>
  <c r="T61" i="47"/>
  <c r="E42" i="43"/>
  <c r="E31" i="43"/>
  <c r="E29" i="43"/>
  <c r="AM204" i="79"/>
  <c r="AM206" i="79" s="1"/>
  <c r="E30" i="43"/>
  <c r="H2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72" i="47" l="1"/>
  <c r="S74" i="47" s="1"/>
  <c r="S87" i="47" s="1"/>
  <c r="S89" i="47" s="1"/>
  <c r="S102" i="47" s="1"/>
  <c r="H19" i="43"/>
  <c r="T72" i="47"/>
  <c r="T74" i="47" s="1"/>
  <c r="T87" i="47" s="1"/>
  <c r="T89" i="47" s="1"/>
  <c r="T102" i="47" s="1"/>
  <c r="E43" i="43"/>
  <c r="W161" i="47"/>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V87" i="47"/>
  <c r="V89" i="47" s="1"/>
  <c r="V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<sst xmlns="http://schemas.openxmlformats.org/spreadsheetml/2006/main" count="3317" uniqueCount="779">
  <si>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</si>
  <si>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</si>
  <si>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</si>
  <si>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</si>
  <si>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</si>
  <si>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</si>
  <si>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</si>
  <si>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</si>
  <si>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</si>
  <si>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</si>
  <si>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</si>
  <si>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</si>
  <si>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</si>
  <si>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</si>
  <si>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</si>
  <si>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</si>
  <si>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</si>
  <si>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</si>
  <si>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</si>
  <si>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</si>
  <si>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</si>
  <si>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</si>
  <si>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</si>
  <si>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</si>
  <si>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</si>
  <si>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</si>
  <si>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</si>
  <si>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</si>
  <si>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</si>
  <si>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</si>
  <si>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</si>
  <si>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</si>
  <si>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</si>
  <si>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</si>
  <si>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</si>
  <si>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</si>
  <si>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</si>
  <si>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</si>
  <si>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</si>
  <si>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</si>
  <si>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</si>
  <si>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</si>
  <si>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</si>
  <si>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</si>
  <si>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</si>
  <si>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</si>
  <si>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</si>
  <si>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</si>
  <si>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</si>
  <si>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</si>
  <si>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</si>
  <si>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</si>
  <si>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</si>
  <si>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</si>
  <si>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</si>
  <si>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</si>
  <si>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</si>
  <si>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</si>
  <si>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</si>
  <si>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</si>
  <si>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</si>
  <si>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</si>
  <si>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</si>
  <si>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</si>
  <si>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</si>
  <si>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</si>
  <si>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</si>
  <si>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</si>
  <si>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</si>
  <si>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</si>
  <si>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</si>
  <si>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</si>
  <si>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</si>
  <si>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</si>
  <si>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</si>
  <si>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</si>
  <si>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</si>
  <si>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</si>
  <si>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</si>
  <si>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</si>
  <si>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</si>
  <si>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</si>
  <si>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</si>
  <si>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</si>
  <si>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</si>
  <si>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</si>
  <si>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</si>
  <si>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</si>
  <si>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</si>
  <si>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</si>
  <si>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</si>
  <si>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</si>
  <si>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</si>
  <si>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</si>
  <si>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</si>
  <si>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</si>
  <si>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</si>
  <si>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</si>
  <si>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</si>
  <si>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</si>
  <si>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</si>
  <si>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</si>
  <si>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</si>
  <si>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</si>
  <si>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</si>
  <si>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</si>
  <si>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</si>
  <si>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</si>
  <si>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</si>
  <si>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</si>
  <si>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</si>
  <si>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</si>
  <si>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</si>
  <si>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</si>
  <si>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</si>
  <si>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</si>
  <si>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</si>
  <si>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</si>
  <si>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</si>
  <si>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</si>
  <si>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</si>
  <si>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</si>
  <si>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</si>
  <si>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</si>
  <si>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</si>
  <si>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</si>
  <si>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</si>
  <si>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</si>
  <si>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</si>
  <si>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</si>
  <si>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</si>
  <si>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</si>
  <si>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</si>
  <si>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</si>
  <si>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</si>
  <si>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</si>
  <si>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</si>
  <si>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</si>
  <si>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</si>
  <si>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</si>
  <si>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</si>
  <si>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</si>
  <si>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</si>
  <si>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</si>
  <si>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</si>
  <si>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</si>
  <si>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</si>
  <si>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</si>
  <si>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</si>
  <si>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</si>
  <si>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</si>
  <si>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</si>
  <si>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</si>
  <si>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</si>
  <si>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</si>
  <si>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</si>
  <si>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</si>
  <si>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</si>
  <si>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</si>
  <si>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</si>
  <si>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</si>
  <si>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</si>
  <si>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</si>
  <si>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</si>
  <si>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</si>
  <si>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</si>
  <si>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</si>
  <si>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</si>
  <si>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</si>
  <si>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</si>
  <si>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</si>
  <si>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</si>
  <si>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</si>
  <si>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</si>
  <si>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</si>
  <si>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</si>
  <si>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</si>
  <si>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</si>
  <si>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</si>
  <si>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</si>
  <si>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</si>
  <si>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</si>
  <si>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</si>
  <si>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</si>
  <si>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</si>
  <si>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</si>
  <si>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</si>
  <si>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</si>
  <si>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</si>
  <si>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</si>
  <si>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</si>
  <si>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</si>
  <si>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</si>
  <si>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</si>
  <si>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</si>
  <si>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</si>
  <si>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</si>
  <si>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</si>
  <si>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</si>
  <si>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</si>
  <si>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</si>
  <si>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</si>
  <si>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</si>
  <si>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</si>
  <si>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</si>
  <si>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</si>
  <si>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</si>
  <si>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</si>
  <si>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</si>
  <si>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</si>
  <si>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</si>
  <si>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</si>
  <si>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</si>
  <si>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</si>
  <si>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</si>
  <si>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</si>
  <si>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</si>
  <si>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</si>
  <si>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</si>
  <si>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</si>
  <si>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</si>
  <si>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</si>
  <si>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</si>
  <si>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</si>
  <si>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</si>
  <si>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</si>
  <si>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</si>
  <si>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</si>
  <si>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</si>
  <si>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</si>
  <si>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</si>
  <si>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</si>
  <si>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</si>
  <si>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</si>
  <si>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</si>
  <si>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</si>
  <si>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</si>
  <si>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</si>
  <si>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</si>
  <si>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</si>
  <si>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</si>
  <si>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</si>
  <si>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</si>
  <si>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</si>
  <si>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</si>
  <si>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</si>
  <si>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</si>
  <si>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</si>
  <si>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</si>
  <si>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</si>
  <si>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</si>
  <si>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</si>
  <si>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</si>
  <si>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</si>
  <si>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</si>
  <si>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</si>
  <si>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</si>
  <si>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</si>
  <si>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</si>
  <si>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</si>
  <si>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</si>
  <si>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</si>
  <si>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</si>
  <si>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</si>
  <si>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</si>
  <si>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</si>
  <si>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</si>
  <si>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</si>
  <si>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</si>
  <si>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</si>
  <si>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</si>
  <si>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</si>
  <si>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</si>
  <si>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</si>
  <si>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</si>
  <si>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</si>
  <si>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</si>
  <si>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</si>
  <si>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</si>
  <si>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</si>
  <si>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</si>
  <si>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</si>
  <si>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</si>
  <si>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</si>
  <si>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</si>
  <si>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</si>
  <si>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</si>
  <si>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</si>
  <si>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</si>
  <si>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</si>
  <si>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</si>
  <si>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</si>
  <si>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</si>
  <si>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</si>
  <si>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</si>
  <si>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</si>
  <si>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</si>
  <si>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</si>
  <si>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</si>
  <si>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</si>
  <si>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</si>
  <si>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</si>
  <si>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</si>
  <si>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</si>
  <si>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</si>
  <si>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</si>
  <si>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</si>
  <si>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</si>
  <si>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</si>
  <si>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</si>
  <si>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</si>
  <si>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</si>
  <si>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</si>
  <si>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</si>
  <si>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</si>
  <si>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</si>
  <si>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</si>
  <si>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</si>
  <si>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</si>
  <si>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</si>
  <si>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</si>
  <si>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</si>
  <si>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</si>
  <si>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</si>
  <si>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</si>
  <si>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</si>
  <si>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</si>
  <si>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</si>
  <si>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</si>
  <si>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</si>
  <si>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</si>
  <si>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</si>
  <si>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</si>
  <si>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</si>
  <si>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</si>
  <si>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</si>
  <si>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</si>
  <si>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</si>
  <si>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</si>
  <si>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</si>
  <si>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</si>
  <si>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</si>
  <si>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</si>
  <si>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</si>
  <si>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</si>
  <si>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</si>
  <si>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</si>
  <si>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</si>
  <si>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</si>
  <si>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</si>
  <si>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</si>
  <si>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</si>
  <si>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</si>
  <si>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</si>
  <si>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</si>
  <si>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</si>
  <si>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</si>
  <si>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</si>
  <si>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</si>
  <si>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</si>
  <si>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</si>
  <si>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</si>
  <si>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</si>
  <si>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</si>
  <si>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</si>
  <si>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</si>
  <si>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</si>
  <si>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</si>
  <si>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</si>
  <si>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</si>
  <si>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</si>
  <si>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</si>
  <si>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</si>
  <si>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</si>
  <si>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</si>
  <si>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</si>
  <si>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</si>
  <si>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</si>
  <si>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</si>
  <si>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</si>
  <si>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</si>
  <si>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</si>
  <si>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</si>
  <si>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</si>
  <si>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</si>
  <si>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</si>
  <si>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</si>
  <si>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</si>
  <si>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</si>
  <si>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</si>
  <si>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</si>
  <si>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</si>
  <si>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</si>
  <si>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</si>
  <si>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</si>
  <si>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</si>
  <si>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</si>
  <si>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</si>
  <si>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</si>
  <si>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</si>
  <si>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</si>
  <si>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</si>
  <si>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</si>
  <si>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</si>
  <si>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</si>
  <si>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</si>
  <si>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</si>
  <si>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</si>
  <si>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</si>
  <si>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</si>
  <si>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</si>
  <si>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</si>
  <si>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</si>
  <si>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</si>
  <si>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</si>
  <si>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</si>
  <si>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</si>
  <si>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</si>
  <si>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</si>
  <si>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</si>
  <si>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</si>
  <si>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</si>
  <si>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</si>
  <si>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</si>
  <si>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</si>
  <si>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</si>
  <si>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</si>
  <si>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</si>
  <si>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</si>
  <si>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</si>
  <si>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</si>
  <si>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</si>
  <si>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</si>
  <si>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</si>
  <si>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</si>
  <si>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</si>
  <si>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</si>
  <si>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</si>
  <si>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</si>
  <si>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</si>
  <si>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</si>
  <si>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</si>
  <si>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</si>
  <si>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</si>
  <si>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</si>
  <si>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</si>
  <si>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</si>
  <si>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</si>
  <si>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</si>
  <si>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</si>
  <si>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</si>
  <si>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</si>
  <si>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</si>
  <si>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</si>
  <si>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</si>
  <si>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</si>
  <si>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</si>
  <si>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</si>
  <si>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</si>
  <si>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</si>
  <si>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</si>
  <si>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</si>
  <si>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</si>
  <si>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</si>
  <si>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</si>
  <si>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</si>
  <si>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</si>
  <si>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</si>
  <si>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</si>
  <si>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</si>
  <si>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</si>
  <si>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</si>
  <si>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</si>
  <si>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</si>
  <si>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</si>
  <si>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</si>
  <si>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</si>
  <si>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</si>
  <si>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</si>
  <si>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</si>
  <si>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</si>
  <si>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</si>
  <si>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</si>
  <si>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</si>
  <si>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</si>
  <si>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</si>
  <si>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</si>
  <si>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</si>
  <si>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</si>
  <si>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</si>
  <si>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</si>
  <si>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</si>
  <si>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</si>
  <si>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</si>
  <si>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</si>
  <si>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</si>
  <si>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</si>
  <si>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</si>
  <si>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</si>
  <si>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</si>
  <si>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</si>
  <si>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</si>
  <si>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</si>
  <si>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</si>
  <si>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</si>
  <si>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</si>
  <si>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</si>
  <si>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</si>
  <si>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</si>
  <si>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</si>
  <si>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</si>
  <si>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</si>
  <si>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</si>
  <si>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</si>
  <si>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</si>
  <si>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</si>
  <si>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</si>
  <si>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</si>
  <si>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</si>
  <si>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</si>
  <si>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</si>
  <si>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</si>
  <si>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</si>
  <si>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</si>
  <si>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</si>
  <si>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</si>
  <si>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</si>
  <si>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</si>
  <si>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</si>
  <si>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</si>
  <si>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</si>
  <si>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</si>
  <si>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</si>
  <si>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</si>
  <si>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</si>
  <si>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</si>
  <si>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</si>
  <si>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</si>
  <si>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</si>
  <si>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</si>
  <si>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</si>
  <si>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</si>
  <si>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</si>
  <si>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</si>
  <si>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</si>
  <si>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</si>
  <si>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</si>
  <si>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</si>
  <si>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</si>
  <si>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</si>
  <si>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</si>
  <si>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</si>
  <si>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</si>
  <si>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</si>
  <si>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</si>
  <si>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</si>
  <si>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</si>
  <si>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</si>
  <si>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</si>
  <si>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</si>
  <si>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</si>
  <si>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</si>
  <si>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</si>
  <si>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</si>
  <si>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</si>
  <si>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</si>
  <si>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</si>
  <si>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</si>
  <si>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</si>
  <si>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</si>
  <si>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</si>
  <si>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</si>
  <si>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</si>
  <si>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</si>
  <si>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</si>
  <si>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</si>
  <si>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</si>
  <si>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</si>
  <si>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</si>
  <si>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</si>
  <si>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</si>
  <si>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</si>
  <si>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</si>
  <si>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</si>
  <si>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</si>
  <si>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</si>
  <si>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</si>
  <si>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</si>
  <si>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</si>
  <si>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</si>
  <si>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</si>
  <si>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</si>
  <si>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</si>
  <si>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</si>
  <si>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</si>
  <si>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</si>
  <si>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</si>
  <si>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</si>
  <si>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</si>
  <si>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</si>
  <si>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</si>
  <si>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</si>
  <si>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</si>
  <si>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</si>
  <si>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</si>
  <si>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</si>
  <si>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</si>
  <si>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</si>
  <si>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</si>
  <si>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</si>
  <si>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</si>
  <si>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</si>
  <si>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</si>
  <si>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</si>
  <si>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</si>
  <si>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</si>
  <si>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</si>
  <si>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</si>
  <si>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</si>
  <si>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</si>
  <si>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</si>
  <si>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</si>
  <si>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</si>
  <si>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</si>
  <si>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</si>
  <si>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</si>
  <si>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</si>
  <si>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</si>
  <si>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</si>
  <si>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</si>
  <si>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</si>
  <si>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</si>
  <si>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</si>
  <si>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</si>
  <si>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</si>
  <si>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</si>
  <si>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</si>
  <si>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</si>
  <si>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</si>
  <si>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</si>
  <si>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</si>
  <si>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</si>
  <si>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</si>
  <si>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</si>
  <si>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</si>
  <si>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</si>
  <si>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</si>
  <si>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</si>
  <si>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</si>
  <si>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</si>
  <si>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</si>
  <si>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</si>
  <si>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</si>
  <si>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</si>
  <si>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</si>
  <si>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</si>
  <si>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</si>
  <si>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</si>
  <si>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</si>
  <si>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</si>
  <si>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</si>
  <si>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</si>
  <si>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</si>
  <si>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</si>
  <si>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</si>
  <si>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</si>
  <si>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</si>
  <si>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</si>
  <si>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</si>
  <si>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</si>
  <si>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</si>
  <si>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</si>
  <si>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</si>
  <si>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</si>
  <si>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</si>
  <si>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</si>
  <si>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</si>
  <si>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</si>
  <si>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</si>
  <si>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</si>
  <si>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</si>
  <si>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</si>
  <si>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</si>
  <si>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</si>
  <si>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</si>
  <si>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</si>
  <si>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</si>
  <si>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</si>
  <si>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</si>
  <si>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</si>
  <si>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</si>
  <si>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</si>
  <si>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</si>
  <si>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</si>
  <si>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</si>
  <si>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</si>
  <si>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</si>
  <si>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</si>
  <si>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</si>
  <si>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</si>
  <si>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</si>
  <si>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</si>
  <si>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</si>
  <si>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</si>
  <si>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</si>
  <si>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</si>
  <si>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</si>
  <si>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</si>
  <si>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</si>
  <si>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</si>
  <si>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</si>
  <si>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</si>
  <si>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</si>
  <si>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</si>
  <si>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</si>
  <si>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</si>
  <si>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</si>
  <si>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</si>
  <si>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</si>
  <si>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</si>
  <si>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</si>
  <si>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</si>
  <si>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</si>
  <si>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</si>
  <si>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</si>
  <si>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</si>
  <si>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 xml:space="preserve">Oshawa PUC Networks Inc. </t>
  </si>
  <si>
    <t>EB-2019-0062</t>
  </si>
  <si>
    <t>2020 IRM Application</t>
  </si>
  <si>
    <t>2015-2017</t>
  </si>
  <si>
    <t>GS 50 to 999 kW (I1 &amp; I4)</t>
  </si>
  <si>
    <t>GS 1,000 to 4,999 kW (I2)</t>
  </si>
  <si>
    <t>Large Use (I3)</t>
  </si>
  <si>
    <t>USL</t>
  </si>
  <si>
    <t>Sentinel Lights</t>
  </si>
  <si>
    <t>EB-2017-0069 Settlement Agreement, Appendix 2-I</t>
  </si>
  <si>
    <t>EB-2014-0101</t>
  </si>
  <si>
    <t>EB-2017-0069</t>
  </si>
  <si>
    <t>Save on Energy Heating &amp; Cooling Program</t>
  </si>
  <si>
    <t>Home Depot Home Appliance Market Uplift Conservation Fund Pilot Program</t>
  </si>
  <si>
    <t>Save on Energy Instant Discount Program</t>
  </si>
  <si>
    <t>Whole Home Pilot Program</t>
  </si>
  <si>
    <t>Commercial and Institutional</t>
  </si>
  <si>
    <t>CFF Business</t>
  </si>
  <si>
    <t>CFF Residential</t>
  </si>
  <si>
    <t>Conservation Fund</t>
  </si>
  <si>
    <t>Commercial</t>
  </si>
  <si>
    <t>Industrial</t>
  </si>
  <si>
    <t>EE</t>
  </si>
  <si>
    <t>Programs</t>
  </si>
  <si>
    <t>General 
Service 
&lt;50 kW</t>
  </si>
  <si>
    <t>General 
Service 
&gt;50-999 kW</t>
  </si>
  <si>
    <t>General
 Service 
1000-4,999 kW</t>
  </si>
  <si>
    <t>2015-2020 LRAM</t>
  </si>
  <si>
    <t xml:space="preserve"> </t>
  </si>
  <si>
    <t xml:space="preserve">Table 8-a:  Oshawa </t>
  </si>
  <si>
    <t>C49, C50</t>
  </si>
  <si>
    <t xml:space="preserve">Add interest rate of 2.18% for Q3 2019 and Q4 2019. </t>
  </si>
  <si>
    <t>Using 2019 Q2 interest rate for these periods. Will update the interest rates as requested when new rates are available.</t>
  </si>
  <si>
    <t xml:space="preserve">Added in streetlight LED project savings </t>
  </si>
  <si>
    <t>Large Use &gt;5000 kW</t>
  </si>
  <si>
    <t xml:space="preserve">Participant lists were extracted for programs that spanned more than one customer class (i.e.. ERII, SBL, Retrofit, HPNC, Energy Audit). Participation was grouped into customer classes, and a weight for each class on total participants in that customer class was calculated. </t>
  </si>
  <si>
    <t xml:space="preserve">Methodology: </t>
  </si>
  <si>
    <t xml:space="preserve">Other programs such as all residential programs, or PSUI programs were allocated 100% to the customer class the savings came from. </t>
  </si>
  <si>
    <t>FORECAST (kW)</t>
  </si>
  <si>
    <t>VARIANCE</t>
  </si>
  <si>
    <t>RATE</t>
  </si>
  <si>
    <t>LOST REVENUE ($)</t>
  </si>
  <si>
    <t>Streetlights</t>
  </si>
  <si>
    <t>NET SAVINGS (kW)</t>
  </si>
  <si>
    <t>B192, N192, O192</t>
  </si>
  <si>
    <t xml:space="preserve">Oshawa PUC Networks implemented  streetlight LED project. The savings are not included in the IESO final results. A monthly multiplier of 1 was used based on the savings calcualtion done in tab 8. Streetlights. </t>
  </si>
  <si>
    <t>B326</t>
  </si>
  <si>
    <t>Program was delivered in Oshawa.</t>
  </si>
  <si>
    <t xml:space="preserve">B326 cell - project name changed to "Home Depot Home Appliance Market Uplift Conservation Fund Pilot Program" </t>
  </si>
  <si>
    <t xml:space="preserve">B512 cell - oroject name changed to "Save on Energy Instant Discount Program" and "Whole Home Pilot Program" respectively. </t>
  </si>
  <si>
    <t>B512 &amp; B515</t>
  </si>
  <si>
    <t>Programs were delivered in Oshawa.</t>
  </si>
  <si>
    <t xml:space="preserve">Retrofit was calculated using the amount of incentive given to customer as a percentage to the total incentives issued for the retrofit initiative.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</si>
</sst>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Red]\(#,##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2"/>
      <color theme="1"/>
      <name val="Calibri"/>
      <family val="2"/>
      <scheme val="minor"/>
    </font>
    <font>
      <b/>
      <sz val="11"/>
      <color rgb="FF0070C0"/>
      <name val="Calibri"/>
      <family val="2"/>
      <scheme val="minor"/>
    </font>
    <font>
      <sz val="11"/>
      <color rgb="FF0070C0"/>
      <name val="Calibri"/>
      <family val="2"/>
      <scheme val="minor"/>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auto="1"/>
      </left>
      <right/>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theme="0"/>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177" fontId="41" fillId="28" borderId="34" xfId="71" applyNumberFormat="1" applyFont="1" applyFill="1" applyBorder="1" applyAlignment="1" applyProtection="1">
      <alignment horizontal="center"/>
      <protection locked="0"/>
    </xf>
    <xf numFmtId="177" fontId="41" fillId="28" borderId="110" xfId="71" applyNumberFormat="1" applyFont="1" applyFill="1" applyBorder="1" applyAlignment="1" applyProtection="1">
      <alignment horizontal="center"/>
      <protection locked="0"/>
    </xf>
    <xf numFmtId="177" fontId="13" fillId="2" borderId="0" xfId="71" applyNumberFormat="1" applyFont="1" applyFill="1"/>
    <xf numFmtId="177" fontId="13" fillId="2" borderId="110" xfId="71" applyNumberFormat="1" applyFont="1" applyFill="1" applyBorder="1" applyAlignment="1">
      <alignment horizontal="center"/>
    </xf>
    <xf numFmtId="177" fontId="48" fillId="28" borderId="34" xfId="71" applyNumberFormat="1" applyFont="1" applyFill="1" applyBorder="1" applyAlignment="1" applyProtection="1">
      <alignment horizontal="center"/>
      <protection locked="0"/>
    </xf>
    <xf numFmtId="168" fontId="45" fillId="94" borderId="107" xfId="0" applyNumberFormat="1" applyFont="1" applyFill="1" applyBorder="1" applyAlignment="1" applyProtection="1">
      <alignment horizontal="center"/>
    </xf>
    <xf numFmtId="284" fontId="41" fillId="94" borderId="37" xfId="0" applyNumberFormat="1" applyFont="1" applyFill="1" applyBorder="1" applyAlignment="1" applyProtection="1">
      <alignment horizontal="center"/>
    </xf>
    <xf numFmtId="284" fontId="45" fillId="94" borderId="107" xfId="0" applyNumberFormat="1" applyFont="1" applyFill="1" applyBorder="1" applyAlignment="1" applyProtection="1">
      <alignment horizontal="center"/>
    </xf>
    <xf numFmtId="0" fontId="0" fillId="95" borderId="110" xfId="0" applyFont="1" applyFill="1" applyBorder="1" applyAlignment="1">
      <alignment vertical="top"/>
    </xf>
    <xf numFmtId="0" fontId="0" fillId="95" borderId="110" xfId="0" applyFill="1" applyBorder="1"/>
    <xf numFmtId="0" fontId="0" fillId="95" borderId="0" xfId="0" applyFont="1" applyFill="1" applyBorder="1" applyAlignment="1">
      <alignment vertical="top"/>
    </xf>
    <xf numFmtId="3" fontId="0" fillId="95"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5" borderId="45" xfId="0" applyNumberFormat="1" applyFont="1" applyFill="1" applyBorder="1" applyAlignment="1">
      <alignment vertical="top"/>
    </xf>
    <xf numFmtId="0" fontId="0" fillId="95" borderId="0" xfId="0" applyFill="1" applyBorder="1"/>
    <xf numFmtId="0" fontId="13" fillId="95" borderId="0" xfId="0" applyFont="1" applyFill="1"/>
    <xf numFmtId="0" fontId="0" fillId="95" borderId="0" xfId="0" applyFill="1"/>
    <xf numFmtId="0" fontId="0" fillId="96" borderId="110" xfId="0" applyFont="1" applyFill="1" applyBorder="1" applyAlignment="1">
      <alignment vertical="top"/>
    </xf>
    <xf numFmtId="0" fontId="91" fillId="97" borderId="89" xfId="0" applyFont="1" applyFill="1" applyBorder="1" applyAlignment="1" applyProtection="1">
      <alignment vertical="top" wrapText="1"/>
      <protection locked="0"/>
    </xf>
    <xf numFmtId="0" fontId="91" fillId="97" borderId="0" xfId="0" applyFont="1" applyFill="1" applyBorder="1" applyAlignment="1" applyProtection="1">
      <alignment vertical="top" wrapText="1"/>
      <protection locked="0"/>
    </xf>
    <xf numFmtId="0" fontId="0" fillId="98" borderId="0" xfId="0" applyFill="1"/>
    <xf numFmtId="0" fontId="3" fillId="98" borderId="5" xfId="0" applyFont="1" applyFill="1" applyBorder="1" applyAlignment="1">
      <alignment vertical="center"/>
    </xf>
    <xf numFmtId="0" fontId="0" fillId="98" borderId="5" xfId="0" applyFill="1" applyBorder="1"/>
    <xf numFmtId="0" fontId="11" fillId="98" borderId="144" xfId="0" applyNumberFormat="1" applyFont="1" applyFill="1" applyBorder="1" applyAlignment="1" applyProtection="1">
      <alignment horizontal="center" vertical="center" wrapText="1"/>
      <protection locked="0"/>
    </xf>
    <xf numFmtId="0" fontId="11" fillId="98" borderId="145" xfId="0" applyNumberFormat="1" applyFont="1" applyFill="1" applyBorder="1" applyAlignment="1" applyProtection="1">
      <alignment horizontal="center" vertical="center" wrapText="1"/>
      <protection locked="0"/>
    </xf>
    <xf numFmtId="0" fontId="11" fillId="98" borderId="146" xfId="0" applyNumberFormat="1" applyFont="1" applyFill="1" applyBorder="1" applyAlignment="1" applyProtection="1">
      <alignment horizontal="center" vertical="center" wrapText="1"/>
      <protection locked="0"/>
    </xf>
    <xf numFmtId="0" fontId="11" fillId="98" borderId="147" xfId="0" applyNumberFormat="1" applyFont="1" applyFill="1" applyBorder="1" applyAlignment="1" applyProtection="1">
      <alignment horizontal="center" vertical="center" wrapText="1"/>
      <protection locked="0"/>
    </xf>
    <xf numFmtId="0" fontId="0" fillId="100" borderId="122" xfId="0" applyFill="1" applyBorder="1"/>
    <xf numFmtId="0" fontId="246" fillId="2" borderId="0" xfId="0" applyFont="1" applyFill="1"/>
    <xf numFmtId="9" fontId="0" fillId="2" borderId="89" xfId="72" applyFont="1" applyFill="1" applyBorder="1"/>
    <xf numFmtId="9" fontId="0" fillId="2" borderId="0" xfId="72" applyFont="1" applyFill="1" applyBorder="1"/>
    <xf numFmtId="9" fontId="0" fillId="2" borderId="12" xfId="72" applyFont="1" applyFill="1" applyBorder="1"/>
    <xf numFmtId="9" fontId="0" fillId="2" borderId="0" xfId="72" applyFont="1" applyFill="1"/>
    <xf numFmtId="0" fontId="247" fillId="2" borderId="0" xfId="0" applyFont="1" applyFill="1"/>
    <xf numFmtId="0" fontId="0" fillId="2" borderId="5" xfId="0" applyFill="1" applyBorder="1"/>
    <xf numFmtId="9" fontId="0" fillId="2" borderId="109" xfId="72" applyFont="1" applyFill="1" applyBorder="1"/>
    <xf numFmtId="9" fontId="0" fillId="2" borderId="5" xfId="72" applyFont="1" applyFill="1" applyBorder="1"/>
    <xf numFmtId="9" fontId="0" fillId="2" borderId="112" xfId="72" applyFont="1" applyFill="1" applyBorder="1"/>
    <xf numFmtId="233" fontId="0" fillId="2" borderId="0" xfId="72" applyNumberFormat="1" applyFont="1" applyFill="1" applyBorder="1"/>
    <xf numFmtId="233" fontId="0" fillId="2" borderId="12" xfId="72" applyNumberFormat="1" applyFont="1" applyFill="1" applyBorder="1"/>
    <xf numFmtId="233" fontId="0" fillId="2" borderId="0" xfId="72" applyNumberFormat="1" applyFont="1" applyFill="1"/>
    <xf numFmtId="0" fontId="45" fillId="101" borderId="40" xfId="0" applyFont="1" applyFill="1" applyBorder="1" applyAlignment="1" applyProtection="1">
      <alignment horizontal="center" vertical="center" wrapText="1"/>
      <protection locked="0"/>
    </xf>
    <xf numFmtId="10" fontId="41" fillId="97" borderId="7" xfId="0" applyNumberFormat="1" applyFont="1" applyFill="1" applyBorder="1" applyAlignment="1" applyProtection="1">
      <alignment horizontal="center"/>
      <protection locked="0"/>
    </xf>
    <xf numFmtId="3" fontId="91" fillId="97" borderId="0" xfId="0" applyNumberFormat="1" applyFont="1" applyFill="1" applyBorder="1" applyAlignment="1" applyProtection="1">
      <alignment horizontal="left" vertical="center"/>
      <protection locked="0"/>
    </xf>
    <xf numFmtId="3" fontId="45" fillId="97" borderId="35" xfId="0" applyNumberFormat="1" applyFont="1" applyFill="1" applyBorder="1" applyAlignment="1" applyProtection="1">
      <alignment horizontal="center" vertical="center"/>
      <protection locked="0"/>
    </xf>
    <xf numFmtId="0" fontId="3" fillId="99" borderId="12" xfId="0" applyFont="1" applyFill="1" applyBorder="1" applyAlignment="1">
      <alignment horizontal="center"/>
    </xf>
    <xf numFmtId="0" fontId="11" fillId="98" borderId="153" xfId="0" applyNumberFormat="1" applyFont="1" applyFill="1" applyBorder="1" applyAlignment="1" applyProtection="1">
      <alignment horizontal="center" vertical="center" wrapText="1"/>
      <protection locked="0"/>
    </xf>
    <xf numFmtId="0" fontId="32" fillId="100" borderId="150" xfId="0" quotePrefix="1" applyFont="1" applyFill="1" applyBorder="1"/>
    <xf numFmtId="0" fontId="0" fillId="100" borderId="150" xfId="0" applyFill="1" applyBorder="1"/>
    <xf numFmtId="0" fontId="0" fillId="100" borderId="151" xfId="0" applyFill="1" applyBorder="1"/>
    <xf numFmtId="0" fontId="247" fillId="2" borderId="148" xfId="0" applyFont="1" applyFill="1" applyBorder="1"/>
    <xf numFmtId="0" fontId="0" fillId="2" borderId="148" xfId="0" applyFill="1" applyBorder="1"/>
    <xf numFmtId="9" fontId="0" fillId="2" borderId="152" xfId="72" applyFont="1" applyFill="1" applyBorder="1"/>
    <xf numFmtId="9" fontId="0" fillId="2" borderId="148" xfId="72" applyFont="1" applyFill="1" applyBorder="1"/>
    <xf numFmtId="9" fontId="0" fillId="2" borderId="149" xfId="72" applyFont="1" applyFill="1" applyBorder="1"/>
    <xf numFmtId="164" fontId="91" fillId="0" borderId="0" xfId="0" applyNumberFormat="1" applyFont="1" applyFill="1" applyBorder="1" applyAlignment="1">
      <alignment horizontal="center"/>
    </xf>
    <xf numFmtId="10" fontId="41" fillId="97" borderId="0" xfId="0" applyNumberFormat="1" applyFont="1" applyFill="1" applyBorder="1" applyAlignment="1" applyProtection="1">
      <alignment horizontal="center" vertical="center"/>
      <protection locked="0"/>
    </xf>
    <xf numFmtId="0" fontId="3" fillId="99" borderId="131" xfId="0" applyFont="1" applyFill="1" applyBorder="1" applyAlignment="1">
      <alignment horizontal="center"/>
    </xf>
    <xf numFmtId="0" fontId="3" fillId="99" borderId="132" xfId="0" applyFont="1" applyFill="1" applyBorder="1" applyAlignment="1">
      <alignment horizontal="center"/>
    </xf>
    <xf numFmtId="9" fontId="0" fillId="2" borderId="0" xfId="72" applyNumberFormat="1" applyFont="1" applyFill="1" applyBorder="1"/>
    <xf numFmtId="0" fontId="248" fillId="2" borderId="0" xfId="0" applyFont="1" applyFill="1"/>
    <xf numFmtId="0" fontId="3" fillId="0" borderId="0" xfId="0" applyFont="1" applyAlignment="1">
      <alignment horizontal="center" wrapText="1"/>
    </xf>
    <xf numFmtId="285" fontId="0" fillId="0" borderId="110" xfId="0" applyNumberFormat="1" applyBorder="1"/>
    <xf numFmtId="43" fontId="0" fillId="102" borderId="65" xfId="0" applyNumberForma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3" fillId="99" borderId="143" xfId="0" applyFont="1" applyFill="1" applyBorder="1" applyAlignment="1">
      <alignment horizontal="center"/>
    </xf>
    <xf numFmtId="0" fontId="3" fillId="99" borderId="131" xfId="0" applyFont="1" applyFill="1" applyBorder="1" applyAlignment="1">
      <alignment horizontal="center"/>
    </xf>
    <xf numFmtId="0" fontId="3" fillId="99" borderId="132" xfId="0"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9812"/>
          <a:ext cx="16283602" cy="219848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5328" cy="1964871"/>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59158"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53</xdr:row>
          <xdr:rowOff>22860</xdr:rowOff>
        </xdr:from>
        <xdr:to>
          <xdr:col>2</xdr:col>
          <xdr:colOff>1379220</xdr:colOff>
          <xdr:row>54</xdr:row>
          <xdr:rowOff>160020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56</xdr:row>
          <xdr:rowOff>22860</xdr:rowOff>
        </xdr:from>
        <xdr:to>
          <xdr:col>2</xdr:col>
          <xdr:colOff>1379220</xdr:colOff>
          <xdr:row>57</xdr:row>
          <xdr:rowOff>160020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59</xdr:row>
          <xdr:rowOff>22860</xdr:rowOff>
        </xdr:from>
        <xdr:to>
          <xdr:col>2</xdr:col>
          <xdr:colOff>1379220</xdr:colOff>
          <xdr:row>60</xdr:row>
          <xdr:rowOff>160020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62</xdr:row>
          <xdr:rowOff>22860</xdr:rowOff>
        </xdr:from>
        <xdr:to>
          <xdr:col>2</xdr:col>
          <xdr:colOff>1379220</xdr:colOff>
          <xdr:row>63</xdr:row>
          <xdr:rowOff>160020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65</xdr:row>
          <xdr:rowOff>22860</xdr:rowOff>
        </xdr:from>
        <xdr:to>
          <xdr:col>2</xdr:col>
          <xdr:colOff>1379220</xdr:colOff>
          <xdr:row>66</xdr:row>
          <xdr:rowOff>160020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68</xdr:row>
          <xdr:rowOff>38100</xdr:rowOff>
        </xdr:from>
        <xdr:to>
          <xdr:col>2</xdr:col>
          <xdr:colOff>1379220</xdr:colOff>
          <xdr:row>69</xdr:row>
          <xdr:rowOff>175260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71</xdr:row>
          <xdr:rowOff>38100</xdr:rowOff>
        </xdr:from>
        <xdr:to>
          <xdr:col>2</xdr:col>
          <xdr:colOff>1379220</xdr:colOff>
          <xdr:row>72</xdr:row>
          <xdr:rowOff>175260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5786" cy="2130879"/>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20200117" cy="217623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6176" y="281441"/>
          <a:ext cx="15798834" cy="1568222"/>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1944" y="216648"/>
          <a:ext cx="18057882" cy="2237437"/>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xdr:cNvGrpSpPr/>
      </xdr:nvGrpSpPr>
      <xdr:grpSpPr>
        <a:xfrm>
          <a:off x="315687" y="134471"/>
          <a:ext cx="19285856" cy="2038252"/>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20023667" cy="1985434"/>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6019579" cy="1831521"/>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workbookViewId="0"/>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821" t="s">
        <v>174</v>
      </c>
      <c r="C3" s="821"/>
    </row>
    <row r="4" spans="1:3" ht="11.25" customHeight="1"/>
    <row r="5" spans="1:3" s="30" customFormat="1" ht="25.5" customHeight="1">
      <c r="B5" s="60" t="s">
        <v>421</v>
      </c>
      <c r="C5" s="60" t="s">
        <v>173</v>
      </c>
    </row>
    <row r="6" spans="1:3" s="176" customFormat="1" ht="48" customHeight="1">
      <c r="A6" s="241"/>
      <c r="B6" s="618" t="s">
        <v>170</v>
      </c>
      <c r="C6" s="671" t="s">
        <v>605</v>
      </c>
    </row>
    <row r="7" spans="1:3" s="176" customFormat="1" ht="21" customHeight="1">
      <c r="A7" s="241"/>
      <c r="B7" s="612" t="s">
        <v>555</v>
      </c>
      <c r="C7" s="672" t="s">
        <v>618</v>
      </c>
    </row>
    <row r="8" spans="1:3" s="176" customFormat="1" ht="32.25" customHeight="1">
      <c r="B8" s="612" t="s">
        <v>368</v>
      </c>
      <c r="C8" s="673" t="s">
        <v>606</v>
      </c>
    </row>
    <row r="9" spans="1:3" s="176" customFormat="1" ht="27.75" customHeight="1">
      <c r="B9" s="612" t="s">
        <v>169</v>
      </c>
      <c r="C9" s="673" t="s">
        <v>607</v>
      </c>
    </row>
    <row r="10" spans="1:3" s="176" customFormat="1" ht="33" customHeight="1">
      <c r="B10" s="612" t="s">
        <v>603</v>
      </c>
      <c r="C10" s="672" t="s">
        <v>611</v>
      </c>
    </row>
    <row r="11" spans="1:3" s="176" customFormat="1" ht="26.25" customHeight="1">
      <c r="B11" s="627" t="s">
        <v>369</v>
      </c>
      <c r="C11" s="675" t="s">
        <v>608</v>
      </c>
    </row>
    <row r="12" spans="1:3" s="176" customFormat="1" ht="39.75" customHeight="1">
      <c r="B12" s="612" t="s">
        <v>370</v>
      </c>
      <c r="C12" s="673" t="s">
        <v>609</v>
      </c>
    </row>
    <row r="13" spans="1:3" s="176" customFormat="1" ht="18" customHeight="1">
      <c r="B13" s="612" t="s">
        <v>371</v>
      </c>
      <c r="C13" s="673" t="s">
        <v>610</v>
      </c>
    </row>
    <row r="14" spans="1:3" s="176" customFormat="1" ht="13.5" customHeight="1">
      <c r="B14" s="612"/>
      <c r="C14" s="674"/>
    </row>
    <row r="15" spans="1:3" s="176" customFormat="1" ht="18" customHeight="1">
      <c r="B15" s="612" t="s">
        <v>674</v>
      </c>
      <c r="C15" s="672" t="s">
        <v>672</v>
      </c>
    </row>
    <row r="16" spans="1:3" s="176" customFormat="1" ht="8.25" customHeight="1">
      <c r="B16" s="612"/>
      <c r="C16" s="674"/>
    </row>
    <row r="17" spans="2:3" s="176" customFormat="1" ht="33" customHeight="1">
      <c r="B17" s="676" t="s">
        <v>604</v>
      </c>
      <c r="C17" s="677" t="s">
        <v>673</v>
      </c>
    </row>
    <row r="18" spans="2:3" s="103" customFormat="1" ht="15.6">
      <c r="B18" s="176"/>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opLeftCell="A52" workbookViewId="0"/>
  </sheetViews>
  <sheetFormatPr defaultColWidth="9.109375" defaultRowHeight="14.4"/>
  <cols>
    <col min="1" max="1" width="9.109375" style="12"/>
    <col min="2" max="2" width="36.88671875" style="704" customWidth="1"/>
    <col min="3" max="3" width="9.109375" style="10"/>
    <col min="4" max="16384" width="9.109375" style="12"/>
  </cols>
  <sheetData>
    <row r="16" spans="2:21" ht="26.25" customHeight="1">
      <c r="B16" s="705" t="s">
        <v>564</v>
      </c>
      <c r="C16" s="828" t="s">
        <v>507</v>
      </c>
      <c r="D16" s="829"/>
      <c r="E16" s="829"/>
      <c r="F16" s="829"/>
      <c r="G16" s="829"/>
      <c r="H16" s="829"/>
      <c r="I16" s="829"/>
      <c r="J16" s="829"/>
      <c r="K16" s="829"/>
      <c r="L16" s="829"/>
      <c r="M16" s="829"/>
      <c r="N16" s="829"/>
      <c r="O16" s="829"/>
      <c r="P16" s="829"/>
      <c r="Q16" s="829"/>
      <c r="R16" s="829"/>
      <c r="S16" s="829"/>
      <c r="T16" s="829"/>
      <c r="U16" s="829"/>
    </row>
    <row r="17" spans="2:21" ht="55.5" customHeight="1">
      <c r="B17" s="706" t="s">
        <v>641</v>
      </c>
      <c r="C17" s="830" t="s">
        <v>725</v>
      </c>
      <c r="D17" s="830"/>
      <c r="E17" s="830"/>
      <c r="F17" s="830"/>
      <c r="G17" s="830"/>
      <c r="H17" s="830"/>
      <c r="I17" s="830"/>
      <c r="J17" s="830"/>
      <c r="K17" s="830"/>
      <c r="L17" s="830"/>
      <c r="M17" s="830"/>
      <c r="N17" s="830"/>
      <c r="O17" s="830"/>
      <c r="P17" s="830"/>
      <c r="Q17" s="830"/>
      <c r="R17" s="830"/>
      <c r="S17" s="830"/>
      <c r="T17" s="830"/>
      <c r="U17" s="831"/>
    </row>
    <row r="18" spans="2:21" ht="15.6">
      <c r="B18" s="707"/>
      <c r="C18" s="708"/>
      <c r="D18" s="709"/>
      <c r="E18" s="709"/>
      <c r="F18" s="709"/>
      <c r="G18" s="709"/>
      <c r="H18" s="709"/>
      <c r="I18" s="709"/>
      <c r="J18" s="709"/>
      <c r="K18" s="709"/>
      <c r="L18" s="709"/>
      <c r="M18" s="709"/>
      <c r="N18" s="709"/>
      <c r="O18" s="709"/>
      <c r="P18" s="709"/>
      <c r="Q18" s="709"/>
      <c r="R18" s="709"/>
      <c r="S18" s="709"/>
      <c r="T18" s="709"/>
      <c r="U18" s="710"/>
    </row>
    <row r="19" spans="2:21" ht="15.6">
      <c r="B19" s="707"/>
      <c r="C19" s="708" t="s">
        <v>645</v>
      </c>
      <c r="D19" s="709"/>
      <c r="E19" s="709"/>
      <c r="F19" s="709"/>
      <c r="G19" s="709"/>
      <c r="H19" s="709"/>
      <c r="I19" s="709"/>
      <c r="J19" s="709"/>
      <c r="K19" s="709"/>
      <c r="L19" s="709"/>
      <c r="M19" s="709"/>
      <c r="N19" s="709"/>
      <c r="O19" s="709"/>
      <c r="P19" s="709"/>
      <c r="Q19" s="709"/>
      <c r="R19" s="709"/>
      <c r="S19" s="709"/>
      <c r="T19" s="709"/>
      <c r="U19" s="710"/>
    </row>
    <row r="20" spans="2:21" ht="15.6">
      <c r="B20" s="707"/>
      <c r="C20" s="708"/>
      <c r="D20" s="709"/>
      <c r="E20" s="709"/>
      <c r="F20" s="709"/>
      <c r="G20" s="709"/>
      <c r="H20" s="709"/>
      <c r="I20" s="709"/>
      <c r="J20" s="709"/>
      <c r="K20" s="709"/>
      <c r="L20" s="709"/>
      <c r="M20" s="709"/>
      <c r="N20" s="709"/>
      <c r="O20" s="709"/>
      <c r="P20" s="709"/>
      <c r="Q20" s="709"/>
      <c r="R20" s="709"/>
      <c r="S20" s="709"/>
      <c r="T20" s="709"/>
      <c r="U20" s="710"/>
    </row>
    <row r="21" spans="2:21" ht="15.6">
      <c r="B21" s="707"/>
      <c r="C21" s="708" t="s">
        <v>642</v>
      </c>
      <c r="D21" s="709"/>
      <c r="E21" s="709"/>
      <c r="F21" s="709"/>
      <c r="G21" s="709"/>
      <c r="H21" s="709"/>
      <c r="I21" s="709"/>
      <c r="J21" s="709"/>
      <c r="K21" s="709"/>
      <c r="L21" s="709"/>
      <c r="M21" s="709"/>
      <c r="N21" s="709"/>
      <c r="O21" s="709"/>
      <c r="P21" s="709"/>
      <c r="Q21" s="709"/>
      <c r="R21" s="709"/>
      <c r="S21" s="709"/>
      <c r="T21" s="709"/>
      <c r="U21" s="710"/>
    </row>
    <row r="22" spans="2:21" ht="15.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24" t="s">
        <v>643</v>
      </c>
      <c r="D23" s="824"/>
      <c r="E23" s="824"/>
      <c r="F23" s="824"/>
      <c r="G23" s="824"/>
      <c r="H23" s="824"/>
      <c r="I23" s="824"/>
      <c r="J23" s="824"/>
      <c r="K23" s="824"/>
      <c r="L23" s="824"/>
      <c r="M23" s="824"/>
      <c r="N23" s="824"/>
      <c r="O23" s="824"/>
      <c r="P23" s="824"/>
      <c r="Q23" s="824"/>
      <c r="R23" s="824"/>
      <c r="S23" s="824"/>
      <c r="T23" s="709"/>
      <c r="U23" s="710"/>
    </row>
    <row r="24" spans="2:21" ht="15.6">
      <c r="B24" s="707"/>
      <c r="C24" s="708"/>
      <c r="D24" s="709"/>
      <c r="E24" s="709"/>
      <c r="F24" s="709"/>
      <c r="G24" s="709"/>
      <c r="H24" s="709"/>
      <c r="I24" s="709"/>
      <c r="J24" s="709"/>
      <c r="K24" s="709"/>
      <c r="L24" s="709"/>
      <c r="M24" s="709"/>
      <c r="N24" s="709"/>
      <c r="O24" s="709"/>
      <c r="P24" s="709"/>
      <c r="Q24" s="709"/>
      <c r="R24" s="709"/>
      <c r="S24" s="709"/>
      <c r="T24" s="709"/>
      <c r="U24" s="710"/>
    </row>
    <row r="25" spans="2:21" ht="15.6">
      <c r="B25" s="707"/>
      <c r="C25" s="708" t="s">
        <v>646</v>
      </c>
      <c r="D25" s="709"/>
      <c r="E25" s="709"/>
      <c r="F25" s="709"/>
      <c r="G25" s="709"/>
      <c r="H25" s="709"/>
      <c r="I25" s="709"/>
      <c r="J25" s="709"/>
      <c r="K25" s="709"/>
      <c r="L25" s="709"/>
      <c r="M25" s="709"/>
      <c r="N25" s="709"/>
      <c r="O25" s="709"/>
      <c r="P25" s="709"/>
      <c r="Q25" s="709"/>
      <c r="R25" s="709"/>
      <c r="S25" s="709"/>
      <c r="T25" s="709"/>
      <c r="U25" s="710"/>
    </row>
    <row r="26" spans="2:21" ht="15.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24" t="s">
        <v>644</v>
      </c>
      <c r="D27" s="824"/>
      <c r="E27" s="824"/>
      <c r="F27" s="824"/>
      <c r="G27" s="824"/>
      <c r="H27" s="824"/>
      <c r="I27" s="824"/>
      <c r="J27" s="824"/>
      <c r="K27" s="824"/>
      <c r="L27" s="824"/>
      <c r="M27" s="824"/>
      <c r="N27" s="824"/>
      <c r="O27" s="824"/>
      <c r="P27" s="824"/>
      <c r="Q27" s="824"/>
      <c r="R27" s="824"/>
      <c r="S27" s="824"/>
      <c r="T27" s="824"/>
      <c r="U27" s="825"/>
    </row>
    <row r="28" spans="2:21" ht="15.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24" t="s">
        <v>647</v>
      </c>
      <c r="D29" s="824"/>
      <c r="E29" s="824"/>
      <c r="F29" s="824"/>
      <c r="G29" s="824"/>
      <c r="H29" s="824"/>
      <c r="I29" s="824"/>
      <c r="J29" s="824"/>
      <c r="K29" s="824"/>
      <c r="L29" s="824"/>
      <c r="M29" s="824"/>
      <c r="N29" s="824"/>
      <c r="O29" s="824"/>
      <c r="P29" s="824"/>
      <c r="Q29" s="824"/>
      <c r="R29" s="824"/>
      <c r="S29" s="824"/>
      <c r="T29" s="824"/>
      <c r="U29" s="825"/>
    </row>
    <row r="30" spans="2:21" ht="15.6">
      <c r="B30" s="707"/>
      <c r="C30" s="708"/>
      <c r="D30" s="709"/>
      <c r="E30" s="709"/>
      <c r="F30" s="709"/>
      <c r="G30" s="709"/>
      <c r="H30" s="709"/>
      <c r="I30" s="709"/>
      <c r="J30" s="709"/>
      <c r="K30" s="709"/>
      <c r="L30" s="709"/>
      <c r="M30" s="709"/>
      <c r="N30" s="709"/>
      <c r="O30" s="709"/>
      <c r="P30" s="709"/>
      <c r="Q30" s="709"/>
      <c r="R30" s="709"/>
      <c r="S30" s="709"/>
      <c r="T30" s="709"/>
      <c r="U30" s="710"/>
    </row>
    <row r="31" spans="2:21" ht="15.6">
      <c r="B31" s="707"/>
      <c r="C31" s="708" t="s">
        <v>648</v>
      </c>
      <c r="D31" s="709"/>
      <c r="E31" s="709"/>
      <c r="F31" s="709"/>
      <c r="G31" s="709"/>
      <c r="H31" s="709"/>
      <c r="I31" s="709"/>
      <c r="J31" s="709"/>
      <c r="K31" s="709"/>
      <c r="L31" s="709"/>
      <c r="M31" s="709"/>
      <c r="N31" s="709"/>
      <c r="O31" s="709"/>
      <c r="P31" s="709"/>
      <c r="Q31" s="709"/>
      <c r="R31" s="709"/>
      <c r="S31" s="709"/>
      <c r="T31" s="709"/>
      <c r="U31" s="710"/>
    </row>
    <row r="32" spans="2:21" ht="15.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649</v>
      </c>
      <c r="C33" s="832" t="s">
        <v>650</v>
      </c>
      <c r="D33" s="832"/>
      <c r="E33" s="832"/>
      <c r="F33" s="832"/>
      <c r="G33" s="832"/>
      <c r="H33" s="832"/>
      <c r="I33" s="832"/>
      <c r="J33" s="832"/>
      <c r="K33" s="832"/>
      <c r="L33" s="832"/>
      <c r="M33" s="832"/>
      <c r="N33" s="832"/>
      <c r="O33" s="832"/>
      <c r="P33" s="832"/>
      <c r="Q33" s="832"/>
      <c r="R33" s="832"/>
      <c r="S33" s="832"/>
      <c r="T33" s="832"/>
      <c r="U33" s="833"/>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6">
      <c r="B35" s="719" t="s">
        <v>651</v>
      </c>
      <c r="C35" s="720" t="s">
        <v>652</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653</v>
      </c>
      <c r="C37" s="826" t="s">
        <v>654</v>
      </c>
      <c r="D37" s="826"/>
      <c r="E37" s="826"/>
      <c r="F37" s="826"/>
      <c r="G37" s="826"/>
      <c r="H37" s="826"/>
      <c r="I37" s="826"/>
      <c r="J37" s="826"/>
      <c r="K37" s="826"/>
      <c r="L37" s="826"/>
      <c r="M37" s="826"/>
      <c r="N37" s="826"/>
      <c r="O37" s="826"/>
      <c r="P37" s="826"/>
      <c r="Q37" s="826"/>
      <c r="R37" s="826"/>
      <c r="S37" s="826"/>
      <c r="T37" s="826"/>
      <c r="U37" s="827"/>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6">
      <c r="B39" s="706" t="s">
        <v>655</v>
      </c>
      <c r="C39" s="722" t="s">
        <v>656</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657</v>
      </c>
      <c r="C41" s="834" t="s">
        <v>658</v>
      </c>
      <c r="D41" s="834"/>
      <c r="E41" s="834"/>
      <c r="F41" s="834"/>
      <c r="G41" s="834"/>
      <c r="H41" s="834"/>
      <c r="I41" s="834"/>
      <c r="J41" s="834"/>
      <c r="K41" s="834"/>
      <c r="L41" s="834"/>
      <c r="M41" s="834"/>
      <c r="N41" s="834"/>
      <c r="O41" s="834"/>
      <c r="P41" s="834"/>
      <c r="Q41" s="834"/>
      <c r="R41" s="834"/>
      <c r="S41" s="834"/>
      <c r="T41" s="834"/>
      <c r="U41" s="835"/>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6">
      <c r="B43" s="719" t="s">
        <v>659</v>
      </c>
      <c r="C43" s="720" t="s">
        <v>660</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22" t="s">
        <v>676</v>
      </c>
      <c r="D45" s="822"/>
      <c r="E45" s="822"/>
      <c r="F45" s="822"/>
      <c r="G45" s="822"/>
      <c r="H45" s="822"/>
      <c r="I45" s="822"/>
      <c r="J45" s="822"/>
      <c r="K45" s="822"/>
      <c r="L45" s="822"/>
      <c r="M45" s="822"/>
      <c r="N45" s="822"/>
      <c r="O45" s="822"/>
      <c r="P45" s="822"/>
      <c r="Q45" s="822"/>
      <c r="R45" s="822"/>
      <c r="S45" s="822"/>
      <c r="T45" s="822"/>
      <c r="U45" s="823"/>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22" t="s">
        <v>661</v>
      </c>
      <c r="D47" s="822"/>
      <c r="E47" s="822"/>
      <c r="F47" s="822"/>
      <c r="G47" s="822"/>
      <c r="H47" s="822"/>
      <c r="I47" s="822"/>
      <c r="J47" s="822"/>
      <c r="K47" s="822"/>
      <c r="L47" s="822"/>
      <c r="M47" s="822"/>
      <c r="N47" s="822"/>
      <c r="O47" s="822"/>
      <c r="P47" s="822"/>
      <c r="Q47" s="822"/>
      <c r="R47" s="822"/>
      <c r="S47" s="822"/>
      <c r="T47" s="822"/>
      <c r="U47" s="823"/>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22" t="s">
        <v>662</v>
      </c>
      <c r="D49" s="822"/>
      <c r="E49" s="822"/>
      <c r="F49" s="822"/>
      <c r="G49" s="822"/>
      <c r="H49" s="822"/>
      <c r="I49" s="822"/>
      <c r="J49" s="822"/>
      <c r="K49" s="822"/>
      <c r="L49" s="822"/>
      <c r="M49" s="822"/>
      <c r="N49" s="822"/>
      <c r="O49" s="822"/>
      <c r="P49" s="822"/>
      <c r="Q49" s="822"/>
      <c r="R49" s="822"/>
      <c r="S49" s="822"/>
      <c r="T49" s="822"/>
      <c r="U49" s="823"/>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22" t="s">
        <v>663</v>
      </c>
      <c r="D51" s="822"/>
      <c r="E51" s="822"/>
      <c r="F51" s="822"/>
      <c r="G51" s="822"/>
      <c r="H51" s="822"/>
      <c r="I51" s="822"/>
      <c r="J51" s="822"/>
      <c r="K51" s="822"/>
      <c r="L51" s="822"/>
      <c r="M51" s="822"/>
      <c r="N51" s="822"/>
      <c r="O51" s="822"/>
      <c r="P51" s="822"/>
      <c r="Q51" s="822"/>
      <c r="R51" s="822"/>
      <c r="S51" s="822"/>
      <c r="T51" s="822"/>
      <c r="U51" s="823"/>
    </row>
    <row r="52" spans="2:21" ht="15.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24" t="s">
        <v>675</v>
      </c>
      <c r="D53" s="824"/>
      <c r="E53" s="824"/>
      <c r="F53" s="824"/>
      <c r="G53" s="824"/>
      <c r="H53" s="824"/>
      <c r="I53" s="824"/>
      <c r="J53" s="824"/>
      <c r="K53" s="824"/>
      <c r="L53" s="824"/>
      <c r="M53" s="824"/>
      <c r="N53" s="824"/>
      <c r="O53" s="824"/>
      <c r="P53" s="824"/>
      <c r="Q53" s="824"/>
      <c r="R53" s="824"/>
      <c r="S53" s="824"/>
      <c r="T53" s="824"/>
      <c r="U53" s="82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664</v>
      </c>
      <c r="C55" s="826" t="s">
        <v>665</v>
      </c>
      <c r="D55" s="826"/>
      <c r="E55" s="826"/>
      <c r="F55" s="826"/>
      <c r="G55" s="826"/>
      <c r="H55" s="826"/>
      <c r="I55" s="826"/>
      <c r="J55" s="826"/>
      <c r="K55" s="826"/>
      <c r="L55" s="826"/>
      <c r="M55" s="826"/>
      <c r="N55" s="826"/>
      <c r="O55" s="826"/>
      <c r="P55" s="826"/>
      <c r="Q55" s="826"/>
      <c r="R55" s="826"/>
      <c r="S55" s="826"/>
      <c r="T55" s="826"/>
      <c r="U55" s="827"/>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666</v>
      </c>
      <c r="C57" s="826" t="s">
        <v>667</v>
      </c>
      <c r="D57" s="826"/>
      <c r="E57" s="826"/>
      <c r="F57" s="826"/>
      <c r="G57" s="826"/>
      <c r="H57" s="826"/>
      <c r="I57" s="826"/>
      <c r="J57" s="826"/>
      <c r="K57" s="826"/>
      <c r="L57" s="826"/>
      <c r="M57" s="826"/>
      <c r="N57" s="826"/>
      <c r="O57" s="826"/>
      <c r="P57" s="826"/>
      <c r="Q57" s="826"/>
      <c r="R57" s="826"/>
      <c r="S57" s="826"/>
      <c r="T57" s="826"/>
      <c r="U57" s="827"/>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668</v>
      </c>
      <c r="C59" s="727" t="s">
        <v>669</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zoomScale="70" zoomScaleNormal="70" workbookViewId="0">
      <selection activeCell="C36" sqref="C36"/>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837" t="s">
        <v>698</v>
      </c>
      <c r="C3" s="838"/>
      <c r="D3" s="838"/>
      <c r="E3" s="838"/>
      <c r="F3" s="839"/>
      <c r="G3" s="122"/>
    </row>
    <row r="4" spans="2:20" ht="16.5" customHeight="1">
      <c r="B4" s="840"/>
      <c r="C4" s="841"/>
      <c r="D4" s="841"/>
      <c r="E4" s="841"/>
      <c r="F4" s="842"/>
      <c r="G4" s="122"/>
    </row>
    <row r="5" spans="2:20" ht="71.25" customHeight="1">
      <c r="B5" s="840"/>
      <c r="C5" s="841"/>
      <c r="D5" s="841"/>
      <c r="E5" s="841"/>
      <c r="F5" s="842"/>
      <c r="G5" s="122"/>
    </row>
    <row r="6" spans="2:20" ht="21.75" customHeight="1">
      <c r="B6" s="843"/>
      <c r="C6" s="844"/>
      <c r="D6" s="844"/>
      <c r="E6" s="844"/>
      <c r="F6" s="845"/>
      <c r="G6" s="122"/>
    </row>
    <row r="8" spans="2:20" ht="21">
      <c r="B8" s="836" t="s">
        <v>482</v>
      </c>
      <c r="C8" s="836"/>
      <c r="D8" s="836"/>
      <c r="E8" s="836"/>
      <c r="F8" s="836"/>
      <c r="G8" s="836"/>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595</v>
      </c>
      <c r="G12" s="28"/>
      <c r="L12" s="33"/>
      <c r="M12" s="33"/>
      <c r="N12" s="33"/>
      <c r="O12" s="33"/>
      <c r="P12" s="33"/>
      <c r="Q12" s="68"/>
      <c r="S12" s="8"/>
      <c r="T12" s="8"/>
    </row>
    <row r="13" spans="2:20" s="9" customFormat="1" ht="26.25" customHeight="1" thickBot="1">
      <c r="B13" s="102" t="s">
        <v>417</v>
      </c>
      <c r="C13" s="124" t="s">
        <v>634</v>
      </c>
      <c r="G13" s="109"/>
      <c r="L13" s="33"/>
      <c r="M13" s="33"/>
      <c r="N13" s="33"/>
      <c r="O13" s="33"/>
      <c r="P13" s="33"/>
      <c r="Q13" s="68"/>
      <c r="S13" s="8"/>
      <c r="T13" s="8"/>
    </row>
    <row r="14" spans="2:20" s="9" customFormat="1" ht="26.25" customHeight="1" thickBot="1">
      <c r="B14" s="102" t="s">
        <v>419</v>
      </c>
      <c r="C14" s="172" t="s">
        <v>629</v>
      </c>
      <c r="G14" s="123"/>
      <c r="L14" s="33"/>
      <c r="M14" s="33"/>
      <c r="N14" s="33"/>
      <c r="O14" s="33"/>
      <c r="P14" s="33"/>
      <c r="Q14" s="68"/>
      <c r="S14" s="8"/>
      <c r="T14" s="8"/>
    </row>
    <row r="15" spans="2:20" s="9" customFormat="1" ht="26.25" customHeight="1" thickBot="1">
      <c r="B15" s="102" t="s">
        <v>417</v>
      </c>
      <c r="C15" s="172" t="s">
        <v>630</v>
      </c>
      <c r="G15" s="123"/>
      <c r="L15" s="33"/>
      <c r="M15" s="33"/>
      <c r="N15" s="33"/>
      <c r="O15" s="33"/>
      <c r="P15" s="33"/>
      <c r="Q15" s="68"/>
      <c r="S15" s="8"/>
      <c r="T15" s="8"/>
    </row>
    <row r="16" spans="2:20" s="9" customFormat="1" ht="26.25" customHeight="1" thickBot="1">
      <c r="B16" s="102" t="s">
        <v>417</v>
      </c>
      <c r="C16" s="172" t="s">
        <v>631</v>
      </c>
      <c r="G16" s="123"/>
      <c r="L16" s="33"/>
      <c r="M16" s="33"/>
      <c r="N16" s="33"/>
      <c r="O16" s="33"/>
      <c r="P16" s="33"/>
      <c r="Q16" s="68"/>
      <c r="S16" s="8"/>
      <c r="T16" s="8"/>
    </row>
    <row r="17" spans="2:20" s="9" customFormat="1" ht="26.25" customHeight="1" thickBot="1">
      <c r="B17" s="102" t="s">
        <v>417</v>
      </c>
      <c r="C17" s="124" t="s">
        <v>632</v>
      </c>
      <c r="G17" s="109"/>
      <c r="L17" s="33"/>
      <c r="M17" s="33"/>
      <c r="N17" s="33"/>
      <c r="O17" s="33"/>
      <c r="P17" s="33"/>
      <c r="Q17" s="68"/>
      <c r="S17" s="8"/>
      <c r="T17" s="8"/>
    </row>
    <row r="18" spans="2:20" s="9" customFormat="1" ht="26.25" customHeight="1" thickBot="1">
      <c r="B18" s="102" t="s">
        <v>417</v>
      </c>
      <c r="C18" s="124" t="s">
        <v>633</v>
      </c>
      <c r="G18" s="123"/>
      <c r="L18" s="33"/>
      <c r="M18" s="33"/>
      <c r="N18" s="33"/>
      <c r="O18" s="33"/>
      <c r="P18" s="33"/>
      <c r="Q18" s="68"/>
      <c r="S18" s="8"/>
      <c r="T18" s="8"/>
    </row>
    <row r="19" spans="2:20" s="9" customFormat="1" ht="26.25" customHeight="1" thickBot="1">
      <c r="B19" s="102" t="s">
        <v>417</v>
      </c>
      <c r="C19" s="124" t="s">
        <v>635</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594</v>
      </c>
      <c r="F22" s="656" t="s">
        <v>449</v>
      </c>
      <c r="G22" s="174"/>
      <c r="M22" s="645"/>
      <c r="T22" s="645"/>
    </row>
    <row r="23" spans="2:20" s="103" customFormat="1" ht="35.25" customHeight="1">
      <c r="B23" s="648" t="s">
        <v>459</v>
      </c>
      <c r="C23" s="654" t="s">
        <v>439</v>
      </c>
      <c r="D23" s="657" t="s">
        <v>445</v>
      </c>
      <c r="E23" s="661" t="s">
        <v>594</v>
      </c>
      <c r="F23" s="657" t="s">
        <v>449</v>
      </c>
      <c r="G23" s="174"/>
      <c r="M23" s="645"/>
      <c r="T23" s="645"/>
    </row>
    <row r="24" spans="2:20" s="103" customFormat="1" ht="34.5" customHeight="1">
      <c r="B24" s="648" t="s">
        <v>456</v>
      </c>
      <c r="C24" s="654" t="s">
        <v>439</v>
      </c>
      <c r="D24" s="657" t="s">
        <v>446</v>
      </c>
      <c r="E24" s="661" t="s">
        <v>594</v>
      </c>
      <c r="F24" s="657" t="s">
        <v>449</v>
      </c>
      <c r="G24" s="174"/>
      <c r="M24" s="645"/>
      <c r="T24" s="645"/>
    </row>
    <row r="25" spans="2:20" s="103" customFormat="1" ht="32.25" customHeight="1">
      <c r="B25" s="649" t="s">
        <v>457</v>
      </c>
      <c r="C25" s="654" t="s">
        <v>438</v>
      </c>
      <c r="D25" s="657" t="s">
        <v>447</v>
      </c>
      <c r="E25" s="662" t="s">
        <v>613</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411</v>
      </c>
      <c r="B1" s="8" t="s">
        <v>41</v>
      </c>
      <c r="C1" s="120" t="s">
        <v>234</v>
      </c>
      <c r="D1" s="8" t="s">
        <v>416</v>
      </c>
      <c r="E1" s="120" t="s">
        <v>451</v>
      </c>
      <c r="F1" s="120" t="s">
        <v>552</v>
      </c>
      <c r="G1" s="120" t="s">
        <v>577</v>
      </c>
      <c r="H1" s="120" t="s">
        <v>588</v>
      </c>
    </row>
    <row r="2" spans="1:8">
      <c r="A2" s="12" t="s">
        <v>29</v>
      </c>
      <c r="B2" s="12" t="s">
        <v>27</v>
      </c>
      <c r="C2" s="10">
        <v>2006</v>
      </c>
      <c r="D2" s="12" t="s">
        <v>417</v>
      </c>
      <c r="E2" s="10">
        <f>'2. LRAMVA Threshold'!D9</f>
        <v>2015</v>
      </c>
      <c r="F2" s="26" t="s">
        <v>170</v>
      </c>
      <c r="G2" s="12" t="s">
        <v>578</v>
      </c>
      <c r="H2" s="12" t="s">
        <v>596</v>
      </c>
    </row>
    <row r="3" spans="1:8">
      <c r="A3" s="12" t="s">
        <v>372</v>
      </c>
      <c r="B3" s="12" t="s">
        <v>27</v>
      </c>
      <c r="C3" s="10">
        <v>2007</v>
      </c>
      <c r="D3" s="12" t="s">
        <v>418</v>
      </c>
      <c r="E3" s="10">
        <f>'2. LRAMVA Threshold'!D24</f>
        <v>0</v>
      </c>
      <c r="F3" s="12" t="s">
        <v>553</v>
      </c>
      <c r="G3" s="12" t="s">
        <v>579</v>
      </c>
      <c r="H3" s="12" t="s">
        <v>589</v>
      </c>
    </row>
    <row r="4" spans="1:8">
      <c r="A4" s="12" t="s">
        <v>373</v>
      </c>
      <c r="B4" s="12" t="s">
        <v>28</v>
      </c>
      <c r="C4" s="10">
        <v>2008</v>
      </c>
      <c r="D4" s="12" t="s">
        <v>419</v>
      </c>
      <c r="F4" s="12" t="s">
        <v>169</v>
      </c>
      <c r="G4" s="12" t="s">
        <v>580</v>
      </c>
    </row>
    <row r="5" spans="1:8">
      <c r="A5" s="12" t="s">
        <v>374</v>
      </c>
      <c r="B5" s="12" t="s">
        <v>28</v>
      </c>
      <c r="C5" s="10">
        <v>2009</v>
      </c>
      <c r="F5" s="12" t="s">
        <v>369</v>
      </c>
      <c r="G5" s="12" t="s">
        <v>581</v>
      </c>
    </row>
    <row r="6" spans="1:8">
      <c r="A6" s="12" t="s">
        <v>375</v>
      </c>
      <c r="B6" s="12" t="s">
        <v>28</v>
      </c>
      <c r="C6" s="10">
        <v>2010</v>
      </c>
      <c r="F6" s="12" t="s">
        <v>370</v>
      </c>
      <c r="G6" s="12" t="s">
        <v>582</v>
      </c>
    </row>
    <row r="7" spans="1:8">
      <c r="A7" s="12" t="s">
        <v>376</v>
      </c>
      <c r="B7" s="12" t="s">
        <v>28</v>
      </c>
      <c r="C7" s="10">
        <v>2011</v>
      </c>
      <c r="F7" s="12" t="s">
        <v>371</v>
      </c>
      <c r="G7" s="12" t="s">
        <v>583</v>
      </c>
    </row>
    <row r="8" spans="1:8">
      <c r="A8" s="12" t="s">
        <v>377</v>
      </c>
      <c r="B8" s="12" t="s">
        <v>28</v>
      </c>
      <c r="C8" s="10">
        <v>2012</v>
      </c>
      <c r="F8" s="12" t="s">
        <v>561</v>
      </c>
      <c r="G8" s="12" t="s">
        <v>584</v>
      </c>
    </row>
    <row r="9" spans="1:8">
      <c r="A9" s="12" t="s">
        <v>378</v>
      </c>
      <c r="B9" s="12" t="s">
        <v>28</v>
      </c>
      <c r="C9" s="10">
        <v>2013</v>
      </c>
      <c r="G9" s="12" t="s">
        <v>585</v>
      </c>
    </row>
    <row r="10" spans="1:8">
      <c r="A10" s="12" t="s">
        <v>379</v>
      </c>
      <c r="B10" s="12" t="s">
        <v>28</v>
      </c>
      <c r="C10" s="10">
        <v>2014</v>
      </c>
      <c r="G10" s="12" t="s">
        <v>586</v>
      </c>
    </row>
    <row r="11" spans="1:8">
      <c r="A11" s="12" t="s">
        <v>380</v>
      </c>
      <c r="B11" s="12" t="s">
        <v>28</v>
      </c>
      <c r="C11" s="10">
        <v>2015</v>
      </c>
      <c r="G11" s="12" t="s">
        <v>587</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8"/>
  <sheetViews>
    <sheetView tabSelected="1" topLeftCell="A7" zoomScale="60" zoomScaleNormal="60" workbookViewId="0">
      <selection activeCell="H34" sqref="H34"/>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t="s">
        <v>726</v>
      </c>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727</v>
      </c>
      <c r="J14" s="124" t="s">
        <v>518</v>
      </c>
      <c r="L14" s="132"/>
      <c r="N14" s="103"/>
      <c r="Q14" s="99"/>
      <c r="R14" s="96"/>
    </row>
    <row r="15" spans="2:22" ht="26.25" customHeight="1" thickBot="1">
      <c r="B15" s="124" t="s">
        <v>425</v>
      </c>
      <c r="C15" s="106"/>
      <c r="D15" s="542" t="s">
        <v>241</v>
      </c>
      <c r="F15" s="124" t="s">
        <v>415</v>
      </c>
      <c r="G15" s="127"/>
      <c r="H15" s="542" t="s">
        <v>728</v>
      </c>
      <c r="I15" s="17"/>
      <c r="J15" s="124" t="s">
        <v>519</v>
      </c>
      <c r="L15" s="132"/>
      <c r="M15" s="103"/>
      <c r="Q15" s="108"/>
      <c r="R15" s="96"/>
    </row>
    <row r="16" spans="2:22" ht="28.5" customHeight="1" thickBot="1">
      <c r="B16" s="124" t="s">
        <v>455</v>
      </c>
      <c r="C16" s="106"/>
      <c r="D16" s="543" t="s">
        <v>506</v>
      </c>
      <c r="E16" s="103"/>
      <c r="F16" s="124" t="s">
        <v>435</v>
      </c>
      <c r="G16" s="125"/>
      <c r="H16" s="543" t="s">
        <v>729</v>
      </c>
      <c r="I16" s="103"/>
      <c r="K16" s="195"/>
      <c r="L16" s="195"/>
      <c r="M16" s="195"/>
      <c r="N16" s="195"/>
      <c r="Q16" s="115"/>
      <c r="R16" s="96"/>
    </row>
    <row r="17" spans="1:21" ht="29.25" customHeight="1">
      <c r="B17" s="124" t="s">
        <v>422</v>
      </c>
      <c r="C17" s="106"/>
      <c r="D17" s="733">
        <v>0</v>
      </c>
      <c r="E17" s="121"/>
      <c r="F17" s="740" t="s">
        <v>679</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SUM(R54,R57,R60,R63,R66,R69,R72,R75)</f>
        <v>1706181.1128989998</v>
      </c>
      <c r="I19" s="17"/>
      <c r="J19" s="115"/>
      <c r="K19" s="115"/>
      <c r="L19" s="115"/>
      <c r="M19" s="115"/>
      <c r="N19" s="115"/>
      <c r="P19" s="115"/>
      <c r="Q19" s="115"/>
      <c r="R19" s="96"/>
    </row>
    <row r="20" spans="1:21" ht="27.75" customHeight="1" thickBot="1">
      <c r="E20" s="9"/>
      <c r="F20" s="124" t="s">
        <v>437</v>
      </c>
      <c r="G20" s="603" t="s">
        <v>365</v>
      </c>
      <c r="H20" s="131">
        <f>-SUM(R55,R58,R61,R64,R67,R70,R73,R76)</f>
        <v>1103132.984547677</v>
      </c>
      <c r="I20" s="17"/>
      <c r="J20" s="115"/>
      <c r="P20" s="115"/>
      <c r="Q20" s="115"/>
      <c r="R20" s="96"/>
    </row>
    <row r="21" spans="1:21" ht="27.75" customHeight="1" thickBot="1">
      <c r="C21" s="32"/>
      <c r="D21" s="32"/>
      <c r="E21" s="32"/>
      <c r="F21" s="124" t="s">
        <v>409</v>
      </c>
      <c r="G21" s="603" t="s">
        <v>366</v>
      </c>
      <c r="H21" s="188">
        <f>R84</f>
        <v>30380.595271779453</v>
      </c>
      <c r="I21" s="103"/>
      <c r="P21" s="115"/>
      <c r="Q21" s="115"/>
      <c r="R21" s="96"/>
    </row>
    <row r="22" spans="1:21" ht="27.75" customHeight="1">
      <c r="C22" s="32"/>
      <c r="D22" s="32"/>
      <c r="E22" s="32"/>
      <c r="F22" s="124" t="s">
        <v>512</v>
      </c>
      <c r="G22" s="603" t="s">
        <v>450</v>
      </c>
      <c r="H22" s="188">
        <f>H19-H20+H21</f>
        <v>633428.7236231023</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24.2" customHeight="1">
      <c r="A26" s="28"/>
      <c r="B26" s="848" t="s">
        <v>686</v>
      </c>
      <c r="C26" s="848"/>
      <c r="D26" s="848"/>
      <c r="E26" s="848"/>
      <c r="F26" s="848"/>
      <c r="G26" s="848"/>
    </row>
    <row r="27" spans="1:21" ht="14.25" customHeight="1">
      <c r="A27" s="28"/>
      <c r="B27" s="548"/>
      <c r="C27" s="548"/>
      <c r="D27" s="538"/>
      <c r="E27" s="538"/>
      <c r="F27" s="538"/>
      <c r="G27" s="548"/>
    </row>
    <row r="28" spans="1:21" s="17" customFormat="1" ht="27" customHeight="1">
      <c r="B28" s="851" t="s">
        <v>509</v>
      </c>
      <c r="C28" s="852"/>
      <c r="D28" s="133" t="s">
        <v>41</v>
      </c>
      <c r="E28" s="134" t="s">
        <v>677</v>
      </c>
      <c r="F28" s="134" t="s">
        <v>409</v>
      </c>
      <c r="G28" s="135" t="s">
        <v>410</v>
      </c>
      <c r="T28" s="136"/>
      <c r="U28" s="136"/>
    </row>
    <row r="29" spans="1:21" ht="20.25" customHeight="1">
      <c r="B29" s="846" t="s">
        <v>29</v>
      </c>
      <c r="C29" s="847"/>
      <c r="D29" s="638" t="s">
        <v>27</v>
      </c>
      <c r="E29" s="138">
        <f>SUM(D54:D83)</f>
        <v>403392.66670837993</v>
      </c>
      <c r="F29" s="139">
        <f>D84</f>
        <v>20280.88189823251</v>
      </c>
      <c r="G29" s="138">
        <f>E29+F29</f>
        <v>423673.54860661243</v>
      </c>
    </row>
    <row r="30" spans="1:21" ht="20.25" customHeight="1">
      <c r="B30" s="846" t="s">
        <v>372</v>
      </c>
      <c r="C30" s="847"/>
      <c r="D30" s="638" t="s">
        <v>27</v>
      </c>
      <c r="E30" s="140">
        <f>SUM(E54:E83)</f>
        <v>138956.76251456587</v>
      </c>
      <c r="F30" s="141">
        <f>E84</f>
        <v>6963.9593730196275</v>
      </c>
      <c r="G30" s="140">
        <f>E30+F30</f>
        <v>145920.7218875855</v>
      </c>
    </row>
    <row r="31" spans="1:21" ht="20.25" customHeight="1">
      <c r="B31" s="846" t="s">
        <v>730</v>
      </c>
      <c r="C31" s="847"/>
      <c r="D31" s="638" t="s">
        <v>28</v>
      </c>
      <c r="E31" s="140">
        <f>SUM(F54:F83)</f>
        <v>-199.01143871480235</v>
      </c>
      <c r="F31" s="141">
        <f>F84</f>
        <v>-383.29291802810639</v>
      </c>
      <c r="G31" s="140">
        <f t="shared" ref="G31:G34" si="0">E31+F31</f>
        <v>-582.30435674290879</v>
      </c>
    </row>
    <row r="32" spans="1:21" ht="20.25" customHeight="1">
      <c r="B32" s="846" t="s">
        <v>731</v>
      </c>
      <c r="C32" s="847"/>
      <c r="D32" s="638" t="s">
        <v>28</v>
      </c>
      <c r="E32" s="140">
        <f>SUM(G54:G83)</f>
        <v>65884.574723290687</v>
      </c>
      <c r="F32" s="141">
        <f>G84</f>
        <v>3816.6293876516452</v>
      </c>
      <c r="G32" s="140">
        <f t="shared" si="0"/>
        <v>69701.20411094233</v>
      </c>
    </row>
    <row r="33" spans="2:22" ht="20.25" customHeight="1">
      <c r="B33" s="846" t="s">
        <v>732</v>
      </c>
      <c r="C33" s="847"/>
      <c r="D33" s="638" t="s">
        <v>28</v>
      </c>
      <c r="E33" s="140">
        <f>SUM(H54:H83)</f>
        <v>-3929.2287435710591</v>
      </c>
      <c r="F33" s="141">
        <f>H84</f>
        <v>-237.21731217544306</v>
      </c>
      <c r="G33" s="140">
        <f>E33+F33</f>
        <v>-4166.4460557465018</v>
      </c>
    </row>
    <row r="34" spans="2:22" ht="20.25" customHeight="1">
      <c r="B34" s="846" t="s">
        <v>31</v>
      </c>
      <c r="C34" s="847"/>
      <c r="D34" s="638" t="s">
        <v>28</v>
      </c>
      <c r="E34" s="140">
        <f>SUM(I54:I83)</f>
        <v>-18.298339350207243</v>
      </c>
      <c r="F34" s="141">
        <f>I84</f>
        <v>-1.0324319114536895</v>
      </c>
      <c r="G34" s="140">
        <f t="shared" si="0"/>
        <v>-19.330771261660932</v>
      </c>
    </row>
    <row r="35" spans="2:22" ht="20.25" customHeight="1">
      <c r="B35" s="846" t="s">
        <v>733</v>
      </c>
      <c r="C35" s="847"/>
      <c r="D35" s="638" t="s">
        <v>27</v>
      </c>
      <c r="E35" s="140">
        <f>SUM(J54:J83)</f>
        <v>-1017.9456732773908</v>
      </c>
      <c r="F35" s="141">
        <f>J84</f>
        <v>-58.105850898911356</v>
      </c>
      <c r="G35" s="140">
        <f>E35+F35</f>
        <v>-1076.0515241763021</v>
      </c>
    </row>
    <row r="36" spans="2:22" ht="20.25" customHeight="1">
      <c r="B36" s="846" t="s">
        <v>734</v>
      </c>
      <c r="C36" s="847"/>
      <c r="D36" s="638" t="s">
        <v>28</v>
      </c>
      <c r="E36" s="140">
        <f>SUM(K54:K83)</f>
        <v>-21.391400000000001</v>
      </c>
      <c r="F36" s="141">
        <f>K84</f>
        <v>-1.2268741104166669</v>
      </c>
      <c r="G36" s="140">
        <f t="shared" ref="G36:G42" si="1">E36+F36</f>
        <v>-22.618274110416667</v>
      </c>
    </row>
    <row r="37" spans="2:22" ht="20.25" customHeight="1">
      <c r="B37" s="846"/>
      <c r="C37" s="847"/>
      <c r="D37" s="638"/>
      <c r="E37" s="140">
        <f>SUM(L54:L83)</f>
        <v>0</v>
      </c>
      <c r="F37" s="141">
        <f>L84</f>
        <v>0</v>
      </c>
      <c r="G37" s="140">
        <f t="shared" si="1"/>
        <v>0</v>
      </c>
    </row>
    <row r="38" spans="2:22" ht="20.25" customHeight="1">
      <c r="B38" s="846"/>
      <c r="C38" s="847"/>
      <c r="D38" s="638"/>
      <c r="E38" s="140">
        <f>SUM(M54:M83)</f>
        <v>0</v>
      </c>
      <c r="F38" s="141">
        <f>M84</f>
        <v>0</v>
      </c>
      <c r="G38" s="140">
        <f t="shared" si="1"/>
        <v>0</v>
      </c>
    </row>
    <row r="39" spans="2:22" ht="20.25" customHeight="1">
      <c r="B39" s="846"/>
      <c r="C39" s="847"/>
      <c r="D39" s="638"/>
      <c r="E39" s="140">
        <f>SUM(N54:N83)</f>
        <v>0</v>
      </c>
      <c r="F39" s="141">
        <f>N84</f>
        <v>0</v>
      </c>
      <c r="G39" s="140">
        <f t="shared" si="1"/>
        <v>0</v>
      </c>
    </row>
    <row r="40" spans="2:22" ht="20.25" customHeight="1">
      <c r="B40" s="846"/>
      <c r="C40" s="847"/>
      <c r="D40" s="638"/>
      <c r="E40" s="140">
        <f>SUM(O54:O83)</f>
        <v>0</v>
      </c>
      <c r="F40" s="141">
        <f>O84</f>
        <v>0</v>
      </c>
      <c r="G40" s="140">
        <f t="shared" si="1"/>
        <v>0</v>
      </c>
    </row>
    <row r="41" spans="2:22" ht="20.25" customHeight="1">
      <c r="B41" s="846"/>
      <c r="C41" s="847"/>
      <c r="D41" s="638"/>
      <c r="E41" s="140">
        <f>SUM(P54:P83)</f>
        <v>0</v>
      </c>
      <c r="F41" s="141">
        <f>P84</f>
        <v>0</v>
      </c>
      <c r="G41" s="140">
        <f t="shared" si="1"/>
        <v>0</v>
      </c>
    </row>
    <row r="42" spans="2:22" ht="20.25" customHeight="1">
      <c r="B42" s="846"/>
      <c r="C42" s="847"/>
      <c r="D42" s="639"/>
      <c r="E42" s="142">
        <f>SUM(Q54:Q83)</f>
        <v>0</v>
      </c>
      <c r="F42" s="143">
        <f>Q84</f>
        <v>0</v>
      </c>
      <c r="G42" s="142">
        <f t="shared" si="1"/>
        <v>0</v>
      </c>
    </row>
    <row r="43" spans="2:22" s="8" customFormat="1" ht="21" customHeight="1">
      <c r="B43" s="849" t="s">
        <v>26</v>
      </c>
      <c r="C43" s="850"/>
      <c r="D43" s="137"/>
      <c r="E43" s="144">
        <f>SUM(E29:E42)</f>
        <v>603048.12835132319</v>
      </c>
      <c r="F43" s="144">
        <f>SUM(F29:F42)</f>
        <v>30380.595271779453</v>
      </c>
      <c r="G43" s="144">
        <f>SUM(G29:G42)</f>
        <v>633428.72362310253</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48" t="s">
        <v>616</v>
      </c>
      <c r="C48" s="848"/>
      <c r="D48" s="848"/>
      <c r="E48" s="848"/>
      <c r="F48" s="848"/>
      <c r="G48" s="848"/>
      <c r="H48" s="848"/>
      <c r="I48" s="848"/>
      <c r="J48" s="848"/>
      <c r="K48" s="848"/>
      <c r="L48" s="848"/>
      <c r="M48" s="617"/>
      <c r="N48" s="105"/>
      <c r="O48" s="105"/>
      <c r="P48" s="105"/>
      <c r="Q48" s="105"/>
      <c r="R48" s="105"/>
      <c r="T48" s="37"/>
      <c r="U48" s="19"/>
      <c r="V48" s="38"/>
    </row>
    <row r="49" spans="2:22" s="28" customFormat="1" ht="40.950000000000003" customHeight="1">
      <c r="B49" s="848" t="s">
        <v>567</v>
      </c>
      <c r="C49" s="848"/>
      <c r="D49" s="848"/>
      <c r="E49" s="848"/>
      <c r="F49" s="848"/>
      <c r="G49" s="848"/>
      <c r="H49" s="848"/>
      <c r="I49" s="848"/>
      <c r="J49" s="848"/>
      <c r="K49" s="848"/>
      <c r="L49" s="848"/>
      <c r="M49" s="617"/>
      <c r="N49" s="105"/>
      <c r="O49" s="105"/>
      <c r="P49" s="105"/>
      <c r="Q49" s="105"/>
      <c r="R49" s="105"/>
      <c r="T49" s="37"/>
      <c r="U49" s="19"/>
      <c r="V49" s="38"/>
    </row>
    <row r="50" spans="2:22" s="28" customFormat="1" ht="18" customHeight="1">
      <c r="B50" s="848" t="s">
        <v>685</v>
      </c>
      <c r="C50" s="848"/>
      <c r="D50" s="848"/>
      <c r="E50" s="848"/>
      <c r="F50" s="848"/>
      <c r="G50" s="848"/>
      <c r="H50" s="848"/>
      <c r="I50" s="848"/>
      <c r="J50" s="848"/>
      <c r="K50" s="848"/>
      <c r="L50" s="848"/>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 to 999 kW (I1 &amp; I4)</v>
      </c>
      <c r="G52" s="135" t="str">
        <f>IF($B32&lt;&gt;"",$B32,"")</f>
        <v>GS 1,000 to 4,999 kW (I2)</v>
      </c>
      <c r="H52" s="135" t="str">
        <f>IF($B33&lt;&gt;"",$B33,"")</f>
        <v>Large Use (I3)</v>
      </c>
      <c r="I52" s="135" t="str">
        <f>IF($B34&lt;&gt;"",$B34,"")</f>
        <v>Street Lighting</v>
      </c>
      <c r="J52" s="135" t="str">
        <f>IF($B35&lt;&gt;"",$B35,"")</f>
        <v>USL</v>
      </c>
      <c r="K52" s="135" t="str">
        <f>IF($B36&lt;&gt;"",$B36,"")</f>
        <v>Sentinel Lights</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41900.616000000002</v>
      </c>
      <c r="E66" s="164">
        <f>'5.  2015-2020 LRAM'!Z204</f>
        <v>17514.339080000002</v>
      </c>
      <c r="F66" s="164">
        <f>'5.  2015-2020 LRAM'!AA204</f>
        <v>8989.1966520000005</v>
      </c>
      <c r="G66" s="164">
        <f>'5.  2015-2020 LRAM'!AB204</f>
        <v>24863.993603999996</v>
      </c>
      <c r="H66" s="164">
        <f>'5.  2015-2020 LRAM'!AC204</f>
        <v>0</v>
      </c>
      <c r="I66" s="164">
        <f>'5.  2015-2020 LRAM'!AD204</f>
        <v>194095.12819999998</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287363.27353599994</v>
      </c>
      <c r="U66" s="152"/>
      <c r="V66" s="153"/>
    </row>
    <row r="67" spans="2:22" s="163" customFormat="1">
      <c r="B67" s="154" t="s">
        <v>93</v>
      </c>
      <c r="C67" s="155"/>
      <c r="D67" s="164">
        <f>-'5.  2015-2020 LRAM'!Y205</f>
        <v>-46017.493743920269</v>
      </c>
      <c r="E67" s="164">
        <f>-'5.  2015-2020 LRAM'!Z205</f>
        <v>-17147.903429413531</v>
      </c>
      <c r="F67" s="164">
        <f>-'5.  2015-2020 LRAM'!AA205</f>
        <v>-23473.58081844206</v>
      </c>
      <c r="G67" s="164">
        <f>-'5.  2015-2020 LRAM'!AB205</f>
        <v>-3505.7455121429257</v>
      </c>
      <c r="H67" s="164">
        <f>-'5.  2015-2020 LRAM'!AC205</f>
        <v>-1572.1550592382989</v>
      </c>
      <c r="I67" s="164">
        <f>-'5.  2015-2020 LRAM'!AD205</f>
        <v>-194099.4854081829</v>
      </c>
      <c r="J67" s="164">
        <f>-'5.  2015-2020 LRAM'!AE205</f>
        <v>-279.11413622122006</v>
      </c>
      <c r="K67" s="164">
        <f>-'5.  2015-2020 LRAM'!AF205</f>
        <v>-6.2114000000000003</v>
      </c>
      <c r="L67" s="164">
        <f>-'5.  2015-2020 LRAM'!AG205</f>
        <v>0</v>
      </c>
      <c r="M67" s="164">
        <f>-'5.  2015-2020 LRAM'!AH205</f>
        <v>0</v>
      </c>
      <c r="N67" s="164">
        <f>-'5.  2015-2020 LRAM'!AI205</f>
        <v>0</v>
      </c>
      <c r="O67" s="164">
        <f>-'5.  2015-2020 LRAM'!AJ205</f>
        <v>0</v>
      </c>
      <c r="P67" s="164">
        <f>-'5.  2015-2020 LRAM'!AK205</f>
        <v>0</v>
      </c>
      <c r="Q67" s="164">
        <f>-'5.  2015-2020 LRAM'!AL205</f>
        <v>0</v>
      </c>
      <c r="R67" s="157">
        <f>SUM(D67:Q67)</f>
        <v>-286101.68950756121</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181894.58760000003</v>
      </c>
      <c r="E69" s="156">
        <f>'5.  2015-2020 LRAM'!Z388</f>
        <v>54193.120112999997</v>
      </c>
      <c r="F69" s="156">
        <f>'5.  2015-2020 LRAM'!AA388</f>
        <v>23674.79736</v>
      </c>
      <c r="G69" s="156">
        <f>'5.  2015-2020 LRAM'!AB388</f>
        <v>25310.502096</v>
      </c>
      <c r="H69" s="156">
        <f>'5.  2015-2020 LRAM'!AC388</f>
        <v>0</v>
      </c>
      <c r="I69" s="156">
        <f>'5.  2015-2020 LRAM'!AD388</f>
        <v>302964.739</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588037.74616899993</v>
      </c>
      <c r="U69" s="152"/>
      <c r="V69" s="153"/>
    </row>
    <row r="70" spans="2:22" s="163" customFormat="1">
      <c r="B70" s="154" t="s">
        <v>224</v>
      </c>
      <c r="C70" s="155"/>
      <c r="D70" s="156">
        <f>-'5.  2015-2020 LRAM'!Y389</f>
        <v>-54454.034263638983</v>
      </c>
      <c r="E70" s="156">
        <f>-'5.  2015-2020 LRAM'!Z389</f>
        <v>-15836.593167164257</v>
      </c>
      <c r="F70" s="156">
        <f>-'5.  2015-2020 LRAM'!AA389</f>
        <v>-28309.782619001475</v>
      </c>
      <c r="G70" s="156">
        <f>-'5.  2015-2020 LRAM'!AB389</f>
        <v>-3225.6699438966584</v>
      </c>
      <c r="H70" s="156">
        <f>-'5.  2015-2020 LRAM'!AC389</f>
        <v>-1582.4926430382682</v>
      </c>
      <c r="I70" s="156">
        <f>-'5.  2015-2020 LRAM'!AD389</f>
        <v>-302971.54020336946</v>
      </c>
      <c r="J70" s="156">
        <f>-'5.  2015-2020 LRAM'!AE389</f>
        <v>-365.31114887777335</v>
      </c>
      <c r="K70" s="156">
        <f>-'5.  2015-2020 LRAM'!AF389</f>
        <v>-7.5087999999999999</v>
      </c>
      <c r="L70" s="156">
        <f>-'5.  2015-2020 LRAM'!AG389</f>
        <v>0</v>
      </c>
      <c r="M70" s="156">
        <f>-'5.  2015-2020 LRAM'!AH389</f>
        <v>0</v>
      </c>
      <c r="N70" s="156">
        <f>-'5.  2015-2020 LRAM'!AI389</f>
        <v>0</v>
      </c>
      <c r="O70" s="156">
        <f>-'5.  2015-2020 LRAM'!AJ389</f>
        <v>0</v>
      </c>
      <c r="P70" s="156">
        <f>-'5.  2015-2020 LRAM'!AK389</f>
        <v>0</v>
      </c>
      <c r="Q70" s="156">
        <f>-'5.  2015-2020 LRAM'!AL389</f>
        <v>0</v>
      </c>
      <c r="R70" s="157">
        <f>SUM(D70:Q70)</f>
        <v>-406752.93278898689</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321868.21460000001</v>
      </c>
      <c r="E72" s="156">
        <f>'5.  2015-2020 LRAM'!Z572</f>
        <v>116473.873166</v>
      </c>
      <c r="F72" s="156">
        <f>'5.  2015-2020 LRAM'!AA572</f>
        <v>47831.89749599999</v>
      </c>
      <c r="G72" s="156">
        <f>'5.  2015-2020 LRAM'!AB572</f>
        <v>25720.447752</v>
      </c>
      <c r="H72" s="156">
        <f>'5.  2015-2020 LRAM'!AC572</f>
        <v>832.18578000000002</v>
      </c>
      <c r="I72" s="812">
        <f>'5.  2015-2020 LRAM'!AD572</f>
        <v>318053.47440000001</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830780.09319399996</v>
      </c>
      <c r="U72" s="152"/>
      <c r="V72" s="153"/>
    </row>
    <row r="73" spans="2:22" s="163" customFormat="1">
      <c r="B73" s="154" t="s">
        <v>226</v>
      </c>
      <c r="C73" s="155"/>
      <c r="D73" s="156">
        <f>-'5.  2015-2020 LRAM'!Y573</f>
        <v>-41799.223484060909</v>
      </c>
      <c r="E73" s="156">
        <f>-'5.  2015-2020 LRAM'!Z573</f>
        <v>-16240.07324785634</v>
      </c>
      <c r="F73" s="156">
        <f>-'5.  2015-2020 LRAM'!AA573</f>
        <v>-28911.539509271261</v>
      </c>
      <c r="G73" s="156">
        <f>-'5.  2015-2020 LRAM'!AB573</f>
        <v>-3278.9532726697289</v>
      </c>
      <c r="H73" s="156">
        <f>-'5.  2015-2020 LRAM'!AC573</f>
        <v>-1606.7668212944923</v>
      </c>
      <c r="I73" s="156">
        <f>-'5.  2015-2020 LRAM'!AD573</f>
        <v>-318060.61432779784</v>
      </c>
      <c r="J73" s="156">
        <f>-'5.  2015-2020 LRAM'!AE573</f>
        <v>-373.52038817839747</v>
      </c>
      <c r="K73" s="156">
        <f>-'5.  2015-2020 LRAM'!AF573</f>
        <v>-7.6711999999999998</v>
      </c>
      <c r="L73" s="156">
        <f>-'5.  2015-2020 LRAM'!AG573</f>
        <v>0</v>
      </c>
      <c r="M73" s="156">
        <f>-'5.  2015-2020 LRAM'!AH573</f>
        <v>0</v>
      </c>
      <c r="N73" s="156">
        <f>-'5.  2015-2020 LRAM'!AI573</f>
        <v>0</v>
      </c>
      <c r="O73" s="156">
        <f>-'5.  2015-2020 LRAM'!AJ573</f>
        <v>0</v>
      </c>
      <c r="P73" s="156">
        <f>-'5.  2015-2020 LRAM'!AK573</f>
        <v>0</v>
      </c>
      <c r="Q73" s="156">
        <f>-'5.  2015-2020 LRAM'!AL573</f>
        <v>0</v>
      </c>
      <c r="R73" s="157">
        <f>SUM(D73:Q73)</f>
        <v>-410278.362251129</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0</v>
      </c>
      <c r="E75" s="156">
        <f>'5.  2015-2020 LRAM'!Z756</f>
        <v>0</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0</v>
      </c>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20280.88189823251</v>
      </c>
      <c r="E84" s="679">
        <f>'6.  Carrying Charges'!J162</f>
        <v>6963.9593730196275</v>
      </c>
      <c r="F84" s="679">
        <f>'6.  Carrying Charges'!K162</f>
        <v>-383.29291802810639</v>
      </c>
      <c r="G84" s="679">
        <f>'6.  Carrying Charges'!L162</f>
        <v>3816.6293876516452</v>
      </c>
      <c r="H84" s="679">
        <f>'6.  Carrying Charges'!M162</f>
        <v>-237.21731217544306</v>
      </c>
      <c r="I84" s="679">
        <f>'6.  Carrying Charges'!N162</f>
        <v>-1.0324319114536895</v>
      </c>
      <c r="J84" s="679">
        <f>'6.  Carrying Charges'!O162</f>
        <v>-58.105850898911356</v>
      </c>
      <c r="K84" s="679">
        <f>'6.  Carrying Charges'!P162</f>
        <v>-1.2268741104166669</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30380.595271779453</v>
      </c>
      <c r="U84" s="152"/>
      <c r="V84" s="153"/>
    </row>
    <row r="85" spans="2:22" s="163" customFormat="1" ht="21.75" customHeight="1">
      <c r="B85" s="623" t="s">
        <v>240</v>
      </c>
      <c r="C85" s="624"/>
      <c r="D85" s="623">
        <f t="shared" ref="D85:I85" si="2">SUM(D54:D77)+D84</f>
        <v>423673.54860661243</v>
      </c>
      <c r="E85" s="623">
        <f t="shared" si="2"/>
        <v>145920.7218875855</v>
      </c>
      <c r="F85" s="623">
        <f t="shared" si="2"/>
        <v>-582.30435674290879</v>
      </c>
      <c r="G85" s="623">
        <f t="shared" si="2"/>
        <v>69701.20411094233</v>
      </c>
      <c r="H85" s="623">
        <f t="shared" si="2"/>
        <v>-4166.4460557465018</v>
      </c>
      <c r="I85" s="623">
        <f t="shared" si="2"/>
        <v>-19.330771261660932</v>
      </c>
      <c r="J85" s="623">
        <f t="shared" ref="J85:O85" si="3">SUM(J54:J77)+J84</f>
        <v>-1076.0515241763021</v>
      </c>
      <c r="K85" s="623">
        <f t="shared" si="3"/>
        <v>-22.618274110416667</v>
      </c>
      <c r="L85" s="623">
        <f t="shared" si="3"/>
        <v>0</v>
      </c>
      <c r="M85" s="623">
        <f t="shared" si="3"/>
        <v>0</v>
      </c>
      <c r="N85" s="623">
        <f>SUM(N54:N77)+N84</f>
        <v>0</v>
      </c>
      <c r="O85" s="623">
        <f t="shared" si="3"/>
        <v>0</v>
      </c>
      <c r="P85" s="623">
        <f>SUM(P54:P77)+P84</f>
        <v>0</v>
      </c>
      <c r="Q85" s="623">
        <f>SUM(Q54:Q77)+Q84</f>
        <v>0</v>
      </c>
      <c r="R85" s="623">
        <f>SUM(R54:R77)+R84</f>
        <v>633428.72362310207</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4.4">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287363.27353599994</v>
      </c>
      <c r="H97" s="556">
        <f>SUM('5.  2015-2020 LRAM'!Y386:AL386)</f>
        <v>401841.90240399999</v>
      </c>
      <c r="I97" s="557">
        <f>SUM('5.  2015-2020 LRAM'!Y569:AL569)</f>
        <v>406506.264784</v>
      </c>
      <c r="J97" s="556">
        <f>SUM('5.  2015-2020 LRAM'!Y752:AL752)</f>
        <v>0</v>
      </c>
      <c r="K97" s="556">
        <f>SUM('5.  2015-2020 LRAM'!Y935:AL935)</f>
        <v>0</v>
      </c>
      <c r="L97" s="556">
        <f>SUM('5.  2015-2020 LRAM'!Y1118:AL1118)</f>
        <v>0</v>
      </c>
      <c r="M97" s="556">
        <f>SUM(G97:L97)</f>
        <v>1095711.4407239999</v>
      </c>
      <c r="T97" s="197"/>
      <c r="U97" s="197"/>
    </row>
    <row r="98" spans="2:21" s="90" customFormat="1" ht="23.25" hidden="1" customHeight="1">
      <c r="B98" s="198">
        <v>2016</v>
      </c>
      <c r="C98" s="559"/>
      <c r="D98" s="559"/>
      <c r="E98" s="559"/>
      <c r="F98" s="559"/>
      <c r="G98" s="559"/>
      <c r="H98" s="556">
        <f>SUM('5.  2015-2020 LRAM'!Y387:AL387)</f>
        <v>186195.84376500003</v>
      </c>
      <c r="I98" s="557">
        <f>SUM('5.  2015-2020 LRAM'!Y570:AL570)</f>
        <v>156561.05082200002</v>
      </c>
      <c r="J98" s="556">
        <f>SUM('5.  2015-2020 LRAM'!Y753:AL753)</f>
        <v>0</v>
      </c>
      <c r="K98" s="556">
        <f>SUM('5.  2015-2020 LRAM'!Y936:AL936)</f>
        <v>0</v>
      </c>
      <c r="L98" s="556">
        <f>SUM('5.  2015-2020 LRAM'!Y1119:AL1119)</f>
        <v>0</v>
      </c>
      <c r="M98" s="556">
        <f>SUM(H98:L98)</f>
        <v>342756.89458700002</v>
      </c>
      <c r="T98" s="197"/>
      <c r="U98" s="197"/>
    </row>
    <row r="99" spans="2:21" s="90" customFormat="1" ht="23.25" hidden="1" customHeight="1">
      <c r="B99" s="198">
        <v>2017</v>
      </c>
      <c r="C99" s="559"/>
      <c r="D99" s="559"/>
      <c r="E99" s="559"/>
      <c r="F99" s="559"/>
      <c r="G99" s="559"/>
      <c r="H99" s="559"/>
      <c r="I99" s="556">
        <f>SUM('5.  2015-2020 LRAM'!Y571:AL571)</f>
        <v>267712.777588</v>
      </c>
      <c r="J99" s="556">
        <f>SUM('5.  2015-2020 LRAM'!Y754:AL754)</f>
        <v>0</v>
      </c>
      <c r="K99" s="556">
        <f>SUM('5.  2015-2020 LRAM'!Y937:AL937)</f>
        <v>0</v>
      </c>
      <c r="L99" s="556">
        <f>SUM('5.  2015-2020 LRAM'!Y1120:AL1120)</f>
        <v>0</v>
      </c>
      <c r="M99" s="556">
        <f>SUM(I99:L99)</f>
        <v>267712.777588</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0</v>
      </c>
      <c r="G103" s="556">
        <f>G93+G94+G95+G96+G97</f>
        <v>287363.27353599994</v>
      </c>
      <c r="H103" s="556">
        <f>H93+H94+H95+H96+H97+H98</f>
        <v>588037.74616900005</v>
      </c>
      <c r="I103" s="556">
        <f>I93+I94+I95+I96+I97+I98+I99</f>
        <v>830780.09319399996</v>
      </c>
      <c r="J103" s="556">
        <f>J93+J94+J95+J96+J97+J98+J99+J100</f>
        <v>0</v>
      </c>
      <c r="K103" s="556">
        <f>K93+K94+K95+K96+K97+K98+K99+K100+K101</f>
        <v>0</v>
      </c>
      <c r="L103" s="556">
        <f>SUM(L93:L102)</f>
        <v>0</v>
      </c>
      <c r="M103" s="556">
        <f>SUM(M93:M102)</f>
        <v>1706181.1128989998</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0</v>
      </c>
      <c r="G104" s="554">
        <f>'5.  2015-2020 LRAM'!AM205</f>
        <v>286101.68950756121</v>
      </c>
      <c r="H104" s="554">
        <f>'5.  2015-2020 LRAM'!AM389</f>
        <v>406752.93278898689</v>
      </c>
      <c r="I104" s="554">
        <f>'5.  2015-2020 LRAM'!AM573</f>
        <v>410278.362251129</v>
      </c>
      <c r="J104" s="554">
        <f>'5.  2015-2020 LRAM'!AM757</f>
        <v>0</v>
      </c>
      <c r="K104" s="554">
        <f>'5.  2015-2020 LRAM'!AM941</f>
        <v>0</v>
      </c>
      <c r="L104" s="554">
        <f>'5.  2015-2020 LRAM'!AM1125</f>
        <v>0</v>
      </c>
      <c r="M104" s="556">
        <f>SUM(C104:L104)</f>
        <v>1103132.984547677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6.4577332455709753</v>
      </c>
      <c r="H105" s="554">
        <f>'6.  Carrying Charges'!W102</f>
        <v>934.31275834929704</v>
      </c>
      <c r="I105" s="554">
        <f>'6.  Carrying Charges'!W117</f>
        <v>5595.3171965400879</v>
      </c>
      <c r="J105" s="554">
        <f>'6.  Carrying Charges'!W132</f>
        <v>16827.088587083475</v>
      </c>
      <c r="K105" s="554">
        <f>'6.  Carrying Charges'!W147</f>
        <v>30380.595271779479</v>
      </c>
      <c r="L105" s="554">
        <f>'6.  Carrying Charges'!W162</f>
        <v>30380.595271779479</v>
      </c>
      <c r="M105" s="556">
        <f>SUM(C105:L105)</f>
        <v>84124.366818777387</v>
      </c>
    </row>
    <row r="106" spans="2:21" ht="23.25" hidden="1" customHeight="1">
      <c r="B106" s="571" t="s">
        <v>26</v>
      </c>
      <c r="C106" s="554">
        <f>C103-C104+C105</f>
        <v>0</v>
      </c>
      <c r="D106" s="554">
        <f t="shared" ref="D106:J106" si="4">D103-D104+D105</f>
        <v>0</v>
      </c>
      <c r="E106" s="554">
        <f t="shared" si="4"/>
        <v>0</v>
      </c>
      <c r="F106" s="554">
        <f t="shared" si="4"/>
        <v>0</v>
      </c>
      <c r="G106" s="554">
        <f t="shared" si="4"/>
        <v>1268.0417616842942</v>
      </c>
      <c r="H106" s="554">
        <f t="shared" si="4"/>
        <v>182219.12613836245</v>
      </c>
      <c r="I106" s="554">
        <f t="shared" si="4"/>
        <v>426097.04813941102</v>
      </c>
      <c r="J106" s="554">
        <f t="shared" si="4"/>
        <v>16827.088587083475</v>
      </c>
      <c r="K106" s="554">
        <f>K103-K104+K105</f>
        <v>30380.595271779479</v>
      </c>
      <c r="L106" s="554">
        <f>L103-L104+L105</f>
        <v>30380.595271779479</v>
      </c>
      <c r="M106" s="554">
        <f>M103-M104+M105</f>
        <v>687172.49517010024</v>
      </c>
    </row>
    <row r="107" spans="2:21" hidden="1"/>
    <row r="108" spans="2:21">
      <c r="B108" s="589"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53</xdr:row>
                    <xdr:rowOff>22860</xdr:rowOff>
                  </from>
                  <to>
                    <xdr:col>2</xdr:col>
                    <xdr:colOff>1379220</xdr:colOff>
                    <xdr:row>54</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56</xdr:row>
                    <xdr:rowOff>22860</xdr:rowOff>
                  </from>
                  <to>
                    <xdr:col>2</xdr:col>
                    <xdr:colOff>1379220</xdr:colOff>
                    <xdr:row>57</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59</xdr:row>
                    <xdr:rowOff>22860</xdr:rowOff>
                  </from>
                  <to>
                    <xdr:col>2</xdr:col>
                    <xdr:colOff>1379220</xdr:colOff>
                    <xdr:row>60</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62</xdr:row>
                    <xdr:rowOff>22860</xdr:rowOff>
                  </from>
                  <to>
                    <xdr:col>2</xdr:col>
                    <xdr:colOff>1379220</xdr:colOff>
                    <xdr:row>63</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65</xdr:row>
                    <xdr:rowOff>22860</xdr:rowOff>
                  </from>
                  <to>
                    <xdr:col>2</xdr:col>
                    <xdr:colOff>1379220</xdr:colOff>
                    <xdr:row>66</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68</xdr:row>
                    <xdr:rowOff>38100</xdr:rowOff>
                  </from>
                  <to>
                    <xdr:col>2</xdr:col>
                    <xdr:colOff>1379220</xdr:colOff>
                    <xdr:row>69</xdr:row>
                    <xdr:rowOff>175260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71</xdr:row>
                    <xdr:rowOff>38100</xdr:rowOff>
                  </from>
                  <to>
                    <xdr:col>2</xdr:col>
                    <xdr:colOff>1379220</xdr:colOff>
                    <xdr:row>72</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70" zoomScaleNormal="70" workbookViewId="0">
      <selection activeCell="G29" sqref="G29:H29"/>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171</v>
      </c>
      <c r="C14" s="126" t="s">
        <v>175</v>
      </c>
    </row>
    <row r="15" spans="2:3" ht="26.25" customHeight="1" thickBot="1">
      <c r="C15" s="128" t="s">
        <v>407</v>
      </c>
    </row>
    <row r="16" spans="2:3" ht="27" customHeight="1" thickBot="1">
      <c r="C16" s="569" t="s">
        <v>554</v>
      </c>
    </row>
    <row r="19" spans="2:8" ht="15.6">
      <c r="B19" s="537" t="s">
        <v>621</v>
      </c>
    </row>
    <row r="20" spans="2:8" ht="13.5" customHeight="1"/>
    <row r="21" spans="2:8" ht="40.950000000000003" customHeight="1">
      <c r="B21" s="848" t="s">
        <v>684</v>
      </c>
      <c r="C21" s="848"/>
      <c r="D21" s="848"/>
      <c r="E21" s="848"/>
      <c r="F21" s="848"/>
      <c r="G21" s="848"/>
      <c r="H21" s="848"/>
    </row>
    <row r="23" spans="2:8" s="609" customFormat="1" ht="15.6">
      <c r="B23" s="619" t="s">
        <v>549</v>
      </c>
      <c r="C23" s="619" t="s">
        <v>564</v>
      </c>
      <c r="D23" s="619" t="s">
        <v>548</v>
      </c>
      <c r="E23" s="857" t="s">
        <v>34</v>
      </c>
      <c r="F23" s="858"/>
      <c r="G23" s="857" t="s">
        <v>547</v>
      </c>
      <c r="H23" s="858"/>
    </row>
    <row r="24" spans="2:8" ht="39.6" customHeight="1">
      <c r="B24" s="608">
        <v>1</v>
      </c>
      <c r="C24" s="644" t="s">
        <v>371</v>
      </c>
      <c r="D24" s="607" t="s">
        <v>756</v>
      </c>
      <c r="E24" s="853" t="s">
        <v>757</v>
      </c>
      <c r="F24" s="854"/>
      <c r="G24" s="853" t="s">
        <v>758</v>
      </c>
      <c r="H24" s="854"/>
    </row>
    <row r="25" spans="2:8" ht="49.2" customHeight="1">
      <c r="B25" s="608">
        <v>2</v>
      </c>
      <c r="C25" s="644" t="s">
        <v>370</v>
      </c>
      <c r="D25" s="607" t="s">
        <v>770</v>
      </c>
      <c r="E25" s="853" t="s">
        <v>759</v>
      </c>
      <c r="F25" s="854"/>
      <c r="G25" s="853" t="s">
        <v>771</v>
      </c>
      <c r="H25" s="854"/>
    </row>
    <row r="26" spans="2:8" ht="34.799999999999997" customHeight="1">
      <c r="B26" s="608">
        <v>3</v>
      </c>
      <c r="C26" s="644" t="s">
        <v>370</v>
      </c>
      <c r="D26" s="607" t="s">
        <v>772</v>
      </c>
      <c r="E26" s="853" t="s">
        <v>774</v>
      </c>
      <c r="F26" s="854"/>
      <c r="G26" s="853" t="s">
        <v>773</v>
      </c>
      <c r="H26" s="854"/>
    </row>
    <row r="27" spans="2:8" ht="35.4" customHeight="1">
      <c r="B27" s="608">
        <v>4</v>
      </c>
      <c r="C27" s="644" t="s">
        <v>370</v>
      </c>
      <c r="D27" s="607" t="s">
        <v>776</v>
      </c>
      <c r="E27" s="853" t="s">
        <v>775</v>
      </c>
      <c r="F27" s="854"/>
      <c r="G27" s="853" t="s">
        <v>777</v>
      </c>
      <c r="H27" s="854"/>
    </row>
    <row r="28" spans="2:8">
      <c r="B28" s="608">
        <v>5</v>
      </c>
      <c r="C28" s="644"/>
      <c r="D28" s="607"/>
      <c r="E28" s="853"/>
      <c r="F28" s="854"/>
      <c r="G28" s="855"/>
      <c r="H28" s="856"/>
    </row>
    <row r="29" spans="2:8">
      <c r="B29" s="608">
        <v>6</v>
      </c>
      <c r="C29" s="644"/>
      <c r="D29" s="607"/>
      <c r="E29" s="853"/>
      <c r="F29" s="854"/>
      <c r="G29" s="855"/>
      <c r="H29" s="856"/>
    </row>
    <row r="30" spans="2:8">
      <c r="B30" s="608">
        <v>7</v>
      </c>
      <c r="C30" s="644"/>
      <c r="D30" s="607"/>
      <c r="E30" s="853"/>
      <c r="F30" s="854"/>
      <c r="G30" s="855"/>
      <c r="H30" s="856"/>
    </row>
    <row r="31" spans="2:8">
      <c r="B31" s="608">
        <v>8</v>
      </c>
      <c r="C31" s="644"/>
      <c r="D31" s="607"/>
      <c r="E31" s="853"/>
      <c r="F31" s="854"/>
      <c r="G31" s="855"/>
      <c r="H31" s="856"/>
    </row>
    <row r="32" spans="2:8">
      <c r="B32" s="608">
        <v>9</v>
      </c>
      <c r="C32" s="644"/>
      <c r="D32" s="607"/>
      <c r="E32" s="853"/>
      <c r="F32" s="854"/>
      <c r="G32" s="855"/>
      <c r="H32" s="856"/>
    </row>
    <row r="33" spans="2:8">
      <c r="B33" s="608">
        <v>10</v>
      </c>
      <c r="C33" s="644"/>
      <c r="D33" s="607"/>
      <c r="E33" s="853"/>
      <c r="F33" s="854"/>
      <c r="G33" s="855"/>
      <c r="H33" s="856"/>
    </row>
    <row r="34" spans="2:8">
      <c r="B34" s="608" t="s">
        <v>481</v>
      </c>
      <c r="C34" s="644"/>
      <c r="D34" s="607"/>
      <c r="E34" s="853"/>
      <c r="F34" s="854"/>
      <c r="G34" s="855"/>
      <c r="H34" s="856"/>
    </row>
    <row r="36" spans="2:8" ht="30.75" customHeight="1">
      <c r="B36" s="537" t="s">
        <v>617</v>
      </c>
    </row>
    <row r="37" spans="2:8" ht="23.25" customHeight="1">
      <c r="B37" s="568" t="s">
        <v>622</v>
      </c>
      <c r="C37" s="605"/>
      <c r="D37" s="605"/>
      <c r="E37" s="605"/>
      <c r="F37" s="605"/>
      <c r="G37" s="605"/>
      <c r="H37" s="605"/>
    </row>
    <row r="39" spans="2:8" s="90" customFormat="1" ht="15.6">
      <c r="B39" s="619" t="s">
        <v>549</v>
      </c>
      <c r="C39" s="619" t="s">
        <v>564</v>
      </c>
      <c r="D39" s="619" t="s">
        <v>548</v>
      </c>
      <c r="E39" s="857" t="s">
        <v>34</v>
      </c>
      <c r="F39" s="858"/>
      <c r="G39" s="857" t="s">
        <v>547</v>
      </c>
      <c r="H39" s="858"/>
    </row>
    <row r="40" spans="2:8">
      <c r="B40" s="608">
        <v>1</v>
      </c>
      <c r="C40" s="644"/>
      <c r="D40" s="607"/>
      <c r="E40" s="853"/>
      <c r="F40" s="854"/>
      <c r="G40" s="855"/>
      <c r="H40" s="856"/>
    </row>
    <row r="41" spans="2:8">
      <c r="B41" s="608">
        <v>2</v>
      </c>
      <c r="C41" s="644"/>
      <c r="D41" s="607"/>
      <c r="E41" s="853"/>
      <c r="F41" s="854"/>
      <c r="G41" s="855"/>
      <c r="H41" s="856"/>
    </row>
    <row r="42" spans="2:8">
      <c r="B42" s="608">
        <v>3</v>
      </c>
      <c r="C42" s="644"/>
      <c r="D42" s="607"/>
      <c r="E42" s="853"/>
      <c r="F42" s="854"/>
      <c r="G42" s="855"/>
      <c r="H42" s="856"/>
    </row>
    <row r="43" spans="2:8">
      <c r="B43" s="608">
        <v>4</v>
      </c>
      <c r="C43" s="644"/>
      <c r="D43" s="607"/>
      <c r="E43" s="853"/>
      <c r="F43" s="854"/>
      <c r="G43" s="855"/>
      <c r="H43" s="856"/>
    </row>
    <row r="44" spans="2:8">
      <c r="B44" s="608">
        <v>5</v>
      </c>
      <c r="C44" s="644"/>
      <c r="D44" s="607"/>
      <c r="E44" s="853"/>
      <c r="F44" s="854"/>
      <c r="G44" s="855"/>
      <c r="H44" s="856"/>
    </row>
    <row r="45" spans="2:8">
      <c r="B45" s="608">
        <v>6</v>
      </c>
      <c r="C45" s="644"/>
      <c r="D45" s="607"/>
      <c r="E45" s="853"/>
      <c r="F45" s="854"/>
      <c r="G45" s="855"/>
      <c r="H45" s="856"/>
    </row>
    <row r="46" spans="2:8">
      <c r="B46" s="608">
        <v>7</v>
      </c>
      <c r="C46" s="644"/>
      <c r="D46" s="607"/>
      <c r="E46" s="853"/>
      <c r="F46" s="854"/>
      <c r="G46" s="855"/>
      <c r="H46" s="856"/>
    </row>
    <row r="47" spans="2:8">
      <c r="B47" s="608">
        <v>8</v>
      </c>
      <c r="C47" s="644"/>
      <c r="D47" s="607"/>
      <c r="E47" s="853"/>
      <c r="F47" s="854"/>
      <c r="G47" s="855"/>
      <c r="H47" s="856"/>
    </row>
    <row r="48" spans="2:8">
      <c r="B48" s="608">
        <v>9</v>
      </c>
      <c r="C48" s="644"/>
      <c r="D48" s="607"/>
      <c r="E48" s="853"/>
      <c r="F48" s="854"/>
      <c r="G48" s="855"/>
      <c r="H48" s="856"/>
    </row>
    <row r="49" spans="2:8">
      <c r="B49" s="608">
        <v>10</v>
      </c>
      <c r="C49" s="644"/>
      <c r="D49" s="607"/>
      <c r="E49" s="853"/>
      <c r="F49" s="854"/>
      <c r="G49" s="855"/>
      <c r="H49" s="856"/>
    </row>
    <row r="50" spans="2:8">
      <c r="B50" s="608" t="s">
        <v>481</v>
      </c>
      <c r="C50" s="644"/>
      <c r="D50" s="607"/>
      <c r="E50" s="853"/>
      <c r="F50" s="854"/>
      <c r="G50" s="855"/>
      <c r="H50" s="85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B22" zoomScale="60" zoomScaleNormal="60" workbookViewId="0">
      <selection activeCell="J48" sqref="J48"/>
    </sheetView>
  </sheetViews>
  <sheetFormatPr defaultColWidth="9.109375" defaultRowHeight="14.4"/>
  <cols>
    <col min="1" max="1" width="5.33203125" style="12" customWidth="1"/>
    <col min="2" max="2" width="31.554687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2015</v>
      </c>
    </row>
    <row r="10" spans="2:17" s="17" customFormat="1" ht="16.5" customHeight="1"/>
    <row r="11" spans="2:17" s="17" customFormat="1" ht="36.75" customHeight="1">
      <c r="B11" s="859" t="s">
        <v>566</v>
      </c>
      <c r="C11" s="859"/>
      <c r="D11" s="859"/>
      <c r="E11" s="859"/>
      <c r="F11" s="859"/>
      <c r="G11" s="859"/>
      <c r="H11" s="859"/>
      <c r="I11" s="859"/>
      <c r="J11" s="859"/>
      <c r="K11" s="859"/>
      <c r="L11" s="859"/>
      <c r="M11" s="859"/>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 to 999 kW (I1 &amp; I4)</v>
      </c>
      <c r="G13" s="243" t="str">
        <f>'1.  LRAMVA Summary'!G52</f>
        <v>GS 1,000 to 4,999 kW (I2)</v>
      </c>
      <c r="H13" s="243" t="str">
        <f>'1.  LRAMVA Summary'!H52</f>
        <v>Large Use (I3)</v>
      </c>
      <c r="I13" s="243" t="str">
        <f>'1.  LRAMVA Summary'!I52</f>
        <v>Street Lighting</v>
      </c>
      <c r="J13" s="243" t="str">
        <f>'1.  LRAMVA Summary'!J52</f>
        <v>USL</v>
      </c>
      <c r="K13" s="243" t="str">
        <f>'1.  LRAMVA Summary'!K52</f>
        <v>Sentinel Lights</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12166667</v>
      </c>
      <c r="D15" s="761">
        <v>3834791.1453266889</v>
      </c>
      <c r="E15" s="761">
        <v>1008700.2017302075</v>
      </c>
      <c r="F15" s="761">
        <v>2505248.311070208</v>
      </c>
      <c r="G15" s="761">
        <v>612169.61697435426</v>
      </c>
      <c r="H15" s="761">
        <v>338528.1295386409</v>
      </c>
      <c r="I15" s="761">
        <v>3846486.6557611316</v>
      </c>
      <c r="J15" s="761">
        <v>20523.098251560299</v>
      </c>
      <c r="K15" s="761">
        <v>219.84134720893545</v>
      </c>
      <c r="L15" s="451"/>
      <c r="M15" s="451"/>
      <c r="N15" s="451"/>
      <c r="O15" s="451"/>
      <c r="P15" s="452"/>
      <c r="Q15" s="452"/>
    </row>
    <row r="16" spans="2:17" s="456" customFormat="1" ht="15.75" customHeight="1">
      <c r="B16" s="461" t="s">
        <v>28</v>
      </c>
      <c r="C16" s="626">
        <f>SUM(D16:Q16)</f>
        <v>19167.978772931558</v>
      </c>
      <c r="D16" s="757"/>
      <c r="E16" s="757"/>
      <c r="F16" s="757">
        <v>6327.6224003132484</v>
      </c>
      <c r="G16" s="757">
        <v>1352.3687505855519</v>
      </c>
      <c r="H16" s="757">
        <v>765.74694814587633</v>
      </c>
      <c r="I16" s="757">
        <v>10721.240673886883</v>
      </c>
      <c r="J16" s="757"/>
      <c r="K16" s="758">
        <v>1</v>
      </c>
      <c r="L16" s="452"/>
      <c r="M16" s="452"/>
      <c r="N16" s="452"/>
      <c r="O16" s="452"/>
      <c r="P16" s="452"/>
      <c r="Q16" s="452"/>
    </row>
    <row r="17" spans="2:17" s="17" customFormat="1" ht="15.75" customHeight="1">
      <c r="D17" s="759"/>
      <c r="E17" s="759"/>
      <c r="F17" s="759"/>
      <c r="G17" s="759"/>
      <c r="H17" s="759"/>
      <c r="I17" s="759"/>
      <c r="J17" s="759"/>
      <c r="K17" s="759"/>
    </row>
    <row r="18" spans="2:17" s="25" customFormat="1" ht="15.75" customHeight="1">
      <c r="B18" s="191" t="s">
        <v>452</v>
      </c>
      <c r="C18" s="192"/>
      <c r="D18" s="760">
        <f t="shared" ref="D18:E18" si="0">IF(D14="kw",HLOOKUP(D14,D14:D16,3,FALSE),HLOOKUP(D14,D14:D16,2,FALSE))</f>
        <v>3834791.1453266889</v>
      </c>
      <c r="E18" s="760">
        <f t="shared" si="0"/>
        <v>1008700.2017302075</v>
      </c>
      <c r="F18" s="760">
        <f>IF(F14="kw",HLOOKUP(F14,F14:F16,3,FALSE),HLOOKUP(F14,F14:F16,2,FALSE))</f>
        <v>6327.6224003132484</v>
      </c>
      <c r="G18" s="760">
        <f t="shared" ref="G18:Q18" si="1">IF(G14="kw",HLOOKUP(G14,G14:G16,3,FALSE),HLOOKUP(G14,G14:G16,2,FALSE))</f>
        <v>1352.3687505855519</v>
      </c>
      <c r="H18" s="760">
        <f t="shared" si="1"/>
        <v>765.74694814587633</v>
      </c>
      <c r="I18" s="760">
        <f t="shared" si="1"/>
        <v>10721.240673886883</v>
      </c>
      <c r="J18" s="760">
        <f t="shared" si="1"/>
        <v>20523.098251560299</v>
      </c>
      <c r="K18" s="760">
        <f t="shared" si="1"/>
        <v>1</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v>2015</v>
      </c>
      <c r="D20" s="454"/>
    </row>
    <row r="21" spans="2:17" s="438" customFormat="1" ht="21" customHeight="1">
      <c r="B21" s="460" t="s">
        <v>367</v>
      </c>
      <c r="C21" s="453" t="s">
        <v>735</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859" t="s">
        <v>565</v>
      </c>
      <c r="C26" s="859"/>
      <c r="D26" s="859"/>
      <c r="E26" s="859"/>
      <c r="F26" s="859"/>
      <c r="G26" s="859"/>
      <c r="H26" s="859"/>
      <c r="I26" s="859"/>
      <c r="J26" s="859"/>
      <c r="K26" s="859"/>
      <c r="L26" s="859"/>
      <c r="M26" s="859"/>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 to 999 kW (I1 &amp; I4)</v>
      </c>
      <c r="G28" s="243" t="str">
        <f>'1.  LRAMVA Summary'!G52</f>
        <v>GS 1,000 to 4,999 kW (I2)</v>
      </c>
      <c r="H28" s="243" t="str">
        <f>'1.  LRAMVA Summary'!H52</f>
        <v>Large Use (I3)</v>
      </c>
      <c r="I28" s="243" t="str">
        <f>'1.  LRAMVA Summary'!I52</f>
        <v>Street Lighting</v>
      </c>
      <c r="J28" s="243" t="str">
        <f>'1.  LRAMVA Summary'!J52</f>
        <v>USL</v>
      </c>
      <c r="K28" s="243" t="str">
        <f>'1.  LRAMVA Summary'!K52</f>
        <v>Sentinel Lights</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6">
      <c r="B39" s="118" t="s">
        <v>454</v>
      </c>
      <c r="C39" s="35"/>
      <c r="D39" s="34"/>
      <c r="E39" s="39"/>
      <c r="F39" s="40"/>
    </row>
    <row r="40" spans="2:32" s="70" customFormat="1" ht="39" customHeight="1">
      <c r="B40" s="859" t="s">
        <v>615</v>
      </c>
      <c r="C40" s="859"/>
      <c r="D40" s="859"/>
      <c r="E40" s="859"/>
      <c r="F40" s="859"/>
      <c r="G40" s="859"/>
      <c r="H40" s="859"/>
      <c r="I40" s="859"/>
      <c r="J40" s="859"/>
      <c r="K40" s="859"/>
      <c r="L40" s="859"/>
      <c r="M40" s="859"/>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612</v>
      </c>
      <c r="D42" s="243" t="str">
        <f>'1.  LRAMVA Summary'!D52</f>
        <v>Residential</v>
      </c>
      <c r="E42" s="243" t="str">
        <f>'1.  LRAMVA Summary'!E52</f>
        <v>GS&lt;50 kW</v>
      </c>
      <c r="F42" s="243" t="str">
        <f>'1.  LRAMVA Summary'!F52</f>
        <v>GS 50 to 999 kW (I1 &amp; I4)</v>
      </c>
      <c r="G42" s="243" t="str">
        <f>'1.  LRAMVA Summary'!G52</f>
        <v>GS 1,000 to 4,999 kW (I2)</v>
      </c>
      <c r="H42" s="243" t="str">
        <f>'1.  LRAMVA Summary'!H52</f>
        <v>Large Use (I3)</v>
      </c>
      <c r="I42" s="243" t="str">
        <f>'1.  LRAMVA Summary'!I52</f>
        <v>Street Lighting</v>
      </c>
      <c r="J42" s="243" t="str">
        <f>'1.  LRAMVA Summary'!J52</f>
        <v>USL</v>
      </c>
      <c r="K42" s="243" t="str">
        <f>'1.  LRAMVA Summary'!K52</f>
        <v>Sentinel Lights</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6">
      <c r="B48" s="171">
        <v>2015</v>
      </c>
      <c r="C48" s="534">
        <v>2015</v>
      </c>
      <c r="D48" s="190">
        <f t="shared" ref="D48:Q48" si="7">IF(ISBLANK($C$48),0,IF($C$48=$D$9,HLOOKUP(D43,D14:D18,5,FALSE),HLOOKUP(D43,D29:D33,5,FALSE)))</f>
        <v>3834791.1453266889</v>
      </c>
      <c r="E48" s="190">
        <f t="shared" si="7"/>
        <v>1008700.2017302075</v>
      </c>
      <c r="F48" s="190">
        <f t="shared" si="7"/>
        <v>6327.6224003132484</v>
      </c>
      <c r="G48" s="190">
        <f t="shared" si="7"/>
        <v>1352.3687505855519</v>
      </c>
      <c r="H48" s="190">
        <f t="shared" si="7"/>
        <v>765.74694814587633</v>
      </c>
      <c r="I48" s="190">
        <f t="shared" si="7"/>
        <v>10721.240673886883</v>
      </c>
      <c r="J48" s="190">
        <f t="shared" si="7"/>
        <v>20523.098251560299</v>
      </c>
      <c r="K48" s="190">
        <f t="shared" si="7"/>
        <v>1</v>
      </c>
      <c r="L48" s="190">
        <f t="shared" si="7"/>
        <v>0</v>
      </c>
      <c r="M48" s="190">
        <f t="shared" si="7"/>
        <v>0</v>
      </c>
      <c r="N48" s="190">
        <f t="shared" si="7"/>
        <v>0</v>
      </c>
      <c r="O48" s="190">
        <f t="shared" si="7"/>
        <v>0</v>
      </c>
      <c r="P48" s="190">
        <f t="shared" si="7"/>
        <v>0</v>
      </c>
      <c r="Q48" s="190">
        <f t="shared" si="7"/>
        <v>0</v>
      </c>
      <c r="R48" s="163"/>
      <c r="AF48" s="163"/>
    </row>
    <row r="49" spans="2:32" s="17" customFormat="1" ht="15.6">
      <c r="B49" s="171">
        <v>2016</v>
      </c>
      <c r="C49" s="534">
        <v>2015</v>
      </c>
      <c r="D49" s="190">
        <f t="shared" ref="D49:Q49" si="8">IF(ISBLANK($C$49),0,IF($C$49=$D$9,HLOOKUP(D43,D14:D18,5,FALSE),HLOOKUP(D43,D29:D33,5,FALSE)))</f>
        <v>3834791.1453266889</v>
      </c>
      <c r="E49" s="190">
        <f t="shared" si="8"/>
        <v>1008700.2017302075</v>
      </c>
      <c r="F49" s="190">
        <f t="shared" si="8"/>
        <v>6327.6224003132484</v>
      </c>
      <c r="G49" s="190">
        <f t="shared" si="8"/>
        <v>1352.3687505855519</v>
      </c>
      <c r="H49" s="190">
        <f t="shared" si="8"/>
        <v>765.74694814587633</v>
      </c>
      <c r="I49" s="190">
        <f t="shared" si="8"/>
        <v>10721.240673886883</v>
      </c>
      <c r="J49" s="190">
        <f t="shared" si="8"/>
        <v>20523.098251560299</v>
      </c>
      <c r="K49" s="190">
        <f t="shared" si="8"/>
        <v>1</v>
      </c>
      <c r="L49" s="190">
        <f t="shared" si="8"/>
        <v>0</v>
      </c>
      <c r="M49" s="190">
        <f t="shared" si="8"/>
        <v>0</v>
      </c>
      <c r="N49" s="190">
        <f t="shared" si="8"/>
        <v>0</v>
      </c>
      <c r="O49" s="190">
        <f t="shared" si="8"/>
        <v>0</v>
      </c>
      <c r="P49" s="190">
        <f t="shared" si="8"/>
        <v>0</v>
      </c>
      <c r="Q49" s="190">
        <f t="shared" si="8"/>
        <v>0</v>
      </c>
      <c r="R49" s="163"/>
      <c r="AF49" s="163"/>
    </row>
    <row r="50" spans="2:32" s="17" customFormat="1" ht="15.6">
      <c r="B50" s="171">
        <v>2017</v>
      </c>
      <c r="C50" s="534">
        <v>2015</v>
      </c>
      <c r="D50" s="190">
        <f t="shared" ref="D50:I50" si="9">IF(ISBLANK($C$50),0,IF($C$50=$D$9,HLOOKUP(D43,D14:D18,5,FALSE),HLOOKUP(D43,D29:D33,5,FALSE)))</f>
        <v>3834791.1453266889</v>
      </c>
      <c r="E50" s="190">
        <f t="shared" si="9"/>
        <v>1008700.2017302075</v>
      </c>
      <c r="F50" s="190">
        <f t="shared" si="9"/>
        <v>6327.6224003132484</v>
      </c>
      <c r="G50" s="190">
        <f t="shared" si="9"/>
        <v>1352.3687505855519</v>
      </c>
      <c r="H50" s="190">
        <f t="shared" si="9"/>
        <v>765.74694814587633</v>
      </c>
      <c r="I50" s="190">
        <f t="shared" si="9"/>
        <v>10721.240673886883</v>
      </c>
      <c r="J50" s="190">
        <f t="shared" ref="J50:Q50" si="10">IF(ISBLANK($C$50),0,IF($C$50=$D$9,HLOOKUP(J43,J14:J18,5,FALSE),HLOOKUP(J43,J29:J33,5,FALSE)))</f>
        <v>20523.098251560299</v>
      </c>
      <c r="K50" s="190">
        <f t="shared" si="10"/>
        <v>1</v>
      </c>
      <c r="L50" s="190">
        <f t="shared" si="10"/>
        <v>0</v>
      </c>
      <c r="M50" s="190">
        <f t="shared" si="10"/>
        <v>0</v>
      </c>
      <c r="N50" s="190">
        <f t="shared" si="10"/>
        <v>0</v>
      </c>
      <c r="O50" s="190">
        <f t="shared" si="10"/>
        <v>0</v>
      </c>
      <c r="P50" s="190">
        <f t="shared" si="10"/>
        <v>0</v>
      </c>
      <c r="Q50" s="190">
        <f t="shared" si="10"/>
        <v>0</v>
      </c>
      <c r="R50" s="163"/>
      <c r="AF50" s="163"/>
    </row>
    <row r="51" spans="2:32" s="17" customFormat="1" ht="15.6">
      <c r="B51" s="171">
        <v>2018</v>
      </c>
      <c r="C51" s="534">
        <v>2015</v>
      </c>
      <c r="D51" s="190">
        <f t="shared" ref="D51:Q51" si="11">IF(ISBLANK($C$51),0,IF($C$51=$D$9,HLOOKUP(D43,D14:D18,5,FALSE),HLOOKUP(D43,D29:D33,5,FALSE)))</f>
        <v>3834791.1453266889</v>
      </c>
      <c r="E51" s="190">
        <f t="shared" si="11"/>
        <v>1008700.2017302075</v>
      </c>
      <c r="F51" s="190">
        <f t="shared" si="11"/>
        <v>6327.6224003132484</v>
      </c>
      <c r="G51" s="190">
        <f t="shared" si="11"/>
        <v>1352.3687505855519</v>
      </c>
      <c r="H51" s="190">
        <f t="shared" si="11"/>
        <v>765.74694814587633</v>
      </c>
      <c r="I51" s="190">
        <f t="shared" si="11"/>
        <v>10721.240673886883</v>
      </c>
      <c r="J51" s="190">
        <f t="shared" si="11"/>
        <v>20523.098251560299</v>
      </c>
      <c r="K51" s="190">
        <f t="shared" si="11"/>
        <v>1</v>
      </c>
      <c r="L51" s="190">
        <f t="shared" si="11"/>
        <v>0</v>
      </c>
      <c r="M51" s="190">
        <f t="shared" si="11"/>
        <v>0</v>
      </c>
      <c r="N51" s="190">
        <f t="shared" si="11"/>
        <v>0</v>
      </c>
      <c r="O51" s="190">
        <f t="shared" si="11"/>
        <v>0</v>
      </c>
      <c r="P51" s="190">
        <f t="shared" si="11"/>
        <v>0</v>
      </c>
      <c r="Q51" s="190">
        <f t="shared" si="11"/>
        <v>0</v>
      </c>
      <c r="R51" s="163"/>
      <c r="AF51" s="163"/>
    </row>
    <row r="52" spans="2:32" s="17" customFormat="1" ht="15.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topLeftCell="A111" zoomScale="70" zoomScaleNormal="70" workbookViewId="0">
      <selection activeCell="L79" sqref="L79"/>
    </sheetView>
  </sheetViews>
  <sheetFormatPr defaultColWidth="9.109375" defaultRowHeight="14.4" outlineLevelRow="1"/>
  <cols>
    <col min="1" max="1" width="6.5546875" style="4" customWidth="1"/>
    <col min="2" max="2" width="36.5546875" style="5" customWidth="1"/>
    <col min="3" max="3" width="16.88671875" style="78"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65" t="s">
        <v>171</v>
      </c>
      <c r="C4" s="85" t="s">
        <v>175</v>
      </c>
      <c r="D4" s="85"/>
      <c r="E4" s="49"/>
    </row>
    <row r="5" spans="1:26" s="18" customFormat="1" ht="26.25" hidden="1" customHeight="1" outlineLevel="1" thickBot="1">
      <c r="A5" s="4"/>
      <c r="B5" s="865"/>
      <c r="C5" s="86" t="s">
        <v>172</v>
      </c>
      <c r="D5" s="86"/>
      <c r="E5" s="49"/>
    </row>
    <row r="6" spans="1:26" ht="26.25" hidden="1" customHeight="1" outlineLevel="1" thickBot="1">
      <c r="B6" s="865"/>
      <c r="C6" s="868" t="s">
        <v>554</v>
      </c>
      <c r="D6" s="869"/>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863" t="s">
        <v>623</v>
      </c>
      <c r="C12" s="863"/>
      <c r="D12" s="863"/>
      <c r="E12" s="863"/>
      <c r="F12" s="863"/>
      <c r="G12" s="863"/>
      <c r="H12" s="863"/>
      <c r="I12" s="863"/>
      <c r="J12" s="863"/>
      <c r="K12" s="863"/>
      <c r="L12" s="863"/>
      <c r="M12" s="863"/>
      <c r="N12" s="863"/>
      <c r="O12" s="863"/>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568</v>
      </c>
      <c r="E14" s="472" t="s">
        <v>569</v>
      </c>
      <c r="F14" s="472" t="s">
        <v>570</v>
      </c>
      <c r="G14" s="472" t="s">
        <v>571</v>
      </c>
      <c r="H14" s="472" t="s">
        <v>572</v>
      </c>
      <c r="I14" s="472" t="s">
        <v>736</v>
      </c>
      <c r="J14" s="472" t="s">
        <v>736</v>
      </c>
      <c r="K14" s="472" t="s">
        <v>736</v>
      </c>
      <c r="L14" s="472" t="s">
        <v>737</v>
      </c>
      <c r="M14" s="472" t="s">
        <v>737</v>
      </c>
      <c r="N14" s="472" t="s">
        <v>727</v>
      </c>
      <c r="O14" s="472" t="s">
        <v>573</v>
      </c>
      <c r="P14" s="7"/>
    </row>
    <row r="15" spans="1:26" s="7" customFormat="1" ht="18.75" customHeight="1">
      <c r="B15" s="473" t="s">
        <v>188</v>
      </c>
      <c r="C15" s="866"/>
      <c r="D15" s="474">
        <v>2010</v>
      </c>
      <c r="E15" s="474">
        <v>2011</v>
      </c>
      <c r="F15" s="474">
        <v>2012</v>
      </c>
      <c r="G15" s="474">
        <v>2013</v>
      </c>
      <c r="H15" s="474">
        <v>2014</v>
      </c>
      <c r="I15" s="798">
        <v>2015</v>
      </c>
      <c r="J15" s="798">
        <v>2016</v>
      </c>
      <c r="K15" s="798">
        <v>2017</v>
      </c>
      <c r="L15" s="798">
        <v>2018</v>
      </c>
      <c r="M15" s="798">
        <v>2019</v>
      </c>
      <c r="N15" s="474">
        <v>2020</v>
      </c>
      <c r="O15" s="475">
        <v>2021</v>
      </c>
    </row>
    <row r="16" spans="1:26" s="111" customFormat="1" ht="18" customHeight="1">
      <c r="B16" s="476" t="s">
        <v>562</v>
      </c>
      <c r="C16" s="861"/>
      <c r="D16" s="477"/>
      <c r="E16" s="477"/>
      <c r="F16" s="477"/>
      <c r="G16" s="477"/>
      <c r="H16" s="477"/>
      <c r="I16" s="477">
        <v>0</v>
      </c>
      <c r="J16" s="477">
        <v>0</v>
      </c>
      <c r="K16" s="477">
        <v>0</v>
      </c>
      <c r="L16" s="477">
        <v>0</v>
      </c>
      <c r="M16" s="477">
        <v>0</v>
      </c>
      <c r="N16" s="477"/>
      <c r="O16" s="478"/>
    </row>
    <row r="17" spans="1:15" s="111" customFormat="1" ht="17.25" customHeight="1">
      <c r="B17" s="479" t="s">
        <v>563</v>
      </c>
      <c r="C17" s="867"/>
      <c r="D17" s="112">
        <f>12-D16</f>
        <v>12</v>
      </c>
      <c r="E17" s="112">
        <f>12-E16</f>
        <v>12</v>
      </c>
      <c r="F17" s="112">
        <f t="shared" ref="F17:K17" si="0">12-F16</f>
        <v>12</v>
      </c>
      <c r="G17" s="112">
        <f t="shared" si="0"/>
        <v>12</v>
      </c>
      <c r="H17" s="112">
        <f t="shared" si="0"/>
        <v>12</v>
      </c>
      <c r="I17" s="112">
        <f t="shared" si="0"/>
        <v>12</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80" t="str">
        <f>'1.  LRAMVA Summary'!B29</f>
        <v>Residential</v>
      </c>
      <c r="C18" s="860" t="str">
        <f>'2. LRAMVA Threshold'!D43</f>
        <v>kWh</v>
      </c>
      <c r="D18" s="46"/>
      <c r="E18" s="46"/>
      <c r="F18" s="46"/>
      <c r="G18" s="46"/>
      <c r="H18" s="46"/>
      <c r="I18" s="46">
        <v>1.2E-2</v>
      </c>
      <c r="J18" s="46">
        <v>1.4200000000000001E-2</v>
      </c>
      <c r="K18" s="46">
        <v>1.09E-2</v>
      </c>
      <c r="L18" s="46"/>
      <c r="M18" s="46"/>
      <c r="N18" s="46"/>
      <c r="O18" s="69"/>
    </row>
    <row r="19" spans="1:15" s="7" customFormat="1" ht="15" customHeight="1" outlineLevel="1">
      <c r="B19" s="536" t="s">
        <v>514</v>
      </c>
      <c r="C19" s="861"/>
      <c r="D19" s="46"/>
      <c r="E19" s="46"/>
      <c r="F19" s="46"/>
      <c r="G19" s="46"/>
      <c r="H19" s="46"/>
      <c r="I19" s="46"/>
      <c r="J19" s="46"/>
      <c r="K19" s="46"/>
      <c r="L19" s="46"/>
      <c r="M19" s="46"/>
      <c r="N19" s="46"/>
      <c r="O19" s="69"/>
    </row>
    <row r="20" spans="1:15" s="7" customFormat="1" ht="15" customHeight="1" outlineLevel="1">
      <c r="B20" s="536" t="s">
        <v>515</v>
      </c>
      <c r="C20" s="861"/>
      <c r="D20" s="46"/>
      <c r="E20" s="46"/>
      <c r="F20" s="46"/>
      <c r="G20" s="46"/>
      <c r="H20" s="46"/>
      <c r="I20" s="46"/>
      <c r="J20" s="46"/>
      <c r="K20" s="46"/>
      <c r="L20" s="46"/>
      <c r="M20" s="46"/>
      <c r="N20" s="46"/>
      <c r="O20" s="69"/>
    </row>
    <row r="21" spans="1:15" s="7" customFormat="1" ht="15" customHeight="1" outlineLevel="1">
      <c r="B21" s="536" t="s">
        <v>491</v>
      </c>
      <c r="C21" s="861"/>
      <c r="D21" s="46"/>
      <c r="E21" s="46"/>
      <c r="F21" s="46"/>
      <c r="G21" s="46"/>
      <c r="H21" s="46"/>
      <c r="I21" s="46"/>
      <c r="J21" s="46"/>
      <c r="K21" s="46"/>
      <c r="L21" s="46"/>
      <c r="M21" s="46"/>
      <c r="N21" s="46"/>
      <c r="O21" s="69"/>
    </row>
    <row r="22" spans="1:15" s="7" customFormat="1" ht="14.25" customHeight="1">
      <c r="B22" s="536" t="s">
        <v>516</v>
      </c>
      <c r="C22" s="862"/>
      <c r="D22" s="65">
        <f>SUM(D18:D21)</f>
        <v>0</v>
      </c>
      <c r="E22" s="65">
        <f>SUM(E18:E21)</f>
        <v>0</v>
      </c>
      <c r="F22" s="65">
        <f>SUM(F18:F21)</f>
        <v>0</v>
      </c>
      <c r="G22" s="65">
        <f t="shared" ref="G22:N22" si="2">SUM(G18:G21)</f>
        <v>0</v>
      </c>
      <c r="H22" s="65">
        <f t="shared" si="2"/>
        <v>0</v>
      </c>
      <c r="I22" s="65">
        <f t="shared" si="2"/>
        <v>1.2E-2</v>
      </c>
      <c r="J22" s="65">
        <f t="shared" si="2"/>
        <v>1.4200000000000001E-2</v>
      </c>
      <c r="K22" s="65">
        <f t="shared" si="2"/>
        <v>1.09E-2</v>
      </c>
      <c r="L22" s="65">
        <f t="shared" si="2"/>
        <v>0</v>
      </c>
      <c r="M22" s="65">
        <f t="shared" si="2"/>
        <v>0</v>
      </c>
      <c r="N22" s="65">
        <f t="shared" si="2"/>
        <v>0</v>
      </c>
      <c r="O22" s="76"/>
    </row>
    <row r="23" spans="1:15" s="63" customFormat="1">
      <c r="A23" s="62"/>
      <c r="B23" s="492" t="s">
        <v>517</v>
      </c>
      <c r="C23" s="482"/>
      <c r="D23" s="483"/>
      <c r="E23" s="484">
        <f>ROUND(SUM(D22*E16+E22*E17)/12,4)</f>
        <v>0</v>
      </c>
      <c r="F23" s="484">
        <f>ROUND(SUM(E22*F16+F22*F17)/12,4)</f>
        <v>0</v>
      </c>
      <c r="G23" s="484">
        <f>ROUND(SUM(F22*G16+G22*G17)/12,4)</f>
        <v>0</v>
      </c>
      <c r="H23" s="484">
        <f>ROUND(SUM(G22*H16+H22*H17)/12,4)</f>
        <v>0</v>
      </c>
      <c r="I23" s="484">
        <f>ROUND(SUM(H22*I16+I22*I17)/12,4)</f>
        <v>1.2E-2</v>
      </c>
      <c r="J23" s="484">
        <f t="shared" ref="J23:N23" si="3">ROUND(SUM(I22*J16+J22*J17)/12,4)</f>
        <v>1.4200000000000001E-2</v>
      </c>
      <c r="K23" s="484">
        <f t="shared" si="3"/>
        <v>1.09E-2</v>
      </c>
      <c r="L23" s="484">
        <f t="shared" si="3"/>
        <v>0</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60" t="str">
        <f>'2. LRAMVA Threshold'!E43</f>
        <v>kWh</v>
      </c>
      <c r="D25" s="46"/>
      <c r="E25" s="46"/>
      <c r="F25" s="46"/>
      <c r="G25" s="46"/>
      <c r="H25" s="46"/>
      <c r="I25" s="46">
        <v>1.7000000000000001E-2</v>
      </c>
      <c r="J25" s="46">
        <v>1.5699999999999999E-2</v>
      </c>
      <c r="K25" s="46">
        <v>1.61E-2</v>
      </c>
      <c r="L25" s="46"/>
      <c r="M25" s="46"/>
      <c r="N25" s="46"/>
      <c r="O25" s="69"/>
    </row>
    <row r="26" spans="1:15" s="18" customFormat="1" outlineLevel="1">
      <c r="A26" s="4"/>
      <c r="B26" s="536" t="s">
        <v>514</v>
      </c>
      <c r="C26" s="861"/>
      <c r="D26" s="46"/>
      <c r="E26" s="46"/>
      <c r="F26" s="46"/>
      <c r="G26" s="46"/>
      <c r="H26" s="46"/>
      <c r="I26" s="46"/>
      <c r="J26" s="46"/>
      <c r="K26" s="46"/>
      <c r="L26" s="46"/>
      <c r="M26" s="46"/>
      <c r="N26" s="46"/>
      <c r="O26" s="69"/>
    </row>
    <row r="27" spans="1:15" s="18" customFormat="1" outlineLevel="1">
      <c r="A27" s="4"/>
      <c r="B27" s="536" t="s">
        <v>515</v>
      </c>
      <c r="C27" s="861"/>
      <c r="D27" s="46"/>
      <c r="E27" s="46"/>
      <c r="F27" s="46"/>
      <c r="G27" s="46"/>
      <c r="H27" s="46"/>
      <c r="I27" s="46"/>
      <c r="J27" s="46"/>
      <c r="K27" s="46"/>
      <c r="L27" s="46"/>
      <c r="M27" s="46"/>
      <c r="N27" s="46"/>
      <c r="O27" s="69"/>
    </row>
    <row r="28" spans="1:15" s="18" customFormat="1" outlineLevel="1">
      <c r="A28" s="4"/>
      <c r="B28" s="536" t="s">
        <v>491</v>
      </c>
      <c r="C28" s="861"/>
      <c r="D28" s="46"/>
      <c r="E28" s="46"/>
      <c r="F28" s="46"/>
      <c r="G28" s="46"/>
      <c r="H28" s="46"/>
      <c r="I28" s="46"/>
      <c r="J28" s="46"/>
      <c r="K28" s="46"/>
      <c r="L28" s="46"/>
      <c r="M28" s="46"/>
      <c r="N28" s="46"/>
      <c r="O28" s="69"/>
    </row>
    <row r="29" spans="1:15" s="18" customFormat="1">
      <c r="A29" s="4"/>
      <c r="B29" s="536" t="s">
        <v>516</v>
      </c>
      <c r="C29" s="862"/>
      <c r="D29" s="65">
        <f>SUM(D25:D28)</f>
        <v>0</v>
      </c>
      <c r="E29" s="65">
        <f t="shared" ref="E29:N29" si="4">SUM(E25:E28)</f>
        <v>0</v>
      </c>
      <c r="F29" s="65">
        <f t="shared" si="4"/>
        <v>0</v>
      </c>
      <c r="G29" s="65">
        <f t="shared" si="4"/>
        <v>0</v>
      </c>
      <c r="H29" s="65">
        <f t="shared" si="4"/>
        <v>0</v>
      </c>
      <c r="I29" s="65">
        <f t="shared" si="4"/>
        <v>1.7000000000000001E-2</v>
      </c>
      <c r="J29" s="65">
        <f t="shared" si="4"/>
        <v>1.5699999999999999E-2</v>
      </c>
      <c r="K29" s="65">
        <f t="shared" si="4"/>
        <v>1.61E-2</v>
      </c>
      <c r="L29" s="65">
        <f t="shared" si="4"/>
        <v>0</v>
      </c>
      <c r="M29" s="65">
        <f t="shared" si="4"/>
        <v>0</v>
      </c>
      <c r="N29" s="65">
        <f t="shared" si="4"/>
        <v>0</v>
      </c>
      <c r="O29" s="76"/>
    </row>
    <row r="30" spans="1:15" s="18" customFormat="1">
      <c r="A30" s="4"/>
      <c r="B30" s="492" t="s">
        <v>517</v>
      </c>
      <c r="C30" s="488"/>
      <c r="D30" s="71"/>
      <c r="E30" s="484">
        <f>ROUND(SUM(D29*E16+E29*E17)/12,4)</f>
        <v>0</v>
      </c>
      <c r="F30" s="484">
        <f t="shared" ref="F30:N30" si="5">ROUND(SUM(E29*F16+F29*F17)/12,4)</f>
        <v>0</v>
      </c>
      <c r="G30" s="484">
        <f t="shared" si="5"/>
        <v>0</v>
      </c>
      <c r="H30" s="484">
        <f t="shared" si="5"/>
        <v>0</v>
      </c>
      <c r="I30" s="484">
        <f t="shared" si="5"/>
        <v>1.7000000000000001E-2</v>
      </c>
      <c r="J30" s="484">
        <f>ROUND(SUM(I29*J16+J29*J17)/12,4)</f>
        <v>1.5699999999999999E-2</v>
      </c>
      <c r="K30" s="484">
        <f t="shared" si="5"/>
        <v>1.61E-2</v>
      </c>
      <c r="L30" s="484">
        <f t="shared" si="5"/>
        <v>0</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 to 999 kW (I1 &amp; I4)</v>
      </c>
      <c r="C32" s="860" t="str">
        <f>'2. LRAMVA Threshold'!F43</f>
        <v>kW</v>
      </c>
      <c r="D32" s="46"/>
      <c r="E32" s="46"/>
      <c r="F32" s="46"/>
      <c r="G32" s="46"/>
      <c r="H32" s="46"/>
      <c r="I32" s="46">
        <v>3.7097000000000002</v>
      </c>
      <c r="J32" s="46">
        <v>4.4740000000000002</v>
      </c>
      <c r="K32" s="46">
        <v>4.5690999999999997</v>
      </c>
      <c r="L32" s="46"/>
      <c r="M32" s="46"/>
      <c r="N32" s="46"/>
      <c r="O32" s="69"/>
    </row>
    <row r="33" spans="1:15" s="18" customFormat="1" outlineLevel="1">
      <c r="A33" s="4"/>
      <c r="B33" s="536" t="s">
        <v>514</v>
      </c>
      <c r="C33" s="861"/>
      <c r="D33" s="46"/>
      <c r="E33" s="46"/>
      <c r="F33" s="46"/>
      <c r="G33" s="46"/>
      <c r="H33" s="46"/>
      <c r="I33" s="46"/>
      <c r="J33" s="46"/>
      <c r="K33" s="46"/>
      <c r="L33" s="46"/>
      <c r="M33" s="46"/>
      <c r="N33" s="46"/>
      <c r="O33" s="69"/>
    </row>
    <row r="34" spans="1:15" s="18" customFormat="1" outlineLevel="1">
      <c r="A34" s="4"/>
      <c r="B34" s="536" t="s">
        <v>515</v>
      </c>
      <c r="C34" s="861"/>
      <c r="D34" s="46"/>
      <c r="E34" s="46"/>
      <c r="F34" s="46"/>
      <c r="G34" s="46"/>
      <c r="H34" s="46"/>
      <c r="I34" s="46"/>
      <c r="J34" s="46"/>
      <c r="K34" s="46"/>
      <c r="L34" s="46"/>
      <c r="M34" s="46"/>
      <c r="N34" s="46"/>
      <c r="O34" s="69"/>
    </row>
    <row r="35" spans="1:15" s="18" customFormat="1" outlineLevel="1">
      <c r="A35" s="4"/>
      <c r="B35" s="536" t="s">
        <v>491</v>
      </c>
      <c r="C35" s="861"/>
      <c r="D35" s="46"/>
      <c r="E35" s="46"/>
      <c r="F35" s="46"/>
      <c r="G35" s="46"/>
      <c r="H35" s="46"/>
      <c r="I35" s="46"/>
      <c r="J35" s="46"/>
      <c r="K35" s="46"/>
      <c r="L35" s="46"/>
      <c r="M35" s="46"/>
      <c r="N35" s="46"/>
      <c r="O35" s="69"/>
    </row>
    <row r="36" spans="1:15" s="18" customFormat="1">
      <c r="A36" s="4"/>
      <c r="B36" s="536" t="s">
        <v>516</v>
      </c>
      <c r="C36" s="862"/>
      <c r="D36" s="65">
        <f>SUM(D32:D35)</f>
        <v>0</v>
      </c>
      <c r="E36" s="65">
        <f>SUM(E32:E35)</f>
        <v>0</v>
      </c>
      <c r="F36" s="65">
        <f t="shared" ref="F36:M36" si="6">SUM(F32:F35)</f>
        <v>0</v>
      </c>
      <c r="G36" s="65">
        <f t="shared" si="6"/>
        <v>0</v>
      </c>
      <c r="H36" s="65">
        <f t="shared" si="6"/>
        <v>0</v>
      </c>
      <c r="I36" s="65">
        <f t="shared" si="6"/>
        <v>3.7097000000000002</v>
      </c>
      <c r="J36" s="65">
        <f t="shared" si="6"/>
        <v>4.4740000000000002</v>
      </c>
      <c r="K36" s="65">
        <f t="shared" si="6"/>
        <v>4.5690999999999997</v>
      </c>
      <c r="L36" s="65">
        <f t="shared" si="6"/>
        <v>0</v>
      </c>
      <c r="M36" s="65">
        <f t="shared" si="6"/>
        <v>0</v>
      </c>
      <c r="N36" s="65">
        <f>SUM(N32:N35)</f>
        <v>0</v>
      </c>
      <c r="O36" s="76"/>
    </row>
    <row r="37" spans="1:15" s="18" customFormat="1">
      <c r="A37" s="4"/>
      <c r="B37" s="492" t="s">
        <v>517</v>
      </c>
      <c r="C37" s="488"/>
      <c r="D37" s="71"/>
      <c r="E37" s="484">
        <f t="shared" ref="E37:N37" si="7">ROUND(SUM(D36*E16+E36*E17)/12,4)</f>
        <v>0</v>
      </c>
      <c r="F37" s="484">
        <f t="shared" si="7"/>
        <v>0</v>
      </c>
      <c r="G37" s="484">
        <f t="shared" si="7"/>
        <v>0</v>
      </c>
      <c r="H37" s="484">
        <f t="shared" si="7"/>
        <v>0</v>
      </c>
      <c r="I37" s="484">
        <f t="shared" si="7"/>
        <v>3.7097000000000002</v>
      </c>
      <c r="J37" s="484">
        <f t="shared" si="7"/>
        <v>4.4740000000000002</v>
      </c>
      <c r="K37" s="484">
        <f t="shared" si="7"/>
        <v>4.5690999999999997</v>
      </c>
      <c r="L37" s="484">
        <f t="shared" si="7"/>
        <v>0</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GS 1,000 to 4,999 kW (I2)</v>
      </c>
      <c r="C39" s="860" t="str">
        <f>'2. LRAMVA Threshold'!G43</f>
        <v>kW</v>
      </c>
      <c r="D39" s="46"/>
      <c r="E39" s="46"/>
      <c r="F39" s="46"/>
      <c r="G39" s="46"/>
      <c r="H39" s="46"/>
      <c r="I39" s="46">
        <v>2.5922999999999998</v>
      </c>
      <c r="J39" s="46">
        <v>2.3852000000000002</v>
      </c>
      <c r="K39" s="46">
        <v>2.4245999999999999</v>
      </c>
      <c r="L39" s="46"/>
      <c r="M39" s="46"/>
      <c r="N39" s="46"/>
      <c r="O39" s="69"/>
    </row>
    <row r="40" spans="1:15" s="18" customFormat="1" outlineLevel="1">
      <c r="A40" s="4"/>
      <c r="B40" s="536" t="s">
        <v>514</v>
      </c>
      <c r="C40" s="861"/>
      <c r="D40" s="46"/>
      <c r="E40" s="46"/>
      <c r="F40" s="46"/>
      <c r="G40" s="46"/>
      <c r="H40" s="46"/>
      <c r="I40" s="46"/>
      <c r="J40" s="46"/>
      <c r="K40" s="46"/>
      <c r="L40" s="46"/>
      <c r="M40" s="46"/>
      <c r="N40" s="46"/>
      <c r="O40" s="69"/>
    </row>
    <row r="41" spans="1:15" s="18" customFormat="1" outlineLevel="1">
      <c r="A41" s="4"/>
      <c r="B41" s="536" t="s">
        <v>515</v>
      </c>
      <c r="C41" s="861"/>
      <c r="D41" s="46"/>
      <c r="E41" s="46"/>
      <c r="F41" s="46"/>
      <c r="G41" s="46"/>
      <c r="H41" s="46"/>
      <c r="I41" s="46"/>
      <c r="J41" s="46"/>
      <c r="K41" s="46"/>
      <c r="L41" s="46"/>
      <c r="M41" s="46"/>
      <c r="N41" s="46"/>
      <c r="O41" s="69"/>
    </row>
    <row r="42" spans="1:15" s="18" customFormat="1" outlineLevel="1">
      <c r="A42" s="4"/>
      <c r="B42" s="536" t="s">
        <v>491</v>
      </c>
      <c r="C42" s="861"/>
      <c r="D42" s="46"/>
      <c r="E42" s="46"/>
      <c r="F42" s="46"/>
      <c r="G42" s="46"/>
      <c r="H42" s="46"/>
      <c r="I42" s="46"/>
      <c r="J42" s="46"/>
      <c r="K42" s="46"/>
      <c r="L42" s="46"/>
      <c r="M42" s="46"/>
      <c r="N42" s="46"/>
      <c r="O42" s="69"/>
    </row>
    <row r="43" spans="1:15" s="18" customFormat="1">
      <c r="A43" s="4"/>
      <c r="B43" s="536" t="s">
        <v>516</v>
      </c>
      <c r="C43" s="862"/>
      <c r="D43" s="65">
        <f>SUM(D39:D42)</f>
        <v>0</v>
      </c>
      <c r="E43" s="65">
        <f t="shared" ref="E43:N43" si="8">SUM(E39:E42)</f>
        <v>0</v>
      </c>
      <c r="F43" s="65">
        <f t="shared" si="8"/>
        <v>0</v>
      </c>
      <c r="G43" s="65">
        <f t="shared" si="8"/>
        <v>0</v>
      </c>
      <c r="H43" s="65">
        <f t="shared" si="8"/>
        <v>0</v>
      </c>
      <c r="I43" s="65">
        <f t="shared" si="8"/>
        <v>2.5922999999999998</v>
      </c>
      <c r="J43" s="65">
        <f t="shared" si="8"/>
        <v>2.3852000000000002</v>
      </c>
      <c r="K43" s="65">
        <f t="shared" si="8"/>
        <v>2.4245999999999999</v>
      </c>
      <c r="L43" s="65">
        <f t="shared" si="8"/>
        <v>0</v>
      </c>
      <c r="M43" s="65">
        <f t="shared" si="8"/>
        <v>0</v>
      </c>
      <c r="N43" s="65">
        <f t="shared" si="8"/>
        <v>0</v>
      </c>
      <c r="O43" s="76"/>
    </row>
    <row r="44" spans="1:15" s="14" customFormat="1">
      <c r="A44" s="72"/>
      <c r="B44" s="492" t="s">
        <v>517</v>
      </c>
      <c r="C44" s="488"/>
      <c r="D44" s="71"/>
      <c r="E44" s="484">
        <f t="shared" ref="E44:N44" si="9">ROUND(SUM(D43*E16+E43*E17)/12,4)</f>
        <v>0</v>
      </c>
      <c r="F44" s="484">
        <f t="shared" si="9"/>
        <v>0</v>
      </c>
      <c r="G44" s="484">
        <f t="shared" si="9"/>
        <v>0</v>
      </c>
      <c r="H44" s="484">
        <f t="shared" si="9"/>
        <v>0</v>
      </c>
      <c r="I44" s="484">
        <f t="shared" si="9"/>
        <v>2.5922999999999998</v>
      </c>
      <c r="J44" s="484">
        <f t="shared" si="9"/>
        <v>2.3852000000000002</v>
      </c>
      <c r="K44" s="484">
        <f t="shared" si="9"/>
        <v>2.4245999999999999</v>
      </c>
      <c r="L44" s="484">
        <f t="shared" si="9"/>
        <v>0</v>
      </c>
      <c r="M44" s="484">
        <f t="shared" si="9"/>
        <v>0</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 (I3)</v>
      </c>
      <c r="C46" s="860" t="str">
        <f>'2. LRAMVA Threshold'!H43</f>
        <v>kW</v>
      </c>
      <c r="D46" s="46"/>
      <c r="E46" s="46"/>
      <c r="F46" s="46"/>
      <c r="G46" s="46"/>
      <c r="H46" s="46"/>
      <c r="I46" s="46">
        <v>2.0531000000000001</v>
      </c>
      <c r="J46" s="46">
        <v>2.0666000000000002</v>
      </c>
      <c r="K46" s="46">
        <v>2.0983000000000001</v>
      </c>
      <c r="L46" s="46"/>
      <c r="M46" s="46"/>
      <c r="N46" s="46"/>
      <c r="O46" s="69"/>
    </row>
    <row r="47" spans="1:15" s="18" customFormat="1" outlineLevel="1">
      <c r="A47" s="4"/>
      <c r="B47" s="536" t="s">
        <v>514</v>
      </c>
      <c r="C47" s="861"/>
      <c r="D47" s="46"/>
      <c r="E47" s="46"/>
      <c r="F47" s="46"/>
      <c r="G47" s="46"/>
      <c r="H47" s="46"/>
      <c r="I47" s="46"/>
      <c r="J47" s="46"/>
      <c r="K47" s="46"/>
      <c r="L47" s="46"/>
      <c r="M47" s="46"/>
      <c r="N47" s="46"/>
      <c r="O47" s="69"/>
    </row>
    <row r="48" spans="1:15" s="18" customFormat="1" outlineLevel="1">
      <c r="A48" s="4"/>
      <c r="B48" s="536" t="s">
        <v>515</v>
      </c>
      <c r="C48" s="861"/>
      <c r="D48" s="46"/>
      <c r="E48" s="46"/>
      <c r="F48" s="46"/>
      <c r="G48" s="46"/>
      <c r="H48" s="46"/>
      <c r="I48" s="46"/>
      <c r="J48" s="46"/>
      <c r="K48" s="46"/>
      <c r="L48" s="46"/>
      <c r="M48" s="46"/>
      <c r="N48" s="46"/>
      <c r="O48" s="69"/>
    </row>
    <row r="49" spans="1:15" s="18" customFormat="1" outlineLevel="1">
      <c r="A49" s="4"/>
      <c r="B49" s="536" t="s">
        <v>491</v>
      </c>
      <c r="C49" s="861"/>
      <c r="D49" s="46"/>
      <c r="E49" s="46"/>
      <c r="F49" s="46"/>
      <c r="G49" s="46"/>
      <c r="H49" s="46"/>
      <c r="I49" s="46"/>
      <c r="J49" s="46"/>
      <c r="K49" s="46"/>
      <c r="L49" s="46"/>
      <c r="M49" s="46"/>
      <c r="N49" s="46"/>
      <c r="O49" s="69"/>
    </row>
    <row r="50" spans="1:15" s="18" customFormat="1">
      <c r="A50" s="4"/>
      <c r="B50" s="536" t="s">
        <v>516</v>
      </c>
      <c r="C50" s="862"/>
      <c r="D50" s="65">
        <f>SUM(D46:D49)</f>
        <v>0</v>
      </c>
      <c r="E50" s="65">
        <f t="shared" ref="E50:N50" si="10">SUM(E46:E49)</f>
        <v>0</v>
      </c>
      <c r="F50" s="65">
        <f t="shared" si="10"/>
        <v>0</v>
      </c>
      <c r="G50" s="65">
        <f t="shared" si="10"/>
        <v>0</v>
      </c>
      <c r="H50" s="65">
        <f t="shared" si="10"/>
        <v>0</v>
      </c>
      <c r="I50" s="65">
        <f t="shared" si="10"/>
        <v>2.0531000000000001</v>
      </c>
      <c r="J50" s="65">
        <f t="shared" si="10"/>
        <v>2.0666000000000002</v>
      </c>
      <c r="K50" s="65">
        <f t="shared" si="10"/>
        <v>2.0983000000000001</v>
      </c>
      <c r="L50" s="65">
        <f t="shared" si="10"/>
        <v>0</v>
      </c>
      <c r="M50" s="65">
        <f t="shared" si="10"/>
        <v>0</v>
      </c>
      <c r="N50" s="65">
        <f t="shared" si="10"/>
        <v>0</v>
      </c>
      <c r="O50" s="76"/>
    </row>
    <row r="51" spans="1:15" s="14" customFormat="1">
      <c r="A51" s="72"/>
      <c r="B51" s="492" t="s">
        <v>517</v>
      </c>
      <c r="C51" s="488"/>
      <c r="D51" s="71"/>
      <c r="E51" s="484">
        <f t="shared" ref="E51:N51" si="11">ROUND(SUM(D50*E16+E50*E17)/12,4)</f>
        <v>0</v>
      </c>
      <c r="F51" s="484">
        <f t="shared" si="11"/>
        <v>0</v>
      </c>
      <c r="G51" s="484">
        <f t="shared" si="11"/>
        <v>0</v>
      </c>
      <c r="H51" s="484">
        <f t="shared" si="11"/>
        <v>0</v>
      </c>
      <c r="I51" s="484">
        <f t="shared" si="11"/>
        <v>2.0531000000000001</v>
      </c>
      <c r="J51" s="484">
        <f t="shared" si="11"/>
        <v>2.0666000000000002</v>
      </c>
      <c r="K51" s="484">
        <f t="shared" si="11"/>
        <v>2.0983000000000001</v>
      </c>
      <c r="L51" s="484">
        <f t="shared" si="11"/>
        <v>0</v>
      </c>
      <c r="M51" s="484">
        <f t="shared" si="11"/>
        <v>0</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Street Lighting</v>
      </c>
      <c r="C53" s="860" t="str">
        <f>'2. LRAMVA Threshold'!I43</f>
        <v>kW</v>
      </c>
      <c r="D53" s="46"/>
      <c r="E53" s="46"/>
      <c r="F53" s="46"/>
      <c r="G53" s="46"/>
      <c r="H53" s="46"/>
      <c r="I53" s="46">
        <v>18.104199999999999</v>
      </c>
      <c r="J53" s="46">
        <v>28.259</v>
      </c>
      <c r="K53" s="46">
        <v>29.666399999999999</v>
      </c>
      <c r="L53" s="46"/>
      <c r="M53" s="46"/>
      <c r="N53" s="46"/>
      <c r="O53" s="69"/>
    </row>
    <row r="54" spans="1:15" s="18" customFormat="1" outlineLevel="1">
      <c r="A54" s="4"/>
      <c r="B54" s="536" t="s">
        <v>514</v>
      </c>
      <c r="C54" s="861"/>
      <c r="D54" s="46"/>
      <c r="E54" s="46"/>
      <c r="F54" s="46"/>
      <c r="G54" s="46"/>
      <c r="H54" s="46"/>
      <c r="I54" s="46"/>
      <c r="J54" s="46"/>
      <c r="K54" s="46"/>
      <c r="L54" s="46"/>
      <c r="M54" s="46"/>
      <c r="N54" s="46"/>
      <c r="O54" s="69"/>
    </row>
    <row r="55" spans="1:15" s="18" customFormat="1" outlineLevel="1">
      <c r="A55" s="4"/>
      <c r="B55" s="536" t="s">
        <v>515</v>
      </c>
      <c r="C55" s="861"/>
      <c r="D55" s="46"/>
      <c r="E55" s="46"/>
      <c r="F55" s="46"/>
      <c r="G55" s="46"/>
      <c r="H55" s="46"/>
      <c r="I55" s="46"/>
      <c r="J55" s="46"/>
      <c r="K55" s="46"/>
      <c r="L55" s="46"/>
      <c r="M55" s="46"/>
      <c r="N55" s="46"/>
      <c r="O55" s="69"/>
    </row>
    <row r="56" spans="1:15" s="18" customFormat="1" outlineLevel="1">
      <c r="A56" s="4"/>
      <c r="B56" s="536" t="s">
        <v>491</v>
      </c>
      <c r="C56" s="861"/>
      <c r="D56" s="46"/>
      <c r="E56" s="46"/>
      <c r="F56" s="46"/>
      <c r="G56" s="46"/>
      <c r="H56" s="46"/>
      <c r="I56" s="46"/>
      <c r="J56" s="46"/>
      <c r="K56" s="46"/>
      <c r="L56" s="46"/>
      <c r="M56" s="46"/>
      <c r="N56" s="46"/>
      <c r="O56" s="69"/>
    </row>
    <row r="57" spans="1:15" s="18" customFormat="1">
      <c r="A57" s="4"/>
      <c r="B57" s="536" t="s">
        <v>516</v>
      </c>
      <c r="C57" s="862"/>
      <c r="D57" s="65">
        <f>SUM(D53:D56)</f>
        <v>0</v>
      </c>
      <c r="E57" s="65">
        <f t="shared" ref="E57:N57" si="12">SUM(E53:E56)</f>
        <v>0</v>
      </c>
      <c r="F57" s="65">
        <f t="shared" si="12"/>
        <v>0</v>
      </c>
      <c r="G57" s="65">
        <f t="shared" si="12"/>
        <v>0</v>
      </c>
      <c r="H57" s="65">
        <f t="shared" si="12"/>
        <v>0</v>
      </c>
      <c r="I57" s="65">
        <f t="shared" si="12"/>
        <v>18.104199999999999</v>
      </c>
      <c r="J57" s="65">
        <f t="shared" si="12"/>
        <v>28.259</v>
      </c>
      <c r="K57" s="65">
        <f t="shared" si="12"/>
        <v>29.666399999999999</v>
      </c>
      <c r="L57" s="65">
        <f t="shared" si="12"/>
        <v>0</v>
      </c>
      <c r="M57" s="65">
        <f t="shared" si="12"/>
        <v>0</v>
      </c>
      <c r="N57" s="65">
        <f t="shared" si="12"/>
        <v>0</v>
      </c>
      <c r="O57" s="77"/>
    </row>
    <row r="58" spans="1:15" s="14" customFormat="1">
      <c r="A58" s="72"/>
      <c r="B58" s="492" t="s">
        <v>517</v>
      </c>
      <c r="C58" s="488"/>
      <c r="D58" s="71"/>
      <c r="E58" s="484">
        <f t="shared" ref="E58:N58" si="13">ROUND(SUM(D57*E16+E57*E17)/12,4)</f>
        <v>0</v>
      </c>
      <c r="F58" s="484">
        <f t="shared" si="13"/>
        <v>0</v>
      </c>
      <c r="G58" s="484">
        <f t="shared" si="13"/>
        <v>0</v>
      </c>
      <c r="H58" s="484">
        <f t="shared" si="13"/>
        <v>0</v>
      </c>
      <c r="I58" s="484">
        <f t="shared" si="13"/>
        <v>18.104199999999999</v>
      </c>
      <c r="J58" s="484">
        <f t="shared" si="13"/>
        <v>28.259</v>
      </c>
      <c r="K58" s="484">
        <f t="shared" si="13"/>
        <v>29.666399999999999</v>
      </c>
      <c r="L58" s="484">
        <f t="shared" si="13"/>
        <v>0</v>
      </c>
      <c r="M58" s="484">
        <f t="shared" si="13"/>
        <v>0</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USL</v>
      </c>
      <c r="C60" s="860" t="str">
        <f>'2. LRAMVA Threshold'!J43</f>
        <v>kWh</v>
      </c>
      <c r="D60" s="46"/>
      <c r="E60" s="46"/>
      <c r="F60" s="46"/>
      <c r="G60" s="46"/>
      <c r="H60" s="46"/>
      <c r="I60" s="46">
        <v>1.3599999999999999E-2</v>
      </c>
      <c r="J60" s="46">
        <v>1.78E-2</v>
      </c>
      <c r="K60" s="46">
        <v>1.8200000000000001E-2</v>
      </c>
      <c r="L60" s="46"/>
      <c r="M60" s="46"/>
      <c r="N60" s="46"/>
      <c r="O60" s="69"/>
    </row>
    <row r="61" spans="1:15" s="18" customFormat="1" outlineLevel="1">
      <c r="A61" s="4"/>
      <c r="B61" s="536" t="s">
        <v>514</v>
      </c>
      <c r="C61" s="861"/>
      <c r="D61" s="46"/>
      <c r="E61" s="46"/>
      <c r="F61" s="46"/>
      <c r="G61" s="46"/>
      <c r="H61" s="46"/>
      <c r="I61" s="46"/>
      <c r="J61" s="46"/>
      <c r="K61" s="46"/>
      <c r="L61" s="46"/>
      <c r="M61" s="46"/>
      <c r="N61" s="46"/>
      <c r="O61" s="69"/>
    </row>
    <row r="62" spans="1:15" s="18" customFormat="1" outlineLevel="1">
      <c r="A62" s="4"/>
      <c r="B62" s="536" t="s">
        <v>515</v>
      </c>
      <c r="C62" s="861"/>
      <c r="D62" s="46"/>
      <c r="E62" s="46"/>
      <c r="F62" s="46"/>
      <c r="G62" s="46"/>
      <c r="H62" s="46"/>
      <c r="I62" s="46"/>
      <c r="J62" s="46"/>
      <c r="K62" s="46"/>
      <c r="L62" s="46"/>
      <c r="M62" s="46"/>
      <c r="N62" s="46"/>
      <c r="O62" s="69"/>
    </row>
    <row r="63" spans="1:15" s="18" customFormat="1" outlineLevel="1">
      <c r="A63" s="4"/>
      <c r="B63" s="536" t="s">
        <v>491</v>
      </c>
      <c r="C63" s="861"/>
      <c r="D63" s="46"/>
      <c r="E63" s="46"/>
      <c r="F63" s="46"/>
      <c r="G63" s="46"/>
      <c r="H63" s="46"/>
      <c r="I63" s="46"/>
      <c r="J63" s="46"/>
      <c r="K63" s="46"/>
      <c r="L63" s="46"/>
      <c r="M63" s="46"/>
      <c r="N63" s="46"/>
      <c r="O63" s="69"/>
    </row>
    <row r="64" spans="1:15" s="18" customFormat="1">
      <c r="A64" s="4"/>
      <c r="B64" s="536" t="s">
        <v>516</v>
      </c>
      <c r="C64" s="862"/>
      <c r="D64" s="65">
        <f>SUM(D60:D63)</f>
        <v>0</v>
      </c>
      <c r="E64" s="65">
        <f t="shared" ref="E64:N64" si="14">SUM(E60:E63)</f>
        <v>0</v>
      </c>
      <c r="F64" s="65">
        <f t="shared" si="14"/>
        <v>0</v>
      </c>
      <c r="G64" s="65">
        <f t="shared" si="14"/>
        <v>0</v>
      </c>
      <c r="H64" s="65">
        <f t="shared" si="14"/>
        <v>0</v>
      </c>
      <c r="I64" s="65">
        <f t="shared" si="14"/>
        <v>1.3599999999999999E-2</v>
      </c>
      <c r="J64" s="65">
        <f t="shared" si="14"/>
        <v>1.78E-2</v>
      </c>
      <c r="K64" s="65">
        <f t="shared" si="14"/>
        <v>1.8200000000000001E-2</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1.3599999999999999E-2</v>
      </c>
      <c r="J65" s="484">
        <f t="shared" si="15"/>
        <v>1.78E-2</v>
      </c>
      <c r="K65" s="484">
        <f t="shared" si="15"/>
        <v>1.8200000000000001E-2</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Lights</v>
      </c>
      <c r="C67" s="860" t="str">
        <f>'2. LRAMVA Threshold'!K43</f>
        <v>kW</v>
      </c>
      <c r="D67" s="46"/>
      <c r="E67" s="46"/>
      <c r="F67" s="46"/>
      <c r="G67" s="46"/>
      <c r="H67" s="46"/>
      <c r="I67" s="46">
        <v>6.2114000000000003</v>
      </c>
      <c r="J67" s="46">
        <v>7.5087999999999999</v>
      </c>
      <c r="K67" s="46">
        <v>7.6711999999999998</v>
      </c>
      <c r="L67" s="46"/>
      <c r="M67" s="46"/>
      <c r="N67" s="46"/>
      <c r="O67" s="69"/>
    </row>
    <row r="68" spans="1:15" s="18" customFormat="1" outlineLevel="1">
      <c r="A68" s="4"/>
      <c r="B68" s="536" t="s">
        <v>514</v>
      </c>
      <c r="C68" s="861"/>
      <c r="D68" s="46"/>
      <c r="E68" s="46"/>
      <c r="F68" s="46"/>
      <c r="G68" s="46"/>
      <c r="H68" s="46"/>
      <c r="I68" s="46"/>
      <c r="J68" s="46"/>
      <c r="K68" s="46"/>
      <c r="L68" s="46"/>
      <c r="M68" s="46"/>
      <c r="N68" s="46"/>
      <c r="O68" s="69"/>
    </row>
    <row r="69" spans="1:15" s="18" customFormat="1" outlineLevel="1">
      <c r="A69" s="4"/>
      <c r="B69" s="536" t="s">
        <v>515</v>
      </c>
      <c r="C69" s="861"/>
      <c r="D69" s="46"/>
      <c r="E69" s="46"/>
      <c r="F69" s="46"/>
      <c r="G69" s="46"/>
      <c r="H69" s="46"/>
      <c r="I69" s="46"/>
      <c r="J69" s="46"/>
      <c r="K69" s="46"/>
      <c r="L69" s="46"/>
      <c r="M69" s="46"/>
      <c r="N69" s="46"/>
      <c r="O69" s="69"/>
    </row>
    <row r="70" spans="1:15" s="18" customFormat="1" outlineLevel="1">
      <c r="A70" s="4"/>
      <c r="B70" s="536" t="s">
        <v>491</v>
      </c>
      <c r="C70" s="861"/>
      <c r="D70" s="46"/>
      <c r="E70" s="46"/>
      <c r="F70" s="46"/>
      <c r="G70" s="46"/>
      <c r="H70" s="46"/>
      <c r="I70" s="46"/>
      <c r="J70" s="46"/>
      <c r="K70" s="46"/>
      <c r="L70" s="46"/>
      <c r="M70" s="46"/>
      <c r="N70" s="46"/>
      <c r="O70" s="69"/>
    </row>
    <row r="71" spans="1:15" s="18" customFormat="1">
      <c r="A71" s="4"/>
      <c r="B71" s="536" t="s">
        <v>516</v>
      </c>
      <c r="C71" s="862"/>
      <c r="D71" s="65">
        <f>SUM(D67:D70)</f>
        <v>0</v>
      </c>
      <c r="E71" s="65">
        <f t="shared" ref="E71:N71" si="16">SUM(E67:E70)</f>
        <v>0</v>
      </c>
      <c r="F71" s="65">
        <f>SUM(F67:F70)</f>
        <v>0</v>
      </c>
      <c r="G71" s="65">
        <f t="shared" si="16"/>
        <v>0</v>
      </c>
      <c r="H71" s="65">
        <f t="shared" si="16"/>
        <v>0</v>
      </c>
      <c r="I71" s="65">
        <f t="shared" si="16"/>
        <v>6.2114000000000003</v>
      </c>
      <c r="J71" s="65">
        <f t="shared" si="16"/>
        <v>7.5087999999999999</v>
      </c>
      <c r="K71" s="65">
        <f t="shared" si="16"/>
        <v>7.6711999999999998</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6.2114000000000003</v>
      </c>
      <c r="J72" s="484">
        <f t="shared" si="17"/>
        <v>7.5087999999999999</v>
      </c>
      <c r="K72" s="484">
        <f t="shared" si="17"/>
        <v>7.6711999999999998</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860">
        <f>'2. LRAMVA Threshold'!L43</f>
        <v>0</v>
      </c>
      <c r="D74" s="46"/>
      <c r="E74" s="46"/>
      <c r="F74" s="46"/>
      <c r="G74" s="46"/>
      <c r="H74" s="46"/>
      <c r="I74" s="46"/>
      <c r="J74" s="46"/>
      <c r="K74" s="46"/>
      <c r="L74" s="46"/>
      <c r="M74" s="46"/>
      <c r="N74" s="46"/>
      <c r="O74" s="69"/>
    </row>
    <row r="75" spans="1:15" s="18" customFormat="1" outlineLevel="1">
      <c r="A75" s="4"/>
      <c r="B75" s="536" t="s">
        <v>514</v>
      </c>
      <c r="C75" s="861"/>
      <c r="D75" s="46"/>
      <c r="E75" s="46"/>
      <c r="F75" s="46"/>
      <c r="G75" s="46"/>
      <c r="H75" s="46"/>
      <c r="I75" s="46"/>
      <c r="J75" s="46"/>
      <c r="K75" s="46"/>
      <c r="L75" s="46"/>
      <c r="M75" s="46"/>
      <c r="N75" s="46"/>
      <c r="O75" s="69"/>
    </row>
    <row r="76" spans="1:15" s="18" customFormat="1" outlineLevel="1">
      <c r="A76" s="4"/>
      <c r="B76" s="536" t="s">
        <v>515</v>
      </c>
      <c r="C76" s="861"/>
      <c r="D76" s="46"/>
      <c r="E76" s="46"/>
      <c r="F76" s="46"/>
      <c r="G76" s="46"/>
      <c r="H76" s="46"/>
      <c r="I76" s="46"/>
      <c r="J76" s="46"/>
      <c r="K76" s="46"/>
      <c r="L76" s="46"/>
      <c r="M76" s="46"/>
      <c r="N76" s="46"/>
      <c r="O76" s="69"/>
    </row>
    <row r="77" spans="1:15" s="18" customFormat="1" outlineLevel="1">
      <c r="A77" s="4"/>
      <c r="B77" s="536" t="s">
        <v>491</v>
      </c>
      <c r="C77" s="861"/>
      <c r="D77" s="46"/>
      <c r="E77" s="46"/>
      <c r="F77" s="46"/>
      <c r="G77" s="46"/>
      <c r="H77" s="46"/>
      <c r="I77" s="46"/>
      <c r="J77" s="46"/>
      <c r="K77" s="46"/>
      <c r="L77" s="46"/>
      <c r="M77" s="46"/>
      <c r="N77" s="46"/>
      <c r="O77" s="69"/>
    </row>
    <row r="78" spans="1:15" s="18" customFormat="1">
      <c r="A78" s="4"/>
      <c r="B78" s="536" t="s">
        <v>516</v>
      </c>
      <c r="C78" s="86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60">
        <f>'2. LRAMVA Threshold'!M43</f>
        <v>0</v>
      </c>
      <c r="D81" s="46"/>
      <c r="E81" s="46"/>
      <c r="F81" s="46"/>
      <c r="G81" s="46"/>
      <c r="H81" s="46"/>
      <c r="I81" s="46"/>
      <c r="J81" s="46"/>
      <c r="K81" s="46"/>
      <c r="L81" s="46"/>
      <c r="M81" s="46"/>
      <c r="N81" s="46"/>
      <c r="O81" s="69"/>
    </row>
    <row r="82" spans="1:15" s="18" customFormat="1" outlineLevel="1">
      <c r="A82" s="4"/>
      <c r="B82" s="536" t="s">
        <v>514</v>
      </c>
      <c r="C82" s="861"/>
      <c r="D82" s="46"/>
      <c r="E82" s="46"/>
      <c r="F82" s="46"/>
      <c r="G82" s="46"/>
      <c r="H82" s="46"/>
      <c r="I82" s="46"/>
      <c r="J82" s="46"/>
      <c r="K82" s="46"/>
      <c r="L82" s="46"/>
      <c r="M82" s="46"/>
      <c r="N82" s="46"/>
      <c r="O82" s="69"/>
    </row>
    <row r="83" spans="1:15" s="18" customFormat="1" outlineLevel="1">
      <c r="A83" s="4"/>
      <c r="B83" s="536" t="s">
        <v>515</v>
      </c>
      <c r="C83" s="861"/>
      <c r="D83" s="46"/>
      <c r="E83" s="46"/>
      <c r="F83" s="46"/>
      <c r="G83" s="46"/>
      <c r="H83" s="46"/>
      <c r="I83" s="46"/>
      <c r="J83" s="46"/>
      <c r="K83" s="46"/>
      <c r="L83" s="46"/>
      <c r="M83" s="46"/>
      <c r="N83" s="46"/>
      <c r="O83" s="69"/>
    </row>
    <row r="84" spans="1:15" s="18" customFormat="1" outlineLevel="1">
      <c r="A84" s="4"/>
      <c r="B84" s="536" t="s">
        <v>491</v>
      </c>
      <c r="C84" s="861"/>
      <c r="D84" s="46"/>
      <c r="E84" s="46"/>
      <c r="F84" s="46"/>
      <c r="G84" s="46"/>
      <c r="H84" s="46"/>
      <c r="I84" s="46"/>
      <c r="J84" s="46"/>
      <c r="K84" s="46"/>
      <c r="L84" s="46"/>
      <c r="M84" s="46"/>
      <c r="N84" s="46"/>
      <c r="O84" s="69"/>
    </row>
    <row r="85" spans="1:15" s="18" customFormat="1">
      <c r="A85" s="4"/>
      <c r="B85" s="536" t="s">
        <v>516</v>
      </c>
      <c r="C85" s="86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60">
        <f>'2. LRAMVA Threshold'!N43</f>
        <v>0</v>
      </c>
      <c r="D88" s="46"/>
      <c r="E88" s="46"/>
      <c r="F88" s="46"/>
      <c r="G88" s="46"/>
      <c r="H88" s="46"/>
      <c r="I88" s="46"/>
      <c r="J88" s="46"/>
      <c r="K88" s="46"/>
      <c r="L88" s="46"/>
      <c r="M88" s="46"/>
      <c r="N88" s="46"/>
      <c r="O88" s="69"/>
    </row>
    <row r="89" spans="1:15" s="18" customFormat="1" outlineLevel="1">
      <c r="A89" s="4"/>
      <c r="B89" s="536" t="s">
        <v>514</v>
      </c>
      <c r="C89" s="861"/>
      <c r="D89" s="46"/>
      <c r="E89" s="46"/>
      <c r="F89" s="46"/>
      <c r="G89" s="46"/>
      <c r="H89" s="46"/>
      <c r="I89" s="46"/>
      <c r="J89" s="46"/>
      <c r="K89" s="46"/>
      <c r="L89" s="46"/>
      <c r="M89" s="46"/>
      <c r="N89" s="46"/>
      <c r="O89" s="69"/>
    </row>
    <row r="90" spans="1:15" s="18" customFormat="1" outlineLevel="1">
      <c r="A90" s="4"/>
      <c r="B90" s="536" t="s">
        <v>515</v>
      </c>
      <c r="C90" s="861"/>
      <c r="D90" s="46"/>
      <c r="E90" s="46"/>
      <c r="F90" s="46"/>
      <c r="G90" s="46"/>
      <c r="H90" s="46"/>
      <c r="I90" s="46"/>
      <c r="J90" s="46"/>
      <c r="K90" s="46"/>
      <c r="L90" s="46"/>
      <c r="M90" s="46"/>
      <c r="N90" s="46"/>
      <c r="O90" s="69"/>
    </row>
    <row r="91" spans="1:15" s="18" customFormat="1" outlineLevel="1">
      <c r="A91" s="4"/>
      <c r="B91" s="536" t="s">
        <v>491</v>
      </c>
      <c r="C91" s="861"/>
      <c r="D91" s="46"/>
      <c r="E91" s="46"/>
      <c r="F91" s="46"/>
      <c r="G91" s="46"/>
      <c r="H91" s="46"/>
      <c r="I91" s="46"/>
      <c r="J91" s="46"/>
      <c r="K91" s="46"/>
      <c r="L91" s="46"/>
      <c r="M91" s="46"/>
      <c r="N91" s="46"/>
      <c r="O91" s="69"/>
    </row>
    <row r="92" spans="1:15" s="18" customFormat="1">
      <c r="A92" s="4"/>
      <c r="B92" s="536" t="s">
        <v>516</v>
      </c>
      <c r="C92" s="86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60">
        <f>'2. LRAMVA Threshold'!O43</f>
        <v>0</v>
      </c>
      <c r="D95" s="46"/>
      <c r="E95" s="46"/>
      <c r="F95" s="46"/>
      <c r="G95" s="46"/>
      <c r="H95" s="46"/>
      <c r="I95" s="46"/>
      <c r="J95" s="46"/>
      <c r="K95" s="46"/>
      <c r="L95" s="46"/>
      <c r="M95" s="46"/>
      <c r="N95" s="46"/>
      <c r="O95" s="69"/>
    </row>
    <row r="96" spans="1:15" s="18" customFormat="1" outlineLevel="1">
      <c r="A96" s="4"/>
      <c r="B96" s="536" t="s">
        <v>514</v>
      </c>
      <c r="C96" s="861"/>
      <c r="D96" s="46"/>
      <c r="E96" s="46"/>
      <c r="F96" s="46"/>
      <c r="G96" s="46"/>
      <c r="H96" s="46"/>
      <c r="I96" s="46"/>
      <c r="J96" s="46"/>
      <c r="K96" s="46"/>
      <c r="L96" s="46"/>
      <c r="M96" s="46"/>
      <c r="N96" s="46"/>
      <c r="O96" s="69"/>
    </row>
    <row r="97" spans="1:15" s="18" customFormat="1" outlineLevel="1">
      <c r="A97" s="4"/>
      <c r="B97" s="536" t="s">
        <v>515</v>
      </c>
      <c r="C97" s="861"/>
      <c r="D97" s="46"/>
      <c r="E97" s="46"/>
      <c r="F97" s="46"/>
      <c r="G97" s="46"/>
      <c r="H97" s="46"/>
      <c r="I97" s="46"/>
      <c r="J97" s="46"/>
      <c r="K97" s="46"/>
      <c r="L97" s="46"/>
      <c r="M97" s="46"/>
      <c r="N97" s="46"/>
      <c r="O97" s="69"/>
    </row>
    <row r="98" spans="1:15" s="18" customFormat="1" outlineLevel="1">
      <c r="A98" s="4"/>
      <c r="B98" s="536" t="s">
        <v>491</v>
      </c>
      <c r="C98" s="861"/>
      <c r="D98" s="46"/>
      <c r="E98" s="46"/>
      <c r="F98" s="46"/>
      <c r="G98" s="46"/>
      <c r="H98" s="46"/>
      <c r="I98" s="46"/>
      <c r="J98" s="46"/>
      <c r="K98" s="46"/>
      <c r="L98" s="46"/>
      <c r="M98" s="46"/>
      <c r="N98" s="46"/>
      <c r="O98" s="69"/>
    </row>
    <row r="99" spans="1:15" s="18" customFormat="1">
      <c r="A99" s="4"/>
      <c r="B99" s="536" t="s">
        <v>516</v>
      </c>
      <c r="C99" s="86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60">
        <f>'2. LRAMVA Threshold'!P43</f>
        <v>0</v>
      </c>
      <c r="D102" s="46"/>
      <c r="E102" s="46"/>
      <c r="F102" s="46"/>
      <c r="G102" s="46"/>
      <c r="H102" s="46"/>
      <c r="I102" s="46"/>
      <c r="J102" s="46"/>
      <c r="K102" s="46"/>
      <c r="L102" s="46"/>
      <c r="M102" s="46"/>
      <c r="N102" s="46"/>
      <c r="O102" s="69"/>
    </row>
    <row r="103" spans="1:15" s="18" customFormat="1" outlineLevel="1">
      <c r="A103" s="4"/>
      <c r="B103" s="536" t="s">
        <v>514</v>
      </c>
      <c r="C103" s="861"/>
      <c r="D103" s="46"/>
      <c r="E103" s="46"/>
      <c r="F103" s="46"/>
      <c r="G103" s="46"/>
      <c r="H103" s="46"/>
      <c r="I103" s="46"/>
      <c r="J103" s="46"/>
      <c r="K103" s="46"/>
      <c r="L103" s="46"/>
      <c r="M103" s="46"/>
      <c r="N103" s="46"/>
      <c r="O103" s="69"/>
    </row>
    <row r="104" spans="1:15" s="18" customFormat="1" outlineLevel="1">
      <c r="A104" s="4"/>
      <c r="B104" s="536" t="s">
        <v>515</v>
      </c>
      <c r="C104" s="861"/>
      <c r="D104" s="46"/>
      <c r="E104" s="46"/>
      <c r="F104" s="46"/>
      <c r="G104" s="46"/>
      <c r="H104" s="46"/>
      <c r="I104" s="46"/>
      <c r="J104" s="46"/>
      <c r="K104" s="46"/>
      <c r="L104" s="46"/>
      <c r="M104" s="46"/>
      <c r="N104" s="46"/>
      <c r="O104" s="69"/>
    </row>
    <row r="105" spans="1:15" s="18" customFormat="1" outlineLevel="1">
      <c r="A105" s="4"/>
      <c r="B105" s="536" t="s">
        <v>491</v>
      </c>
      <c r="C105" s="861"/>
      <c r="D105" s="46"/>
      <c r="E105" s="46"/>
      <c r="F105" s="46"/>
      <c r="G105" s="46"/>
      <c r="H105" s="46"/>
      <c r="I105" s="46"/>
      <c r="J105" s="46"/>
      <c r="K105" s="46"/>
      <c r="L105" s="46"/>
      <c r="M105" s="46"/>
      <c r="N105" s="46"/>
      <c r="O105" s="69"/>
    </row>
    <row r="106" spans="1:15" s="18" customFormat="1">
      <c r="A106" s="4"/>
      <c r="B106" s="536" t="s">
        <v>516</v>
      </c>
      <c r="C106" s="86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60">
        <f>'2. LRAMVA Threshold'!Q43</f>
        <v>0</v>
      </c>
      <c r="D109" s="46"/>
      <c r="E109" s="46"/>
      <c r="F109" s="46"/>
      <c r="G109" s="46"/>
      <c r="H109" s="46"/>
      <c r="I109" s="46"/>
      <c r="J109" s="46"/>
      <c r="K109" s="46"/>
      <c r="L109" s="46"/>
      <c r="M109" s="46"/>
      <c r="N109" s="46"/>
      <c r="O109" s="69"/>
    </row>
    <row r="110" spans="1:15" s="18" customFormat="1" outlineLevel="1">
      <c r="A110" s="4"/>
      <c r="B110" s="536" t="s">
        <v>514</v>
      </c>
      <c r="C110" s="861"/>
      <c r="D110" s="46"/>
      <c r="E110" s="46"/>
      <c r="F110" s="46"/>
      <c r="G110" s="46"/>
      <c r="H110" s="46"/>
      <c r="I110" s="46"/>
      <c r="J110" s="46"/>
      <c r="K110" s="46"/>
      <c r="L110" s="46"/>
      <c r="M110" s="46"/>
      <c r="N110" s="46"/>
      <c r="O110" s="69"/>
    </row>
    <row r="111" spans="1:15" s="18" customFormat="1" outlineLevel="1">
      <c r="A111" s="4"/>
      <c r="B111" s="536" t="s">
        <v>515</v>
      </c>
      <c r="C111" s="861"/>
      <c r="D111" s="46"/>
      <c r="E111" s="46"/>
      <c r="F111" s="46"/>
      <c r="G111" s="46"/>
      <c r="H111" s="46"/>
      <c r="I111" s="46"/>
      <c r="J111" s="46"/>
      <c r="K111" s="46"/>
      <c r="L111" s="46"/>
      <c r="M111" s="46"/>
      <c r="N111" s="46"/>
      <c r="O111" s="69"/>
    </row>
    <row r="112" spans="1:15" s="18" customFormat="1" outlineLevel="1">
      <c r="A112" s="4"/>
      <c r="B112" s="536" t="s">
        <v>491</v>
      </c>
      <c r="C112" s="861"/>
      <c r="D112" s="46"/>
      <c r="E112" s="46"/>
      <c r="F112" s="46"/>
      <c r="G112" s="46"/>
      <c r="H112" s="46"/>
      <c r="I112" s="46"/>
      <c r="J112" s="46"/>
      <c r="K112" s="46"/>
      <c r="L112" s="46"/>
      <c r="M112" s="46"/>
      <c r="N112" s="46"/>
      <c r="O112" s="69"/>
    </row>
    <row r="113" spans="1:17" s="18" customFormat="1">
      <c r="A113" s="4"/>
      <c r="B113" s="536" t="s">
        <v>516</v>
      </c>
      <c r="C113" s="86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619</v>
      </c>
      <c r="C116" s="98"/>
      <c r="D116" s="499"/>
      <c r="E116" s="499"/>
      <c r="F116" s="499"/>
      <c r="G116" s="499"/>
      <c r="H116" s="499"/>
      <c r="I116" s="499"/>
      <c r="J116" s="499"/>
      <c r="K116" s="499"/>
      <c r="L116" s="499"/>
      <c r="M116" s="499"/>
      <c r="N116" s="499"/>
      <c r="O116" s="499"/>
    </row>
    <row r="119" spans="1:17" ht="15.6">
      <c r="B119" s="118" t="s">
        <v>485</v>
      </c>
      <c r="J119" s="18"/>
    </row>
    <row r="120" spans="1:17" s="14" customFormat="1" ht="75.599999999999994" customHeight="1">
      <c r="A120" s="72"/>
      <c r="B120" s="864" t="s">
        <v>680</v>
      </c>
      <c r="C120" s="864"/>
      <c r="D120" s="864"/>
      <c r="E120" s="864"/>
      <c r="F120" s="864"/>
      <c r="G120" s="864"/>
      <c r="H120" s="864"/>
      <c r="I120" s="864"/>
      <c r="J120" s="864"/>
      <c r="K120" s="864"/>
      <c r="L120" s="864"/>
      <c r="M120" s="864"/>
      <c r="N120" s="864"/>
      <c r="O120" s="864"/>
      <c r="P120" s="864"/>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 to 999 kW (I1 &amp; I4)</v>
      </c>
      <c r="F122" s="244" t="str">
        <f>'1.  LRAMVA Summary'!G52</f>
        <v>GS 1,000 to 4,999 kW (I2)</v>
      </c>
      <c r="G122" s="244" t="str">
        <f>'1.  LRAMVA Summary'!H52</f>
        <v>Large Use (I3)</v>
      </c>
      <c r="H122" s="244" t="str">
        <f>'1.  LRAMVA Summary'!I52</f>
        <v>Street Lighting</v>
      </c>
      <c r="I122" s="244" t="str">
        <f>'1.  LRAMVA Summary'!J52</f>
        <v>USL</v>
      </c>
      <c r="J122" s="244" t="str">
        <f>'1.  LRAMVA Summary'!K52</f>
        <v>Sentinel Lights</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762">
        <f t="shared" si="30"/>
        <v>1.2E-2</v>
      </c>
      <c r="D128" s="763">
        <f t="shared" si="32"/>
        <v>1.7000000000000001E-2</v>
      </c>
      <c r="E128" s="764">
        <f t="shared" si="33"/>
        <v>3.7097000000000002</v>
      </c>
      <c r="F128" s="763">
        <f t="shared" si="34"/>
        <v>2.5922999999999998</v>
      </c>
      <c r="G128" s="764">
        <f t="shared" si="35"/>
        <v>2.0531000000000001</v>
      </c>
      <c r="H128" s="763">
        <f t="shared" si="36"/>
        <v>18.104199999999999</v>
      </c>
      <c r="I128" s="764">
        <f t="shared" si="37"/>
        <v>1.3599999999999999E-2</v>
      </c>
      <c r="J128" s="764">
        <f t="shared" si="38"/>
        <v>6.2114000000000003</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762">
        <f t="shared" si="30"/>
        <v>1.4200000000000001E-2</v>
      </c>
      <c r="D129" s="763">
        <f t="shared" si="32"/>
        <v>1.5699999999999999E-2</v>
      </c>
      <c r="E129" s="764">
        <f t="shared" si="33"/>
        <v>4.4740000000000002</v>
      </c>
      <c r="F129" s="763">
        <f t="shared" si="34"/>
        <v>2.3852000000000002</v>
      </c>
      <c r="G129" s="764">
        <f t="shared" si="35"/>
        <v>2.0666000000000002</v>
      </c>
      <c r="H129" s="763">
        <f t="shared" si="36"/>
        <v>28.259</v>
      </c>
      <c r="I129" s="764">
        <f t="shared" si="37"/>
        <v>1.78E-2</v>
      </c>
      <c r="J129" s="764">
        <f t="shared" si="38"/>
        <v>7.5087999999999999</v>
      </c>
      <c r="K129" s="686">
        <f t="shared" si="39"/>
        <v>0</v>
      </c>
      <c r="L129" s="686">
        <f t="shared" si="43"/>
        <v>0</v>
      </c>
      <c r="M129" s="686">
        <f t="shared" si="40"/>
        <v>0</v>
      </c>
      <c r="N129" s="686">
        <f t="shared" si="41"/>
        <v>0</v>
      </c>
      <c r="O129" s="686">
        <f t="shared" si="42"/>
        <v>0</v>
      </c>
      <c r="P129" s="686">
        <f t="shared" si="31"/>
        <v>0</v>
      </c>
    </row>
    <row r="130" spans="2:16">
      <c r="B130" s="501">
        <v>2017</v>
      </c>
      <c r="C130" s="762">
        <f>HLOOKUP(B130,$E$15:$O$114,9,FALSE)</f>
        <v>1.09E-2</v>
      </c>
      <c r="D130" s="763">
        <f t="shared" si="32"/>
        <v>1.61E-2</v>
      </c>
      <c r="E130" s="764">
        <f t="shared" si="33"/>
        <v>4.5690999999999997</v>
      </c>
      <c r="F130" s="763">
        <f t="shared" si="34"/>
        <v>2.4245999999999999</v>
      </c>
      <c r="G130" s="764">
        <f t="shared" si="35"/>
        <v>2.0983000000000001</v>
      </c>
      <c r="H130" s="763">
        <f t="shared" si="36"/>
        <v>29.666399999999999</v>
      </c>
      <c r="I130" s="764">
        <f t="shared" si="37"/>
        <v>1.8200000000000001E-2</v>
      </c>
      <c r="J130" s="764">
        <f t="shared" si="38"/>
        <v>7.6711999999999998</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hidden="1">
      <c r="B132" s="501">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636</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X58"/>
  <sheetViews>
    <sheetView zoomScale="60" zoomScaleNormal="60" workbookViewId="0">
      <selection activeCell="B22" sqref="B22"/>
    </sheetView>
  </sheetViews>
  <sheetFormatPr defaultColWidth="9.109375" defaultRowHeight="14.4"/>
  <cols>
    <col min="1" max="1" width="9.109375" style="12"/>
    <col min="2" max="2" width="24.5546875" style="12" customWidth="1"/>
    <col min="3" max="3" width="21.77734375" style="12" customWidth="1"/>
    <col min="4" max="4" width="8.88671875" style="12"/>
    <col min="5" max="5" width="24.44140625" style="12" customWidth="1"/>
    <col min="6" max="17" width="12.6640625" style="12" customWidth="1"/>
    <col min="18" max="18" width="13.21875" style="12" customWidth="1"/>
    <col min="19" max="19" width="12.109375" style="12" customWidth="1"/>
    <col min="20" max="16384" width="9.109375" style="12"/>
  </cols>
  <sheetData>
    <row r="14" spans="2:24" ht="15.6">
      <c r="B14" s="588" t="s">
        <v>507</v>
      </c>
    </row>
    <row r="15" spans="2:24" ht="15.6">
      <c r="B15" s="588"/>
    </row>
    <row r="16" spans="2:24" s="668" customFormat="1" ht="28.5" customHeight="1">
      <c r="B16" s="870" t="s">
        <v>639</v>
      </c>
      <c r="C16" s="870"/>
      <c r="D16" s="870"/>
      <c r="E16" s="870"/>
      <c r="F16" s="870"/>
      <c r="G16" s="870"/>
      <c r="H16" s="870"/>
      <c r="I16" s="870"/>
      <c r="J16" s="870"/>
      <c r="K16" s="870"/>
      <c r="L16" s="870"/>
      <c r="M16" s="870"/>
      <c r="N16" s="870"/>
      <c r="O16" s="870"/>
      <c r="P16" s="870"/>
      <c r="Q16" s="870"/>
      <c r="R16" s="870"/>
      <c r="S16" s="870"/>
      <c r="T16" s="870"/>
      <c r="U16" s="870"/>
      <c r="V16" s="870"/>
      <c r="W16" s="870"/>
      <c r="X16" s="870"/>
    </row>
    <row r="19" spans="2:20">
      <c r="B19" s="8" t="s">
        <v>762</v>
      </c>
    </row>
    <row r="20" spans="2:20">
      <c r="B20" s="817" t="s">
        <v>761</v>
      </c>
    </row>
    <row r="21" spans="2:20">
      <c r="B21" s="817" t="s">
        <v>778</v>
      </c>
    </row>
    <row r="22" spans="2:20">
      <c r="B22" s="817" t="s">
        <v>763</v>
      </c>
    </row>
    <row r="23" spans="2:20">
      <c r="B23" s="777"/>
      <c r="C23" s="777"/>
      <c r="D23" s="777"/>
      <c r="E23" s="777"/>
      <c r="F23" s="871">
        <v>2015</v>
      </c>
      <c r="G23" s="872"/>
      <c r="H23" s="872"/>
      <c r="I23" s="872"/>
      <c r="J23" s="815"/>
      <c r="K23" s="872">
        <v>2016</v>
      </c>
      <c r="L23" s="872"/>
      <c r="M23" s="872"/>
      <c r="N23" s="873"/>
      <c r="O23" s="814"/>
      <c r="P23" s="871">
        <v>2017</v>
      </c>
      <c r="Q23" s="872"/>
      <c r="R23" s="872"/>
      <c r="S23" s="872"/>
      <c r="T23" s="802"/>
    </row>
    <row r="24" spans="2:20" ht="52.8">
      <c r="B24" s="778" t="s">
        <v>749</v>
      </c>
      <c r="C24" s="779"/>
      <c r="D24" s="779"/>
      <c r="E24" s="779"/>
      <c r="F24" s="780" t="s">
        <v>29</v>
      </c>
      <c r="G24" s="781" t="s">
        <v>750</v>
      </c>
      <c r="H24" s="781" t="s">
        <v>751</v>
      </c>
      <c r="I24" s="783" t="s">
        <v>752</v>
      </c>
      <c r="J24" s="782" t="s">
        <v>760</v>
      </c>
      <c r="K24" s="803" t="s">
        <v>29</v>
      </c>
      <c r="L24" s="781" t="s">
        <v>750</v>
      </c>
      <c r="M24" s="781" t="s">
        <v>751</v>
      </c>
      <c r="N24" s="783" t="s">
        <v>752</v>
      </c>
      <c r="O24" s="783" t="s">
        <v>760</v>
      </c>
      <c r="P24" s="780" t="s">
        <v>29</v>
      </c>
      <c r="Q24" s="781" t="s">
        <v>750</v>
      </c>
      <c r="R24" s="781" t="s">
        <v>751</v>
      </c>
      <c r="S24" s="783" t="s">
        <v>752</v>
      </c>
      <c r="T24" s="782" t="s">
        <v>760</v>
      </c>
    </row>
    <row r="25" spans="2:20" ht="18">
      <c r="B25" s="804" t="s">
        <v>753</v>
      </c>
      <c r="C25" s="805"/>
      <c r="D25" s="805"/>
      <c r="E25" s="805"/>
      <c r="F25" s="784"/>
      <c r="G25" s="805"/>
      <c r="H25" s="805"/>
      <c r="I25" s="805"/>
      <c r="J25" s="806"/>
      <c r="K25" s="805"/>
      <c r="L25" s="805"/>
      <c r="M25" s="805"/>
      <c r="N25" s="805"/>
      <c r="O25" s="805"/>
      <c r="P25" s="784"/>
      <c r="Q25" s="805"/>
      <c r="R25" s="805"/>
      <c r="S25" s="805"/>
      <c r="T25" s="806"/>
    </row>
    <row r="26" spans="2:20" ht="15.6">
      <c r="B26" s="785" t="s">
        <v>505</v>
      </c>
      <c r="F26" s="786"/>
      <c r="G26" s="787"/>
      <c r="H26" s="787"/>
      <c r="I26" s="787"/>
      <c r="J26" s="788"/>
      <c r="K26" s="789"/>
      <c r="L26" s="789"/>
      <c r="M26" s="789"/>
      <c r="N26" s="789"/>
      <c r="O26" s="789"/>
      <c r="P26" s="786"/>
      <c r="Q26" s="787"/>
      <c r="R26" s="787"/>
      <c r="S26" s="787"/>
      <c r="T26" s="788"/>
    </row>
    <row r="27" spans="2:20">
      <c r="B27" s="790" t="s">
        <v>498</v>
      </c>
      <c r="F27" s="786"/>
      <c r="G27" s="787"/>
      <c r="H27" s="787"/>
      <c r="I27" s="787"/>
      <c r="J27" s="788"/>
      <c r="K27" s="789"/>
      <c r="L27" s="789"/>
      <c r="M27" s="789"/>
      <c r="N27" s="789"/>
      <c r="O27" s="789"/>
      <c r="P27" s="786"/>
      <c r="Q27" s="787"/>
      <c r="R27" s="787"/>
      <c r="S27" s="787"/>
      <c r="T27" s="788"/>
    </row>
    <row r="28" spans="2:20">
      <c r="B28" s="12" t="s">
        <v>95</v>
      </c>
      <c r="F28" s="786">
        <v>1</v>
      </c>
      <c r="G28" s="787"/>
      <c r="H28" s="787"/>
      <c r="I28" s="787"/>
      <c r="J28" s="788"/>
      <c r="K28" s="789"/>
      <c r="L28" s="789"/>
      <c r="M28" s="789"/>
      <c r="N28" s="789"/>
      <c r="O28" s="789"/>
      <c r="P28" s="786"/>
      <c r="Q28" s="787"/>
      <c r="R28" s="787"/>
      <c r="S28" s="787"/>
      <c r="T28" s="788"/>
    </row>
    <row r="29" spans="2:20">
      <c r="B29" s="12" t="s">
        <v>96</v>
      </c>
      <c r="C29" s="12" t="s">
        <v>754</v>
      </c>
      <c r="F29" s="786">
        <v>1</v>
      </c>
      <c r="G29" s="787"/>
      <c r="H29" s="787"/>
      <c r="I29" s="787"/>
      <c r="J29" s="788"/>
      <c r="K29" s="789"/>
      <c r="L29" s="789"/>
      <c r="M29" s="789"/>
      <c r="N29" s="789"/>
      <c r="O29" s="789"/>
      <c r="P29" s="786"/>
      <c r="Q29" s="787"/>
      <c r="R29" s="787"/>
      <c r="S29" s="787"/>
      <c r="T29" s="788"/>
    </row>
    <row r="30" spans="2:20">
      <c r="B30" s="12" t="s">
        <v>97</v>
      </c>
      <c r="F30" s="786">
        <v>1</v>
      </c>
      <c r="G30" s="787"/>
      <c r="H30" s="787"/>
      <c r="I30" s="787"/>
      <c r="J30" s="788"/>
      <c r="K30" s="789"/>
      <c r="L30" s="789"/>
      <c r="M30" s="789"/>
      <c r="N30" s="789"/>
      <c r="O30" s="789"/>
      <c r="P30" s="786"/>
      <c r="Q30" s="787"/>
      <c r="R30" s="787"/>
      <c r="S30" s="787"/>
      <c r="T30" s="788"/>
    </row>
    <row r="31" spans="2:20">
      <c r="B31" s="12" t="s">
        <v>683</v>
      </c>
      <c r="F31" s="786">
        <v>1</v>
      </c>
      <c r="G31" s="787"/>
      <c r="H31" s="787"/>
      <c r="I31" s="787"/>
      <c r="J31" s="788"/>
      <c r="K31" s="789"/>
      <c r="L31" s="789"/>
      <c r="M31" s="789"/>
      <c r="N31" s="789"/>
      <c r="O31" s="789"/>
      <c r="P31" s="786"/>
      <c r="Q31" s="787"/>
      <c r="R31" s="787"/>
      <c r="S31" s="787"/>
      <c r="T31" s="788"/>
    </row>
    <row r="32" spans="2:20">
      <c r="B32" s="12" t="s">
        <v>98</v>
      </c>
      <c r="F32" s="786">
        <v>1</v>
      </c>
      <c r="G32" s="787"/>
      <c r="H32" s="787"/>
      <c r="I32" s="787"/>
      <c r="J32" s="788"/>
      <c r="K32" s="789"/>
      <c r="L32" s="789"/>
      <c r="M32" s="789"/>
      <c r="N32" s="789"/>
      <c r="O32" s="789"/>
      <c r="P32" s="786"/>
      <c r="Q32" s="787"/>
      <c r="R32" s="787"/>
      <c r="S32" s="787"/>
      <c r="T32" s="788"/>
    </row>
    <row r="33" spans="2:20">
      <c r="B33" s="807" t="s">
        <v>499</v>
      </c>
      <c r="C33" s="808"/>
      <c r="D33" s="808"/>
      <c r="E33" s="808"/>
      <c r="F33" s="809"/>
      <c r="G33" s="810"/>
      <c r="H33" s="810"/>
      <c r="I33" s="810"/>
      <c r="J33" s="811"/>
      <c r="K33" s="810"/>
      <c r="L33" s="810"/>
      <c r="M33" s="810"/>
      <c r="N33" s="810"/>
      <c r="O33" s="810"/>
      <c r="P33" s="809"/>
      <c r="Q33" s="810"/>
      <c r="R33" s="810"/>
      <c r="S33" s="810"/>
      <c r="T33" s="811"/>
    </row>
    <row r="34" spans="2:20">
      <c r="B34" s="12" t="s">
        <v>100</v>
      </c>
      <c r="F34" s="786"/>
      <c r="G34" s="816">
        <v>0.38</v>
      </c>
      <c r="H34" s="816">
        <v>0.53</v>
      </c>
      <c r="I34" s="816">
        <v>0.09</v>
      </c>
      <c r="J34" s="788"/>
      <c r="K34" s="789"/>
      <c r="L34" s="789"/>
      <c r="M34" s="789"/>
      <c r="N34" s="789"/>
      <c r="O34" s="789"/>
      <c r="P34" s="786"/>
      <c r="Q34" s="787"/>
      <c r="R34" s="787"/>
      <c r="S34" s="787"/>
      <c r="T34" s="788"/>
    </row>
    <row r="35" spans="2:20">
      <c r="B35" s="807" t="s">
        <v>10</v>
      </c>
      <c r="C35" s="808"/>
      <c r="D35" s="808"/>
      <c r="E35" s="808"/>
      <c r="F35" s="809"/>
      <c r="G35" s="810"/>
      <c r="H35" s="810"/>
      <c r="I35" s="810"/>
      <c r="J35" s="811"/>
      <c r="K35" s="810"/>
      <c r="L35" s="810"/>
      <c r="M35" s="810"/>
      <c r="N35" s="810"/>
      <c r="O35" s="810"/>
      <c r="P35" s="809"/>
      <c r="Q35" s="810"/>
      <c r="R35" s="810"/>
      <c r="S35" s="810"/>
      <c r="T35" s="811"/>
    </row>
    <row r="36" spans="2:20">
      <c r="B36" s="12" t="s">
        <v>104</v>
      </c>
      <c r="F36" s="786"/>
      <c r="G36" s="787"/>
      <c r="H36" s="787"/>
      <c r="I36" s="787">
        <v>1</v>
      </c>
      <c r="J36" s="788"/>
      <c r="K36" s="789"/>
      <c r="L36" s="789"/>
      <c r="M36" s="789"/>
      <c r="N36" s="789"/>
      <c r="O36" s="789"/>
      <c r="P36" s="786"/>
      <c r="Q36" s="787"/>
      <c r="R36" s="787"/>
      <c r="S36" s="787"/>
      <c r="T36" s="788"/>
    </row>
    <row r="37" spans="2:20">
      <c r="B37" s="12" t="s">
        <v>106</v>
      </c>
      <c r="F37" s="786"/>
      <c r="G37" s="787"/>
      <c r="H37" s="787"/>
      <c r="I37" s="787">
        <v>1</v>
      </c>
      <c r="J37" s="788"/>
      <c r="K37" s="789"/>
      <c r="L37" s="789"/>
      <c r="M37" s="789"/>
      <c r="N37" s="789"/>
      <c r="O37" s="789"/>
      <c r="P37" s="786"/>
      <c r="Q37" s="787"/>
      <c r="R37" s="787"/>
      <c r="S37" s="787"/>
      <c r="T37" s="788"/>
    </row>
    <row r="38" spans="2:20">
      <c r="B38" s="807" t="s">
        <v>107</v>
      </c>
      <c r="C38" s="808"/>
      <c r="D38" s="808"/>
      <c r="E38" s="808"/>
      <c r="F38" s="809"/>
      <c r="G38" s="810"/>
      <c r="H38" s="810"/>
      <c r="I38" s="810"/>
      <c r="J38" s="811"/>
      <c r="K38" s="810"/>
      <c r="L38" s="810"/>
      <c r="M38" s="810"/>
      <c r="N38" s="810"/>
      <c r="O38" s="810"/>
      <c r="P38" s="809"/>
      <c r="Q38" s="810"/>
      <c r="R38" s="810"/>
      <c r="S38" s="810"/>
      <c r="T38" s="811"/>
    </row>
    <row r="39" spans="2:20">
      <c r="B39" s="791" t="s">
        <v>108</v>
      </c>
      <c r="C39" s="791"/>
      <c r="D39" s="791"/>
      <c r="E39" s="791"/>
      <c r="F39" s="792">
        <v>1</v>
      </c>
      <c r="G39" s="793"/>
      <c r="H39" s="793"/>
      <c r="I39" s="793"/>
      <c r="J39" s="794"/>
      <c r="K39" s="793"/>
      <c r="L39" s="793"/>
      <c r="M39" s="793"/>
      <c r="N39" s="793"/>
      <c r="O39" s="793"/>
      <c r="P39" s="792"/>
      <c r="Q39" s="793"/>
      <c r="R39" s="793"/>
      <c r="S39" s="793"/>
      <c r="T39" s="794"/>
    </row>
    <row r="40" spans="2:20" ht="15.6">
      <c r="B40" s="785" t="s">
        <v>504</v>
      </c>
      <c r="F40" s="786"/>
      <c r="G40" s="787"/>
      <c r="H40" s="787"/>
      <c r="I40" s="787"/>
      <c r="J40" s="788"/>
      <c r="K40" s="789"/>
      <c r="L40" s="789"/>
      <c r="M40" s="789"/>
      <c r="N40" s="789"/>
      <c r="O40" s="789"/>
      <c r="P40" s="786"/>
      <c r="Q40" s="787"/>
      <c r="R40" s="787"/>
      <c r="S40" s="787"/>
      <c r="T40" s="788"/>
    </row>
    <row r="41" spans="2:20">
      <c r="B41" s="790" t="s">
        <v>500</v>
      </c>
      <c r="F41" s="786"/>
      <c r="G41" s="787"/>
      <c r="H41" s="787"/>
      <c r="I41" s="787"/>
      <c r="J41" s="788"/>
      <c r="K41" s="789"/>
      <c r="L41" s="789"/>
      <c r="M41" s="789"/>
      <c r="N41" s="789"/>
      <c r="O41" s="789"/>
      <c r="P41" s="786"/>
      <c r="Q41" s="787"/>
      <c r="R41" s="787"/>
      <c r="S41" s="787"/>
      <c r="T41" s="788"/>
    </row>
    <row r="42" spans="2:20">
      <c r="B42" s="12" t="s">
        <v>113</v>
      </c>
      <c r="F42" s="786">
        <v>1</v>
      </c>
      <c r="G42" s="787"/>
      <c r="H42" s="787"/>
      <c r="I42" s="787"/>
      <c r="J42" s="788"/>
      <c r="K42" s="789">
        <v>1</v>
      </c>
      <c r="L42" s="789"/>
      <c r="M42" s="789"/>
      <c r="N42" s="789"/>
      <c r="O42" s="789"/>
      <c r="P42" s="786">
        <v>1</v>
      </c>
      <c r="Q42" s="787"/>
      <c r="R42" s="787"/>
      <c r="S42" s="787"/>
      <c r="T42" s="788"/>
    </row>
    <row r="43" spans="2:20">
      <c r="B43" s="12" t="s">
        <v>114</v>
      </c>
      <c r="F43" s="786">
        <v>1</v>
      </c>
      <c r="G43" s="787"/>
      <c r="H43" s="787"/>
      <c r="I43" s="787"/>
      <c r="J43" s="788"/>
      <c r="K43" s="789">
        <v>1</v>
      </c>
      <c r="L43" s="789"/>
      <c r="M43" s="789"/>
      <c r="N43" s="789"/>
      <c r="O43" s="789"/>
      <c r="P43" s="786">
        <v>1</v>
      </c>
      <c r="Q43" s="787"/>
      <c r="R43" s="787"/>
      <c r="S43" s="787"/>
      <c r="T43" s="788"/>
    </row>
    <row r="44" spans="2:20">
      <c r="B44" s="12" t="s">
        <v>115</v>
      </c>
      <c r="F44" s="786"/>
      <c r="G44" s="787"/>
      <c r="H44" s="787"/>
      <c r="I44" s="787"/>
      <c r="J44" s="788"/>
      <c r="K44" s="789">
        <v>1</v>
      </c>
      <c r="L44" s="789"/>
      <c r="M44" s="789"/>
      <c r="N44" s="789"/>
      <c r="O44" s="789"/>
      <c r="P44" s="786"/>
      <c r="Q44" s="787"/>
      <c r="R44" s="787"/>
      <c r="S44" s="787"/>
      <c r="T44" s="788"/>
    </row>
    <row r="45" spans="2:20">
      <c r="B45" s="12" t="s">
        <v>116</v>
      </c>
      <c r="F45" s="786">
        <v>1</v>
      </c>
      <c r="G45" s="787"/>
      <c r="H45" s="787"/>
      <c r="I45" s="787"/>
      <c r="J45" s="788"/>
      <c r="K45" s="789"/>
      <c r="L45" s="789"/>
      <c r="M45" s="789"/>
      <c r="N45" s="789"/>
      <c r="O45" s="789"/>
      <c r="P45" s="786">
        <v>1</v>
      </c>
      <c r="Q45" s="787"/>
      <c r="R45" s="787"/>
      <c r="S45" s="787"/>
      <c r="T45" s="788"/>
    </row>
    <row r="46" spans="2:20">
      <c r="B46" s="807" t="s">
        <v>501</v>
      </c>
      <c r="C46" s="808"/>
      <c r="D46" s="808"/>
      <c r="E46" s="808"/>
      <c r="F46" s="809"/>
      <c r="G46" s="810"/>
      <c r="H46" s="810"/>
      <c r="I46" s="810"/>
      <c r="J46" s="811"/>
      <c r="K46" s="810"/>
      <c r="L46" s="810"/>
      <c r="M46" s="810"/>
      <c r="N46" s="810"/>
      <c r="O46" s="810"/>
      <c r="P46" s="809"/>
      <c r="Q46" s="810"/>
      <c r="R46" s="810"/>
      <c r="S46" s="810"/>
      <c r="T46" s="811"/>
    </row>
    <row r="47" spans="2:20">
      <c r="B47" s="12" t="s">
        <v>117</v>
      </c>
      <c r="F47" s="786"/>
      <c r="G47" s="795"/>
      <c r="H47" s="795"/>
      <c r="I47" s="795"/>
      <c r="J47" s="796"/>
      <c r="K47" s="789"/>
      <c r="L47" s="789">
        <v>0.33</v>
      </c>
      <c r="M47" s="789">
        <v>0.67</v>
      </c>
      <c r="N47" s="789"/>
      <c r="O47" s="789"/>
      <c r="P47" s="786"/>
      <c r="Q47" s="787"/>
      <c r="R47" s="787"/>
      <c r="S47" s="787"/>
      <c r="T47" s="788"/>
    </row>
    <row r="48" spans="2:20">
      <c r="B48" s="12" t="s">
        <v>118</v>
      </c>
      <c r="F48" s="786"/>
      <c r="G48" s="795">
        <v>0.38</v>
      </c>
      <c r="H48" s="795">
        <v>0.53</v>
      </c>
      <c r="I48" s="795">
        <v>0.09</v>
      </c>
      <c r="J48" s="796"/>
      <c r="K48" s="789"/>
      <c r="L48" s="797">
        <v>0.39</v>
      </c>
      <c r="M48" s="797">
        <v>0.42</v>
      </c>
      <c r="N48" s="797">
        <v>0.19</v>
      </c>
      <c r="O48" s="797"/>
      <c r="P48" s="786"/>
      <c r="Q48" s="795">
        <v>0.35</v>
      </c>
      <c r="R48" s="795">
        <v>0.6</v>
      </c>
      <c r="S48" s="795">
        <v>0</v>
      </c>
      <c r="T48" s="796">
        <v>0.05</v>
      </c>
    </row>
    <row r="49" spans="2:20">
      <c r="B49" s="12" t="s">
        <v>119</v>
      </c>
      <c r="F49" s="786"/>
      <c r="G49" s="795"/>
      <c r="H49" s="795"/>
      <c r="I49" s="795"/>
      <c r="J49" s="796"/>
      <c r="K49" s="789"/>
      <c r="L49" s="797">
        <v>0.76</v>
      </c>
      <c r="M49" s="797">
        <v>0.24</v>
      </c>
      <c r="N49" s="797"/>
      <c r="O49" s="797"/>
      <c r="P49" s="786"/>
      <c r="Q49" s="797">
        <v>0.76</v>
      </c>
      <c r="R49" s="797">
        <v>0.24</v>
      </c>
      <c r="S49" s="795"/>
      <c r="T49" s="796"/>
    </row>
    <row r="50" spans="2:20">
      <c r="B50" s="12" t="s">
        <v>120</v>
      </c>
      <c r="F50" s="786"/>
      <c r="G50" s="795"/>
      <c r="H50" s="795"/>
      <c r="I50" s="795"/>
      <c r="J50" s="796"/>
      <c r="K50" s="789"/>
      <c r="L50" s="797">
        <v>1</v>
      </c>
      <c r="M50" s="797"/>
      <c r="N50" s="797"/>
      <c r="O50" s="797"/>
      <c r="P50" s="786"/>
      <c r="Q50" s="795"/>
      <c r="R50" s="795"/>
      <c r="S50" s="795"/>
      <c r="T50" s="796"/>
    </row>
    <row r="51" spans="2:20">
      <c r="F51" s="786"/>
      <c r="G51" s="795"/>
      <c r="H51" s="795"/>
      <c r="I51" s="795"/>
      <c r="J51" s="796"/>
      <c r="K51" s="789"/>
      <c r="L51" s="789"/>
      <c r="M51" s="789"/>
      <c r="N51" s="789"/>
      <c r="O51" s="789"/>
      <c r="P51" s="786"/>
      <c r="Q51" s="787"/>
      <c r="R51" s="787"/>
      <c r="S51" s="787"/>
      <c r="T51" s="788"/>
    </row>
    <row r="52" spans="2:20">
      <c r="B52" s="12" t="s">
        <v>124</v>
      </c>
      <c r="F52" s="786"/>
      <c r="G52" s="795"/>
      <c r="H52" s="795"/>
      <c r="I52" s="795"/>
      <c r="J52" s="796"/>
      <c r="K52" s="789"/>
      <c r="L52" s="789"/>
      <c r="M52" s="789"/>
      <c r="N52" s="789">
        <v>1</v>
      </c>
      <c r="O52" s="789"/>
      <c r="P52" s="786"/>
      <c r="Q52" s="787"/>
      <c r="R52" s="787"/>
      <c r="S52" s="787"/>
      <c r="T52" s="788"/>
    </row>
    <row r="53" spans="2:20">
      <c r="B53" s="807" t="s">
        <v>491</v>
      </c>
      <c r="C53" s="808"/>
      <c r="D53" s="808"/>
      <c r="E53" s="808"/>
      <c r="F53" s="809"/>
      <c r="G53" s="810"/>
      <c r="H53" s="810"/>
      <c r="I53" s="810"/>
      <c r="J53" s="811"/>
      <c r="K53" s="810"/>
      <c r="L53" s="810"/>
      <c r="M53" s="810"/>
      <c r="N53" s="810"/>
      <c r="O53" s="810"/>
      <c r="P53" s="809"/>
      <c r="Q53" s="810"/>
      <c r="R53" s="810"/>
      <c r="S53" s="810"/>
      <c r="T53" s="811"/>
    </row>
    <row r="54" spans="2:20" ht="15.6">
      <c r="B54" s="785" t="s">
        <v>497</v>
      </c>
      <c r="F54" s="786"/>
      <c r="G54" s="787"/>
      <c r="H54" s="787"/>
      <c r="I54" s="787"/>
      <c r="J54" s="788"/>
      <c r="K54" s="789"/>
      <c r="L54" s="789"/>
      <c r="M54" s="789"/>
      <c r="N54" s="789"/>
      <c r="O54" s="789"/>
      <c r="P54" s="786"/>
      <c r="Q54" s="787"/>
      <c r="R54" s="787"/>
      <c r="S54" s="787"/>
      <c r="T54" s="788"/>
    </row>
    <row r="55" spans="2:20">
      <c r="B55" s="16" t="s">
        <v>109</v>
      </c>
      <c r="C55" s="16"/>
      <c r="D55" s="16"/>
      <c r="E55" s="16"/>
      <c r="F55" s="786"/>
      <c r="G55" s="787"/>
      <c r="H55" s="787"/>
      <c r="I55" s="787">
        <v>1</v>
      </c>
      <c r="J55" s="788"/>
      <c r="K55" s="787"/>
      <c r="L55" s="787"/>
      <c r="M55" s="787"/>
      <c r="N55" s="787"/>
      <c r="O55" s="787"/>
      <c r="P55" s="786"/>
      <c r="Q55" s="787"/>
      <c r="R55" s="787"/>
      <c r="S55" s="787"/>
      <c r="T55" s="788"/>
    </row>
    <row r="56" spans="2:20">
      <c r="B56" s="16" t="s">
        <v>740</v>
      </c>
      <c r="C56" s="16"/>
      <c r="D56" s="16"/>
      <c r="E56" s="16"/>
      <c r="F56" s="786"/>
      <c r="G56" s="787"/>
      <c r="H56" s="787"/>
      <c r="I56" s="787"/>
      <c r="J56" s="788"/>
      <c r="K56" s="787"/>
      <c r="L56" s="787"/>
      <c r="M56" s="787"/>
      <c r="N56" s="787"/>
      <c r="O56" s="787"/>
      <c r="P56" s="786">
        <v>1</v>
      </c>
      <c r="Q56" s="787"/>
      <c r="R56" s="787"/>
      <c r="S56" s="787"/>
      <c r="T56" s="788"/>
    </row>
    <row r="57" spans="2:20">
      <c r="B57" s="16" t="s">
        <v>741</v>
      </c>
      <c r="C57" s="16"/>
      <c r="D57" s="16"/>
      <c r="E57" s="16"/>
      <c r="F57" s="786"/>
      <c r="G57" s="787"/>
      <c r="H57" s="787"/>
      <c r="I57" s="787"/>
      <c r="J57" s="788"/>
      <c r="K57" s="787"/>
      <c r="L57" s="787"/>
      <c r="M57" s="787"/>
      <c r="N57" s="787"/>
      <c r="O57" s="787"/>
      <c r="P57" s="786">
        <v>1</v>
      </c>
      <c r="Q57" s="787"/>
      <c r="R57" s="787"/>
      <c r="S57" s="787"/>
      <c r="T57" s="788"/>
    </row>
    <row r="58" spans="2:20">
      <c r="B58" s="791" t="s">
        <v>739</v>
      </c>
      <c r="C58" s="791"/>
      <c r="D58" s="791"/>
      <c r="E58" s="791"/>
      <c r="F58" s="792"/>
      <c r="G58" s="793"/>
      <c r="H58" s="793"/>
      <c r="I58" s="793"/>
      <c r="J58" s="794"/>
      <c r="K58" s="793">
        <v>1</v>
      </c>
      <c r="L58" s="793"/>
      <c r="M58" s="793"/>
      <c r="N58" s="793"/>
      <c r="O58" s="793"/>
      <c r="P58" s="792"/>
      <c r="Q58" s="793"/>
      <c r="R58" s="793"/>
      <c r="S58" s="793"/>
      <c r="T58" s="794"/>
    </row>
  </sheetData>
  <mergeCells count="4">
    <mergeCell ref="B16:X16"/>
    <mergeCell ref="F23:I23"/>
    <mergeCell ref="K23:N23"/>
    <mergeCell ref="P23:S23"/>
  </mergeCells>
  <pageMargins left="0.25" right="0.25" top="0.75" bottom="0.75" header="0.3" footer="0.3"/>
  <pageSetup paperSize="5" scale="5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workbookViewId="0"/>
  </sheetViews>
  <sheetFormatPr defaultColWidth="9.109375" defaultRowHeight="13.8" outlineLevelRow="1" outlineLevelCol="1"/>
  <cols>
    <col min="1" max="1" width="4.6640625" style="509" customWidth="1"/>
    <col min="2" max="2" width="43.6640625" style="254" customWidth="1"/>
    <col min="3" max="3" width="14" style="254" customWidth="1"/>
    <col min="4" max="4" width="18.109375" style="253" customWidth="1"/>
    <col min="5" max="8" width="10.44140625" style="253" customWidth="1" outlineLevel="1"/>
    <col min="9" max="13" width="9.109375" style="253" customWidth="1" outlineLevel="1"/>
    <col min="14" max="14" width="12.44140625" style="253" customWidth="1" outlineLevel="1"/>
    <col min="15" max="15" width="17.5546875" style="253" customWidth="1"/>
    <col min="16" max="24" width="9.44140625" style="253" customWidth="1" outlineLevel="1"/>
    <col min="25" max="25" width="14.109375" style="255" customWidth="1"/>
    <col min="26" max="26" width="14.5546875" style="255" customWidth="1"/>
    <col min="27" max="27" width="16.88671875" style="255" customWidth="1"/>
    <col min="28" max="28" width="17.5546875" style="255" customWidth="1"/>
    <col min="29" max="35" width="14.5546875" style="255" customWidth="1"/>
    <col min="36" max="38" width="15" style="255" customWidth="1"/>
    <col min="39" max="39" width="14.33203125" style="256" customWidth="1"/>
    <col min="40" max="40" width="14.5546875" style="253" customWidth="1"/>
    <col min="41" max="41" width="14.88671875" style="253" customWidth="1"/>
    <col min="42" max="42" width="14" style="253" customWidth="1"/>
    <col min="43" max="43" width="9.6640625" style="253" customWidth="1"/>
    <col min="44" max="44" width="11.109375" style="253" customWidth="1"/>
    <col min="45" max="45" width="12.109375" style="253" customWidth="1"/>
    <col min="46" max="46" width="6.44140625" style="253" bestFit="1" customWidth="1"/>
    <col min="47" max="51" width="9.109375" style="253"/>
    <col min="52" max="52" width="6.44140625" style="253" bestFit="1" customWidth="1"/>
    <col min="53" max="16384" width="9.109375" style="253"/>
  </cols>
  <sheetData>
    <row r="1" spans="1:39" ht="164.25" customHeight="1"/>
    <row r="2" spans="1:39" ht="23.25" customHeight="1" thickBot="1"/>
    <row r="3" spans="1:39" ht="25.5" customHeight="1" thickBot="1">
      <c r="B3" s="87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7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68" t="s">
        <v>554</v>
      </c>
      <c r="D5" s="869"/>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74" t="s">
        <v>507</v>
      </c>
      <c r="C7" s="875" t="s">
        <v>637</v>
      </c>
      <c r="D7" s="875"/>
      <c r="E7" s="875"/>
      <c r="F7" s="875"/>
      <c r="G7" s="875"/>
      <c r="H7" s="875"/>
      <c r="I7" s="875"/>
      <c r="J7" s="875"/>
      <c r="K7" s="875"/>
      <c r="L7" s="875"/>
      <c r="M7" s="875"/>
      <c r="N7" s="875"/>
      <c r="O7" s="875"/>
      <c r="P7" s="875"/>
      <c r="Q7" s="875"/>
      <c r="R7" s="875"/>
      <c r="S7" s="875"/>
      <c r="T7" s="875"/>
      <c r="U7" s="875"/>
      <c r="V7" s="875"/>
      <c r="W7" s="875"/>
      <c r="X7" s="875"/>
      <c r="Y7" s="606"/>
      <c r="Z7" s="606"/>
      <c r="AA7" s="606"/>
      <c r="AB7" s="606"/>
      <c r="AC7" s="606"/>
      <c r="AD7" s="606"/>
      <c r="AE7" s="270"/>
      <c r="AF7" s="270"/>
      <c r="AG7" s="270"/>
      <c r="AH7" s="270"/>
      <c r="AI7" s="270"/>
      <c r="AJ7" s="270"/>
      <c r="AK7" s="270"/>
      <c r="AL7" s="270"/>
    </row>
    <row r="8" spans="1:39" s="271" customFormat="1" ht="58.5" customHeight="1">
      <c r="A8" s="509"/>
      <c r="B8" s="874"/>
      <c r="C8" s="875" t="s">
        <v>575</v>
      </c>
      <c r="D8" s="875"/>
      <c r="E8" s="875"/>
      <c r="F8" s="875"/>
      <c r="G8" s="875"/>
      <c r="H8" s="875"/>
      <c r="I8" s="875"/>
      <c r="J8" s="875"/>
      <c r="K8" s="875"/>
      <c r="L8" s="875"/>
      <c r="M8" s="875"/>
      <c r="N8" s="875"/>
      <c r="O8" s="875"/>
      <c r="P8" s="875"/>
      <c r="Q8" s="875"/>
      <c r="R8" s="875"/>
      <c r="S8" s="875"/>
      <c r="T8" s="875"/>
      <c r="U8" s="875"/>
      <c r="V8" s="875"/>
      <c r="W8" s="875"/>
      <c r="X8" s="875"/>
      <c r="Y8" s="606"/>
      <c r="Z8" s="606"/>
      <c r="AA8" s="606"/>
      <c r="AB8" s="606"/>
      <c r="AC8" s="606"/>
      <c r="AD8" s="606"/>
      <c r="AE8" s="272"/>
      <c r="AF8" s="255"/>
      <c r="AG8" s="255"/>
      <c r="AH8" s="255"/>
      <c r="AI8" s="255"/>
      <c r="AJ8" s="255"/>
      <c r="AK8" s="255"/>
      <c r="AL8" s="255"/>
      <c r="AM8" s="256"/>
    </row>
    <row r="9" spans="1:39" s="271" customFormat="1" ht="57.75" customHeight="1">
      <c r="A9" s="509"/>
      <c r="B9" s="273"/>
      <c r="C9" s="875" t="s">
        <v>574</v>
      </c>
      <c r="D9" s="875"/>
      <c r="E9" s="875"/>
      <c r="F9" s="875"/>
      <c r="G9" s="875"/>
      <c r="H9" s="875"/>
      <c r="I9" s="875"/>
      <c r="J9" s="875"/>
      <c r="K9" s="875"/>
      <c r="L9" s="875"/>
      <c r="M9" s="875"/>
      <c r="N9" s="875"/>
      <c r="O9" s="875"/>
      <c r="P9" s="875"/>
      <c r="Q9" s="875"/>
      <c r="R9" s="875"/>
      <c r="S9" s="875"/>
      <c r="T9" s="875"/>
      <c r="U9" s="875"/>
      <c r="V9" s="875"/>
      <c r="W9" s="875"/>
      <c r="X9" s="875"/>
      <c r="Y9" s="606"/>
      <c r="Z9" s="606"/>
      <c r="AA9" s="606"/>
      <c r="AB9" s="606"/>
      <c r="AC9" s="606"/>
      <c r="AD9" s="606"/>
      <c r="AE9" s="272"/>
      <c r="AF9" s="255"/>
      <c r="AG9" s="255"/>
      <c r="AH9" s="255"/>
      <c r="AI9" s="255"/>
      <c r="AJ9" s="255"/>
      <c r="AK9" s="255"/>
      <c r="AL9" s="255"/>
      <c r="AM9" s="256"/>
    </row>
    <row r="10" spans="1:39" ht="41.25" customHeight="1">
      <c r="B10" s="275"/>
      <c r="C10" s="875" t="s">
        <v>640</v>
      </c>
      <c r="D10" s="875"/>
      <c r="E10" s="875"/>
      <c r="F10" s="875"/>
      <c r="G10" s="875"/>
      <c r="H10" s="875"/>
      <c r="I10" s="875"/>
      <c r="J10" s="875"/>
      <c r="K10" s="875"/>
      <c r="L10" s="875"/>
      <c r="M10" s="875"/>
      <c r="N10" s="875"/>
      <c r="O10" s="875"/>
      <c r="P10" s="875"/>
      <c r="Q10" s="875"/>
      <c r="R10" s="875"/>
      <c r="S10" s="875"/>
      <c r="T10" s="875"/>
      <c r="U10" s="875"/>
      <c r="V10" s="875"/>
      <c r="W10" s="875"/>
      <c r="X10" s="875"/>
      <c r="Y10" s="606"/>
      <c r="Z10" s="606"/>
      <c r="AA10" s="606"/>
      <c r="AB10" s="606"/>
      <c r="AC10" s="606"/>
      <c r="AD10" s="606"/>
      <c r="AE10" s="272"/>
      <c r="AF10" s="276"/>
      <c r="AG10" s="276"/>
      <c r="AH10" s="276"/>
      <c r="AI10" s="276"/>
      <c r="AJ10" s="276"/>
      <c r="AK10" s="276"/>
      <c r="AL10" s="276"/>
    </row>
    <row r="11" spans="1:39" ht="53.25" customHeight="1">
      <c r="C11" s="875" t="s">
        <v>625</v>
      </c>
      <c r="D11" s="875"/>
      <c r="E11" s="875"/>
      <c r="F11" s="875"/>
      <c r="G11" s="875"/>
      <c r="H11" s="875"/>
      <c r="I11" s="875"/>
      <c r="J11" s="875"/>
      <c r="K11" s="875"/>
      <c r="L11" s="875"/>
      <c r="M11" s="875"/>
      <c r="N11" s="875"/>
      <c r="O11" s="875"/>
      <c r="P11" s="875"/>
      <c r="Q11" s="875"/>
      <c r="R11" s="875"/>
      <c r="S11" s="875"/>
      <c r="T11" s="875"/>
      <c r="U11" s="875"/>
      <c r="V11" s="875"/>
      <c r="W11" s="875"/>
      <c r="X11" s="87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74"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74"/>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6">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76" t="s">
        <v>211</v>
      </c>
      <c r="C19" s="878" t="s">
        <v>33</v>
      </c>
      <c r="D19" s="284" t="s">
        <v>423</v>
      </c>
      <c r="E19" s="880" t="s">
        <v>209</v>
      </c>
      <c r="F19" s="881"/>
      <c r="G19" s="881"/>
      <c r="H19" s="881"/>
      <c r="I19" s="881"/>
      <c r="J19" s="881"/>
      <c r="K19" s="881"/>
      <c r="L19" s="881"/>
      <c r="M19" s="882"/>
      <c r="N19" s="886" t="s">
        <v>213</v>
      </c>
      <c r="O19" s="284" t="s">
        <v>424</v>
      </c>
      <c r="P19" s="880" t="s">
        <v>212</v>
      </c>
      <c r="Q19" s="881"/>
      <c r="R19" s="881"/>
      <c r="S19" s="881"/>
      <c r="T19" s="881"/>
      <c r="U19" s="881"/>
      <c r="V19" s="881"/>
      <c r="W19" s="881"/>
      <c r="X19" s="882"/>
      <c r="Y19" s="883" t="s">
        <v>244</v>
      </c>
      <c r="Z19" s="884"/>
      <c r="AA19" s="884"/>
      <c r="AB19" s="884"/>
      <c r="AC19" s="884"/>
      <c r="AD19" s="884"/>
      <c r="AE19" s="884"/>
      <c r="AF19" s="884"/>
      <c r="AG19" s="884"/>
      <c r="AH19" s="884"/>
      <c r="AI19" s="884"/>
      <c r="AJ19" s="884"/>
      <c r="AK19" s="884"/>
      <c r="AL19" s="884"/>
      <c r="AM19" s="885"/>
    </row>
    <row r="20" spans="1:39" s="283" customFormat="1" ht="59.25" customHeight="1">
      <c r="A20" s="509"/>
      <c r="B20" s="877"/>
      <c r="C20" s="879"/>
      <c r="D20" s="285">
        <v>2011</v>
      </c>
      <c r="E20" s="285">
        <v>2012</v>
      </c>
      <c r="F20" s="285">
        <v>2013</v>
      </c>
      <c r="G20" s="285">
        <v>2014</v>
      </c>
      <c r="H20" s="285">
        <v>2015</v>
      </c>
      <c r="I20" s="285">
        <v>2016</v>
      </c>
      <c r="J20" s="285">
        <v>2017</v>
      </c>
      <c r="K20" s="285">
        <v>2018</v>
      </c>
      <c r="L20" s="285">
        <v>2019</v>
      </c>
      <c r="M20" s="285">
        <v>2020</v>
      </c>
      <c r="N20" s="88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 to 999 kW (I1 &amp; I4)</v>
      </c>
      <c r="AB20" s="286" t="str">
        <f>'1.  LRAMVA Summary'!G52</f>
        <v>GS 1,000 to 4,999 kW (I2)</v>
      </c>
      <c r="AC20" s="286" t="str">
        <f>'1.  LRAMVA Summary'!H52</f>
        <v>Large Use (I3)</v>
      </c>
      <c r="AD20" s="286" t="str">
        <f>'1.  LRAMVA Summary'!I52</f>
        <v>Street Lighting</v>
      </c>
      <c r="AE20" s="286" t="str">
        <f>'1.  LRAMVA Summary'!J52</f>
        <v>USL</v>
      </c>
      <c r="AF20" s="286" t="str">
        <f>'1.  LRAMVA Summary'!K52</f>
        <v>Sentinel Lights</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6"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6"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6">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6">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593</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6">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76" t="s">
        <v>211</v>
      </c>
      <c r="C147" s="878" t="s">
        <v>33</v>
      </c>
      <c r="D147" s="284" t="s">
        <v>423</v>
      </c>
      <c r="E147" s="880" t="s">
        <v>209</v>
      </c>
      <c r="F147" s="881"/>
      <c r="G147" s="881"/>
      <c r="H147" s="881"/>
      <c r="I147" s="881"/>
      <c r="J147" s="881"/>
      <c r="K147" s="881"/>
      <c r="L147" s="881"/>
      <c r="M147" s="882"/>
      <c r="N147" s="886" t="s">
        <v>213</v>
      </c>
      <c r="O147" s="284" t="s">
        <v>424</v>
      </c>
      <c r="P147" s="880" t="s">
        <v>212</v>
      </c>
      <c r="Q147" s="881"/>
      <c r="R147" s="881"/>
      <c r="S147" s="881"/>
      <c r="T147" s="881"/>
      <c r="U147" s="881"/>
      <c r="V147" s="881"/>
      <c r="W147" s="881"/>
      <c r="X147" s="882"/>
      <c r="Y147" s="883" t="s">
        <v>244</v>
      </c>
      <c r="Z147" s="884"/>
      <c r="AA147" s="884"/>
      <c r="AB147" s="884"/>
      <c r="AC147" s="884"/>
      <c r="AD147" s="884"/>
      <c r="AE147" s="884"/>
      <c r="AF147" s="884"/>
      <c r="AG147" s="884"/>
      <c r="AH147" s="884"/>
      <c r="AI147" s="884"/>
      <c r="AJ147" s="884"/>
      <c r="AK147" s="884"/>
      <c r="AL147" s="884"/>
      <c r="AM147" s="885"/>
    </row>
    <row r="148" spans="1:39" ht="60.75" customHeight="1">
      <c r="B148" s="877"/>
      <c r="C148" s="879"/>
      <c r="D148" s="285">
        <v>2012</v>
      </c>
      <c r="E148" s="285">
        <v>2013</v>
      </c>
      <c r="F148" s="285">
        <v>2014</v>
      </c>
      <c r="G148" s="285">
        <v>2015</v>
      </c>
      <c r="H148" s="285">
        <v>2016</v>
      </c>
      <c r="I148" s="285">
        <v>2017</v>
      </c>
      <c r="J148" s="285">
        <v>2018</v>
      </c>
      <c r="K148" s="285">
        <v>2019</v>
      </c>
      <c r="L148" s="285">
        <v>2020</v>
      </c>
      <c r="M148" s="285">
        <v>2021</v>
      </c>
      <c r="N148" s="88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 to 999 kW (I1 &amp; I4)</v>
      </c>
      <c r="AB148" s="285" t="str">
        <f>'1.  LRAMVA Summary'!G52</f>
        <v>GS 1,000 to 4,999 kW (I2)</v>
      </c>
      <c r="AC148" s="285" t="str">
        <f>'1.  LRAMVA Summary'!H52</f>
        <v>Large Use (I3)</v>
      </c>
      <c r="AD148" s="285" t="str">
        <f>'1.  LRAMVA Summary'!I52</f>
        <v>Street Lighting</v>
      </c>
      <c r="AE148" s="285" t="str">
        <f>'1.  LRAMVA Summary'!J52</f>
        <v>USL</v>
      </c>
      <c r="AF148" s="285" t="str">
        <f>'1.  LRAMVA Summary'!K52</f>
        <v>Sentinel Lights</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245</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6"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6"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6"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6"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6"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6"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6">
      <c r="B255" s="327" t="s">
        <v>246</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6">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6">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6">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6">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593</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6">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76" t="s">
        <v>211</v>
      </c>
      <c r="C276" s="878" t="s">
        <v>33</v>
      </c>
      <c r="D276" s="284" t="s">
        <v>423</v>
      </c>
      <c r="E276" s="880" t="s">
        <v>209</v>
      </c>
      <c r="F276" s="881"/>
      <c r="G276" s="881"/>
      <c r="H276" s="881"/>
      <c r="I276" s="881"/>
      <c r="J276" s="881"/>
      <c r="K276" s="881"/>
      <c r="L276" s="881"/>
      <c r="M276" s="882"/>
      <c r="N276" s="886" t="s">
        <v>213</v>
      </c>
      <c r="O276" s="284" t="s">
        <v>424</v>
      </c>
      <c r="P276" s="880" t="s">
        <v>212</v>
      </c>
      <c r="Q276" s="881"/>
      <c r="R276" s="881"/>
      <c r="S276" s="881"/>
      <c r="T276" s="881"/>
      <c r="U276" s="881"/>
      <c r="V276" s="881"/>
      <c r="W276" s="881"/>
      <c r="X276" s="882"/>
      <c r="Y276" s="883" t="s">
        <v>244</v>
      </c>
      <c r="Z276" s="884"/>
      <c r="AA276" s="884"/>
      <c r="AB276" s="884"/>
      <c r="AC276" s="884"/>
      <c r="AD276" s="884"/>
      <c r="AE276" s="884"/>
      <c r="AF276" s="884"/>
      <c r="AG276" s="884"/>
      <c r="AH276" s="884"/>
      <c r="AI276" s="884"/>
      <c r="AJ276" s="884"/>
      <c r="AK276" s="884"/>
      <c r="AL276" s="884"/>
      <c r="AM276" s="885"/>
    </row>
    <row r="277" spans="1:39" ht="60.75" customHeight="1">
      <c r="B277" s="877"/>
      <c r="C277" s="879"/>
      <c r="D277" s="285">
        <v>2013</v>
      </c>
      <c r="E277" s="285">
        <v>2014</v>
      </c>
      <c r="F277" s="285">
        <v>2015</v>
      </c>
      <c r="G277" s="285">
        <v>2016</v>
      </c>
      <c r="H277" s="285">
        <v>2017</v>
      </c>
      <c r="I277" s="285">
        <v>2018</v>
      </c>
      <c r="J277" s="285">
        <v>2019</v>
      </c>
      <c r="K277" s="285">
        <v>2020</v>
      </c>
      <c r="L277" s="285">
        <v>2021</v>
      </c>
      <c r="M277" s="285">
        <v>2022</v>
      </c>
      <c r="N277" s="88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 to 999 kW (I1 &amp; I4)</v>
      </c>
      <c r="AB277" s="285" t="str">
        <f>'1.  LRAMVA Summary'!G52</f>
        <v>GS 1,000 to 4,999 kW (I2)</v>
      </c>
      <c r="AC277" s="285" t="str">
        <f>'1.  LRAMVA Summary'!H52</f>
        <v>Large Use (I3)</v>
      </c>
      <c r="AD277" s="285" t="str">
        <f>'1.  LRAMVA Summary'!I52</f>
        <v>Street Lighting</v>
      </c>
      <c r="AE277" s="285" t="str">
        <f>'1.  LRAMVA Summary'!J52</f>
        <v>USL</v>
      </c>
      <c r="AF277" s="285" t="str">
        <f>'1.  LRAMVA Summary'!K52</f>
        <v>Sentinel Lights</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t="str">
        <f>'1.  LRAMVA Summary'!K53</f>
        <v>kW</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6"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6"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250</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250</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6"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250</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6"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6"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6"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6"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6"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6"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6">
      <c r="B384" s="327" t="s">
        <v>251</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6">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6">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6">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593</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6">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76" t="s">
        <v>211</v>
      </c>
      <c r="C405" s="878" t="s">
        <v>33</v>
      </c>
      <c r="D405" s="284" t="s">
        <v>423</v>
      </c>
      <c r="E405" s="880" t="s">
        <v>209</v>
      </c>
      <c r="F405" s="881"/>
      <c r="G405" s="881"/>
      <c r="H405" s="881"/>
      <c r="I405" s="881"/>
      <c r="J405" s="881"/>
      <c r="K405" s="881"/>
      <c r="L405" s="881"/>
      <c r="M405" s="882"/>
      <c r="N405" s="886" t="s">
        <v>213</v>
      </c>
      <c r="O405" s="284" t="s">
        <v>424</v>
      </c>
      <c r="P405" s="880" t="s">
        <v>212</v>
      </c>
      <c r="Q405" s="881"/>
      <c r="R405" s="881"/>
      <c r="S405" s="881"/>
      <c r="T405" s="881"/>
      <c r="U405" s="881"/>
      <c r="V405" s="881"/>
      <c r="W405" s="881"/>
      <c r="X405" s="882"/>
      <c r="Y405" s="883" t="s">
        <v>244</v>
      </c>
      <c r="Z405" s="884"/>
      <c r="AA405" s="884"/>
      <c r="AB405" s="884"/>
      <c r="AC405" s="884"/>
      <c r="AD405" s="884"/>
      <c r="AE405" s="884"/>
      <c r="AF405" s="884"/>
      <c r="AG405" s="884"/>
      <c r="AH405" s="884"/>
      <c r="AI405" s="884"/>
      <c r="AJ405" s="884"/>
      <c r="AK405" s="884"/>
      <c r="AL405" s="884"/>
      <c r="AM405" s="885"/>
    </row>
    <row r="406" spans="1:40" ht="45.75" customHeight="1">
      <c r="B406" s="877"/>
      <c r="C406" s="879"/>
      <c r="D406" s="285">
        <v>2014</v>
      </c>
      <c r="E406" s="285">
        <v>2015</v>
      </c>
      <c r="F406" s="285">
        <v>2016</v>
      </c>
      <c r="G406" s="285">
        <v>2017</v>
      </c>
      <c r="H406" s="285">
        <v>2018</v>
      </c>
      <c r="I406" s="285">
        <v>2019</v>
      </c>
      <c r="J406" s="285">
        <v>2020</v>
      </c>
      <c r="K406" s="285">
        <v>2021</v>
      </c>
      <c r="L406" s="285">
        <v>2022</v>
      </c>
      <c r="M406" s="285">
        <v>2023</v>
      </c>
      <c r="N406" s="88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 to 999 kW (I1 &amp; I4)</v>
      </c>
      <c r="AB406" s="285" t="str">
        <f>'1.  LRAMVA Summary'!G52</f>
        <v>GS 1,000 to 4,999 kW (I2)</v>
      </c>
      <c r="AC406" s="285" t="str">
        <f>'1.  LRAMVA Summary'!H52</f>
        <v>Large Use (I3)</v>
      </c>
      <c r="AD406" s="285" t="str">
        <f>'1.  LRAMVA Summary'!I52</f>
        <v>Street Lighting</v>
      </c>
      <c r="AE406" s="285" t="str">
        <f>'1.  LRAMVA Summary'!J52</f>
        <v>USL</v>
      </c>
      <c r="AF406" s="285" t="str">
        <f>'1.  LRAMVA Summary'!K52</f>
        <v>Sentinel Lights</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t="str">
        <f>'1.  LRAMVA Summary'!K53</f>
        <v>kW</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6"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6"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6"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6"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6"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6"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6"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6"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6"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6">
      <c r="B513" s="327" t="s">
        <v>261</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6">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6">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6">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6">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6">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6">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593</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4.4">
      <c r="B534" s="595"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507" zoomScale="70" zoomScaleNormal="70" workbookViewId="0">
      <selection activeCell="E520" sqref="E520"/>
    </sheetView>
  </sheetViews>
  <sheetFormatPr defaultColWidth="9.109375" defaultRowHeight="14.4" outlineLevelRow="1" outlineLevelCol="1"/>
  <cols>
    <col min="1" max="1" width="4.5546875" style="522" customWidth="1"/>
    <col min="2" max="2" width="44.109375" style="427" customWidth="1"/>
    <col min="3" max="3" width="13.44140625" style="427" customWidth="1"/>
    <col min="4" max="4" width="17" style="427" customWidth="1"/>
    <col min="5" max="13" width="9.88671875" style="427" customWidth="1" outlineLevel="1"/>
    <col min="14" max="14" width="13.5546875" style="427" customWidth="1" outlineLevel="1"/>
    <col min="15" max="15" width="15.6640625" style="427" customWidth="1"/>
    <col min="16" max="24" width="9.109375" style="427" customWidth="1" outlineLevel="1"/>
    <col min="25" max="25" width="16.5546875" style="427" customWidth="1"/>
    <col min="26" max="27" width="15" style="427" customWidth="1"/>
    <col min="28" max="28" width="17.6640625" style="427" customWidth="1"/>
    <col min="29" max="29" width="19.6640625" style="427" customWidth="1"/>
    <col min="30" max="30" width="18.6640625" style="427" customWidth="1"/>
    <col min="31" max="35" width="14.88671875" style="427" customWidth="1"/>
    <col min="36" max="38" width="17.33203125" style="427" customWidth="1"/>
    <col min="39" max="39" width="15.44140625" style="427" bestFit="1" customWidth="1"/>
    <col min="40" max="40" width="11.6640625" style="427" customWidth="1"/>
    <col min="41" max="16384" width="9.109375" style="427"/>
  </cols>
  <sheetData>
    <row r="13" spans="2:39" ht="15" thickBot="1"/>
    <row r="14" spans="2:39" ht="26.25" customHeight="1" thickBot="1">
      <c r="B14" s="87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7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74"/>
      <c r="C16" s="868" t="s">
        <v>554</v>
      </c>
      <c r="D16" s="869"/>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74" t="s">
        <v>507</v>
      </c>
      <c r="C18" s="875" t="s">
        <v>697</v>
      </c>
      <c r="D18" s="875"/>
      <c r="E18" s="875"/>
      <c r="F18" s="875"/>
      <c r="G18" s="875"/>
      <c r="H18" s="875"/>
      <c r="I18" s="875"/>
      <c r="J18" s="875"/>
      <c r="K18" s="875"/>
      <c r="L18" s="875"/>
      <c r="M18" s="875"/>
      <c r="N18" s="875"/>
      <c r="O18" s="875"/>
      <c r="P18" s="875"/>
      <c r="Q18" s="875"/>
      <c r="R18" s="875"/>
      <c r="S18" s="875"/>
      <c r="T18" s="875"/>
      <c r="U18" s="875"/>
      <c r="V18" s="875"/>
      <c r="W18" s="875"/>
      <c r="X18" s="875"/>
      <c r="Y18" s="606"/>
      <c r="Z18" s="606"/>
      <c r="AA18" s="606"/>
      <c r="AB18" s="606"/>
      <c r="AC18" s="606"/>
      <c r="AD18" s="606"/>
      <c r="AE18" s="270"/>
      <c r="AF18" s="265"/>
      <c r="AG18" s="265"/>
      <c r="AH18" s="265"/>
      <c r="AI18" s="265"/>
      <c r="AJ18" s="265"/>
      <c r="AK18" s="265"/>
      <c r="AL18" s="265"/>
      <c r="AM18" s="265"/>
    </row>
    <row r="19" spans="2:39" ht="45.75" customHeight="1">
      <c r="B19" s="874"/>
      <c r="C19" s="875" t="s">
        <v>576</v>
      </c>
      <c r="D19" s="875"/>
      <c r="E19" s="875"/>
      <c r="F19" s="875"/>
      <c r="G19" s="875"/>
      <c r="H19" s="875"/>
      <c r="I19" s="875"/>
      <c r="J19" s="875"/>
      <c r="K19" s="875"/>
      <c r="L19" s="875"/>
      <c r="M19" s="875"/>
      <c r="N19" s="875"/>
      <c r="O19" s="875"/>
      <c r="P19" s="875"/>
      <c r="Q19" s="875"/>
      <c r="R19" s="875"/>
      <c r="S19" s="875"/>
      <c r="T19" s="875"/>
      <c r="U19" s="875"/>
      <c r="V19" s="875"/>
      <c r="W19" s="875"/>
      <c r="X19" s="875"/>
      <c r="Y19" s="606"/>
      <c r="Z19" s="606"/>
      <c r="AA19" s="606"/>
      <c r="AB19" s="606"/>
      <c r="AC19" s="606"/>
      <c r="AD19" s="606"/>
      <c r="AE19" s="270"/>
      <c r="AF19" s="265"/>
      <c r="AG19" s="265"/>
      <c r="AH19" s="265"/>
      <c r="AI19" s="265"/>
      <c r="AJ19" s="265"/>
      <c r="AK19" s="265"/>
      <c r="AL19" s="265"/>
      <c r="AM19" s="265"/>
    </row>
    <row r="20" spans="2:39" ht="62.25" customHeight="1">
      <c r="B20" s="273"/>
      <c r="C20" s="875" t="s">
        <v>574</v>
      </c>
      <c r="D20" s="875"/>
      <c r="E20" s="875"/>
      <c r="F20" s="875"/>
      <c r="G20" s="875"/>
      <c r="H20" s="875"/>
      <c r="I20" s="875"/>
      <c r="J20" s="875"/>
      <c r="K20" s="875"/>
      <c r="L20" s="875"/>
      <c r="M20" s="875"/>
      <c r="N20" s="875"/>
      <c r="O20" s="875"/>
      <c r="P20" s="875"/>
      <c r="Q20" s="875"/>
      <c r="R20" s="875"/>
      <c r="S20" s="875"/>
      <c r="T20" s="875"/>
      <c r="U20" s="875"/>
      <c r="V20" s="875"/>
      <c r="W20" s="875"/>
      <c r="X20" s="875"/>
      <c r="Y20" s="606"/>
      <c r="Z20" s="606"/>
      <c r="AA20" s="606"/>
      <c r="AB20" s="606"/>
      <c r="AC20" s="606"/>
      <c r="AD20" s="606"/>
      <c r="AE20" s="428"/>
      <c r="AF20" s="265"/>
      <c r="AG20" s="265"/>
      <c r="AH20" s="265"/>
      <c r="AI20" s="265"/>
      <c r="AJ20" s="265"/>
      <c r="AK20" s="265"/>
      <c r="AL20" s="265"/>
      <c r="AM20" s="265"/>
    </row>
    <row r="21" spans="2:39" ht="37.5" customHeight="1">
      <c r="B21" s="273"/>
      <c r="C21" s="875" t="s">
        <v>640</v>
      </c>
      <c r="D21" s="875"/>
      <c r="E21" s="875"/>
      <c r="F21" s="875"/>
      <c r="G21" s="875"/>
      <c r="H21" s="875"/>
      <c r="I21" s="875"/>
      <c r="J21" s="875"/>
      <c r="K21" s="875"/>
      <c r="L21" s="875"/>
      <c r="M21" s="875"/>
      <c r="N21" s="875"/>
      <c r="O21" s="875"/>
      <c r="P21" s="875"/>
      <c r="Q21" s="875"/>
      <c r="R21" s="875"/>
      <c r="S21" s="875"/>
      <c r="T21" s="875"/>
      <c r="U21" s="875"/>
      <c r="V21" s="875"/>
      <c r="W21" s="875"/>
      <c r="X21" s="875"/>
      <c r="Y21" s="606"/>
      <c r="Z21" s="606"/>
      <c r="AA21" s="606"/>
      <c r="AB21" s="606"/>
      <c r="AC21" s="606"/>
      <c r="AD21" s="606"/>
      <c r="AE21" s="276"/>
      <c r="AF21" s="265"/>
      <c r="AG21" s="265"/>
      <c r="AH21" s="265"/>
      <c r="AI21" s="265"/>
      <c r="AJ21" s="265"/>
      <c r="AK21" s="265"/>
      <c r="AL21" s="265"/>
      <c r="AM21" s="265"/>
    </row>
    <row r="22" spans="2:39" ht="54.75" customHeight="1">
      <c r="B22" s="273"/>
      <c r="C22" s="875" t="s">
        <v>624</v>
      </c>
      <c r="D22" s="875"/>
      <c r="E22" s="875"/>
      <c r="F22" s="875"/>
      <c r="G22" s="875"/>
      <c r="H22" s="875"/>
      <c r="I22" s="875"/>
      <c r="J22" s="875"/>
      <c r="K22" s="875"/>
      <c r="L22" s="875"/>
      <c r="M22" s="875"/>
      <c r="N22" s="875"/>
      <c r="O22" s="875"/>
      <c r="P22" s="875"/>
      <c r="Q22" s="875"/>
      <c r="R22" s="875"/>
      <c r="S22" s="875"/>
      <c r="T22" s="875"/>
      <c r="U22" s="875"/>
      <c r="V22" s="875"/>
      <c r="W22" s="875"/>
      <c r="X22" s="875"/>
      <c r="Y22" s="606"/>
      <c r="Z22" s="606"/>
      <c r="AA22" s="606"/>
      <c r="AB22" s="606"/>
      <c r="AC22" s="606"/>
      <c r="AD22" s="606"/>
      <c r="AE22" s="428"/>
      <c r="AF22" s="265"/>
      <c r="AG22" s="265"/>
      <c r="AH22" s="265"/>
      <c r="AI22" s="265"/>
      <c r="AJ22" s="265"/>
      <c r="AK22" s="265"/>
      <c r="AL22" s="265"/>
      <c r="AM22" s="265"/>
    </row>
    <row r="23" spans="2:39" ht="15.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6">
      <c r="B24" s="874"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6">
      <c r="B25" s="874"/>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6">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6">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6">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6">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6">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76" t="s">
        <v>211</v>
      </c>
      <c r="C34" s="878" t="s">
        <v>33</v>
      </c>
      <c r="D34" s="284" t="s">
        <v>423</v>
      </c>
      <c r="E34" s="880" t="s">
        <v>209</v>
      </c>
      <c r="F34" s="881"/>
      <c r="G34" s="881"/>
      <c r="H34" s="881"/>
      <c r="I34" s="881"/>
      <c r="J34" s="881"/>
      <c r="K34" s="881"/>
      <c r="L34" s="881"/>
      <c r="M34" s="882"/>
      <c r="N34" s="886" t="s">
        <v>213</v>
      </c>
      <c r="O34" s="284" t="s">
        <v>424</v>
      </c>
      <c r="P34" s="880" t="s">
        <v>212</v>
      </c>
      <c r="Q34" s="881"/>
      <c r="R34" s="881"/>
      <c r="S34" s="881"/>
      <c r="T34" s="881"/>
      <c r="U34" s="881"/>
      <c r="V34" s="881"/>
      <c r="W34" s="881"/>
      <c r="X34" s="882"/>
      <c r="Y34" s="883" t="s">
        <v>244</v>
      </c>
      <c r="Z34" s="884"/>
      <c r="AA34" s="884"/>
      <c r="AB34" s="884"/>
      <c r="AC34" s="884"/>
      <c r="AD34" s="884"/>
      <c r="AE34" s="884"/>
      <c r="AF34" s="884"/>
      <c r="AG34" s="884"/>
      <c r="AH34" s="884"/>
      <c r="AI34" s="884"/>
      <c r="AJ34" s="884"/>
      <c r="AK34" s="884"/>
      <c r="AL34" s="884"/>
      <c r="AM34" s="885"/>
    </row>
    <row r="35" spans="1:39" ht="65.25" customHeight="1">
      <c r="B35" s="877"/>
      <c r="C35" s="879"/>
      <c r="D35" s="285">
        <v>2015</v>
      </c>
      <c r="E35" s="285">
        <v>2016</v>
      </c>
      <c r="F35" s="285">
        <v>2017</v>
      </c>
      <c r="G35" s="285">
        <v>2018</v>
      </c>
      <c r="H35" s="285">
        <v>2019</v>
      </c>
      <c r="I35" s="285">
        <v>2020</v>
      </c>
      <c r="J35" s="285">
        <v>2021</v>
      </c>
      <c r="K35" s="285">
        <v>2022</v>
      </c>
      <c r="L35" s="285">
        <v>2023</v>
      </c>
      <c r="M35" s="429">
        <v>2024</v>
      </c>
      <c r="N35" s="88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 to 999 kW (I1 &amp; I4)</v>
      </c>
      <c r="AB35" s="285" t="str">
        <f>'1.  LRAMVA Summary'!G52</f>
        <v>GS 1,000 to 4,999 kW (I2)</v>
      </c>
      <c r="AC35" s="285" t="str">
        <f>'1.  LRAMVA Summary'!H52</f>
        <v>Large Use (I3)</v>
      </c>
      <c r="AD35" s="285" t="str">
        <f>'1.  LRAMVA Summary'!I52</f>
        <v>Street Lighting</v>
      </c>
      <c r="AE35" s="285" t="str">
        <f>'1.  LRAMVA Summary'!J52</f>
        <v>USL</v>
      </c>
      <c r="AF35" s="285" t="str">
        <f>'1.  LRAMVA Summary'!K52</f>
        <v>Sentinel Lights</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5" outlineLevel="1">
      <c r="A38" s="522">
        <v>1</v>
      </c>
      <c r="B38" s="520" t="s">
        <v>95</v>
      </c>
      <c r="C38" s="291" t="s">
        <v>25</v>
      </c>
      <c r="D38" s="295">
        <f>'7.  Persistence Report'!AU29</f>
        <v>624186</v>
      </c>
      <c r="E38" s="295">
        <f>'7.  Persistence Report'!AV29</f>
        <v>618505</v>
      </c>
      <c r="F38" s="295">
        <f>'7.  Persistence Report'!AW29</f>
        <v>618505</v>
      </c>
      <c r="G38" s="295">
        <f>'7.  Persistence Report'!AX29</f>
        <v>618505</v>
      </c>
      <c r="H38" s="295">
        <f>'7.  Persistence Report'!AY29</f>
        <v>618505</v>
      </c>
      <c r="I38" s="295">
        <f>'7.  Persistence Report'!AZ29</f>
        <v>618505</v>
      </c>
      <c r="J38" s="295">
        <f>'7.  Persistence Report'!BA29</f>
        <v>618505</v>
      </c>
      <c r="K38" s="295">
        <f>'7.  Persistence Report'!BB29</f>
        <v>618370</v>
      </c>
      <c r="L38" s="295">
        <f>'7.  Persistence Report'!BC29</f>
        <v>618370</v>
      </c>
      <c r="M38" s="295">
        <f>'7.  Persistence Report'!BD29</f>
        <v>618370</v>
      </c>
      <c r="N38" s="291"/>
      <c r="O38" s="295">
        <f>'7.  Persistence Report'!P29</f>
        <v>41</v>
      </c>
      <c r="P38" s="295">
        <f>'7.  Persistence Report'!Q29</f>
        <v>40</v>
      </c>
      <c r="Q38" s="295">
        <f>'7.  Persistence Report'!R29</f>
        <v>40</v>
      </c>
      <c r="R38" s="295">
        <f>'7.  Persistence Report'!S29</f>
        <v>40</v>
      </c>
      <c r="S38" s="295">
        <f>'7.  Persistence Report'!T29</f>
        <v>40</v>
      </c>
      <c r="T38" s="295">
        <f>'7.  Persistence Report'!U29</f>
        <v>40</v>
      </c>
      <c r="U38" s="295">
        <f>'7.  Persistence Report'!V29</f>
        <v>40</v>
      </c>
      <c r="V38" s="295">
        <f>'7.  Persistence Report'!W29</f>
        <v>40</v>
      </c>
      <c r="W38" s="295">
        <f>'7.  Persistence Report'!X29</f>
        <v>40</v>
      </c>
      <c r="X38" s="295">
        <f>'7.  Persistence Report'!Y29</f>
        <v>40</v>
      </c>
      <c r="Y38" s="410">
        <v>1</v>
      </c>
      <c r="Z38" s="410"/>
      <c r="AA38" s="410"/>
      <c r="AB38" s="410"/>
      <c r="AC38" s="410"/>
      <c r="AD38" s="410"/>
      <c r="AE38" s="410"/>
      <c r="AF38" s="410"/>
      <c r="AG38" s="410"/>
      <c r="AH38" s="410"/>
      <c r="AI38" s="410"/>
      <c r="AJ38" s="410"/>
      <c r="AK38" s="410"/>
      <c r="AL38" s="410"/>
      <c r="AM38" s="296">
        <f>SUM(Y38:AL38)</f>
        <v>1</v>
      </c>
    </row>
    <row r="39" spans="1:39" ht="15" outlineLevel="1">
      <c r="B39" s="294" t="s">
        <v>268</v>
      </c>
      <c r="C39" s="291" t="s">
        <v>163</v>
      </c>
      <c r="D39" s="295">
        <f>'7.  Persistence Report'!AU37</f>
        <v>104247</v>
      </c>
      <c r="E39" s="295">
        <f>'7.  Persistence Report'!AV37</f>
        <v>102747</v>
      </c>
      <c r="F39" s="295">
        <f>'7.  Persistence Report'!AW37</f>
        <v>102747</v>
      </c>
      <c r="G39" s="295">
        <f>'7.  Persistence Report'!AX37</f>
        <v>102747</v>
      </c>
      <c r="H39" s="295">
        <f>'7.  Persistence Report'!AY37</f>
        <v>102747</v>
      </c>
      <c r="I39" s="295">
        <f>'7.  Persistence Report'!AZ37</f>
        <v>102747</v>
      </c>
      <c r="J39" s="295">
        <f>'7.  Persistence Report'!BA37</f>
        <v>102747</v>
      </c>
      <c r="K39" s="295">
        <f>'7.  Persistence Report'!BB37</f>
        <v>102705</v>
      </c>
      <c r="L39" s="295">
        <f>'7.  Persistence Report'!BC37</f>
        <v>102705</v>
      </c>
      <c r="M39" s="295">
        <f>'7.  Persistence Report'!BD37</f>
        <v>102705</v>
      </c>
      <c r="N39" s="468"/>
      <c r="O39" s="295">
        <f>'7.  Persistence Report'!P37</f>
        <v>7</v>
      </c>
      <c r="P39" s="295">
        <f>'7.  Persistence Report'!Q37</f>
        <v>7</v>
      </c>
      <c r="Q39" s="295">
        <f>'7.  Persistence Report'!R37</f>
        <v>7</v>
      </c>
      <c r="R39" s="295">
        <f>'7.  Persistence Report'!S37</f>
        <v>7</v>
      </c>
      <c r="S39" s="295">
        <f>'7.  Persistence Report'!T37</f>
        <v>7</v>
      </c>
      <c r="T39" s="295">
        <f>'7.  Persistence Report'!U37</f>
        <v>7</v>
      </c>
      <c r="U39" s="295">
        <f>'7.  Persistence Report'!V37</f>
        <v>7</v>
      </c>
      <c r="V39" s="295">
        <f>'7.  Persistence Report'!W37</f>
        <v>7</v>
      </c>
      <c r="W39" s="295">
        <f>'7.  Persistence Report'!X37</f>
        <v>7</v>
      </c>
      <c r="X39" s="295">
        <f>'7.  Persistence Report'!Y37</f>
        <v>7</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5" outlineLevel="1">
      <c r="A41" s="522">
        <v>2</v>
      </c>
      <c r="B41" s="520" t="s">
        <v>96</v>
      </c>
      <c r="C41" s="291" t="s">
        <v>25</v>
      </c>
      <c r="D41" s="295">
        <f>'7.  Persistence Report'!AU30</f>
        <v>1153140</v>
      </c>
      <c r="E41" s="295">
        <f>'7.  Persistence Report'!AV30</f>
        <v>1132646</v>
      </c>
      <c r="F41" s="295">
        <f>'7.  Persistence Report'!AW30</f>
        <v>1132646</v>
      </c>
      <c r="G41" s="295">
        <f>'7.  Persistence Report'!AX30</f>
        <v>1132646</v>
      </c>
      <c r="H41" s="295">
        <f>'7.  Persistence Report'!AY30</f>
        <v>1132646</v>
      </c>
      <c r="I41" s="295">
        <f>'7.  Persistence Report'!AZ30</f>
        <v>1132646</v>
      </c>
      <c r="J41" s="295">
        <f>'7.  Persistence Report'!BA30</f>
        <v>1132646</v>
      </c>
      <c r="K41" s="295">
        <f>'7.  Persistence Report'!BB30</f>
        <v>1132053</v>
      </c>
      <c r="L41" s="295">
        <f>'7.  Persistence Report'!BC30</f>
        <v>1132053</v>
      </c>
      <c r="M41" s="295">
        <f>'7.  Persistence Report'!BD30</f>
        <v>1132053</v>
      </c>
      <c r="N41" s="291"/>
      <c r="O41" s="295">
        <f>'7.  Persistence Report'!P30</f>
        <v>78</v>
      </c>
      <c r="P41" s="295">
        <f>'7.  Persistence Report'!Q30</f>
        <v>77</v>
      </c>
      <c r="Q41" s="295">
        <f>'7.  Persistence Report'!R30</f>
        <v>77</v>
      </c>
      <c r="R41" s="295">
        <f>'7.  Persistence Report'!S30</f>
        <v>77</v>
      </c>
      <c r="S41" s="295">
        <f>'7.  Persistence Report'!T30</f>
        <v>77</v>
      </c>
      <c r="T41" s="295">
        <f>'7.  Persistence Report'!U30</f>
        <v>77</v>
      </c>
      <c r="U41" s="295">
        <f>'7.  Persistence Report'!V30</f>
        <v>77</v>
      </c>
      <c r="V41" s="295">
        <f>'7.  Persistence Report'!W30</f>
        <v>76</v>
      </c>
      <c r="W41" s="295">
        <f>'7.  Persistence Report'!X30</f>
        <v>76</v>
      </c>
      <c r="X41" s="295">
        <f>'7.  Persistence Report'!Y30</f>
        <v>76</v>
      </c>
      <c r="Y41" s="410">
        <v>1</v>
      </c>
      <c r="Z41" s="410"/>
      <c r="AA41" s="410"/>
      <c r="AB41" s="410"/>
      <c r="AC41" s="410"/>
      <c r="AD41" s="410"/>
      <c r="AE41" s="410"/>
      <c r="AF41" s="410"/>
      <c r="AG41" s="410"/>
      <c r="AH41" s="410"/>
      <c r="AI41" s="410"/>
      <c r="AJ41" s="410"/>
      <c r="AK41" s="410"/>
      <c r="AL41" s="410"/>
      <c r="AM41" s="296">
        <f>SUM(Y41:AL41)</f>
        <v>1</v>
      </c>
    </row>
    <row r="42" spans="1:39" ht="15" outlineLevel="1">
      <c r="B42" s="294" t="s">
        <v>268</v>
      </c>
      <c r="C42" s="291" t="s">
        <v>163</v>
      </c>
      <c r="D42" s="295">
        <f>'7.  Persistence Report'!AU38</f>
        <v>11928</v>
      </c>
      <c r="E42" s="295">
        <f>'7.  Persistence Report'!AV38</f>
        <v>11788</v>
      </c>
      <c r="F42" s="295">
        <f>'7.  Persistence Report'!AW38</f>
        <v>11788</v>
      </c>
      <c r="G42" s="295">
        <f>'7.  Persistence Report'!AX38</f>
        <v>11788</v>
      </c>
      <c r="H42" s="295">
        <f>'7.  Persistence Report'!AY38</f>
        <v>11788</v>
      </c>
      <c r="I42" s="295">
        <f>'7.  Persistence Report'!AZ38</f>
        <v>11788</v>
      </c>
      <c r="J42" s="295">
        <f>'7.  Persistence Report'!BA38</f>
        <v>11788</v>
      </c>
      <c r="K42" s="295">
        <f>'7.  Persistence Report'!BB38</f>
        <v>11758</v>
      </c>
      <c r="L42" s="295">
        <f>'7.  Persistence Report'!BC38</f>
        <v>11758</v>
      </c>
      <c r="M42" s="295">
        <f>'7.  Persistence Report'!BD38</f>
        <v>11758</v>
      </c>
      <c r="N42" s="468"/>
      <c r="O42" s="295">
        <f>'7.  Persistence Report'!P38</f>
        <v>1</v>
      </c>
      <c r="P42" s="295">
        <f>'7.  Persistence Report'!Q38</f>
        <v>1</v>
      </c>
      <c r="Q42" s="295">
        <f>'7.  Persistence Report'!R38</f>
        <v>1</v>
      </c>
      <c r="R42" s="295">
        <f>'7.  Persistence Report'!S38</f>
        <v>1</v>
      </c>
      <c r="S42" s="295">
        <f>'7.  Persistence Report'!T38</f>
        <v>1</v>
      </c>
      <c r="T42" s="295">
        <f>'7.  Persistence Report'!U38</f>
        <v>1</v>
      </c>
      <c r="U42" s="295">
        <f>'7.  Persistence Report'!V38</f>
        <v>1</v>
      </c>
      <c r="V42" s="295">
        <f>'7.  Persistence Report'!W38</f>
        <v>1</v>
      </c>
      <c r="W42" s="295">
        <f>'7.  Persistence Report'!X38</f>
        <v>1</v>
      </c>
      <c r="X42" s="295">
        <f>'7.  Persistence Report'!Y38</f>
        <v>1</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5" outlineLevel="1">
      <c r="A44" s="522">
        <v>3</v>
      </c>
      <c r="B44" s="520" t="s">
        <v>97</v>
      </c>
      <c r="C44" s="291" t="s">
        <v>25</v>
      </c>
      <c r="D44" s="295">
        <f>'7.  Persistence Report'!AU28</f>
        <v>9670</v>
      </c>
      <c r="E44" s="295">
        <f>'7.  Persistence Report'!AV28</f>
        <v>9670</v>
      </c>
      <c r="F44" s="295">
        <f>'7.  Persistence Report'!AW28</f>
        <v>9670</v>
      </c>
      <c r="G44" s="295">
        <f>'7.  Persistence Report'!AX28</f>
        <v>9670</v>
      </c>
      <c r="H44" s="295">
        <f>'7.  Persistence Report'!AY28</f>
        <v>4070</v>
      </c>
      <c r="I44" s="295">
        <f>'7.  Persistence Report'!AZ28</f>
        <v>0</v>
      </c>
      <c r="J44" s="295">
        <f>'7.  Persistence Report'!BA28</f>
        <v>0</v>
      </c>
      <c r="K44" s="295">
        <f>'7.  Persistence Report'!BB28</f>
        <v>0</v>
      </c>
      <c r="L44" s="295">
        <f>'7.  Persistence Report'!BC28</f>
        <v>0</v>
      </c>
      <c r="M44" s="295">
        <f>'7.  Persistence Report'!BD28</f>
        <v>0</v>
      </c>
      <c r="N44" s="291"/>
      <c r="O44" s="295">
        <f>'7.  Persistence Report'!P28</f>
        <v>1</v>
      </c>
      <c r="P44" s="295">
        <f>'7.  Persistence Report'!Q28</f>
        <v>1</v>
      </c>
      <c r="Q44" s="295">
        <f>'7.  Persistence Report'!R28</f>
        <v>1</v>
      </c>
      <c r="R44" s="295">
        <f>'7.  Persistence Report'!S28</f>
        <v>1</v>
      </c>
      <c r="S44" s="295">
        <f>'7.  Persistence Report'!T28</f>
        <v>1</v>
      </c>
      <c r="T44" s="295">
        <f>'7.  Persistence Report'!U28</f>
        <v>0</v>
      </c>
      <c r="U44" s="295">
        <f>'7.  Persistence Report'!V28</f>
        <v>0</v>
      </c>
      <c r="V44" s="295">
        <f>'7.  Persistence Report'!W28</f>
        <v>0</v>
      </c>
      <c r="W44" s="295">
        <f>'7.  Persistence Report'!X28</f>
        <v>0</v>
      </c>
      <c r="X44" s="295">
        <f>'7.  Persistence Report'!Y28</f>
        <v>0</v>
      </c>
      <c r="Y44" s="410">
        <v>1</v>
      </c>
      <c r="Z44" s="410"/>
      <c r="AA44" s="410"/>
      <c r="AB44" s="410"/>
      <c r="AC44" s="410"/>
      <c r="AD44" s="410"/>
      <c r="AE44" s="410"/>
      <c r="AF44" s="410"/>
      <c r="AG44" s="410"/>
      <c r="AH44" s="410"/>
      <c r="AI44" s="410"/>
      <c r="AJ44" s="410"/>
      <c r="AK44" s="410"/>
      <c r="AL44" s="410"/>
      <c r="AM44" s="296">
        <f>SUM(Y44:AL44)</f>
        <v>1</v>
      </c>
    </row>
    <row r="45" spans="1:39" ht="15"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5"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5" outlineLevel="1">
      <c r="A47" s="522">
        <v>4</v>
      </c>
      <c r="B47" s="520" t="s">
        <v>683</v>
      </c>
      <c r="C47" s="291" t="s">
        <v>25</v>
      </c>
      <c r="D47" s="295">
        <f>'7.  Persistence Report'!AU31</f>
        <v>1265384</v>
      </c>
      <c r="E47" s="295">
        <f>'7.  Persistence Report'!AV31</f>
        <v>1265384</v>
      </c>
      <c r="F47" s="295">
        <f>'7.  Persistence Report'!AW31</f>
        <v>1265384</v>
      </c>
      <c r="G47" s="295">
        <f>'7.  Persistence Report'!AX31</f>
        <v>1265384</v>
      </c>
      <c r="H47" s="295">
        <f>'7.  Persistence Report'!AY31</f>
        <v>1265384</v>
      </c>
      <c r="I47" s="295">
        <f>'7.  Persistence Report'!AZ31</f>
        <v>1265384</v>
      </c>
      <c r="J47" s="295">
        <f>'7.  Persistence Report'!BA31</f>
        <v>1265384</v>
      </c>
      <c r="K47" s="295">
        <f>'7.  Persistence Report'!BB31</f>
        <v>1265384</v>
      </c>
      <c r="L47" s="295">
        <f>'7.  Persistence Report'!BC31</f>
        <v>1265384</v>
      </c>
      <c r="M47" s="295">
        <f>'7.  Persistence Report'!BD31</f>
        <v>1265384</v>
      </c>
      <c r="N47" s="291"/>
      <c r="O47" s="295">
        <f>'7.  Persistence Report'!P31</f>
        <v>664</v>
      </c>
      <c r="P47" s="295">
        <f>'7.  Persistence Report'!Q31</f>
        <v>664</v>
      </c>
      <c r="Q47" s="295">
        <f>'7.  Persistence Report'!R31</f>
        <v>664</v>
      </c>
      <c r="R47" s="295">
        <f>'7.  Persistence Report'!S31</f>
        <v>664</v>
      </c>
      <c r="S47" s="295">
        <f>'7.  Persistence Report'!T31</f>
        <v>664</v>
      </c>
      <c r="T47" s="295">
        <f>'7.  Persistence Report'!U31</f>
        <v>664</v>
      </c>
      <c r="U47" s="295">
        <f>'7.  Persistence Report'!V31</f>
        <v>664</v>
      </c>
      <c r="V47" s="295">
        <f>'7.  Persistence Report'!W31</f>
        <v>664</v>
      </c>
      <c r="W47" s="295">
        <f>'7.  Persistence Report'!X31</f>
        <v>664</v>
      </c>
      <c r="X47" s="295">
        <f>'7.  Persistence Report'!Y31</f>
        <v>664</v>
      </c>
      <c r="Y47" s="410">
        <v>1</v>
      </c>
      <c r="Z47" s="410"/>
      <c r="AA47" s="410"/>
      <c r="AB47" s="410"/>
      <c r="AC47" s="410"/>
      <c r="AD47" s="410"/>
      <c r="AE47" s="410"/>
      <c r="AF47" s="410"/>
      <c r="AG47" s="410"/>
      <c r="AH47" s="410"/>
      <c r="AI47" s="410"/>
      <c r="AJ47" s="410"/>
      <c r="AK47" s="410"/>
      <c r="AL47" s="410"/>
      <c r="AM47" s="296">
        <f>SUM(Y47:AL47)</f>
        <v>1</v>
      </c>
    </row>
    <row r="48" spans="1:39" ht="15" outlineLevel="1">
      <c r="B48" s="294" t="s">
        <v>268</v>
      </c>
      <c r="C48" s="291" t="s">
        <v>163</v>
      </c>
      <c r="D48" s="295">
        <f>'7.  Persistence Report'!AU39</f>
        <v>21001</v>
      </c>
      <c r="E48" s="295">
        <f>'7.  Persistence Report'!AV39</f>
        <v>21001</v>
      </c>
      <c r="F48" s="295">
        <f>'7.  Persistence Report'!AW39</f>
        <v>21001</v>
      </c>
      <c r="G48" s="295">
        <f>'7.  Persistence Report'!AX39</f>
        <v>21001</v>
      </c>
      <c r="H48" s="295">
        <f>'7.  Persistence Report'!AY39</f>
        <v>21001</v>
      </c>
      <c r="I48" s="295">
        <f>'7.  Persistence Report'!AZ39</f>
        <v>21001</v>
      </c>
      <c r="J48" s="295">
        <f>'7.  Persistence Report'!BA39</f>
        <v>21001</v>
      </c>
      <c r="K48" s="295">
        <f>'7.  Persistence Report'!BB39</f>
        <v>21001</v>
      </c>
      <c r="L48" s="295">
        <f>'7.  Persistence Report'!BC39</f>
        <v>21001</v>
      </c>
      <c r="M48" s="295">
        <f>'7.  Persistence Report'!BD39</f>
        <v>21001</v>
      </c>
      <c r="N48" s="468"/>
      <c r="O48" s="295">
        <f>'7.  Persistence Report'!P39</f>
        <v>11</v>
      </c>
      <c r="P48" s="295">
        <f>'7.  Persistence Report'!Q39</f>
        <v>11</v>
      </c>
      <c r="Q48" s="295">
        <f>'7.  Persistence Report'!R39</f>
        <v>11</v>
      </c>
      <c r="R48" s="295">
        <f>'7.  Persistence Report'!S39</f>
        <v>11</v>
      </c>
      <c r="S48" s="295">
        <f>'7.  Persistence Report'!T39</f>
        <v>11</v>
      </c>
      <c r="T48" s="295">
        <f>'7.  Persistence Report'!U39</f>
        <v>11</v>
      </c>
      <c r="U48" s="295">
        <f>'7.  Persistence Report'!V39</f>
        <v>11</v>
      </c>
      <c r="V48" s="295">
        <f>'7.  Persistence Report'!W39</f>
        <v>11</v>
      </c>
      <c r="W48" s="295">
        <f>'7.  Persistence Report'!X39</f>
        <v>11</v>
      </c>
      <c r="X48" s="295">
        <f>'7.  Persistence Report'!Y39</f>
        <v>11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5"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5" outlineLevel="1">
      <c r="B51" s="294" t="s">
        <v>268</v>
      </c>
      <c r="C51" s="291" t="s">
        <v>163</v>
      </c>
      <c r="D51" s="295">
        <f>'7.  Persistence Report'!AU40</f>
        <v>225449</v>
      </c>
      <c r="E51" s="295">
        <f>'7.  Persistence Report'!AV40</f>
        <v>225449</v>
      </c>
      <c r="F51" s="295">
        <f>'7.  Persistence Report'!AW40</f>
        <v>225449</v>
      </c>
      <c r="G51" s="295">
        <f>'7.  Persistence Report'!AX40</f>
        <v>225449</v>
      </c>
      <c r="H51" s="295">
        <f>'7.  Persistence Report'!AY40</f>
        <v>225449</v>
      </c>
      <c r="I51" s="295">
        <f>'7.  Persistence Report'!AZ40</f>
        <v>225449</v>
      </c>
      <c r="J51" s="295">
        <f>'7.  Persistence Report'!BA40</f>
        <v>225449</v>
      </c>
      <c r="K51" s="295">
        <f>'7.  Persistence Report'!BB40</f>
        <v>225449</v>
      </c>
      <c r="L51" s="295">
        <f>'7.  Persistence Report'!BC40</f>
        <v>225449</v>
      </c>
      <c r="M51" s="295">
        <f>'7.  Persistence Report'!BD40</f>
        <v>225449</v>
      </c>
      <c r="N51" s="468"/>
      <c r="O51" s="295">
        <f>'7.  Persistence Report'!P40</f>
        <v>13</v>
      </c>
      <c r="P51" s="295">
        <f>'7.  Persistence Report'!Q40</f>
        <v>13</v>
      </c>
      <c r="Q51" s="295">
        <f>'7.  Persistence Report'!R40</f>
        <v>13</v>
      </c>
      <c r="R51" s="295">
        <f>'7.  Persistence Report'!S40</f>
        <v>13</v>
      </c>
      <c r="S51" s="295">
        <f>'7.  Persistence Report'!T40</f>
        <v>13</v>
      </c>
      <c r="T51" s="295">
        <f>'7.  Persistence Report'!U40</f>
        <v>13</v>
      </c>
      <c r="U51" s="295">
        <f>'7.  Persistence Report'!V40</f>
        <v>13</v>
      </c>
      <c r="V51" s="295">
        <f>'7.  Persistence Report'!W40</f>
        <v>13</v>
      </c>
      <c r="W51" s="295">
        <f>'7.  Persistence Report'!X40</f>
        <v>13</v>
      </c>
      <c r="X51" s="295">
        <f>'7.  Persistence Report'!Y40</f>
        <v>13</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5"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5"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ht="15" outlineLevel="1">
      <c r="B55" s="294" t="s">
        <v>268</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5"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Report'!AU32</f>
        <v>1655090</v>
      </c>
      <c r="E57" s="295">
        <f>'7.  Persistence Report'!AV32</f>
        <v>1655090</v>
      </c>
      <c r="F57" s="295">
        <f>'7.  Persistence Report'!AW32</f>
        <v>1604633</v>
      </c>
      <c r="G57" s="295">
        <f>'7.  Persistence Report'!AX32</f>
        <v>1577999</v>
      </c>
      <c r="H57" s="295">
        <f>'7.  Persistence Report'!AY32</f>
        <v>1577999</v>
      </c>
      <c r="I57" s="295">
        <f>'7.  Persistence Report'!AZ32</f>
        <v>1577999</v>
      </c>
      <c r="J57" s="295">
        <f>'7.  Persistence Report'!BA32</f>
        <v>1529250</v>
      </c>
      <c r="K57" s="295">
        <f>'7.  Persistence Report'!BB32</f>
        <v>1529250</v>
      </c>
      <c r="L57" s="295">
        <f>'7.  Persistence Report'!BC32</f>
        <v>1478551</v>
      </c>
      <c r="M57" s="295">
        <f>'7.  Persistence Report'!BD32</f>
        <v>1302929</v>
      </c>
      <c r="N57" s="295">
        <v>12</v>
      </c>
      <c r="O57" s="295">
        <f>'7.  Persistence Report'!P32</f>
        <v>268</v>
      </c>
      <c r="P57" s="295">
        <f>'7.  Persistence Report'!Q32</f>
        <v>268</v>
      </c>
      <c r="Q57" s="295">
        <f>'7.  Persistence Report'!R32</f>
        <v>252</v>
      </c>
      <c r="R57" s="295">
        <f>'7.  Persistence Report'!S32</f>
        <v>244</v>
      </c>
      <c r="S57" s="295">
        <f>'7.  Persistence Report'!T32</f>
        <v>244</v>
      </c>
      <c r="T57" s="295">
        <f>'7.  Persistence Report'!U32</f>
        <v>244</v>
      </c>
      <c r="U57" s="295">
        <f>'7.  Persistence Report'!V32</f>
        <v>235</v>
      </c>
      <c r="V57" s="295">
        <f>'7.  Persistence Report'!W32</f>
        <v>235</v>
      </c>
      <c r="W57" s="295">
        <f>'7.  Persistence Report'!X32</f>
        <v>233</v>
      </c>
      <c r="X57" s="295">
        <f>'7.  Persistence Report'!Y32</f>
        <v>203</v>
      </c>
      <c r="Y57" s="533"/>
      <c r="Z57" s="533">
        <v>0.38</v>
      </c>
      <c r="AA57" s="533">
        <v>0.53</v>
      </c>
      <c r="AB57" s="410">
        <v>0.09</v>
      </c>
      <c r="AC57" s="533"/>
      <c r="AD57" s="410"/>
      <c r="AE57" s="410"/>
      <c r="AF57" s="415"/>
      <c r="AG57" s="415"/>
      <c r="AH57" s="415"/>
      <c r="AI57" s="415"/>
      <c r="AJ57" s="415"/>
      <c r="AK57" s="415"/>
      <c r="AL57" s="415"/>
      <c r="AM57" s="296">
        <f>SUM(Y57:AL57)</f>
        <v>1</v>
      </c>
    </row>
    <row r="58" spans="1:39" ht="15" outlineLevel="1">
      <c r="B58" s="294" t="s">
        <v>268</v>
      </c>
      <c r="C58" s="291" t="s">
        <v>163</v>
      </c>
      <c r="D58" s="295">
        <f>'7.  Persistence Report'!AU41+'7.  Persistence Report'!AU43</f>
        <v>231480</v>
      </c>
      <c r="E58" s="295">
        <f>'7.  Persistence Report'!AV41+'7.  Persistence Report'!AV43</f>
        <v>231480</v>
      </c>
      <c r="F58" s="295">
        <f>'7.  Persistence Report'!AW41+'7.  Persistence Report'!AW43</f>
        <v>281937</v>
      </c>
      <c r="G58" s="295">
        <f>'7.  Persistence Report'!AX41+'7.  Persistence Report'!AX43</f>
        <v>294990</v>
      </c>
      <c r="H58" s="295">
        <f>'7.  Persistence Report'!AY41+'7.  Persistence Report'!AY43</f>
        <v>294990</v>
      </c>
      <c r="I58" s="295">
        <f>'7.  Persistence Report'!AZ41+'7.  Persistence Report'!AZ43</f>
        <v>293527</v>
      </c>
      <c r="J58" s="295">
        <f>'7.  Persistence Report'!BA41+'7.  Persistence Report'!BA43</f>
        <v>342277</v>
      </c>
      <c r="K58" s="295">
        <f>'7.  Persistence Report'!BB41+'7.  Persistence Report'!BB43</f>
        <v>342277</v>
      </c>
      <c r="L58" s="295">
        <f>'7.  Persistence Report'!BC41+'7.  Persistence Report'!BC43</f>
        <v>386186</v>
      </c>
      <c r="M58" s="295">
        <f>'7.  Persistence Report'!BD41+'7.  Persistence Report'!BD43</f>
        <v>273467</v>
      </c>
      <c r="N58" s="295">
        <f>N57</f>
        <v>12</v>
      </c>
      <c r="O58" s="295">
        <f>'7.  Persistence Report'!P41+'7.  Persistence Report'!P43</f>
        <v>60</v>
      </c>
      <c r="P58" s="295">
        <f>'7.  Persistence Report'!Q41+'7.  Persistence Report'!Q43</f>
        <v>60</v>
      </c>
      <c r="Q58" s="295">
        <f>'7.  Persistence Report'!R41+'7.  Persistence Report'!R43</f>
        <v>75</v>
      </c>
      <c r="R58" s="295">
        <f>'7.  Persistence Report'!S41+'7.  Persistence Report'!S43</f>
        <v>79</v>
      </c>
      <c r="S58" s="295">
        <f>'7.  Persistence Report'!T41+'7.  Persistence Report'!T43</f>
        <v>79</v>
      </c>
      <c r="T58" s="295">
        <f>'7.  Persistence Report'!U41+'7.  Persistence Report'!U43</f>
        <v>79</v>
      </c>
      <c r="U58" s="295">
        <f>'7.  Persistence Report'!V41+'7.  Persistence Report'!V43</f>
        <v>88</v>
      </c>
      <c r="V58" s="295">
        <f>'7.  Persistence Report'!W41+'7.  Persistence Report'!W43</f>
        <v>88</v>
      </c>
      <c r="W58" s="295">
        <f>'7.  Persistence Report'!X41+'7.  Persistence Report'!X43</f>
        <v>88</v>
      </c>
      <c r="X58" s="295">
        <f>'7.  Persistence Report'!Y41+'7.  Persistence Report'!Y43</f>
        <v>58</v>
      </c>
      <c r="Y58" s="411">
        <f>Y57</f>
        <v>0</v>
      </c>
      <c r="Z58" s="411">
        <f>Z57</f>
        <v>0.38</v>
      </c>
      <c r="AA58" s="411">
        <f t="shared" ref="AA58" si="66">AA57</f>
        <v>0.53</v>
      </c>
      <c r="AB58" s="411">
        <f t="shared" ref="AB58" si="67">AB57</f>
        <v>0.09</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ht="15"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ht="15" outlineLevel="1">
      <c r="B61" s="294" t="s">
        <v>268</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ht="15"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ht="15"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ht="15"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ht="15"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ht="15"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6"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v>1</v>
      </c>
      <c r="AC70" s="410"/>
      <c r="AD70" s="410"/>
      <c r="AE70" s="410"/>
      <c r="AF70" s="415"/>
      <c r="AG70" s="415"/>
      <c r="AH70" s="415"/>
      <c r="AI70" s="415"/>
      <c r="AJ70" s="415"/>
      <c r="AK70" s="415"/>
      <c r="AL70" s="415"/>
      <c r="AM70" s="296">
        <f>SUM(Y70:AL70)</f>
        <v>1</v>
      </c>
    </row>
    <row r="71" spans="1:39" ht="15" outlineLevel="1">
      <c r="B71" s="294" t="s">
        <v>268</v>
      </c>
      <c r="C71" s="291" t="s">
        <v>163</v>
      </c>
      <c r="D71" s="295">
        <f>'7.  Persistence Report'!AU44</f>
        <v>9012548</v>
      </c>
      <c r="E71" s="295">
        <f>'7.  Persistence Report'!AV44</f>
        <v>9012548</v>
      </c>
      <c r="F71" s="295">
        <f>'7.  Persistence Report'!AW44</f>
        <v>9012548</v>
      </c>
      <c r="G71" s="295">
        <f>'7.  Persistence Report'!AX44</f>
        <v>9012548</v>
      </c>
      <c r="H71" s="295">
        <f>'7.  Persistence Report'!AY44</f>
        <v>9012548</v>
      </c>
      <c r="I71" s="295">
        <f>'7.  Persistence Report'!AZ44</f>
        <v>9012548</v>
      </c>
      <c r="J71" s="295">
        <f>'7.  Persistence Report'!BA44</f>
        <v>9012548</v>
      </c>
      <c r="K71" s="295">
        <f>'7.  Persistence Report'!BB44</f>
        <v>9012548</v>
      </c>
      <c r="L71" s="295">
        <f>'7.  Persistence Report'!BC44</f>
        <v>9012548</v>
      </c>
      <c r="M71" s="295">
        <f>'7.  Persistence Report'!BD44</f>
        <v>9012548</v>
      </c>
      <c r="N71" s="295">
        <f>N70</f>
        <v>12</v>
      </c>
      <c r="O71" s="295">
        <f>'7.  Persistence Report'!P44</f>
        <v>734</v>
      </c>
      <c r="P71" s="295">
        <f>'7.  Persistence Report'!Q44</f>
        <v>734</v>
      </c>
      <c r="Q71" s="295">
        <f>'7.  Persistence Report'!R44</f>
        <v>734</v>
      </c>
      <c r="R71" s="295">
        <f>'7.  Persistence Report'!S44</f>
        <v>734</v>
      </c>
      <c r="S71" s="295">
        <f>'7.  Persistence Report'!T44</f>
        <v>734</v>
      </c>
      <c r="T71" s="295">
        <f>'7.  Persistence Report'!U44</f>
        <v>734</v>
      </c>
      <c r="U71" s="295">
        <f>'7.  Persistence Report'!V44</f>
        <v>734</v>
      </c>
      <c r="V71" s="295">
        <f>'7.  Persistence Report'!W44</f>
        <v>734</v>
      </c>
      <c r="W71" s="295">
        <f>'7.  Persistence Report'!X44</f>
        <v>734</v>
      </c>
      <c r="X71" s="295">
        <f>'7.  Persistence Report'!Y44</f>
        <v>734</v>
      </c>
      <c r="Y71" s="411">
        <f>Y70</f>
        <v>0</v>
      </c>
      <c r="Z71" s="411">
        <f t="shared" ref="Z71" si="117">Z70</f>
        <v>0</v>
      </c>
      <c r="AA71" s="411">
        <f t="shared" ref="AA71" si="118">AA70</f>
        <v>0</v>
      </c>
      <c r="AB71" s="411">
        <f t="shared" ref="AB71" si="119">AB70</f>
        <v>1</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ht="15"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30"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ht="15"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ht="15"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f>'7.  Persistence Report'!AU33</f>
        <v>39560</v>
      </c>
      <c r="E76" s="295">
        <f>'7.  Persistence Report'!AV33</f>
        <v>39560</v>
      </c>
      <c r="F76" s="295">
        <f>'7.  Persistence Report'!AW33</f>
        <v>39560</v>
      </c>
      <c r="G76" s="295">
        <f>'7.  Persistence Report'!AX33</f>
        <v>39560</v>
      </c>
      <c r="H76" s="295">
        <f>'7.  Persistence Report'!AY33</f>
        <v>39560</v>
      </c>
      <c r="I76" s="295">
        <f>'7.  Persistence Report'!AZ33</f>
        <v>39560</v>
      </c>
      <c r="J76" s="295">
        <f>'7.  Persistence Report'!BA33</f>
        <v>39560</v>
      </c>
      <c r="K76" s="295">
        <f>'7.  Persistence Report'!BB33</f>
        <v>39560</v>
      </c>
      <c r="L76" s="295">
        <f>'7.  Persistence Report'!BC33</f>
        <v>39560</v>
      </c>
      <c r="M76" s="295">
        <f>'7.  Persistence Report'!BD33</f>
        <v>39560</v>
      </c>
      <c r="N76" s="295">
        <v>12</v>
      </c>
      <c r="O76" s="295">
        <f>'7.  Persistence Report'!P33</f>
        <v>11</v>
      </c>
      <c r="P76" s="295">
        <f>'7.  Persistence Report'!Q33</f>
        <v>11</v>
      </c>
      <c r="Q76" s="295">
        <f>'7.  Persistence Report'!R33</f>
        <v>11</v>
      </c>
      <c r="R76" s="295">
        <f>'7.  Persistence Report'!S33</f>
        <v>11</v>
      </c>
      <c r="S76" s="295">
        <f>'7.  Persistence Report'!T33</f>
        <v>11</v>
      </c>
      <c r="T76" s="295">
        <f>'7.  Persistence Report'!U33</f>
        <v>11</v>
      </c>
      <c r="U76" s="295">
        <f>'7.  Persistence Report'!V33</f>
        <v>11</v>
      </c>
      <c r="V76" s="295">
        <f>'7.  Persistence Report'!W33</f>
        <v>11</v>
      </c>
      <c r="W76" s="295">
        <f>'7.  Persistence Report'!X33</f>
        <v>11</v>
      </c>
      <c r="X76" s="295">
        <f>'7.  Persistence Report'!Y33</f>
        <v>11</v>
      </c>
      <c r="Y76" s="410"/>
      <c r="Z76" s="410"/>
      <c r="AA76" s="410"/>
      <c r="AB76" s="410">
        <v>1</v>
      </c>
      <c r="AC76" s="410"/>
      <c r="AD76" s="410"/>
      <c r="AE76" s="410"/>
      <c r="AF76" s="415"/>
      <c r="AG76" s="415"/>
      <c r="AH76" s="415"/>
      <c r="AI76" s="415"/>
      <c r="AJ76" s="415"/>
      <c r="AK76" s="415"/>
      <c r="AL76" s="415"/>
      <c r="AM76" s="296">
        <f>SUM(Y76:AL76)</f>
        <v>1</v>
      </c>
    </row>
    <row r="77" spans="1:39" ht="15"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1</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ht="15"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6"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ht="15" outlineLevel="1">
      <c r="A80" s="522">
        <v>14</v>
      </c>
      <c r="B80" s="315" t="s">
        <v>108</v>
      </c>
      <c r="C80" s="291" t="s">
        <v>25</v>
      </c>
      <c r="D80" s="295">
        <f>'7.  Persistence Report'!AU34</f>
        <v>76713</v>
      </c>
      <c r="E80" s="295">
        <f>'7.  Persistence Report'!AV34</f>
        <v>62341</v>
      </c>
      <c r="F80" s="295">
        <f>'7.  Persistence Report'!AW34</f>
        <v>59617</v>
      </c>
      <c r="G80" s="295">
        <f>'7.  Persistence Report'!AX34</f>
        <v>57258</v>
      </c>
      <c r="H80" s="295">
        <f>'7.  Persistence Report'!AY34</f>
        <v>57258</v>
      </c>
      <c r="I80" s="295">
        <f>'7.  Persistence Report'!AZ34</f>
        <v>57258</v>
      </c>
      <c r="J80" s="295">
        <f>'7.  Persistence Report'!BA34</f>
        <v>56565</v>
      </c>
      <c r="K80" s="295">
        <f>'7.  Persistence Report'!BB34</f>
        <v>56565</v>
      </c>
      <c r="L80" s="295">
        <f>'7.  Persistence Report'!BC34</f>
        <v>34835</v>
      </c>
      <c r="M80" s="295">
        <f>'7.  Persistence Report'!BD34</f>
        <v>34835</v>
      </c>
      <c r="N80" s="295">
        <v>12</v>
      </c>
      <c r="O80" s="295">
        <f>'7.  Persistence Report'!P34</f>
        <v>7</v>
      </c>
      <c r="P80" s="295">
        <f>'7.  Persistence Report'!Q34</f>
        <v>6</v>
      </c>
      <c r="Q80" s="295">
        <f>'7.  Persistence Report'!R34</f>
        <v>6</v>
      </c>
      <c r="R80" s="295">
        <f>'7.  Persistence Report'!S34</f>
        <v>6</v>
      </c>
      <c r="S80" s="295">
        <f>'7.  Persistence Report'!T34</f>
        <v>6</v>
      </c>
      <c r="T80" s="295">
        <f>'7.  Persistence Report'!U34</f>
        <v>6</v>
      </c>
      <c r="U80" s="295">
        <f>'7.  Persistence Report'!V34</f>
        <v>6</v>
      </c>
      <c r="V80" s="295">
        <f>'7.  Persistence Report'!W34</f>
        <v>6</v>
      </c>
      <c r="W80" s="295">
        <f>'7.  Persistence Report'!X34</f>
        <v>5</v>
      </c>
      <c r="X80" s="295">
        <f>'7.  Persistence Report'!Y34</f>
        <v>5</v>
      </c>
      <c r="Y80" s="533">
        <v>1</v>
      </c>
      <c r="Z80" s="410"/>
      <c r="AA80" s="410"/>
      <c r="AB80" s="410"/>
      <c r="AC80" s="410"/>
      <c r="AD80" s="410"/>
      <c r="AE80" s="410"/>
      <c r="AF80" s="410"/>
      <c r="AG80" s="410"/>
      <c r="AH80" s="410"/>
      <c r="AI80" s="410"/>
      <c r="AJ80" s="410"/>
      <c r="AK80" s="410"/>
      <c r="AL80" s="410"/>
      <c r="AM80" s="296">
        <f>SUM(Y80:AL80)</f>
        <v>1</v>
      </c>
    </row>
    <row r="81" spans="1:40" ht="15"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ht="15"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6"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ht="15"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ht="15"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ht="15"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ht="15"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ht="15"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ht="15"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6"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ht="15"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ht="15"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ht="15"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ht="15" outlineLevel="1">
      <c r="A94" s="522">
        <v>18</v>
      </c>
      <c r="B94" s="520" t="s">
        <v>109</v>
      </c>
      <c r="C94" s="291" t="s">
        <v>25</v>
      </c>
      <c r="D94" s="295">
        <f>'7.  Persistence Report'!AU27</f>
        <v>354721</v>
      </c>
      <c r="E94" s="295">
        <f>'7.  Persistence Report'!AV27</f>
        <v>354721</v>
      </c>
      <c r="F94" s="295">
        <f>'7.  Persistence Report'!AW27</f>
        <v>354721</v>
      </c>
      <c r="G94" s="295">
        <f>'7.  Persistence Report'!AX27</f>
        <v>354721</v>
      </c>
      <c r="H94" s="295">
        <f>'7.  Persistence Report'!AY27</f>
        <v>354721</v>
      </c>
      <c r="I94" s="295">
        <f>'7.  Persistence Report'!AZ27</f>
        <v>354721</v>
      </c>
      <c r="J94" s="295">
        <f>'7.  Persistence Report'!BA27</f>
        <v>354721</v>
      </c>
      <c r="K94" s="295">
        <f>'7.  Persistence Report'!BB27</f>
        <v>354721</v>
      </c>
      <c r="L94" s="295">
        <f>'7.  Persistence Report'!BC27</f>
        <v>354721</v>
      </c>
      <c r="M94" s="295">
        <f>'7.  Persistence Report'!BD27</f>
        <v>354721</v>
      </c>
      <c r="N94" s="295">
        <v>12</v>
      </c>
      <c r="O94" s="295">
        <f>'7.  Persistence Report'!P27</f>
        <v>20</v>
      </c>
      <c r="P94" s="295">
        <f>'7.  Persistence Report'!Q27</f>
        <v>20</v>
      </c>
      <c r="Q94" s="295">
        <f>'7.  Persistence Report'!R27</f>
        <v>20</v>
      </c>
      <c r="R94" s="295">
        <f>'7.  Persistence Report'!S27</f>
        <v>20</v>
      </c>
      <c r="S94" s="295">
        <f>'7.  Persistence Report'!T27</f>
        <v>20</v>
      </c>
      <c r="T94" s="295">
        <f>'7.  Persistence Report'!U27</f>
        <v>20</v>
      </c>
      <c r="U94" s="295">
        <f>'7.  Persistence Report'!V27</f>
        <v>20</v>
      </c>
      <c r="V94" s="295">
        <f>'7.  Persistence Report'!W27</f>
        <v>20</v>
      </c>
      <c r="W94" s="295">
        <f>'7.  Persistence Report'!X27</f>
        <v>20</v>
      </c>
      <c r="X94" s="295">
        <f>'7.  Persistence Report'!Y27</f>
        <v>20</v>
      </c>
      <c r="Y94" s="426"/>
      <c r="Z94" s="410"/>
      <c r="AA94" s="410"/>
      <c r="AB94" s="410">
        <v>1</v>
      </c>
      <c r="AC94" s="410"/>
      <c r="AD94" s="410"/>
      <c r="AE94" s="410"/>
      <c r="AF94" s="415"/>
      <c r="AG94" s="415"/>
      <c r="AH94" s="415"/>
      <c r="AI94" s="415"/>
      <c r="AJ94" s="415"/>
      <c r="AK94" s="415"/>
      <c r="AL94" s="415"/>
      <c r="AM94" s="296">
        <f>SUM(Y94:AL94)</f>
        <v>1</v>
      </c>
    </row>
    <row r="95" spans="1:40" ht="15"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1</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ht="15"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ht="15"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ht="15"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ht="15"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ht="15"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ht="15"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6"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6"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6"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ht="15"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ht="15"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ht="15"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ht="15"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ht="15"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ht="15"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ht="15"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15"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ht="15"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ht="15"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6"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ht="15"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ht="15"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ht="15"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ht="15"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0.38</v>
      </c>
      <c r="AA121" s="533">
        <v>0.53</v>
      </c>
      <c r="AB121" s="410">
        <v>0.09</v>
      </c>
      <c r="AC121" s="533"/>
      <c r="AD121" s="410"/>
      <c r="AE121" s="410"/>
      <c r="AF121" s="415"/>
      <c r="AG121" s="415"/>
      <c r="AH121" s="415"/>
      <c r="AI121" s="415"/>
      <c r="AJ121" s="415"/>
      <c r="AK121" s="415"/>
      <c r="AL121" s="415"/>
      <c r="AM121" s="296">
        <f>SUM(Y121:AL121)</f>
        <v>1</v>
      </c>
    </row>
    <row r="122" spans="1:39" ht="15" outlineLevel="1">
      <c r="B122" s="294" t="s">
        <v>268</v>
      </c>
      <c r="C122" s="291" t="s">
        <v>163</v>
      </c>
      <c r="D122" s="295">
        <f>'7.  Persistence Report'!AU36+'7.  Persistence Report'!AU42</f>
        <v>824628</v>
      </c>
      <c r="E122" s="295">
        <f>'7.  Persistence Report'!AV36+'7.  Persistence Report'!AV42</f>
        <v>824628</v>
      </c>
      <c r="F122" s="295">
        <f>'7.  Persistence Report'!AW36+'7.  Persistence Report'!AW42</f>
        <v>824628</v>
      </c>
      <c r="G122" s="295">
        <f>'7.  Persistence Report'!AX36+'7.  Persistence Report'!AX42</f>
        <v>824628</v>
      </c>
      <c r="H122" s="295">
        <f>'7.  Persistence Report'!AY36+'7.  Persistence Report'!AY42</f>
        <v>824628</v>
      </c>
      <c r="I122" s="295">
        <f>'7.  Persistence Report'!AZ36+'7.  Persistence Report'!AZ42</f>
        <v>824628</v>
      </c>
      <c r="J122" s="295">
        <f>'7.  Persistence Report'!BA36+'7.  Persistence Report'!BA42</f>
        <v>824628</v>
      </c>
      <c r="K122" s="295">
        <f>'7.  Persistence Report'!BB36+'7.  Persistence Report'!BB42</f>
        <v>824628</v>
      </c>
      <c r="L122" s="295">
        <f>'7.  Persistence Report'!BC36+'7.  Persistence Report'!BC42</f>
        <v>823462</v>
      </c>
      <c r="M122" s="295">
        <f>'7.  Persistence Report'!BD36+'7.  Persistence Report'!BD42</f>
        <v>753602</v>
      </c>
      <c r="N122" s="295">
        <f>N121</f>
        <v>12</v>
      </c>
      <c r="O122" s="295">
        <f>'7.  Persistence Report'!P36+'7.  Persistence Report'!P42</f>
        <v>53</v>
      </c>
      <c r="P122" s="295">
        <f>'7.  Persistence Report'!Q36+'7.  Persistence Report'!Q42</f>
        <v>53</v>
      </c>
      <c r="Q122" s="295">
        <f>'7.  Persistence Report'!R36+'7.  Persistence Report'!R42</f>
        <v>53</v>
      </c>
      <c r="R122" s="295">
        <f>'7.  Persistence Report'!S36+'7.  Persistence Report'!S42</f>
        <v>53</v>
      </c>
      <c r="S122" s="295">
        <f>'7.  Persistence Report'!T36+'7.  Persistence Report'!T42</f>
        <v>53</v>
      </c>
      <c r="T122" s="295">
        <f>'7.  Persistence Report'!U36+'7.  Persistence Report'!U42</f>
        <v>53</v>
      </c>
      <c r="U122" s="295">
        <f>'7.  Persistence Report'!V36+'7.  Persistence Report'!V42</f>
        <v>53</v>
      </c>
      <c r="V122" s="295">
        <f>'7.  Persistence Report'!W36+'7.  Persistence Report'!W42</f>
        <v>53</v>
      </c>
      <c r="W122" s="295">
        <f>'7.  Persistence Report'!X36+'7.  Persistence Report'!X42</f>
        <v>52</v>
      </c>
      <c r="X122" s="295">
        <f>'7.  Persistence Report'!Y36+'7.  Persistence Report'!Y42</f>
        <v>39</v>
      </c>
      <c r="Y122" s="411">
        <f>Y121</f>
        <v>0</v>
      </c>
      <c r="Z122" s="411">
        <f t="shared" ref="Z122" si="241">Z121</f>
        <v>0.38</v>
      </c>
      <c r="AA122" s="411">
        <f t="shared" ref="AA122" si="242">AA121</f>
        <v>0.53</v>
      </c>
      <c r="AB122" s="411">
        <f t="shared" ref="AB122" si="243">AB121</f>
        <v>0.09</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ht="15"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ht="15"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ht="15"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ht="15"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ht="15"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ht="15"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ht="15"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ht="15"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ht="15"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ht="15"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ht="15"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ht="15"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ht="15"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6"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ht="15"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ht="15"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ht="15"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ht="15"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ht="15"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ht="15"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ht="15"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ht="15"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ht="15"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6"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ht="15"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ht="15"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ht="15"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ht="15"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ht="15"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ht="15"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ht="15"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ht="15"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ht="15"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ht="15"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ht="15"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ht="15"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ht="15"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30"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ht="15"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ht="15"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15"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ht="15"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ht="15"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ht="15"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ht="15"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ht="15"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ht="15"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ht="15"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ht="15"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ht="15"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ht="15"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30"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ht="15"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ht="15"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15" outlineLevel="1">
      <c r="A192" s="522">
        <v>49</v>
      </c>
      <c r="B192" s="775" t="s">
        <v>768</v>
      </c>
      <c r="C192" s="291" t="s">
        <v>25</v>
      </c>
      <c r="D192" s="295"/>
      <c r="E192" s="295"/>
      <c r="F192" s="295"/>
      <c r="G192" s="295"/>
      <c r="H192" s="295"/>
      <c r="I192" s="295"/>
      <c r="J192" s="295"/>
      <c r="K192" s="295"/>
      <c r="L192" s="295"/>
      <c r="M192" s="295"/>
      <c r="N192" s="801">
        <v>1</v>
      </c>
      <c r="O192" s="295">
        <v>10721</v>
      </c>
      <c r="P192" s="295">
        <v>10721</v>
      </c>
      <c r="Q192" s="295">
        <v>10721</v>
      </c>
      <c r="R192" s="295"/>
      <c r="S192" s="295"/>
      <c r="T192" s="295"/>
      <c r="U192" s="295"/>
      <c r="V192" s="295"/>
      <c r="W192" s="295"/>
      <c r="X192" s="295"/>
      <c r="Y192" s="426"/>
      <c r="Z192" s="410"/>
      <c r="AA192" s="410"/>
      <c r="AB192" s="410"/>
      <c r="AC192" s="410"/>
      <c r="AD192" s="410">
        <v>1</v>
      </c>
      <c r="AE192" s="410"/>
      <c r="AF192" s="415"/>
      <c r="AG192" s="415"/>
      <c r="AH192" s="415"/>
      <c r="AI192" s="415"/>
      <c r="AJ192" s="415"/>
      <c r="AK192" s="415"/>
      <c r="AL192" s="415"/>
      <c r="AM192" s="296">
        <f>SUM(Y192:AL192)</f>
        <v>1</v>
      </c>
    </row>
    <row r="193" spans="2:39" ht="15" outlineLevel="1">
      <c r="B193" s="294" t="s">
        <v>268</v>
      </c>
      <c r="C193" s="291" t="s">
        <v>163</v>
      </c>
      <c r="D193" s="295"/>
      <c r="E193" s="295"/>
      <c r="F193" s="295"/>
      <c r="G193" s="295"/>
      <c r="H193" s="295"/>
      <c r="I193" s="295"/>
      <c r="J193" s="295"/>
      <c r="K193" s="295"/>
      <c r="L193" s="295"/>
      <c r="M193" s="295"/>
      <c r="N193" s="295">
        <f>N192</f>
        <v>1</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1</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ht="15"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6">
      <c r="B195" s="327" t="s">
        <v>272</v>
      </c>
      <c r="C195" s="329"/>
      <c r="D195" s="329">
        <f>SUM(D38:D193)</f>
        <v>15609745</v>
      </c>
      <c r="E195" s="329"/>
      <c r="F195" s="329"/>
      <c r="G195" s="329"/>
      <c r="H195" s="329"/>
      <c r="I195" s="329"/>
      <c r="J195" s="329"/>
      <c r="K195" s="329"/>
      <c r="L195" s="329"/>
      <c r="M195" s="329"/>
      <c r="N195" s="329"/>
      <c r="O195" s="329">
        <f>SUM(O38:O193)</f>
        <v>12690</v>
      </c>
      <c r="P195" s="329"/>
      <c r="Q195" s="329"/>
      <c r="R195" s="329"/>
      <c r="S195" s="329"/>
      <c r="T195" s="329"/>
      <c r="U195" s="329"/>
      <c r="V195" s="329"/>
      <c r="W195" s="329"/>
      <c r="X195" s="329"/>
      <c r="Y195" s="329">
        <f>IF(Y36="kWh",SUMPRODUCT(D38:D193,Y38:Y193))</f>
        <v>3491718</v>
      </c>
      <c r="Z195" s="329">
        <f>IF(Z36="kWh",SUMPRODUCT(D38:D193,Z38:Z193))</f>
        <v>1030255.24</v>
      </c>
      <c r="AA195" s="329">
        <f>IF(AA36="kw",SUMPRODUCT(N38:N193,O38:O193,AA38:AA193),SUMPRODUCT(D38:D193,AA38:AA193))</f>
        <v>2423.16</v>
      </c>
      <c r="AB195" s="329">
        <f>IF(AB36="kw",SUMPRODUCT(N38:N193,O38:O193,AB38:AB193),SUMPRODUCT(D38:D193,AB38:AB193))</f>
        <v>9591.48</v>
      </c>
      <c r="AC195" s="329">
        <f>IF(AC36="kw",SUMPRODUCT(N38:N193,O38:O193,AC38:AC193),SUMPRODUCT(D38:D193,AC38:AC193))</f>
        <v>0</v>
      </c>
      <c r="AD195" s="329">
        <f>IF(AD36="kw",SUMPRODUCT(N38:N193,O38:O193,AD38:AD193),SUMPRODUCT(D38:D193,AD38:AD193))</f>
        <v>10721</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6">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3834791.1453266889</v>
      </c>
      <c r="Z196" s="392">
        <f>HLOOKUP(Z35,'2. LRAMVA Threshold'!$B$42:$Q$53,7,FALSE)</f>
        <v>1008700.2017302075</v>
      </c>
      <c r="AA196" s="392">
        <f>HLOOKUP(AA35,'2. LRAMVA Threshold'!$B$42:$Q$53,7,FALSE)</f>
        <v>6327.6224003132484</v>
      </c>
      <c r="AB196" s="392">
        <f>HLOOKUP(AB35,'2. LRAMVA Threshold'!$B$42:$Q$53,7,FALSE)</f>
        <v>1352.3687505855519</v>
      </c>
      <c r="AC196" s="392">
        <f>HLOOKUP(AC35,'2. LRAMVA Threshold'!$B$42:$Q$53,7,FALSE)</f>
        <v>765.74694814587633</v>
      </c>
      <c r="AD196" s="392">
        <f>HLOOKUP(AD35,'2. LRAMVA Threshold'!$B$42:$Q$53,7,FALSE)</f>
        <v>10721.240673886883</v>
      </c>
      <c r="AE196" s="392">
        <f>HLOOKUP(AE35,'2. LRAMVA Threshold'!$B$42:$Q$53,7,FALSE)</f>
        <v>20523.098251560299</v>
      </c>
      <c r="AF196" s="392">
        <f>HLOOKUP(AF35,'2. LRAMVA Threshold'!$B$42:$Q$53,7,FALSE)</f>
        <v>1</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ht="15">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ht="15">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1.2E-2</v>
      </c>
      <c r="Z198" s="341">
        <f>HLOOKUP(Z$35,'3.  Distribution Rates'!$C$122:$P$133,7,FALSE)</f>
        <v>1.7000000000000001E-2</v>
      </c>
      <c r="AA198" s="341">
        <f>HLOOKUP(AA$35,'3.  Distribution Rates'!$C$122:$P$133,7,FALSE)</f>
        <v>3.7097000000000002</v>
      </c>
      <c r="AB198" s="341">
        <f>HLOOKUP(AB$35,'3.  Distribution Rates'!$C$122:$P$133,7,FALSE)</f>
        <v>2.5922999999999998</v>
      </c>
      <c r="AC198" s="341">
        <f>HLOOKUP(AC$35,'3.  Distribution Rates'!$C$122:$P$133,7,FALSE)</f>
        <v>2.0531000000000001</v>
      </c>
      <c r="AD198" s="341">
        <f>HLOOKUP(AD$35,'3.  Distribution Rates'!$C$122:$P$133,7,FALSE)</f>
        <v>18.104199999999999</v>
      </c>
      <c r="AE198" s="341">
        <f>HLOOKUP(AE$35,'3.  Distribution Rates'!$C$122:$P$133,7,FALSE)</f>
        <v>1.3599999999999999E-2</v>
      </c>
      <c r="AF198" s="341">
        <f>HLOOKUP(AF$35,'3.  Distribution Rates'!$C$122:$P$133,7,FALSE)</f>
        <v>6.2114000000000003</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ht="15">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ht="15">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ht="15">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ht="15">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ht="15">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41900.616000000002</v>
      </c>
      <c r="Z203" s="378">
        <f>Z195*Z198</f>
        <v>17514.339080000002</v>
      </c>
      <c r="AA203" s="378">
        <f>AA195*AA198</f>
        <v>8989.1966520000005</v>
      </c>
      <c r="AB203" s="378">
        <f t="shared" ref="AB203:AL203" si="553">AB195*AB198</f>
        <v>24863.993603999996</v>
      </c>
      <c r="AC203" s="378">
        <f t="shared" si="553"/>
        <v>0</v>
      </c>
      <c r="AD203" s="378">
        <f t="shared" si="553"/>
        <v>194095.12819999998</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287363.27353599994</v>
      </c>
    </row>
    <row r="204" spans="2:39" ht="15.6">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41900.616000000002</v>
      </c>
      <c r="Z204" s="346">
        <f>SUM(Z199:Z203)</f>
        <v>17514.339080000002</v>
      </c>
      <c r="AA204" s="346">
        <f t="shared" ref="AA204:AE204" si="554">SUM(AA199:AA203)</f>
        <v>8989.1966520000005</v>
      </c>
      <c r="AB204" s="346">
        <f t="shared" si="554"/>
        <v>24863.993603999996</v>
      </c>
      <c r="AC204" s="346">
        <f t="shared" si="554"/>
        <v>0</v>
      </c>
      <c r="AD204" s="346">
        <f t="shared" si="554"/>
        <v>194095.12819999998</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287363.27353599994</v>
      </c>
    </row>
    <row r="205" spans="2:39" ht="15.6">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46017.493743920269</v>
      </c>
      <c r="Z205" s="347">
        <f t="shared" ref="Z205:AE205" si="556">Z196*Z198</f>
        <v>17147.903429413531</v>
      </c>
      <c r="AA205" s="347">
        <f t="shared" si="556"/>
        <v>23473.58081844206</v>
      </c>
      <c r="AB205" s="347">
        <f t="shared" si="556"/>
        <v>3505.7455121429257</v>
      </c>
      <c r="AC205" s="347">
        <f t="shared" si="556"/>
        <v>1572.1550592382989</v>
      </c>
      <c r="AD205" s="347">
        <f t="shared" si="556"/>
        <v>194099.4854081829</v>
      </c>
      <c r="AE205" s="347">
        <f t="shared" si="556"/>
        <v>279.11413622122006</v>
      </c>
      <c r="AF205" s="347">
        <f>AF196*AF198</f>
        <v>6.2114000000000003</v>
      </c>
      <c r="AG205" s="347">
        <f t="shared" ref="AG205:AL205" si="557">AG196*AG198</f>
        <v>0</v>
      </c>
      <c r="AH205" s="347">
        <f t="shared" si="557"/>
        <v>0</v>
      </c>
      <c r="AI205" s="347">
        <f t="shared" si="557"/>
        <v>0</v>
      </c>
      <c r="AJ205" s="347">
        <f t="shared" si="557"/>
        <v>0</v>
      </c>
      <c r="AK205" s="347">
        <f t="shared" si="557"/>
        <v>0</v>
      </c>
      <c r="AL205" s="347">
        <f t="shared" si="557"/>
        <v>0</v>
      </c>
      <c r="AM205" s="407">
        <f>SUM(Y205:AL205)</f>
        <v>286101.68950756121</v>
      </c>
    </row>
    <row r="206" spans="2:39" ht="15.6">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1261.5840284387232</v>
      </c>
    </row>
    <row r="207" spans="2:39" ht="15">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ht="15">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3449531</v>
      </c>
      <c r="Z208" s="291">
        <f>SUMPRODUCT(E38:E193,Z38:Z193)</f>
        <v>1030255.24</v>
      </c>
      <c r="AA208" s="291">
        <f>IF(AA36="kw",SUMPRODUCT(N38:N193,P38:P193,AA38:AA193),SUMPRODUCT(E38:E193,AA38:AA193))</f>
        <v>2423.16</v>
      </c>
      <c r="AB208" s="291">
        <f>IF(AB36="kw",SUMPRODUCT(N38:N193,P38:P193,AB38:AB193),SUMPRODUCT(E38:E193,AB38:AB193))</f>
        <v>9591.48</v>
      </c>
      <c r="AC208" s="291">
        <f>IF(AC36="kw",SUMPRODUCT(N38:N193,P38:P193,AC38:AC193),SUMPRODUCT(E38:E193,AC38:AC193))</f>
        <v>0</v>
      </c>
      <c r="AD208" s="291">
        <f>IF(AD36="kw",SUMPRODUCT(N38:N193,P38:P193,AD38:AD193),SUMPRODUCT(E38:E193,AD38:AD193))</f>
        <v>10721</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ht="15">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3446807</v>
      </c>
      <c r="Z209" s="291">
        <f>SUMPRODUCT(F38:F193,Z38:Z193)</f>
        <v>1030255.2400000001</v>
      </c>
      <c r="AA209" s="291">
        <f>IF(AA36="kw",SUMPRODUCT(N38:N193,Q38:Q193,AA38:AA193),SUMPRODUCT(F38:F193,AA38:AA193))</f>
        <v>2416.8000000000002</v>
      </c>
      <c r="AB209" s="291">
        <f>IF(AB36="kw",SUMPRODUCT(N38:N193,Q38:Q193,AB38:AB193),SUMPRODUCT(F38:F193,AB38:AB193))</f>
        <v>9590.4</v>
      </c>
      <c r="AC209" s="291">
        <f>IF(AC36="kw",SUMPRODUCT(N38:N193,Q38:Q193,AC38:AC193),SUMPRODUCT(F38:F193,AC38:AC193))</f>
        <v>0</v>
      </c>
      <c r="AD209" s="291">
        <f>IF(AD36="kw",SUMPRODUCT(N38:N193,Q38:Q193,AD38:AD193),SUMPRODUCT(F38:F193,AD38:AD193))</f>
        <v>10721</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ht="15">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3444448</v>
      </c>
      <c r="Z210" s="291">
        <f>SUMPRODUCT(G38:G193,Z38:Z193)</f>
        <v>1025094.46</v>
      </c>
      <c r="AA210" s="291">
        <f>IF(AA36="kw",SUMPRODUCT(N38:N193,R38:R193,AA38:AA193),SUMPRODUCT(G38:G193,AA38:AA193))</f>
        <v>2391.36</v>
      </c>
      <c r="AB210" s="291">
        <f>IF(AB36="kw",SUMPRODUCT(N38:N193,R38:R193,AB38:AB193),SUMPRODUCT(G38:G193,AB38:AB193))</f>
        <v>9586.08</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ht="15">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3438848</v>
      </c>
      <c r="Z211" s="291">
        <f>SUMPRODUCT(H38:H193,Z38:Z193)</f>
        <v>1025094.46</v>
      </c>
      <c r="AA211" s="291">
        <f>IF(AA36="kw",SUMPRODUCT(N38:N193,S38:S193,AA38:AA193),SUMPRODUCT(H38:H193,AA38:AA193))</f>
        <v>2391.36</v>
      </c>
      <c r="AB211" s="291">
        <f>IF(AB36="kw",SUMPRODUCT(N38:N193,S38:S193,AB38:AB193),SUMPRODUCT(H38:H193,AB38:AB193))</f>
        <v>9586.08</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ht="15">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3434778</v>
      </c>
      <c r="Z212" s="326">
        <f>SUMPRODUCT(I38:I193,Z38:Z193)</f>
        <v>1024538.52</v>
      </c>
      <c r="AA212" s="326">
        <f>IF(AA36="kw",SUMPRODUCT(N38:N193,T38:T193,AA38:AA193),SUMPRODUCT(I38:I193,AA38:AA193))</f>
        <v>2391.36</v>
      </c>
      <c r="AB212" s="326">
        <f>IF(AB36="kw",SUMPRODUCT(N38:N193,T38:T193,AB38:AB193),SUMPRODUCT(I38:I193,AB38:AB193))</f>
        <v>9586.08</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593</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6">
      <c r="B214" s="438"/>
    </row>
    <row r="215" spans="1:39" ht="15.6">
      <c r="B215" s="438"/>
    </row>
    <row r="216" spans="1:39" ht="15.6">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76" t="s">
        <v>211</v>
      </c>
      <c r="C217" s="878" t="s">
        <v>33</v>
      </c>
      <c r="D217" s="284" t="s">
        <v>423</v>
      </c>
      <c r="E217" s="880" t="s">
        <v>209</v>
      </c>
      <c r="F217" s="881"/>
      <c r="G217" s="881"/>
      <c r="H217" s="881"/>
      <c r="I217" s="881"/>
      <c r="J217" s="881"/>
      <c r="K217" s="881"/>
      <c r="L217" s="881"/>
      <c r="M217" s="882"/>
      <c r="N217" s="886" t="s">
        <v>213</v>
      </c>
      <c r="O217" s="284" t="s">
        <v>424</v>
      </c>
      <c r="P217" s="880" t="s">
        <v>212</v>
      </c>
      <c r="Q217" s="881"/>
      <c r="R217" s="881"/>
      <c r="S217" s="881"/>
      <c r="T217" s="881"/>
      <c r="U217" s="881"/>
      <c r="V217" s="881"/>
      <c r="W217" s="881"/>
      <c r="X217" s="882"/>
      <c r="Y217" s="883" t="s">
        <v>244</v>
      </c>
      <c r="Z217" s="884"/>
      <c r="AA217" s="884"/>
      <c r="AB217" s="884"/>
      <c r="AC217" s="884"/>
      <c r="AD217" s="884"/>
      <c r="AE217" s="884"/>
      <c r="AF217" s="884"/>
      <c r="AG217" s="884"/>
      <c r="AH217" s="884"/>
      <c r="AI217" s="884"/>
      <c r="AJ217" s="884"/>
      <c r="AK217" s="884"/>
      <c r="AL217" s="884"/>
      <c r="AM217" s="885"/>
    </row>
    <row r="218" spans="1:39" ht="60.75" customHeight="1">
      <c r="B218" s="877"/>
      <c r="C218" s="879"/>
      <c r="D218" s="285">
        <v>2016</v>
      </c>
      <c r="E218" s="285">
        <v>2017</v>
      </c>
      <c r="F218" s="285">
        <v>2018</v>
      </c>
      <c r="G218" s="285">
        <v>2019</v>
      </c>
      <c r="H218" s="285">
        <v>2020</v>
      </c>
      <c r="I218" s="285">
        <v>2021</v>
      </c>
      <c r="J218" s="285">
        <v>2022</v>
      </c>
      <c r="K218" s="285">
        <v>2023</v>
      </c>
      <c r="L218" s="285">
        <v>2024</v>
      </c>
      <c r="M218" s="285">
        <v>2025</v>
      </c>
      <c r="N218" s="88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 to 999 kW (I1 &amp; I4)</v>
      </c>
      <c r="AB218" s="285" t="str">
        <f>'1.  LRAMVA Summary'!G52</f>
        <v>GS 1,000 to 4,999 kW (I2)</v>
      </c>
      <c r="AC218" s="285" t="str">
        <f>'1.  LRAMVA Summary'!H52</f>
        <v>Large Use (I3)</v>
      </c>
      <c r="AD218" s="285" t="str">
        <f>'1.  LRAMVA Summary'!I52</f>
        <v>Street Lighting</v>
      </c>
      <c r="AE218" s="285" t="str">
        <f>'1.  LRAMVA Summary'!J52</f>
        <v>USL</v>
      </c>
      <c r="AF218" s="285" t="str">
        <f>'1.  LRAMVA Summary'!K52</f>
        <v>Sentinel Lights</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t="str">
        <f>'1.  LRAMVA Summary'!J53</f>
        <v>kWh</v>
      </c>
      <c r="AF219" s="291" t="str">
        <f>'1.  LRAMVA Summary'!K53</f>
        <v>kW</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6"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ht="15"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ht="15"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6"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ht="15"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ht="15"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6"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ht="15"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ht="15"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ht="15"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ht="15"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ht="15"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ht="15"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ht="15"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ht="15"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6"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ht="15"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ht="15"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ht="15"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ht="15"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ht="15"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ht="15"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ht="15"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ht="15"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ht="15"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ht="15"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ht="15"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6"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ht="15"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ht="15"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30"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ht="15"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ht="15"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ht="15"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ht="15"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6"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ht="15"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ht="15"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ht="15"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6"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ht="15"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ht="15"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ht="15"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ht="15"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ht="15"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ht="15"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6"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ht="15"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ht="15"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ht="15"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ht="15"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ht="15"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ht="15"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ht="15"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ht="15"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ht="15"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ht="15"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ht="15"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6"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6"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6"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ht="15" outlineLevel="1">
      <c r="A288" s="522">
        <v>21</v>
      </c>
      <c r="B288" s="520" t="s">
        <v>113</v>
      </c>
      <c r="C288" s="291" t="s">
        <v>25</v>
      </c>
      <c r="D288" s="295">
        <f>'7.  Persistence Report'!AV46</f>
        <v>7417669</v>
      </c>
      <c r="E288" s="295">
        <f>'7.  Persistence Report'!AW46</f>
        <v>7417669</v>
      </c>
      <c r="F288" s="295">
        <f>'7.  Persistence Report'!AX46</f>
        <v>7417669</v>
      </c>
      <c r="G288" s="295">
        <f>'7.  Persistence Report'!AY46</f>
        <v>7417669</v>
      </c>
      <c r="H288" s="295">
        <f>'7.  Persistence Report'!AZ46</f>
        <v>7417669</v>
      </c>
      <c r="I288" s="295">
        <f>'7.  Persistence Report'!BA46</f>
        <v>7417669</v>
      </c>
      <c r="J288" s="295">
        <f>'7.  Persistence Report'!BB46</f>
        <v>7417669</v>
      </c>
      <c r="K288" s="295">
        <f>'7.  Persistence Report'!BC46</f>
        <v>7416614</v>
      </c>
      <c r="L288" s="295">
        <f>'7.  Persistence Report'!BD46</f>
        <v>7416614</v>
      </c>
      <c r="M288" s="295">
        <f>'7.  Persistence Report'!BE46</f>
        <v>7385670</v>
      </c>
      <c r="N288" s="291"/>
      <c r="O288" s="295">
        <f>'7.  Persistence Report'!Q46</f>
        <v>482</v>
      </c>
      <c r="P288" s="295">
        <f>'7.  Persistence Report'!R46</f>
        <v>482</v>
      </c>
      <c r="Q288" s="295">
        <f>'7.  Persistence Report'!S46</f>
        <v>482</v>
      </c>
      <c r="R288" s="295">
        <f>'7.  Persistence Report'!T46</f>
        <v>482</v>
      </c>
      <c r="S288" s="295">
        <f>'7.  Persistence Report'!U46</f>
        <v>482</v>
      </c>
      <c r="T288" s="295">
        <f>'7.  Persistence Report'!V46</f>
        <v>482</v>
      </c>
      <c r="U288" s="295">
        <f>'7.  Persistence Report'!W46</f>
        <v>482</v>
      </c>
      <c r="V288" s="295">
        <f>'7.  Persistence Report'!X46</f>
        <v>482</v>
      </c>
      <c r="W288" s="295">
        <f>'7.  Persistence Report'!Y46</f>
        <v>482</v>
      </c>
      <c r="X288" s="295">
        <f>'7.  Persistence Report'!Z46</f>
        <v>480</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290</v>
      </c>
      <c r="C289" s="291" t="s">
        <v>163</v>
      </c>
      <c r="D289" s="295">
        <f>'7.  Persistence Report'!AV53</f>
        <v>807124</v>
      </c>
      <c r="E289" s="295">
        <f>'7.  Persistence Report'!AW53</f>
        <v>807124</v>
      </c>
      <c r="F289" s="295">
        <f>'7.  Persistence Report'!AX53</f>
        <v>807124</v>
      </c>
      <c r="G289" s="295">
        <f>'7.  Persistence Report'!AY53</f>
        <v>807124</v>
      </c>
      <c r="H289" s="295">
        <f>'7.  Persistence Report'!AZ53</f>
        <v>807124</v>
      </c>
      <c r="I289" s="295">
        <f>'7.  Persistence Report'!BA53</f>
        <v>807124</v>
      </c>
      <c r="J289" s="295">
        <f>'7.  Persistence Report'!BB53</f>
        <v>807124</v>
      </c>
      <c r="K289" s="295">
        <f>'7.  Persistence Report'!BC53</f>
        <v>807056</v>
      </c>
      <c r="L289" s="295">
        <f>'7.  Persistence Report'!BD53</f>
        <v>807056</v>
      </c>
      <c r="M289" s="295">
        <f>'7.  Persistence Report'!BE53</f>
        <v>808265</v>
      </c>
      <c r="N289" s="291"/>
      <c r="O289" s="295">
        <f>'7.  Persistence Report'!Q53</f>
        <v>51</v>
      </c>
      <c r="P289" s="295">
        <f>'7.  Persistence Report'!R53</f>
        <v>51</v>
      </c>
      <c r="Q289" s="295">
        <f>'7.  Persistence Report'!S53</f>
        <v>51</v>
      </c>
      <c r="R289" s="295">
        <f>'7.  Persistence Report'!T53</f>
        <v>51</v>
      </c>
      <c r="S289" s="295">
        <f>'7.  Persistence Report'!U53</f>
        <v>51</v>
      </c>
      <c r="T289" s="295">
        <f>'7.  Persistence Report'!V53</f>
        <v>51</v>
      </c>
      <c r="U289" s="295">
        <f>'7.  Persistence Report'!W53</f>
        <v>51</v>
      </c>
      <c r="V289" s="295">
        <f>'7.  Persistence Report'!X53</f>
        <v>51</v>
      </c>
      <c r="W289" s="295">
        <f>'7.  Persistence Report'!Y53</f>
        <v>51</v>
      </c>
      <c r="X289" s="295">
        <f>'7.  Persistence Report'!Z53</f>
        <v>51</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ht="15"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Report'!AV47</f>
        <v>1068465</v>
      </c>
      <c r="E291" s="295">
        <f>'7.  Persistence Report'!AW47</f>
        <v>1068465</v>
      </c>
      <c r="F291" s="295">
        <f>'7.  Persistence Report'!AX47</f>
        <v>1068465</v>
      </c>
      <c r="G291" s="295">
        <f>'7.  Persistence Report'!AY47</f>
        <v>1068465</v>
      </c>
      <c r="H291" s="295">
        <f>'7.  Persistence Report'!AZ47</f>
        <v>1068465</v>
      </c>
      <c r="I291" s="295">
        <f>'7.  Persistence Report'!BA47</f>
        <v>1068465</v>
      </c>
      <c r="J291" s="295">
        <f>'7.  Persistence Report'!BB47</f>
        <v>1068465</v>
      </c>
      <c r="K291" s="295">
        <f>'7.  Persistence Report'!BC47</f>
        <v>1068465</v>
      </c>
      <c r="L291" s="295">
        <f>'7.  Persistence Report'!BD47</f>
        <v>1068465</v>
      </c>
      <c r="M291" s="295">
        <f>'7.  Persistence Report'!BE47</f>
        <v>1068465</v>
      </c>
      <c r="N291" s="291"/>
      <c r="O291" s="295">
        <f>'7.  Persistence Report'!Q47</f>
        <v>320</v>
      </c>
      <c r="P291" s="295">
        <f>'7.  Persistence Report'!R47</f>
        <v>320</v>
      </c>
      <c r="Q291" s="295">
        <f>'7.  Persistence Report'!S47</f>
        <v>320</v>
      </c>
      <c r="R291" s="295">
        <f>'7.  Persistence Report'!T47</f>
        <v>320</v>
      </c>
      <c r="S291" s="295">
        <f>'7.  Persistence Report'!U47</f>
        <v>320</v>
      </c>
      <c r="T291" s="295">
        <f>'7.  Persistence Report'!V47</f>
        <v>320</v>
      </c>
      <c r="U291" s="295">
        <f>'7.  Persistence Report'!W47</f>
        <v>320</v>
      </c>
      <c r="V291" s="295">
        <f>'7.  Persistence Report'!X47</f>
        <v>320</v>
      </c>
      <c r="W291" s="295">
        <f>'7.  Persistence Report'!Y47</f>
        <v>320</v>
      </c>
      <c r="X291" s="295">
        <f>'7.  Persistence Report'!Z47</f>
        <v>320</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290</v>
      </c>
      <c r="C292" s="291" t="s">
        <v>163</v>
      </c>
      <c r="D292" s="295">
        <f>'7.  Persistence Report'!AV54</f>
        <v>1020</v>
      </c>
      <c r="E292" s="295">
        <f>'7.  Persistence Report'!AW54</f>
        <v>1020</v>
      </c>
      <c r="F292" s="295">
        <f>'7.  Persistence Report'!AX54</f>
        <v>1020</v>
      </c>
      <c r="G292" s="295">
        <f>'7.  Persistence Report'!AY54</f>
        <v>1020</v>
      </c>
      <c r="H292" s="295">
        <f>'7.  Persistence Report'!AZ54</f>
        <v>1020</v>
      </c>
      <c r="I292" s="295">
        <f>'7.  Persistence Report'!BA54</f>
        <v>1020</v>
      </c>
      <c r="J292" s="295">
        <f>'7.  Persistence Report'!BB54</f>
        <v>1020</v>
      </c>
      <c r="K292" s="295">
        <f>'7.  Persistence Report'!BC54</f>
        <v>1020</v>
      </c>
      <c r="L292" s="295">
        <f>'7.  Persistence Report'!BD54</f>
        <v>1020</v>
      </c>
      <c r="M292" s="295">
        <f>'7.  Persistence Report'!BE54</f>
        <v>1020</v>
      </c>
      <c r="N292" s="291"/>
      <c r="O292" s="295">
        <f>'7.  Persistence Report'!Q54</f>
        <v>0</v>
      </c>
      <c r="P292" s="295">
        <f>'7.  Persistence Report'!R54</f>
        <v>0</v>
      </c>
      <c r="Q292" s="295">
        <f>'7.  Persistence Report'!S54</f>
        <v>0</v>
      </c>
      <c r="R292" s="295">
        <f>'7.  Persistence Report'!T54</f>
        <v>0</v>
      </c>
      <c r="S292" s="295">
        <f>'7.  Persistence Report'!U54</f>
        <v>0</v>
      </c>
      <c r="T292" s="295">
        <f>'7.  Persistence Report'!V54</f>
        <v>0</v>
      </c>
      <c r="U292" s="295">
        <f>'7.  Persistence Report'!W54</f>
        <v>0</v>
      </c>
      <c r="V292" s="295">
        <f>'7.  Persistence Report'!X54</f>
        <v>0</v>
      </c>
      <c r="W292" s="295">
        <f>'7.  Persistence Report'!Y54</f>
        <v>0</v>
      </c>
      <c r="X292" s="295">
        <f>'7.  Persistence Report'!Z54</f>
        <v>0</v>
      </c>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ht="15"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ht="15" outlineLevel="1">
      <c r="B295" s="294" t="s">
        <v>290</v>
      </c>
      <c r="C295" s="291" t="s">
        <v>163</v>
      </c>
      <c r="D295" s="295">
        <f>'7.  Persistence Report'!AV55</f>
        <v>64856</v>
      </c>
      <c r="E295" s="295">
        <f>'7.  Persistence Report'!AW55</f>
        <v>64856</v>
      </c>
      <c r="F295" s="295">
        <f>'7.  Persistence Report'!AX55</f>
        <v>64856</v>
      </c>
      <c r="G295" s="295">
        <f>'7.  Persistence Report'!AY55</f>
        <v>64856</v>
      </c>
      <c r="H295" s="295">
        <f>'7.  Persistence Report'!AZ55</f>
        <v>64856</v>
      </c>
      <c r="I295" s="295">
        <f>'7.  Persistence Report'!BA55</f>
        <v>64856</v>
      </c>
      <c r="J295" s="295">
        <f>'7.  Persistence Report'!BB55</f>
        <v>64856</v>
      </c>
      <c r="K295" s="295">
        <f>'7.  Persistence Report'!BC55</f>
        <v>64856</v>
      </c>
      <c r="L295" s="295">
        <f>'7.  Persistence Report'!BD55</f>
        <v>64856</v>
      </c>
      <c r="M295" s="295">
        <f>'7.  Persistence Report'!BE55</f>
        <v>64856</v>
      </c>
      <c r="N295" s="291"/>
      <c r="O295" s="295">
        <f>'7.  Persistence Report'!Q55</f>
        <v>19</v>
      </c>
      <c r="P295" s="295">
        <f>'7.  Persistence Report'!R55</f>
        <v>19</v>
      </c>
      <c r="Q295" s="295">
        <f>'7.  Persistence Report'!S55</f>
        <v>19</v>
      </c>
      <c r="R295" s="295">
        <f>'7.  Persistence Report'!T55</f>
        <v>19</v>
      </c>
      <c r="S295" s="295">
        <f>'7.  Persistence Report'!U55</f>
        <v>19</v>
      </c>
      <c r="T295" s="295">
        <f>'7.  Persistence Report'!V55</f>
        <v>19</v>
      </c>
      <c r="U295" s="295">
        <f>'7.  Persistence Report'!W55</f>
        <v>19</v>
      </c>
      <c r="V295" s="295">
        <f>'7.  Persistence Report'!X55</f>
        <v>19</v>
      </c>
      <c r="W295" s="295">
        <f>'7.  Persistence Report'!Y55</f>
        <v>19</v>
      </c>
      <c r="X295" s="295">
        <f>'7.  Persistence Report'!Z55</f>
        <v>19</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ht="15"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15"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ht="15"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6"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ht="15"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v>1</v>
      </c>
      <c r="AC301" s="410"/>
      <c r="AD301" s="410"/>
      <c r="AE301" s="410"/>
      <c r="AF301" s="410"/>
      <c r="AG301" s="415"/>
      <c r="AH301" s="415"/>
      <c r="AI301" s="415"/>
      <c r="AJ301" s="415"/>
      <c r="AK301" s="415"/>
      <c r="AL301" s="415"/>
      <c r="AM301" s="296">
        <f>SUM(Y301:AL301)</f>
        <v>1</v>
      </c>
    </row>
    <row r="302" spans="1:39" ht="15" outlineLevel="1">
      <c r="B302" s="294" t="s">
        <v>290</v>
      </c>
      <c r="C302" s="291" t="s">
        <v>163</v>
      </c>
      <c r="D302" s="295">
        <f>'7.  Persistence Report'!AV56</f>
        <v>65713</v>
      </c>
      <c r="E302" s="295">
        <f>'7.  Persistence Report'!AW56</f>
        <v>65713</v>
      </c>
      <c r="F302" s="295">
        <f>'7.  Persistence Report'!AX56</f>
        <v>65713</v>
      </c>
      <c r="G302" s="295">
        <f>'7.  Persistence Report'!AY56</f>
        <v>65713</v>
      </c>
      <c r="H302" s="295">
        <f>'7.  Persistence Report'!AZ56</f>
        <v>65713</v>
      </c>
      <c r="I302" s="295">
        <f>'7.  Persistence Report'!BA56</f>
        <v>65713</v>
      </c>
      <c r="J302" s="295">
        <f>'7.  Persistence Report'!BB56</f>
        <v>65713</v>
      </c>
      <c r="K302" s="295">
        <f>'7.  Persistence Report'!BC56</f>
        <v>65713</v>
      </c>
      <c r="L302" s="295">
        <f>'7.  Persistence Report'!BD56</f>
        <v>65713</v>
      </c>
      <c r="M302" s="295">
        <f>'7.  Persistence Report'!BE56</f>
        <v>65713</v>
      </c>
      <c r="N302" s="295">
        <f>N301</f>
        <v>12</v>
      </c>
      <c r="O302" s="295">
        <f>'7.  Persistence Report'!Q56</f>
        <v>9</v>
      </c>
      <c r="P302" s="295">
        <f>'7.  Persistence Report'!R56</f>
        <v>9</v>
      </c>
      <c r="Q302" s="295">
        <f>'7.  Persistence Report'!S56</f>
        <v>9</v>
      </c>
      <c r="R302" s="295">
        <f>'7.  Persistence Report'!T56</f>
        <v>9</v>
      </c>
      <c r="S302" s="295">
        <f>'7.  Persistence Report'!U56</f>
        <v>9</v>
      </c>
      <c r="T302" s="295">
        <f>'7.  Persistence Report'!V56</f>
        <v>9</v>
      </c>
      <c r="U302" s="295">
        <f>'7.  Persistence Report'!W56</f>
        <v>9</v>
      </c>
      <c r="V302" s="295">
        <f>'7.  Persistence Report'!X56</f>
        <v>9</v>
      </c>
      <c r="W302" s="295">
        <f>'7.  Persistence Report'!Y56</f>
        <v>9</v>
      </c>
      <c r="X302" s="295">
        <f>'7.  Persistence Report'!Z56</f>
        <v>9</v>
      </c>
      <c r="Y302" s="411">
        <f>Y301</f>
        <v>0</v>
      </c>
      <c r="Z302" s="411">
        <f t="shared" ref="Z302" si="798">Z301</f>
        <v>0</v>
      </c>
      <c r="AA302" s="411">
        <f t="shared" ref="AA302" si="799">AA301</f>
        <v>0</v>
      </c>
      <c r="AB302" s="411">
        <f t="shared" ref="AB302" si="800">AB301</f>
        <v>1</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ht="15"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5" outlineLevel="1">
      <c r="A304" s="522">
        <v>26</v>
      </c>
      <c r="B304" s="520" t="s">
        <v>118</v>
      </c>
      <c r="C304" s="291" t="s">
        <v>25</v>
      </c>
      <c r="D304" s="295">
        <f>'7.  Persistence Report'!AV48</f>
        <v>1842371</v>
      </c>
      <c r="E304" s="295">
        <f>'7.  Persistence Report'!AW48</f>
        <v>1819642</v>
      </c>
      <c r="F304" s="295">
        <f>'7.  Persistence Report'!AX48</f>
        <v>1819642</v>
      </c>
      <c r="G304" s="295">
        <f>'7.  Persistence Report'!AY48</f>
        <v>1819642</v>
      </c>
      <c r="H304" s="295">
        <f>'7.  Persistence Report'!AZ48</f>
        <v>1819642</v>
      </c>
      <c r="I304" s="295">
        <f>'7.  Persistence Report'!BA48</f>
        <v>1799644</v>
      </c>
      <c r="J304" s="295">
        <f>'7.  Persistence Report'!BB48</f>
        <v>1799644</v>
      </c>
      <c r="K304" s="295">
        <f>'7.  Persistence Report'!BC48</f>
        <v>1799644</v>
      </c>
      <c r="L304" s="295">
        <f>'7.  Persistence Report'!BD48</f>
        <v>1798901</v>
      </c>
      <c r="M304" s="295">
        <f>'7.  Persistence Report'!BE48</f>
        <v>1798901</v>
      </c>
      <c r="N304" s="295">
        <v>12</v>
      </c>
      <c r="O304" s="295">
        <f>'7.  Persistence Report'!Q48</f>
        <v>283</v>
      </c>
      <c r="P304" s="295">
        <f>'7.  Persistence Report'!R48</f>
        <v>278</v>
      </c>
      <c r="Q304" s="295">
        <f>'7.  Persistence Report'!S48</f>
        <v>278</v>
      </c>
      <c r="R304" s="295">
        <f>'7.  Persistence Report'!T48</f>
        <v>278</v>
      </c>
      <c r="S304" s="295">
        <f>'7.  Persistence Report'!U48</f>
        <v>278</v>
      </c>
      <c r="T304" s="295">
        <f>'7.  Persistence Report'!V48</f>
        <v>277</v>
      </c>
      <c r="U304" s="295">
        <f>'7.  Persistence Report'!W48</f>
        <v>277</v>
      </c>
      <c r="V304" s="295">
        <f>'7.  Persistence Report'!X48</f>
        <v>277</v>
      </c>
      <c r="W304" s="295">
        <f>'7.  Persistence Report'!Y48</f>
        <v>277</v>
      </c>
      <c r="X304" s="295">
        <f>'7.  Persistence Report'!Z48</f>
        <v>277</v>
      </c>
      <c r="Y304" s="426"/>
      <c r="Z304" s="410">
        <v>0.39</v>
      </c>
      <c r="AA304" s="410">
        <v>0.42</v>
      </c>
      <c r="AB304" s="410">
        <v>0.19</v>
      </c>
      <c r="AC304" s="410"/>
      <c r="AD304" s="410"/>
      <c r="AE304" s="410"/>
      <c r="AF304" s="410"/>
      <c r="AG304" s="415"/>
      <c r="AH304" s="415"/>
      <c r="AI304" s="415"/>
      <c r="AJ304" s="415"/>
      <c r="AK304" s="415"/>
      <c r="AL304" s="415"/>
      <c r="AM304" s="296">
        <f>SUM(Y304:AL304)</f>
        <v>1</v>
      </c>
    </row>
    <row r="305" spans="1:39" ht="15" outlineLevel="1">
      <c r="B305" s="294" t="s">
        <v>290</v>
      </c>
      <c r="C305" s="291" t="s">
        <v>163</v>
      </c>
      <c r="D305" s="295">
        <f>'7.  Persistence Report'!AV57</f>
        <v>1035652</v>
      </c>
      <c r="E305" s="295">
        <f>'7.  Persistence Report'!AW57</f>
        <v>1058380</v>
      </c>
      <c r="F305" s="295">
        <f>'7.  Persistence Report'!AX57</f>
        <v>1073529</v>
      </c>
      <c r="G305" s="295">
        <f>'7.  Persistence Report'!AY57</f>
        <v>1073529</v>
      </c>
      <c r="H305" s="295">
        <f>'7.  Persistence Report'!AZ57</f>
        <v>1073529</v>
      </c>
      <c r="I305" s="295">
        <f>'7.  Persistence Report'!BA57</f>
        <v>1073529</v>
      </c>
      <c r="J305" s="295">
        <f>'7.  Persistence Report'!BB57</f>
        <v>1073529</v>
      </c>
      <c r="K305" s="295">
        <f>'7.  Persistence Report'!BC57</f>
        <v>1073529</v>
      </c>
      <c r="L305" s="295">
        <f>'7.  Persistence Report'!BD57</f>
        <v>1068922</v>
      </c>
      <c r="M305" s="295">
        <f>'7.  Persistence Report'!BE57</f>
        <v>1068922</v>
      </c>
      <c r="N305" s="295">
        <f>N304</f>
        <v>12</v>
      </c>
      <c r="O305" s="295">
        <f>'7.  Persistence Report'!Q57</f>
        <v>117</v>
      </c>
      <c r="P305" s="295">
        <f>'7.  Persistence Report'!R57</f>
        <v>121</v>
      </c>
      <c r="Q305" s="295">
        <f>'7.  Persistence Report'!S57</f>
        <v>124</v>
      </c>
      <c r="R305" s="295">
        <f>'7.  Persistence Report'!T57</f>
        <v>124</v>
      </c>
      <c r="S305" s="295">
        <f>'7.  Persistence Report'!U57</f>
        <v>124</v>
      </c>
      <c r="T305" s="295">
        <f>'7.  Persistence Report'!V57</f>
        <v>124</v>
      </c>
      <c r="U305" s="295">
        <f>'7.  Persistence Report'!W57</f>
        <v>124</v>
      </c>
      <c r="V305" s="295">
        <f>'7.  Persistence Report'!X57</f>
        <v>124</v>
      </c>
      <c r="W305" s="295">
        <f>'7.  Persistence Report'!Y57</f>
        <v>123</v>
      </c>
      <c r="X305" s="295">
        <f>'7.  Persistence Report'!Z57</f>
        <v>123</v>
      </c>
      <c r="Y305" s="411">
        <f>Y304</f>
        <v>0</v>
      </c>
      <c r="Z305" s="411">
        <f t="shared" ref="Z305" si="811">Z304</f>
        <v>0.39</v>
      </c>
      <c r="AA305" s="411">
        <f t="shared" ref="AA305" si="812">AA304</f>
        <v>0.42</v>
      </c>
      <c r="AB305" s="411">
        <f t="shared" ref="AB305" si="813">AB304</f>
        <v>0.19</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ht="15"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f>'7.  Persistence Report'!AV49</f>
        <v>1354329</v>
      </c>
      <c r="E307" s="295">
        <f>'7.  Persistence Report'!AW49</f>
        <v>1354329</v>
      </c>
      <c r="F307" s="295">
        <f>'7.  Persistence Report'!AX49</f>
        <v>1343623</v>
      </c>
      <c r="G307" s="295">
        <f>'7.  Persistence Report'!AY49</f>
        <v>1228531</v>
      </c>
      <c r="H307" s="295">
        <f>'7.  Persistence Report'!AZ49</f>
        <v>1137843</v>
      </c>
      <c r="I307" s="295">
        <f>'7.  Persistence Report'!BA49</f>
        <v>777056</v>
      </c>
      <c r="J307" s="295">
        <f>'7.  Persistence Report'!BB49</f>
        <v>543064</v>
      </c>
      <c r="K307" s="295">
        <f>'7.  Persistence Report'!BC49</f>
        <v>455457</v>
      </c>
      <c r="L307" s="295">
        <f>'7.  Persistence Report'!BD49</f>
        <v>338799</v>
      </c>
      <c r="M307" s="295">
        <f>'7.  Persistence Report'!BE49</f>
        <v>198524</v>
      </c>
      <c r="N307" s="295">
        <v>12</v>
      </c>
      <c r="O307" s="295">
        <f>'7.  Persistence Report'!Q49</f>
        <v>236</v>
      </c>
      <c r="P307" s="295">
        <f>'7.  Persistence Report'!R49</f>
        <v>236</v>
      </c>
      <c r="Q307" s="295">
        <f>'7.  Persistence Report'!S49</f>
        <v>236</v>
      </c>
      <c r="R307" s="295">
        <f>'7.  Persistence Report'!T49</f>
        <v>226</v>
      </c>
      <c r="S307" s="295">
        <f>'7.  Persistence Report'!U49</f>
        <v>215</v>
      </c>
      <c r="T307" s="295">
        <f>'7.  Persistence Report'!V49</f>
        <v>167</v>
      </c>
      <c r="U307" s="295">
        <f>'7.  Persistence Report'!W49</f>
        <v>135</v>
      </c>
      <c r="V307" s="295">
        <f>'7.  Persistence Report'!X49</f>
        <v>118</v>
      </c>
      <c r="W307" s="295">
        <f>'7.  Persistence Report'!Y49</f>
        <v>93</v>
      </c>
      <c r="X307" s="295">
        <f>'7.  Persistence Report'!Z49</f>
        <v>58</v>
      </c>
      <c r="Y307" s="426"/>
      <c r="Z307" s="410">
        <v>0.76</v>
      </c>
      <c r="AA307" s="410">
        <v>0.24</v>
      </c>
      <c r="AB307" s="410"/>
      <c r="AC307" s="410"/>
      <c r="AD307" s="410"/>
      <c r="AE307" s="410"/>
      <c r="AF307" s="410"/>
      <c r="AG307" s="415"/>
      <c r="AH307" s="415"/>
      <c r="AI307" s="415"/>
      <c r="AJ307" s="415"/>
      <c r="AK307" s="415"/>
      <c r="AL307" s="415"/>
      <c r="AM307" s="296">
        <f>SUM(Y307:AL307)</f>
        <v>1</v>
      </c>
    </row>
    <row r="308" spans="1:39" ht="15" outlineLevel="1">
      <c r="B308" s="294" t="s">
        <v>290</v>
      </c>
      <c r="C308" s="291" t="s">
        <v>163</v>
      </c>
      <c r="D308" s="295">
        <f>'7.  Persistence Report'!AV58</f>
        <v>348309</v>
      </c>
      <c r="E308" s="295">
        <f>'7.  Persistence Report'!AW58</f>
        <v>348309</v>
      </c>
      <c r="F308" s="295">
        <f>'7.  Persistence Report'!AX58</f>
        <v>343808</v>
      </c>
      <c r="G308" s="295">
        <f>'7.  Persistence Report'!AY58</f>
        <v>297661</v>
      </c>
      <c r="H308" s="295">
        <f>'7.  Persistence Report'!AZ58</f>
        <v>268410</v>
      </c>
      <c r="I308" s="295">
        <f>'7.  Persistence Report'!BA58</f>
        <v>178494</v>
      </c>
      <c r="J308" s="295">
        <f>'7.  Persistence Report'!BB58</f>
        <v>134546</v>
      </c>
      <c r="K308" s="295">
        <f>'7.  Persistence Report'!BC58</f>
        <v>109443</v>
      </c>
      <c r="L308" s="295">
        <f>'7.  Persistence Report'!BD58</f>
        <v>76319</v>
      </c>
      <c r="M308" s="295">
        <f>'7.  Persistence Report'!BE58</f>
        <v>45141</v>
      </c>
      <c r="N308" s="295">
        <f>N307</f>
        <v>12</v>
      </c>
      <c r="O308" s="295">
        <f>'7.  Persistence Report'!Q58</f>
        <v>60</v>
      </c>
      <c r="P308" s="295">
        <f>'7.  Persistence Report'!R58</f>
        <v>60</v>
      </c>
      <c r="Q308" s="295">
        <f>'7.  Persistence Report'!S58</f>
        <v>60</v>
      </c>
      <c r="R308" s="295">
        <f>'7.  Persistence Report'!T58</f>
        <v>56</v>
      </c>
      <c r="S308" s="295">
        <f>'7.  Persistence Report'!U58</f>
        <v>53</v>
      </c>
      <c r="T308" s="295">
        <f>'7.  Persistence Report'!V58</f>
        <v>40</v>
      </c>
      <c r="U308" s="295">
        <f>'7.  Persistence Report'!W58</f>
        <v>34</v>
      </c>
      <c r="V308" s="295">
        <f>'7.  Persistence Report'!X58</f>
        <v>29</v>
      </c>
      <c r="W308" s="295">
        <f>'7.  Persistence Report'!Y58</f>
        <v>21</v>
      </c>
      <c r="X308" s="295">
        <f>'7.  Persistence Report'!Z58</f>
        <v>14</v>
      </c>
      <c r="Y308" s="411">
        <f>Y307</f>
        <v>0</v>
      </c>
      <c r="Z308" s="411">
        <f t="shared" ref="Z308" si="824">Z307</f>
        <v>0.76</v>
      </c>
      <c r="AA308" s="411">
        <f t="shared" ref="AA308" si="825">AA307</f>
        <v>0.24</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ht="15"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f>'7.  Persistence Report'!AV50</f>
        <v>5102</v>
      </c>
      <c r="E310" s="295">
        <f>'7.  Persistence Report'!AW50</f>
        <v>5102</v>
      </c>
      <c r="F310" s="295">
        <f>'7.  Persistence Report'!AX50</f>
        <v>5102</v>
      </c>
      <c r="G310" s="295">
        <f>'7.  Persistence Report'!AY50</f>
        <v>5102</v>
      </c>
      <c r="H310" s="295">
        <f>'7.  Persistence Report'!AZ50</f>
        <v>5102</v>
      </c>
      <c r="I310" s="295">
        <f>'7.  Persistence Report'!BA50</f>
        <v>5102</v>
      </c>
      <c r="J310" s="295">
        <f>'7.  Persistence Report'!BB50</f>
        <v>5102</v>
      </c>
      <c r="K310" s="295">
        <f>'7.  Persistence Report'!BC50</f>
        <v>5102</v>
      </c>
      <c r="L310" s="295">
        <f>'7.  Persistence Report'!BD50</f>
        <v>5102</v>
      </c>
      <c r="M310" s="295">
        <f>'7.  Persistence Report'!BE50</f>
        <v>5102</v>
      </c>
      <c r="N310" s="295">
        <v>12</v>
      </c>
      <c r="O310" s="295">
        <f>'7.  Persistence Report'!Q50</f>
        <v>8</v>
      </c>
      <c r="P310" s="295">
        <f>'7.  Persistence Report'!R50</f>
        <v>8</v>
      </c>
      <c r="Q310" s="295">
        <f>'7.  Persistence Report'!S50</f>
        <v>8</v>
      </c>
      <c r="R310" s="295">
        <f>'7.  Persistence Report'!T50</f>
        <v>8</v>
      </c>
      <c r="S310" s="295">
        <f>'7.  Persistence Report'!U50</f>
        <v>8</v>
      </c>
      <c r="T310" s="295">
        <f>'7.  Persistence Report'!V50</f>
        <v>8</v>
      </c>
      <c r="U310" s="295">
        <f>'7.  Persistence Report'!W50</f>
        <v>8</v>
      </c>
      <c r="V310" s="295">
        <f>'7.  Persistence Report'!X50</f>
        <v>8</v>
      </c>
      <c r="W310" s="295">
        <f>'7.  Persistence Report'!Y50</f>
        <v>8</v>
      </c>
      <c r="X310" s="295">
        <f>'7.  Persistence Report'!Z50</f>
        <v>8</v>
      </c>
      <c r="Y310" s="426"/>
      <c r="Z310" s="410">
        <v>1</v>
      </c>
      <c r="AA310" s="410"/>
      <c r="AB310" s="410"/>
      <c r="AC310" s="410"/>
      <c r="AD310" s="410"/>
      <c r="AE310" s="410"/>
      <c r="AF310" s="410"/>
      <c r="AG310" s="415"/>
      <c r="AH310" s="415"/>
      <c r="AI310" s="415"/>
      <c r="AJ310" s="415"/>
      <c r="AK310" s="415"/>
      <c r="AL310" s="415"/>
      <c r="AM310" s="296">
        <f>SUM(Y310:AL310)</f>
        <v>1</v>
      </c>
    </row>
    <row r="311" spans="1:39" ht="15"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1</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ht="15"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t="s">
        <v>754</v>
      </c>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5"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ht="15"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5"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ht="15"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5"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ht="15"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15"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v>1</v>
      </c>
      <c r="AC322" s="410"/>
      <c r="AD322" s="410"/>
      <c r="AE322" s="410"/>
      <c r="AF322" s="410"/>
      <c r="AG322" s="415"/>
      <c r="AH322" s="415"/>
      <c r="AI322" s="415"/>
      <c r="AJ322" s="415"/>
      <c r="AK322" s="415"/>
      <c r="AL322" s="415"/>
      <c r="AM322" s="296">
        <f>SUM(Y322:AL322)</f>
        <v>1</v>
      </c>
    </row>
    <row r="323" spans="1:39" ht="15" outlineLevel="1">
      <c r="B323" s="294" t="s">
        <v>290</v>
      </c>
      <c r="C323" s="291" t="s">
        <v>163</v>
      </c>
      <c r="D323" s="295">
        <f>'7.  Persistence Report'!AV59</f>
        <v>835</v>
      </c>
      <c r="E323" s="295">
        <f>'7.  Persistence Report'!AW59</f>
        <v>835</v>
      </c>
      <c r="F323" s="295">
        <f>'7.  Persistence Report'!AX59</f>
        <v>835</v>
      </c>
      <c r="G323" s="295">
        <f>'7.  Persistence Report'!AY59</f>
        <v>835</v>
      </c>
      <c r="H323" s="295">
        <f>'7.  Persistence Report'!AZ59</f>
        <v>835</v>
      </c>
      <c r="I323" s="295">
        <f>'7.  Persistence Report'!BA59</f>
        <v>835</v>
      </c>
      <c r="J323" s="295">
        <f>'7.  Persistence Report'!BB59</f>
        <v>835</v>
      </c>
      <c r="K323" s="295">
        <f>'7.  Persistence Report'!BC59</f>
        <v>835</v>
      </c>
      <c r="L323" s="295">
        <f>'7.  Persistence Report'!BD59</f>
        <v>835</v>
      </c>
      <c r="M323" s="295">
        <f>'7.  Persistence Report'!BE59</f>
        <v>835</v>
      </c>
      <c r="N323" s="295">
        <f>N322</f>
        <v>12</v>
      </c>
      <c r="O323" s="295">
        <f>'7.  Persistence Report'!Q59</f>
        <v>0</v>
      </c>
      <c r="P323" s="295">
        <f>'7.  Persistence Report'!R59</f>
        <v>0</v>
      </c>
      <c r="Q323" s="295">
        <f>'7.  Persistence Report'!S59</f>
        <v>0</v>
      </c>
      <c r="R323" s="295">
        <f>'7.  Persistence Report'!T59</f>
        <v>0</v>
      </c>
      <c r="S323" s="295">
        <f>'7.  Persistence Report'!U59</f>
        <v>0</v>
      </c>
      <c r="T323" s="295">
        <f>'7.  Persistence Report'!V59</f>
        <v>0</v>
      </c>
      <c r="U323" s="295">
        <f>'7.  Persistence Report'!W59</f>
        <v>0</v>
      </c>
      <c r="V323" s="295">
        <f>'7.  Persistence Report'!X59</f>
        <v>0</v>
      </c>
      <c r="W323" s="295">
        <f>'7.  Persistence Report'!Y59</f>
        <v>0</v>
      </c>
      <c r="X323" s="295">
        <f>'7.  Persistence Report'!Z59</f>
        <v>0</v>
      </c>
      <c r="Y323" s="411">
        <f>Y322</f>
        <v>0</v>
      </c>
      <c r="Z323" s="411">
        <f t="shared" ref="Z323" si="889">Z322</f>
        <v>0</v>
      </c>
      <c r="AA323" s="411">
        <f t="shared" ref="AA323" si="890">AA322</f>
        <v>0</v>
      </c>
      <c r="AB323" s="411">
        <f t="shared" ref="AB323" si="891">AB322</f>
        <v>1</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ht="15"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6"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30" outlineLevel="1">
      <c r="A326" s="522">
        <v>33</v>
      </c>
      <c r="B326" s="775" t="s">
        <v>739</v>
      </c>
      <c r="C326" s="291" t="s">
        <v>25</v>
      </c>
      <c r="D326" s="295">
        <f>'7.  Persistence Report'!AV51</f>
        <v>813</v>
      </c>
      <c r="E326" s="295">
        <f>'7.  Persistence Report'!AW51</f>
        <v>813</v>
      </c>
      <c r="F326" s="295">
        <f>'7.  Persistence Report'!AX51</f>
        <v>813</v>
      </c>
      <c r="G326" s="295">
        <f>'7.  Persistence Report'!AY51</f>
        <v>813</v>
      </c>
      <c r="H326" s="295">
        <f>'7.  Persistence Report'!AZ51</f>
        <v>813</v>
      </c>
      <c r="I326" s="295">
        <f>'7.  Persistence Report'!BA51</f>
        <v>813</v>
      </c>
      <c r="J326" s="295">
        <f>'7.  Persistence Report'!BB51</f>
        <v>813</v>
      </c>
      <c r="K326" s="295">
        <f>'7.  Persistence Report'!BC51</f>
        <v>813</v>
      </c>
      <c r="L326" s="295">
        <f>'7.  Persistence Report'!BD51</f>
        <v>813</v>
      </c>
      <c r="M326" s="295">
        <f>'7.  Persistence Report'!BE51</f>
        <v>813</v>
      </c>
      <c r="N326" s="295">
        <v>0</v>
      </c>
      <c r="O326" s="295">
        <f>'7.  Persistence Report'!Q51</f>
        <v>0</v>
      </c>
      <c r="P326" s="295">
        <f>'7.  Persistence Report'!R51</f>
        <v>0</v>
      </c>
      <c r="Q326" s="295">
        <f>'7.  Persistence Report'!S51</f>
        <v>0</v>
      </c>
      <c r="R326" s="295">
        <f>'7.  Persistence Report'!T51</f>
        <v>0</v>
      </c>
      <c r="S326" s="295">
        <f>'7.  Persistence Report'!U51</f>
        <v>0</v>
      </c>
      <c r="T326" s="295">
        <f>'7.  Persistence Report'!V51</f>
        <v>0</v>
      </c>
      <c r="U326" s="295">
        <f>'7.  Persistence Report'!W51</f>
        <v>0</v>
      </c>
      <c r="V326" s="295">
        <f>'7.  Persistence Report'!X51</f>
        <v>0</v>
      </c>
      <c r="W326" s="295">
        <f>'7.  Persistence Report'!Y51</f>
        <v>0</v>
      </c>
      <c r="X326" s="295">
        <f>'7.  Persistence Report'!Z51</f>
        <v>0</v>
      </c>
      <c r="Y326" s="426">
        <v>1</v>
      </c>
      <c r="Z326" s="410"/>
      <c r="AA326" s="410"/>
      <c r="AB326" s="410"/>
      <c r="AC326" s="410"/>
      <c r="AD326" s="410"/>
      <c r="AE326" s="410"/>
      <c r="AF326" s="410"/>
      <c r="AG326" s="415"/>
      <c r="AH326" s="415"/>
      <c r="AI326" s="415"/>
      <c r="AJ326" s="415"/>
      <c r="AK326" s="415"/>
      <c r="AL326" s="415"/>
      <c r="AM326" s="296">
        <f>SUM(Y326:AL326)</f>
        <v>1</v>
      </c>
    </row>
    <row r="327" spans="1:39" ht="15"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1</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ht="15"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5"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5"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ht="15"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5"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5"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ht="15"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6"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ht="15"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ht="15"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5"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ht="15"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15"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5"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ht="15"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5"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ht="15"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5"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ht="15"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5"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ht="15"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0"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5"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ht="15"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15"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5"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ht="15"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5"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ht="15"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5"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ht="15"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5"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ht="15"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5"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ht="15"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0"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5"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ht="15"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15" outlineLevel="1">
      <c r="A375" s="522">
        <v>49</v>
      </c>
      <c r="B375" s="800"/>
      <c r="C375" s="291" t="s">
        <v>25</v>
      </c>
      <c r="D375" s="295"/>
      <c r="E375" s="295"/>
      <c r="F375" s="295"/>
      <c r="G375" s="295"/>
      <c r="H375" s="295"/>
      <c r="I375" s="295"/>
      <c r="J375" s="295"/>
      <c r="K375" s="295"/>
      <c r="L375" s="295"/>
      <c r="M375" s="295"/>
      <c r="N375" s="801">
        <v>1</v>
      </c>
      <c r="O375" s="801"/>
      <c r="P375" s="801"/>
      <c r="Q375" s="801"/>
      <c r="R375" s="295"/>
      <c r="S375" s="295"/>
      <c r="T375" s="295"/>
      <c r="U375" s="295"/>
      <c r="V375" s="295"/>
      <c r="W375" s="295"/>
      <c r="X375" s="295"/>
      <c r="Y375" s="426"/>
      <c r="Z375" s="410"/>
      <c r="AA375" s="410"/>
      <c r="AB375" s="410"/>
      <c r="AC375" s="410"/>
      <c r="AD375" s="813"/>
      <c r="AE375" s="410"/>
      <c r="AF375" s="410"/>
      <c r="AG375" s="415"/>
      <c r="AH375" s="415"/>
      <c r="AI375" s="415"/>
      <c r="AJ375" s="415"/>
      <c r="AK375" s="415"/>
      <c r="AL375" s="415"/>
      <c r="AM375" s="296">
        <f>SUM(Y375:AL375)</f>
        <v>0</v>
      </c>
    </row>
    <row r="376" spans="1:42" ht="15" outlineLevel="1">
      <c r="B376" s="294" t="s">
        <v>290</v>
      </c>
      <c r="C376" s="291" t="s">
        <v>163</v>
      </c>
      <c r="D376" s="295"/>
      <c r="E376" s="295"/>
      <c r="F376" s="295"/>
      <c r="G376" s="295"/>
      <c r="H376" s="295"/>
      <c r="I376" s="295"/>
      <c r="J376" s="295"/>
      <c r="K376" s="295"/>
      <c r="L376" s="295"/>
      <c r="M376" s="295"/>
      <c r="N376" s="295">
        <f>N375</f>
        <v>1</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ht="15"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6">
      <c r="B378" s="327" t="s">
        <v>275</v>
      </c>
      <c r="C378" s="329"/>
      <c r="D378" s="329">
        <f>SUM(D221:D376)</f>
        <v>14012258</v>
      </c>
      <c r="E378" s="329"/>
      <c r="F378" s="329"/>
      <c r="G378" s="329"/>
      <c r="H378" s="329"/>
      <c r="I378" s="329"/>
      <c r="J378" s="329"/>
      <c r="K378" s="329"/>
      <c r="L378" s="329"/>
      <c r="M378" s="329"/>
      <c r="N378" s="329"/>
      <c r="O378" s="329">
        <f>SUM(O221:O376)</f>
        <v>1585</v>
      </c>
      <c r="P378" s="329"/>
      <c r="Q378" s="329"/>
      <c r="R378" s="329"/>
      <c r="S378" s="329"/>
      <c r="T378" s="329"/>
      <c r="U378" s="329"/>
      <c r="V378" s="329"/>
      <c r="W378" s="329"/>
      <c r="X378" s="329"/>
      <c r="Y378" s="329">
        <f>IF(Y219="kWh",SUMPRODUCT(D221:D376,Y221:Y376))</f>
        <v>9359947</v>
      </c>
      <c r="Z378" s="329">
        <f>IF(Z219="kWh",SUMPRODUCT(D221:D376,Z221:Z376))</f>
        <v>2421535.85</v>
      </c>
      <c r="AA378" s="329">
        <f>IF(AA219="kw",SUMPRODUCT(N221:N376,O221:O376,AA221:AA376),SUMPRODUCT(D221:D376,AA221:AA376))</f>
        <v>2868.48</v>
      </c>
      <c r="AB378" s="329">
        <f>IF(AB219="kw",SUMPRODUCT(N221:N376,O221:O376,AB221:AB376),SUMPRODUCT(D221:D376,AB221:AB376))</f>
        <v>1020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6">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3834791.1453266889</v>
      </c>
      <c r="Z379" s="392">
        <f>HLOOKUP(Z218,'2. LRAMVA Threshold'!$B$42:$Q$53,8,FALSE)</f>
        <v>1008700.2017302075</v>
      </c>
      <c r="AA379" s="392">
        <f>HLOOKUP(AA218,'2. LRAMVA Threshold'!$B$42:$Q$53,8,FALSE)</f>
        <v>6327.6224003132484</v>
      </c>
      <c r="AB379" s="392">
        <f>HLOOKUP(AB218,'2. LRAMVA Threshold'!$B$42:$Q$53,8,FALSE)</f>
        <v>1352.3687505855519</v>
      </c>
      <c r="AC379" s="392">
        <f>HLOOKUP(AC218,'2. LRAMVA Threshold'!$B$42:$Q$53,8,FALSE)</f>
        <v>765.74694814587633</v>
      </c>
      <c r="AD379" s="392">
        <f>HLOOKUP(AD218,'2. LRAMVA Threshold'!$B$42:$Q$53,8,FALSE)</f>
        <v>10721.240673886883</v>
      </c>
      <c r="AE379" s="392">
        <f>HLOOKUP(AE218,'2. LRAMVA Threshold'!$B$42:$Q$53,8,FALSE)</f>
        <v>20523.098251560299</v>
      </c>
      <c r="AF379" s="392">
        <f>HLOOKUP(AF218,'2. LRAMVA Threshold'!$B$42:$Q$53,8,FALSE)</f>
        <v>1</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ht="15">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ht="15">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1.4200000000000001E-2</v>
      </c>
      <c r="Z381" s="341">
        <f>HLOOKUP(Z$35,'3.  Distribution Rates'!$C$122:$P$133,8,FALSE)</f>
        <v>1.5699999999999999E-2</v>
      </c>
      <c r="AA381" s="341">
        <f>HLOOKUP(AA$35,'3.  Distribution Rates'!$C$122:$P$133,8,FALSE)</f>
        <v>4.4740000000000002</v>
      </c>
      <c r="AB381" s="341">
        <f>HLOOKUP(AB$35,'3.  Distribution Rates'!$C$122:$P$133,8,FALSE)</f>
        <v>2.3852000000000002</v>
      </c>
      <c r="AC381" s="341">
        <f>HLOOKUP(AC$35,'3.  Distribution Rates'!$C$122:$P$133,8,FALSE)</f>
        <v>2.0666000000000002</v>
      </c>
      <c r="AD381" s="341">
        <f>HLOOKUP(AD$35,'3.  Distribution Rates'!$C$122:$P$133,8,FALSE)</f>
        <v>28.259</v>
      </c>
      <c r="AE381" s="341">
        <f>HLOOKUP(AE$35,'3.  Distribution Rates'!$C$122:$P$133,8,FALSE)</f>
        <v>1.78E-2</v>
      </c>
      <c r="AF381" s="341">
        <f>HLOOKUP(AF$35,'3.  Distribution Rates'!$C$122:$P$133,8,FALSE)</f>
        <v>7.5087999999999999</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ht="15">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ht="15">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ht="15">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ht="15">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ht="15">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48983.340200000006</v>
      </c>
      <c r="Z386" s="378">
        <f t="shared" si="1124"/>
        <v>16175.007267999999</v>
      </c>
      <c r="AA386" s="378">
        <f t="shared" si="1124"/>
        <v>10841.217839999999</v>
      </c>
      <c r="AB386" s="378">
        <f t="shared" si="1124"/>
        <v>22877.598096000002</v>
      </c>
      <c r="AC386" s="378">
        <f t="shared" si="1124"/>
        <v>0</v>
      </c>
      <c r="AD386" s="378">
        <f t="shared" si="1124"/>
        <v>302964.739</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401841.90240399999</v>
      </c>
    </row>
    <row r="387" spans="2:39" ht="15">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132911.24740000002</v>
      </c>
      <c r="Z387" s="378">
        <f t="shared" ref="Z387:AL387" si="1125">Z378*Z381</f>
        <v>38018.112844999996</v>
      </c>
      <c r="AA387" s="378">
        <f t="shared" si="1125"/>
        <v>12833.579520000001</v>
      </c>
      <c r="AB387" s="378">
        <f t="shared" si="1125"/>
        <v>2432.904</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186195.84376500003</v>
      </c>
    </row>
    <row r="388" spans="2:39" ht="15.6">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181894.58760000003</v>
      </c>
      <c r="Z388" s="346">
        <f t="shared" ref="Z388:AE388" si="1126">SUM(Z382:Z387)</f>
        <v>54193.120112999997</v>
      </c>
      <c r="AA388" s="346">
        <f t="shared" si="1126"/>
        <v>23674.79736</v>
      </c>
      <c r="AB388" s="346">
        <f t="shared" si="1126"/>
        <v>25310.502096</v>
      </c>
      <c r="AC388" s="346">
        <f t="shared" si="1126"/>
        <v>0</v>
      </c>
      <c r="AD388" s="346">
        <f t="shared" si="1126"/>
        <v>302964.739</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588037.74616900005</v>
      </c>
    </row>
    <row r="389" spans="2:39" ht="15.6">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54454.034263638983</v>
      </c>
      <c r="Z389" s="347">
        <f t="shared" ref="Z389:AE389" si="1128">Z379*Z381</f>
        <v>15836.593167164257</v>
      </c>
      <c r="AA389" s="347">
        <f t="shared" si="1128"/>
        <v>28309.782619001475</v>
      </c>
      <c r="AB389" s="347">
        <f t="shared" si="1128"/>
        <v>3225.6699438966584</v>
      </c>
      <c r="AC389" s="347">
        <f t="shared" si="1128"/>
        <v>1582.4926430382682</v>
      </c>
      <c r="AD389" s="347">
        <f t="shared" si="1128"/>
        <v>302971.54020336946</v>
      </c>
      <c r="AE389" s="347">
        <f t="shared" si="1128"/>
        <v>365.31114887777335</v>
      </c>
      <c r="AF389" s="347">
        <f>AF379*AF381</f>
        <v>7.5087999999999999</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406752.93278898689</v>
      </c>
    </row>
    <row r="390" spans="2:39" ht="15.6">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181284.81338001316</v>
      </c>
    </row>
    <row r="391" spans="2:39" ht="15">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ht="15">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9359947</v>
      </c>
      <c r="Z392" s="291">
        <f>SUMPRODUCT(E221:E376,Z221:Z376)</f>
        <v>2421535.46</v>
      </c>
      <c r="AA392" s="291">
        <f t="shared" ref="AA392:AL392" si="1130">IF(AA219="kw",SUMPRODUCT($N$221:$N$376,$P$221:$P$376,AA221:AA376),SUMPRODUCT($E$221:$E$376,AA221:AA376))</f>
        <v>2863.44</v>
      </c>
      <c r="AB392" s="291">
        <f t="shared" si="1130"/>
        <v>1017.72</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ht="15">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9359947</v>
      </c>
      <c r="Z393" s="291">
        <f>SUMPRODUCT(F221:F376,Z221:Z376)</f>
        <v>2415886.25</v>
      </c>
      <c r="AA393" s="291">
        <f t="shared" ref="AA393:AL393" si="1131">IF(AA219="kw",SUMPRODUCT($N$221:$N$376,$Q$221:$Q$376,AA221:AA376),SUMPRODUCT($F$221:$F$376,AA221:AA376))</f>
        <v>2878.56</v>
      </c>
      <c r="AB393" s="291">
        <f t="shared" si="1131"/>
        <v>1024.56</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ht="15">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9359947</v>
      </c>
      <c r="Z394" s="291">
        <f>SUMPRODUCT(G221:G376,Z221:Z376)</f>
        <v>2293344.61</v>
      </c>
      <c r="AA394" s="291">
        <f t="shared" ref="AA394:AL394" si="1132">IF(AA219="kw",SUMPRODUCT($N$221:$N$376,$R$221:$R$376,AA221:AA376),SUMPRODUCT($G$221:$G$376,AA221:AA376))</f>
        <v>2838.2400000000002</v>
      </c>
      <c r="AB394" s="291">
        <f t="shared" si="1132"/>
        <v>1024.56</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ht="15">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9359947</v>
      </c>
      <c r="Z395" s="326">
        <f>SUMPRODUCT(H221:H376,Z221:Z376)</f>
        <v>2202190.9700000002</v>
      </c>
      <c r="AA395" s="326">
        <f t="shared" ref="AA395:AL395" si="1133">IF(AA219="kw",SUMPRODUCT($N$221:$N$376,$S$221:$S$376,AA221:AA376),SUMPRODUCT($H$221:$H$376,AA221:AA376))</f>
        <v>2797.9199999999996</v>
      </c>
      <c r="AB395" s="326">
        <f t="shared" si="1133"/>
        <v>1024.56</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593</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6">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76" t="s">
        <v>211</v>
      </c>
      <c r="C400" s="878" t="s">
        <v>33</v>
      </c>
      <c r="D400" s="284" t="s">
        <v>423</v>
      </c>
      <c r="E400" s="880" t="s">
        <v>209</v>
      </c>
      <c r="F400" s="881"/>
      <c r="G400" s="881"/>
      <c r="H400" s="881"/>
      <c r="I400" s="881"/>
      <c r="J400" s="881"/>
      <c r="K400" s="881"/>
      <c r="L400" s="881"/>
      <c r="M400" s="882"/>
      <c r="N400" s="886" t="s">
        <v>213</v>
      </c>
      <c r="O400" s="284" t="s">
        <v>424</v>
      </c>
      <c r="P400" s="880" t="s">
        <v>212</v>
      </c>
      <c r="Q400" s="881"/>
      <c r="R400" s="881"/>
      <c r="S400" s="881"/>
      <c r="T400" s="881"/>
      <c r="U400" s="881"/>
      <c r="V400" s="881"/>
      <c r="W400" s="881"/>
      <c r="X400" s="882"/>
      <c r="Y400" s="883" t="s">
        <v>244</v>
      </c>
      <c r="Z400" s="884"/>
      <c r="AA400" s="884"/>
      <c r="AB400" s="884"/>
      <c r="AC400" s="884"/>
      <c r="AD400" s="884"/>
      <c r="AE400" s="884"/>
      <c r="AF400" s="884"/>
      <c r="AG400" s="884"/>
      <c r="AH400" s="884"/>
      <c r="AI400" s="884"/>
      <c r="AJ400" s="884"/>
      <c r="AK400" s="884"/>
      <c r="AL400" s="884"/>
      <c r="AM400" s="885"/>
    </row>
    <row r="401" spans="1:39" ht="61.5" customHeight="1">
      <c r="B401" s="877"/>
      <c r="C401" s="879"/>
      <c r="D401" s="285">
        <v>2017</v>
      </c>
      <c r="E401" s="285">
        <v>2018</v>
      </c>
      <c r="F401" s="285">
        <v>2019</v>
      </c>
      <c r="G401" s="285">
        <v>2020</v>
      </c>
      <c r="H401" s="285">
        <v>2021</v>
      </c>
      <c r="I401" s="285">
        <v>2022</v>
      </c>
      <c r="J401" s="285">
        <v>2023</v>
      </c>
      <c r="K401" s="285">
        <v>2024</v>
      </c>
      <c r="L401" s="285">
        <v>2025</v>
      </c>
      <c r="M401" s="285">
        <v>2026</v>
      </c>
      <c r="N401" s="88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 to 999 kW (I1 &amp; I4)</v>
      </c>
      <c r="AB401" s="285" t="str">
        <f>'1.  LRAMVA Summary'!G52</f>
        <v>GS 1,000 to 4,999 kW (I2)</v>
      </c>
      <c r="AC401" s="285" t="str">
        <f>'1.  LRAMVA Summary'!H52</f>
        <v>Large Use (I3)</v>
      </c>
      <c r="AD401" s="285" t="str">
        <f>'1.  LRAMVA Summary'!I52</f>
        <v>Street Lighting</v>
      </c>
      <c r="AE401" s="285" t="str">
        <f>'1.  LRAMVA Summary'!J52</f>
        <v>USL</v>
      </c>
      <c r="AF401" s="285" t="str">
        <f>'1.  LRAMVA Summary'!K52</f>
        <v>Sentinel Lights</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t="str">
        <f>'1.  LRAMVA Summary'!J53</f>
        <v>kWh</v>
      </c>
      <c r="AF402" s="291" t="str">
        <f>'1.  LRAMVA Summary'!K53</f>
        <v>kW</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6"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ht="15"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ht="15"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6"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ht="15"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5"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6"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ht="15"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5"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ht="15"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ht="15"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5"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ht="15"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5"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ht="15"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6"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ht="15"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ht="15"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ht="15"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5"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ht="15"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5"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ht="15"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5"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ht="15"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ht="15"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ht="15"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6"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ht="15"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ht="15"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30"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ht="15"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ht="15"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ht="15"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ht="15"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6"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ht="15"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ht="15"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ht="15"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6"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ht="15"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ht="15"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ht="15"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ht="15" outlineLevel="1">
      <c r="A453" s="532">
        <v>16</v>
      </c>
      <c r="B453" s="529"/>
      <c r="C453" s="291" t="s">
        <v>25</v>
      </c>
      <c r="D453" s="295"/>
      <c r="E453" s="295"/>
      <c r="F453" s="295"/>
      <c r="G453" s="295"/>
      <c r="H453" s="295"/>
      <c r="I453" s="295"/>
      <c r="J453" s="295"/>
      <c r="K453" s="295"/>
      <c r="L453" s="295"/>
      <c r="M453" s="295"/>
      <c r="N453" s="295">
        <v>1</v>
      </c>
      <c r="O453" s="295"/>
      <c r="P453" s="295"/>
      <c r="Q453" s="295"/>
      <c r="R453" s="295"/>
      <c r="S453" s="295"/>
      <c r="T453" s="295"/>
      <c r="U453" s="295"/>
      <c r="V453" s="295"/>
      <c r="W453" s="295"/>
      <c r="X453" s="295"/>
      <c r="Y453" s="410"/>
      <c r="Z453" s="410"/>
      <c r="AA453" s="410"/>
      <c r="AB453" s="410"/>
      <c r="AC453" s="410"/>
      <c r="AD453" s="410">
        <v>1</v>
      </c>
      <c r="AE453" s="410"/>
      <c r="AF453" s="410"/>
      <c r="AG453" s="410"/>
      <c r="AH453" s="410"/>
      <c r="AI453" s="410"/>
      <c r="AJ453" s="410"/>
      <c r="AK453" s="410"/>
      <c r="AL453" s="410"/>
      <c r="AM453" s="296">
        <f>SUM(Y453:AL453)</f>
        <v>1</v>
      </c>
    </row>
    <row r="454" spans="1:40" s="283" customFormat="1" ht="15" outlineLevel="1">
      <c r="A454" s="532"/>
      <c r="B454" s="529" t="s">
        <v>309</v>
      </c>
      <c r="C454" s="291" t="s">
        <v>163</v>
      </c>
      <c r="D454" s="295"/>
      <c r="E454" s="295"/>
      <c r="F454" s="295"/>
      <c r="G454" s="295"/>
      <c r="H454" s="295"/>
      <c r="I454" s="295"/>
      <c r="J454" s="295"/>
      <c r="K454" s="295"/>
      <c r="L454" s="295"/>
      <c r="M454" s="295"/>
      <c r="N454" s="295">
        <f>N453</f>
        <v>1</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1</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ht="15"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6"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ht="15"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ht="15"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ht="15"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ht="15"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5"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ht="15"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ht="15"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5"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ht="15"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ht="15"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5"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6"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6"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6"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 outlineLevel="1">
      <c r="A471" s="532">
        <v>21</v>
      </c>
      <c r="B471" s="428" t="s">
        <v>113</v>
      </c>
      <c r="C471" s="291" t="s">
        <v>25</v>
      </c>
      <c r="D471" s="295">
        <f>'7.  Persistence Report'!AW61</f>
        <v>9110804</v>
      </c>
      <c r="E471" s="295">
        <f>'7.  Persistence Report'!AX61</f>
        <v>7342121</v>
      </c>
      <c r="F471" s="295">
        <f>'7.  Persistence Report'!AY61</f>
        <v>7342121</v>
      </c>
      <c r="G471" s="295">
        <f>'7.  Persistence Report'!AZ61</f>
        <v>7342121</v>
      </c>
      <c r="H471" s="295">
        <f>'7.  Persistence Report'!BA61</f>
        <v>7342121</v>
      </c>
      <c r="I471" s="295">
        <f>'7.  Persistence Report'!BB61</f>
        <v>7342121</v>
      </c>
      <c r="J471" s="295">
        <f>'7.  Persistence Report'!BC61</f>
        <v>7342121</v>
      </c>
      <c r="K471" s="295">
        <f>'7.  Persistence Report'!BD61</f>
        <v>7342063</v>
      </c>
      <c r="L471" s="295">
        <f>'7.  Persistence Report'!BE61</f>
        <v>7342063</v>
      </c>
      <c r="M471" s="295">
        <f>'7.  Persistence Report'!BF61</f>
        <v>7328142</v>
      </c>
      <c r="N471" s="291"/>
      <c r="O471" s="295">
        <f>'7.  Persistence Report'!R61</f>
        <v>627</v>
      </c>
      <c r="P471" s="295">
        <f>'7.  Persistence Report'!S61</f>
        <v>508</v>
      </c>
      <c r="Q471" s="295">
        <f>'7.  Persistence Report'!T61</f>
        <v>508</v>
      </c>
      <c r="R471" s="295">
        <f>'7.  Persistence Report'!U61</f>
        <v>508</v>
      </c>
      <c r="S471" s="295">
        <f>'7.  Persistence Report'!V61</f>
        <v>508</v>
      </c>
      <c r="T471" s="295">
        <f>'7.  Persistence Report'!W61</f>
        <v>508</v>
      </c>
      <c r="U471" s="295">
        <f>'7.  Persistence Report'!X61</f>
        <v>508</v>
      </c>
      <c r="V471" s="295">
        <f>'7.  Persistence Report'!Y61</f>
        <v>508</v>
      </c>
      <c r="W471" s="295">
        <f>'7.  Persistence Report'!Z61</f>
        <v>508</v>
      </c>
      <c r="X471" s="295">
        <f>'7.  Persistence Report'!AA61</f>
        <v>507</v>
      </c>
      <c r="Y471" s="410">
        <v>1</v>
      </c>
      <c r="Z471" s="410"/>
      <c r="AA471" s="410"/>
      <c r="AB471" s="410"/>
      <c r="AC471" s="410"/>
      <c r="AD471" s="410"/>
      <c r="AE471" s="410"/>
      <c r="AF471" s="410"/>
      <c r="AG471" s="410"/>
      <c r="AH471" s="410"/>
      <c r="AI471" s="410"/>
      <c r="AJ471" s="410"/>
      <c r="AK471" s="410"/>
      <c r="AL471" s="410"/>
      <c r="AM471" s="296">
        <f>SUM(Y471:AL471)</f>
        <v>1</v>
      </c>
    </row>
    <row r="472" spans="1:39" ht="15"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ht="15"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f>'7.  Persistence Report'!AW63</f>
        <v>898827</v>
      </c>
      <c r="E474" s="295">
        <f>'7.  Persistence Report'!AX63</f>
        <v>898827</v>
      </c>
      <c r="F474" s="295">
        <f>'7.  Persistence Report'!AY63</f>
        <v>898827</v>
      </c>
      <c r="G474" s="295">
        <f>'7.  Persistence Report'!AZ63</f>
        <v>898827</v>
      </c>
      <c r="H474" s="295">
        <f>'7.  Persistence Report'!BA63</f>
        <v>898827</v>
      </c>
      <c r="I474" s="295">
        <f>'7.  Persistence Report'!BB63</f>
        <v>898827</v>
      </c>
      <c r="J474" s="295">
        <f>'7.  Persistence Report'!BC63</f>
        <v>898827</v>
      </c>
      <c r="K474" s="295">
        <f>'7.  Persistence Report'!BD63</f>
        <v>898827</v>
      </c>
      <c r="L474" s="295">
        <f>'7.  Persistence Report'!BE63</f>
        <v>898827</v>
      </c>
      <c r="M474" s="295">
        <f>'7.  Persistence Report'!BF63</f>
        <v>898827</v>
      </c>
      <c r="N474" s="291"/>
      <c r="O474" s="295">
        <f>'7.  Persistence Report'!R63</f>
        <v>256</v>
      </c>
      <c r="P474" s="295">
        <f>'7.  Persistence Report'!S63</f>
        <v>256</v>
      </c>
      <c r="Q474" s="295">
        <f>'7.  Persistence Report'!T63</f>
        <v>256</v>
      </c>
      <c r="R474" s="295">
        <f>'7.  Persistence Report'!U63</f>
        <v>256</v>
      </c>
      <c r="S474" s="295">
        <f>'7.  Persistence Report'!V63</f>
        <v>256</v>
      </c>
      <c r="T474" s="295">
        <f>'7.  Persistence Report'!W63</f>
        <v>256</v>
      </c>
      <c r="U474" s="295">
        <f>'7.  Persistence Report'!X63</f>
        <v>256</v>
      </c>
      <c r="V474" s="295">
        <f>'7.  Persistence Report'!Y63</f>
        <v>256</v>
      </c>
      <c r="W474" s="295">
        <f>'7.  Persistence Report'!Z63</f>
        <v>256</v>
      </c>
      <c r="X474" s="295">
        <f>'7.  Persistence Report'!AA63</f>
        <v>256</v>
      </c>
      <c r="Y474" s="410">
        <v>1</v>
      </c>
      <c r="Z474" s="410"/>
      <c r="AA474" s="410"/>
      <c r="AB474" s="410"/>
      <c r="AC474" s="410"/>
      <c r="AD474" s="410"/>
      <c r="AE474" s="410"/>
      <c r="AF474" s="410"/>
      <c r="AG474" s="410"/>
      <c r="AH474" s="410"/>
      <c r="AI474" s="410"/>
      <c r="AJ474" s="410"/>
      <c r="AK474" s="410"/>
      <c r="AL474" s="410"/>
      <c r="AM474" s="296">
        <f>SUM(Y474:AL474)</f>
        <v>1</v>
      </c>
    </row>
    <row r="475" spans="1:39" ht="15"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ht="15"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ht="15"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ht="15"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15" outlineLevel="1">
      <c r="A480" s="532">
        <v>24</v>
      </c>
      <c r="B480" s="428" t="s">
        <v>116</v>
      </c>
      <c r="C480" s="291" t="s">
        <v>25</v>
      </c>
      <c r="D480" s="295">
        <f>'7.  Persistence Report'!AW64</f>
        <v>78940</v>
      </c>
      <c r="E480" s="295">
        <f>'7.  Persistence Report'!AX64</f>
        <v>78940</v>
      </c>
      <c r="F480" s="295">
        <f>'7.  Persistence Report'!AY64</f>
        <v>78940</v>
      </c>
      <c r="G480" s="295">
        <f>'7.  Persistence Report'!AZ64</f>
        <v>78940</v>
      </c>
      <c r="H480" s="295">
        <f>'7.  Persistence Report'!BA64</f>
        <v>78940</v>
      </c>
      <c r="I480" s="295">
        <f>'7.  Persistence Report'!BB64</f>
        <v>78940</v>
      </c>
      <c r="J480" s="295">
        <f>'7.  Persistence Report'!BC64</f>
        <v>78940</v>
      </c>
      <c r="K480" s="295">
        <f>'7.  Persistence Report'!BD64</f>
        <v>78940</v>
      </c>
      <c r="L480" s="295">
        <f>'7.  Persistence Report'!BE64</f>
        <v>78940</v>
      </c>
      <c r="M480" s="295">
        <f>'7.  Persistence Report'!BF64</f>
        <v>78370</v>
      </c>
      <c r="N480" s="291"/>
      <c r="O480" s="295">
        <f>'7.  Persistence Report'!R64</f>
        <v>16</v>
      </c>
      <c r="P480" s="295">
        <f>'7.  Persistence Report'!S64</f>
        <v>16</v>
      </c>
      <c r="Q480" s="295">
        <f>'7.  Persistence Report'!T64</f>
        <v>16</v>
      </c>
      <c r="R480" s="295">
        <f>'7.  Persistence Report'!U64</f>
        <v>16</v>
      </c>
      <c r="S480" s="295">
        <f>'7.  Persistence Report'!V64</f>
        <v>16</v>
      </c>
      <c r="T480" s="295">
        <f>'7.  Persistence Report'!W64</f>
        <v>16</v>
      </c>
      <c r="U480" s="295">
        <f>'7.  Persistence Report'!X64</f>
        <v>16</v>
      </c>
      <c r="V480" s="295">
        <f>'7.  Persistence Report'!Y64</f>
        <v>16</v>
      </c>
      <c r="W480" s="295">
        <f>'7.  Persistence Report'!Z64</f>
        <v>16</v>
      </c>
      <c r="X480" s="295">
        <f>'7.  Persistence Report'!AA64</f>
        <v>16</v>
      </c>
      <c r="Y480" s="410">
        <v>1</v>
      </c>
      <c r="Z480" s="410"/>
      <c r="AA480" s="410"/>
      <c r="AB480" s="410"/>
      <c r="AC480" s="410"/>
      <c r="AD480" s="410"/>
      <c r="AE480" s="410"/>
      <c r="AF480" s="410"/>
      <c r="AG480" s="410"/>
      <c r="AH480" s="410"/>
      <c r="AI480" s="410"/>
      <c r="AJ480" s="410"/>
      <c r="AK480" s="410"/>
      <c r="AL480" s="410"/>
      <c r="AM480" s="296">
        <f>SUM(Y480:AL480)</f>
        <v>1</v>
      </c>
    </row>
    <row r="481" spans="1:39" ht="15"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ht="15"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6"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ht="15"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ht="15"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ht="15" outlineLevel="1">
      <c r="A487" s="532">
        <v>26</v>
      </c>
      <c r="B487" s="428" t="s">
        <v>118</v>
      </c>
      <c r="C487" s="291" t="s">
        <v>25</v>
      </c>
      <c r="D487" s="295">
        <f>'7.  Persistence Report'!AW65</f>
        <v>9198528</v>
      </c>
      <c r="E487" s="295">
        <f>'7.  Persistence Report'!AX65</f>
        <v>9203461</v>
      </c>
      <c r="F487" s="295">
        <f>'7.  Persistence Report'!AY65</f>
        <v>9203461</v>
      </c>
      <c r="G487" s="295">
        <f>'7.  Persistence Report'!AZ65</f>
        <v>9203461</v>
      </c>
      <c r="H487" s="295">
        <f>'7.  Persistence Report'!BA65</f>
        <v>9203461</v>
      </c>
      <c r="I487" s="295">
        <f>'7.  Persistence Report'!BB65</f>
        <v>8951413</v>
      </c>
      <c r="J487" s="295">
        <f>'7.  Persistence Report'!BC65</f>
        <v>8951413</v>
      </c>
      <c r="K487" s="295">
        <f>'7.  Persistence Report'!BD65</f>
        <v>8951413</v>
      </c>
      <c r="L487" s="295">
        <f>'7.  Persistence Report'!BE65</f>
        <v>8948494</v>
      </c>
      <c r="M487" s="295">
        <f>'7.  Persistence Report'!BF65</f>
        <v>8948494</v>
      </c>
      <c r="N487" s="295">
        <v>12</v>
      </c>
      <c r="O487" s="295">
        <f>'7.  Persistence Report'!R65</f>
        <v>661</v>
      </c>
      <c r="P487" s="295">
        <f>'7.  Persistence Report'!S65</f>
        <v>662</v>
      </c>
      <c r="Q487" s="295">
        <f>'7.  Persistence Report'!T65</f>
        <v>662</v>
      </c>
      <c r="R487" s="295">
        <f>'7.  Persistence Report'!U65</f>
        <v>662</v>
      </c>
      <c r="S487" s="295">
        <f>'7.  Persistence Report'!V65</f>
        <v>662</v>
      </c>
      <c r="T487" s="295">
        <f>'7.  Persistence Report'!W65</f>
        <v>611</v>
      </c>
      <c r="U487" s="295">
        <f>'7.  Persistence Report'!X65</f>
        <v>611</v>
      </c>
      <c r="V487" s="295">
        <f>'7.  Persistence Report'!Y65</f>
        <v>611</v>
      </c>
      <c r="W487" s="295">
        <f>'7.  Persistence Report'!Z65</f>
        <v>611</v>
      </c>
      <c r="X487" s="295">
        <f>'7.  Persistence Report'!AA65</f>
        <v>611</v>
      </c>
      <c r="Y487" s="426"/>
      <c r="Z487" s="410">
        <v>0.35</v>
      </c>
      <c r="AA487" s="410">
        <v>0.6</v>
      </c>
      <c r="AB487" s="410"/>
      <c r="AC487" s="410">
        <v>0.05</v>
      </c>
      <c r="AD487" s="410"/>
      <c r="AE487" s="410"/>
      <c r="AF487" s="415"/>
      <c r="AG487" s="415"/>
      <c r="AH487" s="415"/>
      <c r="AI487" s="415"/>
      <c r="AJ487" s="415"/>
      <c r="AK487" s="415"/>
      <c r="AL487" s="415"/>
      <c r="AM487" s="296">
        <f>SUM(Y487:AL487)</f>
        <v>1</v>
      </c>
    </row>
    <row r="488" spans="1:39" ht="15"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0.35</v>
      </c>
      <c r="AA488" s="411">
        <f t="shared" ref="AA488" si="1388">AA487</f>
        <v>0.6</v>
      </c>
      <c r="AB488" s="411">
        <f t="shared" ref="AB488" si="1389">AB487</f>
        <v>0</v>
      </c>
      <c r="AC488" s="411">
        <f t="shared" ref="AC488" si="1390">AC487</f>
        <v>0.05</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ht="15"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f>'7.  Persistence Report'!AW66</f>
        <v>740956</v>
      </c>
      <c r="E490" s="295">
        <f>'7.  Persistence Report'!AX66</f>
        <v>740956</v>
      </c>
      <c r="F490" s="295">
        <f>'7.  Persistence Report'!AY66</f>
        <v>734673</v>
      </c>
      <c r="G490" s="295">
        <f>'7.  Persistence Report'!AZ66</f>
        <v>695741</v>
      </c>
      <c r="H490" s="295">
        <f>'7.  Persistence Report'!BA66</f>
        <v>649974</v>
      </c>
      <c r="I490" s="295">
        <f>'7.  Persistence Report'!BB66</f>
        <v>516856</v>
      </c>
      <c r="J490" s="295">
        <f>'7.  Persistence Report'!BC66</f>
        <v>301939</v>
      </c>
      <c r="K490" s="295">
        <f>'7.  Persistence Report'!BD66</f>
        <v>284356</v>
      </c>
      <c r="L490" s="295">
        <f>'7.  Persistence Report'!BE66</f>
        <v>236406</v>
      </c>
      <c r="M490" s="295">
        <f>'7.  Persistence Report'!BF66</f>
        <v>177740</v>
      </c>
      <c r="N490" s="295">
        <v>12</v>
      </c>
      <c r="O490" s="295">
        <f>'7.  Persistence Report'!R66</f>
        <v>149</v>
      </c>
      <c r="P490" s="295">
        <f>'7.  Persistence Report'!S66</f>
        <v>149</v>
      </c>
      <c r="Q490" s="295">
        <f>'7.  Persistence Report'!T66</f>
        <v>149</v>
      </c>
      <c r="R490" s="295">
        <f>'7.  Persistence Report'!U66</f>
        <v>145</v>
      </c>
      <c r="S490" s="295">
        <f>'7.  Persistence Report'!V66</f>
        <v>139</v>
      </c>
      <c r="T490" s="295">
        <f>'7.  Persistence Report'!W66</f>
        <v>120</v>
      </c>
      <c r="U490" s="295">
        <f>'7.  Persistence Report'!X66</f>
        <v>90</v>
      </c>
      <c r="V490" s="295">
        <f>'7.  Persistence Report'!Y66</f>
        <v>87</v>
      </c>
      <c r="W490" s="295">
        <f>'7.  Persistence Report'!Z66</f>
        <v>76</v>
      </c>
      <c r="X490" s="295">
        <f>'7.  Persistence Report'!AA66</f>
        <v>59</v>
      </c>
      <c r="Y490" s="426"/>
      <c r="Z490" s="410">
        <v>0.76</v>
      </c>
      <c r="AA490" s="410">
        <v>0.24</v>
      </c>
      <c r="AB490" s="410"/>
      <c r="AC490" s="410"/>
      <c r="AD490" s="410"/>
      <c r="AE490" s="410"/>
      <c r="AF490" s="415"/>
      <c r="AG490" s="415"/>
      <c r="AH490" s="415"/>
      <c r="AI490" s="415"/>
      <c r="AJ490" s="415"/>
      <c r="AK490" s="415"/>
      <c r="AL490" s="415"/>
      <c r="AM490" s="296">
        <f>SUM(Y490:AL490)</f>
        <v>1</v>
      </c>
    </row>
    <row r="491" spans="1:39" ht="15"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0.76</v>
      </c>
      <c r="AA491" s="411">
        <f t="shared" ref="AA491" si="1401">AA490</f>
        <v>0.24</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ht="15"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5"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ht="15"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ht="15"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ht="15"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ht="15"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ht="15"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ht="15"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ht="15"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15"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5"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ht="15"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6"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ht="15"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ht="15"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ht="15" outlineLevel="1">
      <c r="A512" s="532">
        <v>34</v>
      </c>
      <c r="B512" s="776" t="s">
        <v>740</v>
      </c>
      <c r="C512" s="291" t="s">
        <v>25</v>
      </c>
      <c r="D512" s="295">
        <f>'7.  Persistence Report'!AW62</f>
        <v>6573748</v>
      </c>
      <c r="E512" s="295">
        <f>'7.  Persistence Report'!AX62</f>
        <v>4760633</v>
      </c>
      <c r="F512" s="295">
        <f>'7.  Persistence Report'!AY62</f>
        <v>4760633</v>
      </c>
      <c r="G512" s="295">
        <f>'7.  Persistence Report'!AZ62</f>
        <v>4760633</v>
      </c>
      <c r="H512" s="295">
        <f>'7.  Persistence Report'!BA62</f>
        <v>4760633</v>
      </c>
      <c r="I512" s="295">
        <f>'7.  Persistence Report'!BB62</f>
        <v>4760633</v>
      </c>
      <c r="J512" s="295">
        <f>'7.  Persistence Report'!BC62</f>
        <v>4760633</v>
      </c>
      <c r="K512" s="295">
        <f>'7.  Persistence Report'!BD62</f>
        <v>4760541</v>
      </c>
      <c r="L512" s="295">
        <f>'7.  Persistence Report'!BE62</f>
        <v>4760541</v>
      </c>
      <c r="M512" s="295">
        <f>'7.  Persistence Report'!BF62</f>
        <v>4760541</v>
      </c>
      <c r="N512" s="295">
        <v>0</v>
      </c>
      <c r="O512" s="295">
        <f>'7.  Persistence Report'!R62</f>
        <v>451</v>
      </c>
      <c r="P512" s="295">
        <f>'7.  Persistence Report'!S62</f>
        <v>329</v>
      </c>
      <c r="Q512" s="295">
        <f>'7.  Persistence Report'!T62</f>
        <v>329</v>
      </c>
      <c r="R512" s="295">
        <f>'7.  Persistence Report'!U62</f>
        <v>329</v>
      </c>
      <c r="S512" s="295">
        <f>'7.  Persistence Report'!V62</f>
        <v>329</v>
      </c>
      <c r="T512" s="295">
        <f>'7.  Persistence Report'!W62</f>
        <v>329</v>
      </c>
      <c r="U512" s="295">
        <f>'7.  Persistence Report'!X62</f>
        <v>329</v>
      </c>
      <c r="V512" s="295">
        <f>'7.  Persistence Report'!Y62</f>
        <v>329</v>
      </c>
      <c r="W512" s="295">
        <f>'7.  Persistence Report'!Z62</f>
        <v>329</v>
      </c>
      <c r="X512" s="295">
        <f>'7.  Persistence Report'!AA62</f>
        <v>329</v>
      </c>
      <c r="Y512" s="426">
        <v>1</v>
      </c>
      <c r="Z512" s="410"/>
      <c r="AA512" s="410"/>
      <c r="AB512" s="410"/>
      <c r="AC512" s="410"/>
      <c r="AD512" s="410"/>
      <c r="AE512" s="410"/>
      <c r="AF512" s="415"/>
      <c r="AG512" s="415"/>
      <c r="AH512" s="415"/>
      <c r="AI512" s="415"/>
      <c r="AJ512" s="415"/>
      <c r="AK512" s="415"/>
      <c r="AL512" s="415"/>
      <c r="AM512" s="296">
        <f>SUM(Y512:AL512)</f>
        <v>1</v>
      </c>
    </row>
    <row r="513" spans="1:39" ht="15"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ht="15"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ht="15" outlineLevel="1">
      <c r="A515" s="532">
        <v>35</v>
      </c>
      <c r="B515" s="776" t="s">
        <v>741</v>
      </c>
      <c r="C515" s="291" t="s">
        <v>25</v>
      </c>
      <c r="D515" s="295">
        <f>'7.  Persistence Report'!AW67</f>
        <v>60121</v>
      </c>
      <c r="E515" s="295">
        <f>'7.  Persistence Report'!AX67</f>
        <v>60121</v>
      </c>
      <c r="F515" s="295">
        <f>'7.  Persistence Report'!AY67</f>
        <v>60121</v>
      </c>
      <c r="G515" s="295">
        <f>'7.  Persistence Report'!AZ67</f>
        <v>60121</v>
      </c>
      <c r="H515" s="295">
        <f>'7.  Persistence Report'!BA67</f>
        <v>59840</v>
      </c>
      <c r="I515" s="295">
        <f>'7.  Persistence Report'!BB67</f>
        <v>59178</v>
      </c>
      <c r="J515" s="295">
        <f>'7.  Persistence Report'!BC67</f>
        <v>59178</v>
      </c>
      <c r="K515" s="295">
        <f>'7.  Persistence Report'!BD67</f>
        <v>59178</v>
      </c>
      <c r="L515" s="295">
        <f>'7.  Persistence Report'!BE67</f>
        <v>59178</v>
      </c>
      <c r="M515" s="295">
        <f>'7.  Persistence Report'!BF67</f>
        <v>59178</v>
      </c>
      <c r="N515" s="295">
        <v>0</v>
      </c>
      <c r="O515" s="295">
        <f>'7.  Persistence Report'!R67</f>
        <v>6</v>
      </c>
      <c r="P515" s="295">
        <f>'7.  Persistence Report'!S67</f>
        <v>6</v>
      </c>
      <c r="Q515" s="295">
        <f>'7.  Persistence Report'!T67</f>
        <v>6</v>
      </c>
      <c r="R515" s="295">
        <f>'7.  Persistence Report'!U67</f>
        <v>6</v>
      </c>
      <c r="S515" s="295">
        <f>'7.  Persistence Report'!V67</f>
        <v>6</v>
      </c>
      <c r="T515" s="295">
        <f>'7.  Persistence Report'!W67</f>
        <v>6</v>
      </c>
      <c r="U515" s="295">
        <f>'7.  Persistence Report'!X67</f>
        <v>6</v>
      </c>
      <c r="V515" s="295">
        <f>'7.  Persistence Report'!Y67</f>
        <v>6</v>
      </c>
      <c r="W515" s="295">
        <f>'7.  Persistence Report'!Z67</f>
        <v>6</v>
      </c>
      <c r="X515" s="295">
        <f>'7.  Persistence Report'!AA67</f>
        <v>6</v>
      </c>
      <c r="Y515" s="426">
        <v>1</v>
      </c>
      <c r="Z515" s="410"/>
      <c r="AA515" s="410"/>
      <c r="AB515" s="410"/>
      <c r="AC515" s="410"/>
      <c r="AD515" s="410"/>
      <c r="AE515" s="410"/>
      <c r="AF515" s="415"/>
      <c r="AG515" s="415"/>
      <c r="AH515" s="415"/>
      <c r="AI515" s="415"/>
      <c r="AJ515" s="415"/>
      <c r="AK515" s="415"/>
      <c r="AL515" s="415"/>
      <c r="AM515" s="296">
        <f>SUM(Y515:AL515)</f>
        <v>1</v>
      </c>
    </row>
    <row r="516" spans="1:39" ht="15"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ht="15"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6"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ht="15"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ht="15"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ht="15"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ht="15"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ht="15"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ht="15"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ht="15"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ht="15"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ht="15"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5"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ht="15"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5"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ht="15"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30"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5"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ht="15"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15"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5"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ht="15"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5"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ht="15"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5"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ht="15"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5"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ht="15"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5"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ht="15"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30"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5"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ht="15"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5"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ht="15"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6">
      <c r="B561" s="327" t="s">
        <v>293</v>
      </c>
      <c r="C561" s="329"/>
      <c r="D561" s="329">
        <f>SUM(D404:D559)</f>
        <v>26661924</v>
      </c>
      <c r="E561" s="329"/>
      <c r="F561" s="329"/>
      <c r="G561" s="329"/>
      <c r="H561" s="329"/>
      <c r="I561" s="329"/>
      <c r="J561" s="329"/>
      <c r="K561" s="329"/>
      <c r="L561" s="329"/>
      <c r="M561" s="329"/>
      <c r="N561" s="329"/>
      <c r="O561" s="329">
        <f>SUM(O404:O559)</f>
        <v>2166</v>
      </c>
      <c r="P561" s="329"/>
      <c r="Q561" s="329"/>
      <c r="R561" s="329"/>
      <c r="S561" s="329"/>
      <c r="T561" s="329"/>
      <c r="U561" s="329"/>
      <c r="V561" s="329"/>
      <c r="W561" s="329"/>
      <c r="X561" s="329"/>
      <c r="Y561" s="329">
        <f>IF(Y402="kWh",SUMPRODUCT(D404:D559,Y404:Y559))</f>
        <v>16722440</v>
      </c>
      <c r="Z561" s="329">
        <f>IF(Z402="kWh",SUMPRODUCT(D404:D559,Z404:Z559))</f>
        <v>3782611.36</v>
      </c>
      <c r="AA561" s="329">
        <f>IF(AA402="kw",SUMPRODUCT(N404:N559,O404:O559,AA404:AA559),SUMPRODUCT(D404:D559,AA404:AA559))</f>
        <v>5188.32</v>
      </c>
      <c r="AB561" s="329">
        <f>IF(AB402="kw",SUMPRODUCT(N404:N559,O404:O559,AB404:AB559),SUMPRODUCT(D404:D559,AB404:AB559))</f>
        <v>0</v>
      </c>
      <c r="AC561" s="329">
        <f>IF(AC402="kw",SUMPRODUCT(N404:N559,O404:O559,AC404:AC559),SUMPRODUCT(D404:D559,AC404:AC559))</f>
        <v>396.6</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6">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3834791.1453266889</v>
      </c>
      <c r="Z562" s="392">
        <f>HLOOKUP(Z218,'2. LRAMVA Threshold'!$B$42:$Q$53,9,FALSE)</f>
        <v>1008700.2017302075</v>
      </c>
      <c r="AA562" s="392">
        <f>HLOOKUP(AA218,'2. LRAMVA Threshold'!$B$42:$Q$53,9,FALSE)</f>
        <v>6327.6224003132484</v>
      </c>
      <c r="AB562" s="392">
        <f>HLOOKUP(AB218,'2. LRAMVA Threshold'!$B$42:$Q$53,9,FALSE)</f>
        <v>1352.3687505855519</v>
      </c>
      <c r="AC562" s="392">
        <f>HLOOKUP(AC218,'2. LRAMVA Threshold'!$B$42:$Q$53,9,FALSE)</f>
        <v>765.74694814587633</v>
      </c>
      <c r="AD562" s="392">
        <f>HLOOKUP(AD218,'2. LRAMVA Threshold'!$B$42:$Q$53,9,FALSE)</f>
        <v>10721.240673886883</v>
      </c>
      <c r="AE562" s="392">
        <f>HLOOKUP(AE218,'2. LRAMVA Threshold'!$B$42:$Q$53,9,FALSE)</f>
        <v>20523.098251560299</v>
      </c>
      <c r="AF562" s="392">
        <f>HLOOKUP(AF218,'2. LRAMVA Threshold'!$B$42:$Q$53,9,FALSE)</f>
        <v>1</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ht="15">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ht="15">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1.09E-2</v>
      </c>
      <c r="Z564" s="341">
        <f>HLOOKUP(Z$35,'3.  Distribution Rates'!$C$122:$P$133,9,FALSE)</f>
        <v>1.61E-2</v>
      </c>
      <c r="AA564" s="341">
        <f>HLOOKUP(AA$35,'3.  Distribution Rates'!$C$122:$P$133,9,FALSE)</f>
        <v>4.5690999999999997</v>
      </c>
      <c r="AB564" s="341">
        <f>HLOOKUP(AB$35,'3.  Distribution Rates'!$C$122:$P$133,9,FALSE)</f>
        <v>2.4245999999999999</v>
      </c>
      <c r="AC564" s="341">
        <f>HLOOKUP(AC$35,'3.  Distribution Rates'!$C$122:$P$133,9,FALSE)</f>
        <v>2.0983000000000001</v>
      </c>
      <c r="AD564" s="341">
        <f>HLOOKUP(AD$35,'3.  Distribution Rates'!$C$122:$P$133,9,FALSE)</f>
        <v>29.666399999999999</v>
      </c>
      <c r="AE564" s="341">
        <f>HLOOKUP(AE$35,'3.  Distribution Rates'!$C$122:$P$133,9,FALSE)</f>
        <v>1.8200000000000001E-2</v>
      </c>
      <c r="AF564" s="341">
        <f>HLOOKUP(AF$35,'3.  Distribution Rates'!$C$122:$P$133,9,FALSE)</f>
        <v>7.6711999999999998</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ht="15">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ht="15">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ht="15">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ht="15">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ht="15">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37570.196300000003</v>
      </c>
      <c r="Z569" s="378">
        <f t="shared" si="1700"/>
        <v>16587.109364</v>
      </c>
      <c r="AA569" s="378">
        <f t="shared" si="1700"/>
        <v>11042.60088</v>
      </c>
      <c r="AB569" s="378">
        <f>AB209*AB564</f>
        <v>23252.883839999999</v>
      </c>
      <c r="AC569" s="378">
        <f t="shared" si="1700"/>
        <v>0</v>
      </c>
      <c r="AD569" s="378">
        <f t="shared" si="1700"/>
        <v>318053.47440000001</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406506.264784</v>
      </c>
    </row>
    <row r="570" spans="2:39" ht="15">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102023.42230000001</v>
      </c>
      <c r="Z570" s="378">
        <f>Z392*Z564</f>
        <v>38986.720906000002</v>
      </c>
      <c r="AA570" s="378">
        <f t="shared" ref="AA570:AL570" si="1701">AA392*AA564</f>
        <v>13083.343703999999</v>
      </c>
      <c r="AB570" s="378">
        <f>AB392*AB564</f>
        <v>2467.5639120000001</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156561.05082200002</v>
      </c>
    </row>
    <row r="571" spans="2:39" ht="15">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182274.59599999999</v>
      </c>
      <c r="Z571" s="378">
        <f t="shared" ref="Z571:AL571" si="1702">Z561*Z564</f>
        <v>60900.042895999999</v>
      </c>
      <c r="AA571" s="378">
        <f t="shared" si="1702"/>
        <v>23705.952911999997</v>
      </c>
      <c r="AB571" s="378">
        <f t="shared" si="1702"/>
        <v>0</v>
      </c>
      <c r="AC571" s="378">
        <f t="shared" si="1702"/>
        <v>832.18578000000002</v>
      </c>
      <c r="AD571" s="378">
        <f>AD561*AD564</f>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267712.777588</v>
      </c>
    </row>
    <row r="572" spans="2:39" ht="15.6">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321868.21460000001</v>
      </c>
      <c r="Z572" s="346">
        <f>SUM(Z565:Z571)</f>
        <v>116473.873166</v>
      </c>
      <c r="AA572" s="346">
        <f t="shared" ref="AA572:AE572" si="1703">SUM(AA565:AA571)</f>
        <v>47831.89749599999</v>
      </c>
      <c r="AB572" s="346">
        <f t="shared" si="1703"/>
        <v>25720.447752</v>
      </c>
      <c r="AC572" s="346">
        <f t="shared" si="1703"/>
        <v>832.18578000000002</v>
      </c>
      <c r="AD572" s="346">
        <f>SUM(AD565:AD571)</f>
        <v>318053.47440000001</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830780.09319399996</v>
      </c>
    </row>
    <row r="573" spans="2:39" ht="15.6">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41799.223484060909</v>
      </c>
      <c r="Z573" s="347">
        <f t="shared" ref="Z573:AE573" si="1705">Z562*Z564</f>
        <v>16240.07324785634</v>
      </c>
      <c r="AA573" s="347">
        <f t="shared" si="1705"/>
        <v>28911.539509271261</v>
      </c>
      <c r="AB573" s="347">
        <f t="shared" si="1705"/>
        <v>3278.9532726697289</v>
      </c>
      <c r="AC573" s="347">
        <f t="shared" si="1705"/>
        <v>1606.7668212944923</v>
      </c>
      <c r="AD573" s="347">
        <f>AD562*AD564</f>
        <v>318060.61432779784</v>
      </c>
      <c r="AE573" s="347">
        <f t="shared" si="1705"/>
        <v>373.52038817839747</v>
      </c>
      <c r="AF573" s="347">
        <f>AF562*AF564</f>
        <v>7.6711999999999998</v>
      </c>
      <c r="AG573" s="347">
        <f t="shared" ref="AG573:AL573" si="1706">AG562*AG564</f>
        <v>0</v>
      </c>
      <c r="AH573" s="347">
        <f t="shared" si="1706"/>
        <v>0</v>
      </c>
      <c r="AI573" s="347">
        <f t="shared" si="1706"/>
        <v>0</v>
      </c>
      <c r="AJ573" s="347">
        <f>AJ562*AJ564</f>
        <v>0</v>
      </c>
      <c r="AK573" s="347">
        <f>AK562*AK564</f>
        <v>0</v>
      </c>
      <c r="AL573" s="347">
        <f t="shared" si="1706"/>
        <v>0</v>
      </c>
      <c r="AM573" s="407">
        <f>SUM(Y573:AL573)</f>
        <v>410278.362251129</v>
      </c>
    </row>
    <row r="574" spans="2:39" ht="15.6">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420501.73094287096</v>
      </c>
    </row>
    <row r="575" spans="2:39" ht="15">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ht="15">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13140642</v>
      </c>
      <c r="Z576" s="291">
        <f>SUMPRODUCT(E404:E559,Z404:Z559)</f>
        <v>3784337.9099999997</v>
      </c>
      <c r="AA576" s="291">
        <f>IF(AA402="kw",SUMPRODUCT($N$404:$N$559,$P$404:$P$559,AA404:AA559),SUMPRODUCT($E$404:$E$559,AA404:AA559))</f>
        <v>5195.5199999999995</v>
      </c>
      <c r="AB576" s="291">
        <f>IF(AB402="kw",SUMPRODUCT($N$404:$N$559,$P$404:$P$559,AB404:AB559),SUMPRODUCT($E$404:$E$559,AB404:AB559))</f>
        <v>0</v>
      </c>
      <c r="AC576" s="291">
        <f>IF(AC402="kw",SUMPRODUCT($N$404:$N$559,$P$404:$P$559,AC404:AC559),SUMPRODUCT($E$404:$E$559,AC404:AC559))</f>
        <v>397.20000000000005</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ht="15">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13140642</v>
      </c>
      <c r="Z577" s="291">
        <f>SUMPRODUCT(F404:F559,Z404:Z559)</f>
        <v>3779562.8299999996</v>
      </c>
      <c r="AA577" s="291">
        <f t="shared" ref="AA577:AL577" si="1708">IF(AA402="kw",SUMPRODUCT($N$404:$N$559,$Q$404:$Q$559,AA404:AA559),SUMPRODUCT($F$404:$F$559,AA404:AA559))</f>
        <v>5195.5199999999995</v>
      </c>
      <c r="AB577" s="291">
        <f t="shared" si="1708"/>
        <v>0</v>
      </c>
      <c r="AC577" s="291">
        <f>IF(AC402="kw",SUMPRODUCT($N$404:$N$559,$Q$404:$Q$559,AC404:AC559),SUMPRODUCT($F$404:$F$559,AC404:AC559))</f>
        <v>397.20000000000005</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ht="15">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13140642</v>
      </c>
      <c r="Z578" s="326">
        <f>SUMPRODUCT(G404:G559,Z404:Z559)</f>
        <v>3749974.51</v>
      </c>
      <c r="AA578" s="326">
        <f t="shared" ref="AA578:AL578" si="1709">IF(AA402="kw",SUMPRODUCT($N$404:$N$559,$R$404:$R$559,AA404:AA559),SUMPRODUCT($G$404:$G$559,AA404:AA559))</f>
        <v>5184</v>
      </c>
      <c r="AB578" s="326">
        <f t="shared" si="1709"/>
        <v>0</v>
      </c>
      <c r="AC578" s="326">
        <f>IF(AC402="kw",SUMPRODUCT($N$404:$N$559,$R$404:$R$559,AC404:AC559),SUMPRODUCT($G$404:$G$559,AC404:AC559))</f>
        <v>397.20000000000005</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6">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76" t="s">
        <v>211</v>
      </c>
      <c r="C583" s="878" t="s">
        <v>33</v>
      </c>
      <c r="D583" s="284" t="s">
        <v>423</v>
      </c>
      <c r="E583" s="880" t="s">
        <v>209</v>
      </c>
      <c r="F583" s="881"/>
      <c r="G583" s="881"/>
      <c r="H583" s="881"/>
      <c r="I583" s="881"/>
      <c r="J583" s="881"/>
      <c r="K583" s="881"/>
      <c r="L583" s="881"/>
      <c r="M583" s="882"/>
      <c r="N583" s="886" t="s">
        <v>213</v>
      </c>
      <c r="O583" s="284" t="s">
        <v>424</v>
      </c>
      <c r="P583" s="880" t="s">
        <v>212</v>
      </c>
      <c r="Q583" s="881"/>
      <c r="R583" s="881"/>
      <c r="S583" s="881"/>
      <c r="T583" s="881"/>
      <c r="U583" s="881"/>
      <c r="V583" s="881"/>
      <c r="W583" s="881"/>
      <c r="X583" s="882"/>
      <c r="Y583" s="883" t="s">
        <v>244</v>
      </c>
      <c r="Z583" s="884"/>
      <c r="AA583" s="884"/>
      <c r="AB583" s="884"/>
      <c r="AC583" s="884"/>
      <c r="AD583" s="884"/>
      <c r="AE583" s="884"/>
      <c r="AF583" s="884"/>
      <c r="AG583" s="884"/>
      <c r="AH583" s="884"/>
      <c r="AI583" s="884"/>
      <c r="AJ583" s="884"/>
      <c r="AK583" s="884"/>
      <c r="AL583" s="884"/>
      <c r="AM583" s="885"/>
    </row>
    <row r="584" spans="1:39" ht="68.25" customHeight="1">
      <c r="B584" s="877"/>
      <c r="C584" s="879"/>
      <c r="D584" s="285">
        <v>2018</v>
      </c>
      <c r="E584" s="285">
        <v>2019</v>
      </c>
      <c r="F584" s="285">
        <v>2020</v>
      </c>
      <c r="G584" s="285">
        <v>2021</v>
      </c>
      <c r="H584" s="285">
        <v>2022</v>
      </c>
      <c r="I584" s="285">
        <v>2023</v>
      </c>
      <c r="J584" s="285">
        <v>2024</v>
      </c>
      <c r="K584" s="285">
        <v>2025</v>
      </c>
      <c r="L584" s="285">
        <v>2026</v>
      </c>
      <c r="M584" s="285">
        <v>2027</v>
      </c>
      <c r="N584" s="88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 to 999 kW (I1 &amp; I4)</v>
      </c>
      <c r="AB584" s="285" t="str">
        <f>'1.  LRAMVA Summary'!G52</f>
        <v>GS 1,000 to 4,999 kW (I2)</v>
      </c>
      <c r="AC584" s="285" t="str">
        <f>'1.  LRAMVA Summary'!H52</f>
        <v>Large Use (I3)</v>
      </c>
      <c r="AD584" s="285" t="str">
        <f>'1.  LRAMVA Summary'!I52</f>
        <v>Street Lighting</v>
      </c>
      <c r="AE584" s="285" t="str">
        <f>'1.  LRAMVA Summary'!J52</f>
        <v>USL</v>
      </c>
      <c r="AF584" s="285" t="str">
        <f>'1.  LRAMVA Summary'!K52</f>
        <v>Sentinel Lights</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t="str">
        <f>'1.  LRAMVA Summary'!J53</f>
        <v>kWh</v>
      </c>
      <c r="AF585" s="291" t="str">
        <f>'1.  LRAMVA Summary'!K53</f>
        <v>kW</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6" hidden="1"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t="15"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t="15"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6"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t="15"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t="15"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6"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t="15"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t="15"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t="15"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t="15" hidden="1"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t="15"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t="15"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5"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t="15"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6" hidden="1"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t="15"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t="15"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t="15"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t="15"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t="15"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t="15"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t="15"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t="15"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t="15"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5"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t="15"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6"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t="15"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t="15"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30"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t="15"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t="15"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t="15"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t="15"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6"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t="15"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t="15"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t="15"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6" hidden="1"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t="15" hidden="1"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t="15"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t="15"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t="15" hidden="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t="15"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t="15"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6" hidden="1"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t="15"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t="15"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t="15"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t="15"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t="15"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t="15"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t="15"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t="15"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t="15"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t="15"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t="15"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6"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6" hidden="1"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6" hidden="1"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t="15"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t="15"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t="15"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t="15"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t="15"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t="15"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15"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t="15"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t="15"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6" hidden="1"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t="15"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t="15"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t="15"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t="15"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t="15"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t="15"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t="15"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t="15"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t="15"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t="15"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t="15"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5"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t="15"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t="15"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t="15"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15"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t="15"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t="15"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6" hidden="1"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t="15"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t="15"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15"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5"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t="15"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15"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5"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t="15"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6" hidden="1"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t="15"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t="15"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t="15"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t="15"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5"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5"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t="15"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5"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t="15"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5"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t="15"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t="15"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t="15"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30"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t="15"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t="15"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15"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t="15"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t="15"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t="15"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t="15"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t="15"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t="15"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t="15"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t="15"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t="15"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t="15"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30"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t="15"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t="15"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t="15"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t="15"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6"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6">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3834791.1453266889</v>
      </c>
      <c r="Z745" s="392">
        <f>HLOOKUP(Z401,'2. LRAMVA Threshold'!$B$42:$Q$53,10,FALSE)</f>
        <v>1008700.2017302075</v>
      </c>
      <c r="AA745" s="392">
        <f>HLOOKUP(AA401,'2. LRAMVA Threshold'!$B$42:$Q$53,10,FALSE)</f>
        <v>6327.6224003132484</v>
      </c>
      <c r="AB745" s="392">
        <f>HLOOKUP(AB401,'2. LRAMVA Threshold'!$B$42:$Q$53,10,FALSE)</f>
        <v>1352.3687505855519</v>
      </c>
      <c r="AC745" s="392">
        <f>HLOOKUP(AC401,'2. LRAMVA Threshold'!$B$42:$Q$53,10,FALSE)</f>
        <v>765.74694814587633</v>
      </c>
      <c r="AD745" s="392">
        <f>HLOOKUP(AD401,'2. LRAMVA Threshold'!$B$42:$Q$53,10,FALSE)</f>
        <v>10721.240673886883</v>
      </c>
      <c r="AE745" s="392">
        <f>HLOOKUP(AE401,'2. LRAMVA Threshold'!$B$42:$Q$53,10,FALSE)</f>
        <v>20523.098251560299</v>
      </c>
      <c r="AF745" s="392">
        <f>HLOOKUP(AF401,'2. LRAMVA Threshold'!$B$42:$Q$53,10,FALSE)</f>
        <v>1</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ht="15">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ht="15">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0</v>
      </c>
      <c r="Z747" s="341">
        <f>HLOOKUP(Z$35,'3.  Distribution Rates'!$C$122:$P$133,10,FALSE)</f>
        <v>0</v>
      </c>
      <c r="AA747" s="341">
        <f>HLOOKUP(AA$35,'3.  Distribution Rates'!$C$122:$P$133,10,FALSE)</f>
        <v>0</v>
      </c>
      <c r="AB747" s="341">
        <f>HLOOKUP(AB$35,'3.  Distribution Rates'!$C$122:$P$133,10,FALSE)</f>
        <v>0</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ht="15">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ht="15">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ht="15">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ht="15">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ht="15">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ht="15">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0</v>
      </c>
      <c r="Z753" s="378">
        <f t="shared" si="2277"/>
        <v>0</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0</v>
      </c>
      <c r="AN753" s="443"/>
    </row>
    <row r="754" spans="1:40" ht="15">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0</v>
      </c>
      <c r="Z754" s="378">
        <f t="shared" si="2278"/>
        <v>0</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0</v>
      </c>
      <c r="AN754" s="443"/>
    </row>
    <row r="755" spans="1:40" ht="15">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6">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0</v>
      </c>
      <c r="Z756" s="346">
        <f>SUM(Z748:Z755)</f>
        <v>0</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0</v>
      </c>
      <c r="AN756" s="443"/>
    </row>
    <row r="757" spans="1:40" ht="15.6">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6">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0</v>
      </c>
      <c r="AN758" s="443"/>
    </row>
    <row r="759" spans="1:40" ht="15">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ht="15">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ht="15">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593</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6">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76" t="s">
        <v>211</v>
      </c>
      <c r="C766" s="878" t="s">
        <v>33</v>
      </c>
      <c r="D766" s="284" t="s">
        <v>423</v>
      </c>
      <c r="E766" s="880" t="s">
        <v>209</v>
      </c>
      <c r="F766" s="881"/>
      <c r="G766" s="881"/>
      <c r="H766" s="881"/>
      <c r="I766" s="881"/>
      <c r="J766" s="881"/>
      <c r="K766" s="881"/>
      <c r="L766" s="881"/>
      <c r="M766" s="882"/>
      <c r="N766" s="886" t="s">
        <v>213</v>
      </c>
      <c r="O766" s="284" t="s">
        <v>424</v>
      </c>
      <c r="P766" s="880" t="s">
        <v>212</v>
      </c>
      <c r="Q766" s="881"/>
      <c r="R766" s="881"/>
      <c r="S766" s="881"/>
      <c r="T766" s="881"/>
      <c r="U766" s="881"/>
      <c r="V766" s="881"/>
      <c r="W766" s="881"/>
      <c r="X766" s="882"/>
      <c r="Y766" s="883" t="s">
        <v>244</v>
      </c>
      <c r="Z766" s="884"/>
      <c r="AA766" s="884"/>
      <c r="AB766" s="884"/>
      <c r="AC766" s="884"/>
      <c r="AD766" s="884"/>
      <c r="AE766" s="884"/>
      <c r="AF766" s="884"/>
      <c r="AG766" s="884"/>
      <c r="AH766" s="884"/>
      <c r="AI766" s="884"/>
      <c r="AJ766" s="884"/>
      <c r="AK766" s="884"/>
      <c r="AL766" s="884"/>
      <c r="AM766" s="885"/>
    </row>
    <row r="767" spans="1:40" ht="65.25" customHeight="1">
      <c r="B767" s="877"/>
      <c r="C767" s="879"/>
      <c r="D767" s="285">
        <v>2019</v>
      </c>
      <c r="E767" s="285">
        <v>2020</v>
      </c>
      <c r="F767" s="285">
        <v>2021</v>
      </c>
      <c r="G767" s="285">
        <v>2022</v>
      </c>
      <c r="H767" s="285">
        <v>2023</v>
      </c>
      <c r="I767" s="285">
        <v>2024</v>
      </c>
      <c r="J767" s="285">
        <v>2025</v>
      </c>
      <c r="K767" s="285">
        <v>2026</v>
      </c>
      <c r="L767" s="285">
        <v>2027</v>
      </c>
      <c r="M767" s="285">
        <v>2028</v>
      </c>
      <c r="N767" s="88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 to 999 kW (I1 &amp; I4)</v>
      </c>
      <c r="AB767" s="285" t="str">
        <f>'1.  LRAMVA Summary'!G52</f>
        <v>GS 1,000 to 4,999 kW (I2)</v>
      </c>
      <c r="AC767" s="285" t="str">
        <f>'1.  LRAMVA Summary'!H52</f>
        <v>Large Use (I3)</v>
      </c>
      <c r="AD767" s="285" t="str">
        <f>'1.  LRAMVA Summary'!I52</f>
        <v>Street Lighting</v>
      </c>
      <c r="AE767" s="285" t="str">
        <f>'1.  LRAMVA Summary'!J52</f>
        <v>USL</v>
      </c>
      <c r="AF767" s="285" t="str">
        <f>'1.  LRAMVA Summary'!K52</f>
        <v>Sentinel Lights</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t="str">
        <f>'1.  LRAMVA Summary'!J53</f>
        <v>kWh</v>
      </c>
      <c r="AF768" s="291" t="str">
        <f>'1.  LRAMVA Summary'!K53</f>
        <v>kW</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6"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t="15"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t="15"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6"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t="15"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t="15"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6"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t="15"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t="15"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t="15"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t="15" hidden="1"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t="15"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t="15"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t="15"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6"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t="15"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t="15"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t="15"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t="15"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t="15"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t="15"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t="15"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t="15"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t="15"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t="15"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t="15"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6"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t="15"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t="15"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30"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t="15"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t="15"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t="15"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t="15"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6"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t="15"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t="15"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t="15"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6"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t="15"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t="15"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t="15"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t="15"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t="15"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t="15"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6"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t="15"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t="15"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t="15"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t="15"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t="15"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t="15"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t="15"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t="15"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t="15"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t="15"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t="15"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6"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6"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6"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t="15"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t="15"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t="15"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t="15"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t="15"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t="15"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15"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t="15"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t="15"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6"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t="15"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t="15"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t="15"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t="15"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t="15"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t="15"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t="15"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t="15"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t="15"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t="15"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t="15"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t="15"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t="15"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t="15"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t="15"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15"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t="15"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t="15"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6"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5"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t="15"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15"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5"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t="15"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15"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5"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t="15"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6"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t="15"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t="15"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t="15"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t="15"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5"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5"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t="15"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5"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t="15"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5"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t="15"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t="15"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t="15"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30"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t="15"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t="15"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15"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t="15"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t="15"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t="15"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t="15"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t="15"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t="15"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t="15"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t="15"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t="15"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t="15"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30"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t="15"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t="15"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t="15"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t="15"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6"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6">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ht="15">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ht="15">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ht="15">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ht="15">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ht="15">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ht="15">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ht="15">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ht="15">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ht="15">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ht="15">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ht="15">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6">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6">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6">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ht="15">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ht="15">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593</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6">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76" t="s">
        <v>211</v>
      </c>
      <c r="C949" s="878" t="s">
        <v>33</v>
      </c>
      <c r="D949" s="284" t="s">
        <v>423</v>
      </c>
      <c r="E949" s="880" t="s">
        <v>209</v>
      </c>
      <c r="F949" s="881"/>
      <c r="G949" s="881"/>
      <c r="H949" s="881"/>
      <c r="I949" s="881"/>
      <c r="J949" s="881"/>
      <c r="K949" s="881"/>
      <c r="L949" s="881"/>
      <c r="M949" s="882"/>
      <c r="N949" s="886" t="s">
        <v>213</v>
      </c>
      <c r="O949" s="284" t="s">
        <v>424</v>
      </c>
      <c r="P949" s="880" t="s">
        <v>212</v>
      </c>
      <c r="Q949" s="881"/>
      <c r="R949" s="881"/>
      <c r="S949" s="881"/>
      <c r="T949" s="881"/>
      <c r="U949" s="881"/>
      <c r="V949" s="881"/>
      <c r="W949" s="881"/>
      <c r="X949" s="882"/>
      <c r="Y949" s="883" t="s">
        <v>244</v>
      </c>
      <c r="Z949" s="884"/>
      <c r="AA949" s="884"/>
      <c r="AB949" s="884"/>
      <c r="AC949" s="884"/>
      <c r="AD949" s="884"/>
      <c r="AE949" s="884"/>
      <c r="AF949" s="884"/>
      <c r="AG949" s="884"/>
      <c r="AH949" s="884"/>
      <c r="AI949" s="884"/>
      <c r="AJ949" s="884"/>
      <c r="AK949" s="884"/>
      <c r="AL949" s="884"/>
      <c r="AM949" s="885"/>
    </row>
    <row r="950" spans="1:39" ht="65.25" customHeight="1">
      <c r="B950" s="877"/>
      <c r="C950" s="879"/>
      <c r="D950" s="285">
        <v>2020</v>
      </c>
      <c r="E950" s="285">
        <v>2021</v>
      </c>
      <c r="F950" s="285">
        <v>2022</v>
      </c>
      <c r="G950" s="285">
        <v>2023</v>
      </c>
      <c r="H950" s="285">
        <v>2024</v>
      </c>
      <c r="I950" s="285">
        <v>2025</v>
      </c>
      <c r="J950" s="285">
        <v>2026</v>
      </c>
      <c r="K950" s="285">
        <v>2027</v>
      </c>
      <c r="L950" s="285">
        <v>2028</v>
      </c>
      <c r="M950" s="285">
        <v>2029</v>
      </c>
      <c r="N950" s="88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 to 999 kW (I1 &amp; I4)</v>
      </c>
      <c r="AB950" s="285" t="str">
        <f>'1.  LRAMVA Summary'!G52</f>
        <v>GS 1,000 to 4,999 kW (I2)</v>
      </c>
      <c r="AC950" s="285" t="str">
        <f>'1.  LRAMVA Summary'!H52</f>
        <v>Large Use (I3)</v>
      </c>
      <c r="AD950" s="285" t="str">
        <f>'1.  LRAMVA Summary'!I52</f>
        <v>Street Lighting</v>
      </c>
      <c r="AE950" s="285" t="str">
        <f>'1.  LRAMVA Summary'!J52</f>
        <v>USL</v>
      </c>
      <c r="AF950" s="285" t="str">
        <f>'1.  LRAMVA Summary'!K52</f>
        <v>Sentinel Lights</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t="str">
        <f>'1.  LRAMVA Summary'!J53</f>
        <v>kWh</v>
      </c>
      <c r="AF951" s="291" t="str">
        <f>'1.  LRAMVA Summary'!K53</f>
        <v>kW</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6"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6"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t="15"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t="15"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t="15"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t="15"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t="15"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t="15"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6"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t="15"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t="15"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t="15"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t="15"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t="15"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t="15"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t="15"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t="15"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t="15"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t="15"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t="15"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6"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6"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6"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5"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6"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6">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ht="15">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ht="15">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ht="15">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ht="15">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ht="15">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ht="15">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ht="15">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ht="15">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ht="15">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ht="15">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ht="15">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ht="15">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6">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6">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6">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ht="15">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593</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F109" zoomScale="60" zoomScaleNormal="60" workbookViewId="0">
      <selection activeCell="W135" sqref="W135:W146"/>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2"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89" t="s">
        <v>670</v>
      </c>
      <c r="D8" s="889"/>
      <c r="E8" s="889"/>
      <c r="F8" s="889"/>
      <c r="G8" s="889"/>
      <c r="H8" s="889"/>
      <c r="I8" s="889"/>
      <c r="J8" s="889"/>
      <c r="K8" s="889"/>
      <c r="L8" s="889"/>
      <c r="M8" s="889"/>
      <c r="N8" s="889"/>
      <c r="O8" s="889"/>
      <c r="P8" s="889"/>
      <c r="Q8" s="889"/>
      <c r="R8" s="889"/>
      <c r="S8" s="889"/>
      <c r="T8" s="105"/>
      <c r="U8" s="105"/>
      <c r="V8" s="105"/>
      <c r="W8" s="105"/>
    </row>
    <row r="9" spans="1:28" s="9" customFormat="1" ht="46.95" customHeight="1">
      <c r="B9" s="55"/>
      <c r="C9" s="848" t="s">
        <v>681</v>
      </c>
      <c r="D9" s="848"/>
      <c r="E9" s="848"/>
      <c r="F9" s="848"/>
      <c r="G9" s="848"/>
      <c r="H9" s="848"/>
      <c r="I9" s="848"/>
      <c r="J9" s="848"/>
      <c r="K9" s="848"/>
      <c r="L9" s="848"/>
      <c r="M9" s="848"/>
      <c r="N9" s="848"/>
      <c r="O9" s="848"/>
      <c r="P9" s="848"/>
      <c r="Q9" s="848"/>
      <c r="R9" s="848"/>
      <c r="S9" s="848"/>
      <c r="T9" s="105"/>
      <c r="U9" s="105"/>
      <c r="V9" s="105"/>
      <c r="W9" s="105"/>
    </row>
    <row r="10" spans="1:28" s="9" customFormat="1" ht="37.950000000000003" customHeight="1">
      <c r="B10" s="88"/>
      <c r="C10" s="864" t="s">
        <v>682</v>
      </c>
      <c r="D10" s="848"/>
      <c r="E10" s="848"/>
      <c r="F10" s="848"/>
      <c r="G10" s="848"/>
      <c r="H10" s="848"/>
      <c r="I10" s="848"/>
      <c r="J10" s="848"/>
      <c r="K10" s="848"/>
      <c r="L10" s="848"/>
      <c r="M10" s="848"/>
      <c r="N10" s="848"/>
      <c r="O10" s="848"/>
      <c r="P10" s="848"/>
      <c r="Q10" s="848"/>
      <c r="R10" s="848"/>
      <c r="S10" s="848"/>
      <c r="T10" s="88"/>
      <c r="U10" s="88"/>
      <c r="V10" s="88"/>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88" t="s">
        <v>235</v>
      </c>
      <c r="C12" s="888"/>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 to 999 kW (I1 &amp; I4)</v>
      </c>
      <c r="L14" s="204" t="str">
        <f>'1.  LRAMVA Summary'!G52</f>
        <v>GS 1,000 to 4,999 kW (I2)</v>
      </c>
      <c r="M14" s="204" t="str">
        <f>'1.  LRAMVA Summary'!H52</f>
        <v>Large Use (I3)</v>
      </c>
      <c r="N14" s="204" t="str">
        <f>'1.  LRAMVA Summary'!I52</f>
        <v>Street Lighting</v>
      </c>
      <c r="O14" s="204" t="str">
        <f>'1.  LRAMVA Summary'!J52</f>
        <v>USL</v>
      </c>
      <c r="P14" s="204" t="str">
        <f>'1.  LRAMVA Summary'!K52</f>
        <v>Sentinel Lights</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9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-0.42026460302519397</v>
      </c>
      <c r="J76" s="230">
        <f>(SUM('1.  LRAMVA Summary'!E$54:E$65)+SUM('1.  LRAMVA Summary'!E$66:E$67)*(MONTH($E76)-1)/12)*$H76</f>
        <v>3.7406972664035552E-2</v>
      </c>
      <c r="K76" s="230">
        <f>(SUM('1.  LRAMVA Summary'!F$54:F$65)+SUM('1.  LRAMVA Summary'!F$66:F$67)*(MONTH($E76)-1)/12)*$H76</f>
        <v>-1.4786142169909602</v>
      </c>
      <c r="L76" s="230">
        <f>(SUM('1.  LRAMVA Summary'!G$54:G$65)+SUM('1.  LRAMVA Summary'!G$66:G$67)*(MONTH($E76)-1)/12)*$H76</f>
        <v>2.1803211593770757</v>
      </c>
      <c r="M76" s="230">
        <f>(SUM('1.  LRAMVA Summary'!H$54:H$65)+SUM('1.  LRAMVA Summary'!H$66:H$67)*(MONTH($E76)-1)/12)*$H76</f>
        <v>-0.16049082896390968</v>
      </c>
      <c r="N76" s="230">
        <f>(SUM('1.  LRAMVA Summary'!I$54:I$65)+SUM('1.  LRAMVA Summary'!I$66:I$67)*(MONTH($E76)-1)/12)*$H76</f>
        <v>-4.4479833533963144E-4</v>
      </c>
      <c r="O76" s="230">
        <f>(SUM('1.  LRAMVA Summary'!J$54:J$65)+SUM('1.  LRAMVA Summary'!J$66:J$67)*(MONTH($E76)-1)/12)*$H76</f>
        <v>-2.8492901405916215E-2</v>
      </c>
      <c r="P76" s="230">
        <f>(SUM('1.  LRAMVA Summary'!K$54:K$65)+SUM('1.  LRAMVA Summary'!K$66:K$67)*(MONTH($E76)-1)/12)*$H76</f>
        <v>-6.3408041666666675E-4</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0.12878670290312497</v>
      </c>
    </row>
    <row r="77" spans="2:23" s="9" customFormat="1">
      <c r="B77" s="66"/>
      <c r="E77" s="214">
        <v>42064</v>
      </c>
      <c r="F77" s="214" t="s">
        <v>181</v>
      </c>
      <c r="G77" s="215" t="s">
        <v>65</v>
      </c>
      <c r="H77" s="229">
        <f t="shared" si="19"/>
        <v>1.225E-3</v>
      </c>
      <c r="I77" s="230">
        <f>(SUM('1.  LRAMVA Summary'!D$54:D$65)+SUM('1.  LRAMVA Summary'!D$66:D$67)*(MONTH($E77)-1)/12)*$H77</f>
        <v>-0.84052920605038794</v>
      </c>
      <c r="J77" s="230">
        <f>(SUM('1.  LRAMVA Summary'!E$54:E$65)+SUM('1.  LRAMVA Summary'!E$66:E$67)*(MONTH($E77)-1)/12)*$H77</f>
        <v>7.4813945328071105E-2</v>
      </c>
      <c r="K77" s="230">
        <f>(SUM('1.  LRAMVA Summary'!F$54:F$65)+SUM('1.  LRAMVA Summary'!F$66:F$67)*(MONTH($E77)-1)/12)*$H77</f>
        <v>-2.9572284339819204</v>
      </c>
      <c r="L77" s="230">
        <f>(SUM('1.  LRAMVA Summary'!G$54:G$65)+SUM('1.  LRAMVA Summary'!G$66:G$67)*(MONTH($E77)-1)/12)*$H77</f>
        <v>4.3606423187541514</v>
      </c>
      <c r="M77" s="230">
        <f>(SUM('1.  LRAMVA Summary'!H$54:H$65)+SUM('1.  LRAMVA Summary'!H$66:H$67)*(MONTH($E77)-1)/12)*$H77</f>
        <v>-0.32098165792781935</v>
      </c>
      <c r="N77" s="230">
        <f>(SUM('1.  LRAMVA Summary'!I$54:I$65)+SUM('1.  LRAMVA Summary'!I$66:I$67)*(MONTH($E77)-1)/12)*$H77</f>
        <v>-8.8959667067926287E-4</v>
      </c>
      <c r="O77" s="230">
        <f>(SUM('1.  LRAMVA Summary'!J$54:J$65)+SUM('1.  LRAMVA Summary'!J$66:J$67)*(MONTH($E77)-1)/12)*$H77</f>
        <v>-5.698580281183243E-2</v>
      </c>
      <c r="P77" s="230">
        <f>(SUM('1.  LRAMVA Summary'!K$54:K$65)+SUM('1.  LRAMVA Summary'!K$66:K$67)*(MONTH($E77)-1)/12)*$H77</f>
        <v>-1.2681608333333335E-3</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0.25757340580624993</v>
      </c>
    </row>
    <row r="78" spans="2:23" s="9" customFormat="1">
      <c r="B78" s="66"/>
      <c r="E78" s="214">
        <v>42095</v>
      </c>
      <c r="F78" s="214" t="s">
        <v>181</v>
      </c>
      <c r="G78" s="215" t="s">
        <v>66</v>
      </c>
      <c r="H78" s="229">
        <f>C$32/12</f>
        <v>9.1666666666666665E-4</v>
      </c>
      <c r="I78" s="230">
        <f>(SUM('1.  LRAMVA Summary'!D$54:D$65)+SUM('1.  LRAMVA Summary'!D$66:D$67)*(MONTH($E78)-1)/12)*$H78</f>
        <v>-0.9434511496483946</v>
      </c>
      <c r="J78" s="230">
        <f>(SUM('1.  LRAMVA Summary'!E$54:E$65)+SUM('1.  LRAMVA Summary'!E$66:E$67)*(MONTH($E78)-1)/12)*$H78</f>
        <v>8.3974836592732874E-2</v>
      </c>
      <c r="K78" s="230">
        <f>(SUM('1.  LRAMVA Summary'!F$54:F$65)+SUM('1.  LRAMVA Summary'!F$66:F$67)*(MONTH($E78)-1)/12)*$H78</f>
        <v>-3.319338038142972</v>
      </c>
      <c r="L78" s="230">
        <f>(SUM('1.  LRAMVA Summary'!G$54:G$65)+SUM('1.  LRAMVA Summary'!G$66:G$67)*(MONTH($E78)-1)/12)*$H78</f>
        <v>4.894598521050578</v>
      </c>
      <c r="M78" s="230">
        <f>(SUM('1.  LRAMVA Summary'!H$54:H$65)+SUM('1.  LRAMVA Summary'!H$66:H$67)*(MONTH($E78)-1)/12)*$H78</f>
        <v>-0.36028553440877681</v>
      </c>
      <c r="N78" s="230">
        <f>(SUM('1.  LRAMVA Summary'!I$54:I$65)+SUM('1.  LRAMVA Summary'!I$66:I$67)*(MONTH($E78)-1)/12)*$H78</f>
        <v>-9.9852687525223398E-4</v>
      </c>
      <c r="O78" s="230">
        <f>(SUM('1.  LRAMVA Summary'!J$54:J$65)+SUM('1.  LRAMVA Summary'!J$66:J$67)*(MONTH($E78)-1)/12)*$H78</f>
        <v>-6.3963656217362927E-2</v>
      </c>
      <c r="P78" s="230">
        <f>(SUM('1.  LRAMVA Summary'!K$54:K$65)+SUM('1.  LRAMVA Summary'!K$66:K$67)*(MONTH($E78)-1)/12)*$H78</f>
        <v>-1.4234458333333333E-3</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0.28911300651721894</v>
      </c>
    </row>
    <row r="79" spans="2:23" s="9" customFormat="1">
      <c r="B79" s="66"/>
      <c r="E79" s="214">
        <v>42125</v>
      </c>
      <c r="F79" s="214" t="s">
        <v>181</v>
      </c>
      <c r="G79" s="215" t="s">
        <v>66</v>
      </c>
      <c r="H79" s="229">
        <f t="shared" ref="H79:H80" si="21">C$32/12</f>
        <v>9.1666666666666665E-4</v>
      </c>
      <c r="I79" s="230">
        <f>(SUM('1.  LRAMVA Summary'!D$54:D$65)+SUM('1.  LRAMVA Summary'!D$66:D$67)*(MONTH($E79)-1)/12)*$H79</f>
        <v>-1.2579348661978595</v>
      </c>
      <c r="J79" s="230">
        <f>(SUM('1.  LRAMVA Summary'!E$54:E$65)+SUM('1.  LRAMVA Summary'!E$66:E$67)*(MONTH($E79)-1)/12)*$H79</f>
        <v>0.11196644879031051</v>
      </c>
      <c r="K79" s="230">
        <f>(SUM('1.  LRAMVA Summary'!F$54:F$65)+SUM('1.  LRAMVA Summary'!F$66:F$67)*(MONTH($E79)-1)/12)*$H79</f>
        <v>-4.4257840508572954</v>
      </c>
      <c r="L79" s="230">
        <f>(SUM('1.  LRAMVA Summary'!G$54:G$65)+SUM('1.  LRAMVA Summary'!G$66:G$67)*(MONTH($E79)-1)/12)*$H79</f>
        <v>6.526131361400771</v>
      </c>
      <c r="M79" s="230">
        <f>(SUM('1.  LRAMVA Summary'!H$54:H$65)+SUM('1.  LRAMVA Summary'!H$66:H$67)*(MONTH($E79)-1)/12)*$H79</f>
        <v>-0.48038071254503578</v>
      </c>
      <c r="N79" s="230">
        <f>(SUM('1.  LRAMVA Summary'!I$54:I$65)+SUM('1.  LRAMVA Summary'!I$66:I$67)*(MONTH($E79)-1)/12)*$H79</f>
        <v>-1.3313691670029785E-3</v>
      </c>
      <c r="O79" s="230">
        <f>(SUM('1.  LRAMVA Summary'!J$54:J$65)+SUM('1.  LRAMVA Summary'!J$66:J$67)*(MONTH($E79)-1)/12)*$H79</f>
        <v>-8.5284874956483903E-2</v>
      </c>
      <c r="P79" s="230">
        <f>(SUM('1.  LRAMVA Summary'!K$54:K$65)+SUM('1.  LRAMVA Summary'!K$66:K$67)*(MONTH($E79)-1)/12)*$H79</f>
        <v>-1.8979277777777779E-3</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0.38548400868962585</v>
      </c>
    </row>
    <row r="80" spans="2:23" s="9" customFormat="1">
      <c r="B80" s="66"/>
      <c r="E80" s="214">
        <v>42156</v>
      </c>
      <c r="F80" s="214" t="s">
        <v>181</v>
      </c>
      <c r="G80" s="215" t="s">
        <v>66</v>
      </c>
      <c r="H80" s="229">
        <f t="shared" si="21"/>
        <v>9.1666666666666665E-4</v>
      </c>
      <c r="I80" s="230">
        <f>(SUM('1.  LRAMVA Summary'!D$54:D$65)+SUM('1.  LRAMVA Summary'!D$66:D$67)*(MONTH($E80)-1)/12)*$H80</f>
        <v>-1.5724185827473245</v>
      </c>
      <c r="J80" s="230">
        <f>(SUM('1.  LRAMVA Summary'!E$54:E$65)+SUM('1.  LRAMVA Summary'!E$66:E$67)*(MONTH($E80)-1)/12)*$H80</f>
        <v>0.13995806098788813</v>
      </c>
      <c r="K80" s="230">
        <f>(SUM('1.  LRAMVA Summary'!F$54:F$65)+SUM('1.  LRAMVA Summary'!F$66:F$67)*(MONTH($E80)-1)/12)*$H80</f>
        <v>-5.5322300635716202</v>
      </c>
      <c r="L80" s="230">
        <f>(SUM('1.  LRAMVA Summary'!G$54:G$65)+SUM('1.  LRAMVA Summary'!G$66:G$67)*(MONTH($E80)-1)/12)*$H80</f>
        <v>8.1576642017509631</v>
      </c>
      <c r="M80" s="230">
        <f>(SUM('1.  LRAMVA Summary'!H$54:H$65)+SUM('1.  LRAMVA Summary'!H$66:H$67)*(MONTH($E80)-1)/12)*$H80</f>
        <v>-0.6004758906812947</v>
      </c>
      <c r="N80" s="230">
        <f>(SUM('1.  LRAMVA Summary'!I$54:I$65)+SUM('1.  LRAMVA Summary'!I$66:I$67)*(MONTH($E80)-1)/12)*$H80</f>
        <v>-1.6642114587537232E-3</v>
      </c>
      <c r="O80" s="230">
        <f>(SUM('1.  LRAMVA Summary'!J$54:J$65)+SUM('1.  LRAMVA Summary'!J$66:J$67)*(MONTH($E80)-1)/12)*$H80</f>
        <v>-0.10660609369560489</v>
      </c>
      <c r="P80" s="230">
        <f>(SUM('1.  LRAMVA Summary'!K$54:K$65)+SUM('1.  LRAMVA Summary'!K$66:K$67)*(MONTH($E80)-1)/12)*$H80</f>
        <v>-2.3724097222222224E-3</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0.48185501086203092</v>
      </c>
    </row>
    <row r="81" spans="2:23" s="9" customFormat="1">
      <c r="B81" s="66"/>
      <c r="E81" s="214">
        <v>42186</v>
      </c>
      <c r="F81" s="214" t="s">
        <v>181</v>
      </c>
      <c r="G81" s="215" t="s">
        <v>68</v>
      </c>
      <c r="H81" s="229">
        <f>C$33/12</f>
        <v>9.1666666666666665E-4</v>
      </c>
      <c r="I81" s="230">
        <f>(SUM('1.  LRAMVA Summary'!D$54:D$65)+SUM('1.  LRAMVA Summary'!D$66:D$67)*(MONTH($E81)-1)/12)*$H81</f>
        <v>-1.8869022992967892</v>
      </c>
      <c r="J81" s="230">
        <f>(SUM('1.  LRAMVA Summary'!E$54:E$65)+SUM('1.  LRAMVA Summary'!E$66:E$67)*(MONTH($E81)-1)/12)*$H81</f>
        <v>0.16794967318546575</v>
      </c>
      <c r="K81" s="230">
        <f>(SUM('1.  LRAMVA Summary'!F$54:F$65)+SUM('1.  LRAMVA Summary'!F$66:F$67)*(MONTH($E81)-1)/12)*$H81</f>
        <v>-6.638676076285944</v>
      </c>
      <c r="L81" s="230">
        <f>(SUM('1.  LRAMVA Summary'!G$54:G$65)+SUM('1.  LRAMVA Summary'!G$66:G$67)*(MONTH($E81)-1)/12)*$H81</f>
        <v>9.789197042101156</v>
      </c>
      <c r="M81" s="230">
        <f>(SUM('1.  LRAMVA Summary'!H$54:H$65)+SUM('1.  LRAMVA Summary'!H$66:H$67)*(MONTH($E81)-1)/12)*$H81</f>
        <v>-0.72057106881755362</v>
      </c>
      <c r="N81" s="230">
        <f>(SUM('1.  LRAMVA Summary'!I$54:I$65)+SUM('1.  LRAMVA Summary'!I$66:I$67)*(MONTH($E81)-1)/12)*$H81</f>
        <v>-1.997053750504468E-3</v>
      </c>
      <c r="O81" s="230">
        <f>(SUM('1.  LRAMVA Summary'!J$54:J$65)+SUM('1.  LRAMVA Summary'!J$66:J$67)*(MONTH($E81)-1)/12)*$H81</f>
        <v>-0.12792731243472585</v>
      </c>
      <c r="P81" s="230">
        <f>(SUM('1.  LRAMVA Summary'!K$54:K$65)+SUM('1.  LRAMVA Summary'!K$66:K$67)*(MONTH($E81)-1)/12)*$H81</f>
        <v>-2.8468916666666666E-3</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0.57822601303443788</v>
      </c>
    </row>
    <row r="82" spans="2:23" s="9" customFormat="1">
      <c r="B82" s="66"/>
      <c r="E82" s="214">
        <v>42217</v>
      </c>
      <c r="F82" s="214" t="s">
        <v>181</v>
      </c>
      <c r="G82" s="215" t="s">
        <v>68</v>
      </c>
      <c r="H82" s="229">
        <f t="shared" ref="H82:H83" si="22">C$33/12</f>
        <v>9.1666666666666665E-4</v>
      </c>
      <c r="I82" s="230">
        <f>(SUM('1.  LRAMVA Summary'!D$54:D$65)+SUM('1.  LRAMVA Summary'!D$66:D$67)*(MONTH($E82)-1)/12)*$H82</f>
        <v>-2.2013860158462544</v>
      </c>
      <c r="J82" s="230">
        <f>(SUM('1.  LRAMVA Summary'!E$54:E$65)+SUM('1.  LRAMVA Summary'!E$66:E$67)*(MONTH($E82)-1)/12)*$H82</f>
        <v>0.19594128538304337</v>
      </c>
      <c r="K82" s="230">
        <f>(SUM('1.  LRAMVA Summary'!F$54:F$65)+SUM('1.  LRAMVA Summary'!F$66:F$67)*(MONTH($E82)-1)/12)*$H82</f>
        <v>-7.745122089000267</v>
      </c>
      <c r="L82" s="230">
        <f>(SUM('1.  LRAMVA Summary'!G$54:G$65)+SUM('1.  LRAMVA Summary'!G$66:G$67)*(MONTH($E82)-1)/12)*$H82</f>
        <v>11.420729882451349</v>
      </c>
      <c r="M82" s="230">
        <f>(SUM('1.  LRAMVA Summary'!H$54:H$65)+SUM('1.  LRAMVA Summary'!H$66:H$67)*(MONTH($E82)-1)/12)*$H82</f>
        <v>-0.84066624695381253</v>
      </c>
      <c r="N82" s="230">
        <f>(SUM('1.  LRAMVA Summary'!I$54:I$65)+SUM('1.  LRAMVA Summary'!I$66:I$67)*(MONTH($E82)-1)/12)*$H82</f>
        <v>-2.3298960422552125E-3</v>
      </c>
      <c r="O82" s="230">
        <f>(SUM('1.  LRAMVA Summary'!J$54:J$65)+SUM('1.  LRAMVA Summary'!J$66:J$67)*(MONTH($E82)-1)/12)*$H82</f>
        <v>-0.14924853117384684</v>
      </c>
      <c r="P82" s="230">
        <f>(SUM('1.  LRAMVA Summary'!K$54:K$65)+SUM('1.  LRAMVA Summary'!K$66:K$67)*(MONTH($E82)-1)/12)*$H82</f>
        <v>-3.3213736111111117E-3</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0.67459701520684578</v>
      </c>
    </row>
    <row r="83" spans="2:23" s="9" customFormat="1">
      <c r="B83" s="66"/>
      <c r="E83" s="214">
        <v>42248</v>
      </c>
      <c r="F83" s="214" t="s">
        <v>181</v>
      </c>
      <c r="G83" s="215" t="s">
        <v>68</v>
      </c>
      <c r="H83" s="229">
        <f t="shared" si="22"/>
        <v>9.1666666666666665E-4</v>
      </c>
      <c r="I83" s="230">
        <f>(SUM('1.  LRAMVA Summary'!D$54:D$65)+SUM('1.  LRAMVA Summary'!D$66:D$67)*(MONTH($E83)-1)/12)*$H83</f>
        <v>-2.5158697323957191</v>
      </c>
      <c r="J83" s="230">
        <f>(SUM('1.  LRAMVA Summary'!E$54:E$65)+SUM('1.  LRAMVA Summary'!E$66:E$67)*(MONTH($E83)-1)/12)*$H83</f>
        <v>0.22393289758062102</v>
      </c>
      <c r="K83" s="230">
        <f>(SUM('1.  LRAMVA Summary'!F$54:F$65)+SUM('1.  LRAMVA Summary'!F$66:F$67)*(MONTH($E83)-1)/12)*$H83</f>
        <v>-8.8515681017145909</v>
      </c>
      <c r="L83" s="230">
        <f>(SUM('1.  LRAMVA Summary'!G$54:G$65)+SUM('1.  LRAMVA Summary'!G$66:G$67)*(MONTH($E83)-1)/12)*$H83</f>
        <v>13.052262722801542</v>
      </c>
      <c r="M83" s="230">
        <f>(SUM('1.  LRAMVA Summary'!H$54:H$65)+SUM('1.  LRAMVA Summary'!H$66:H$67)*(MONTH($E83)-1)/12)*$H83</f>
        <v>-0.96076142509007156</v>
      </c>
      <c r="N83" s="230">
        <f>(SUM('1.  LRAMVA Summary'!I$54:I$65)+SUM('1.  LRAMVA Summary'!I$66:I$67)*(MONTH($E83)-1)/12)*$H83</f>
        <v>-2.662738334005957E-3</v>
      </c>
      <c r="O83" s="230">
        <f>(SUM('1.  LRAMVA Summary'!J$54:J$65)+SUM('1.  LRAMVA Summary'!J$66:J$67)*(MONTH($E83)-1)/12)*$H83</f>
        <v>-0.17056974991296781</v>
      </c>
      <c r="P83" s="230">
        <f>(SUM('1.  LRAMVA Summary'!K$54:K$65)+SUM('1.  LRAMVA Summary'!K$66:K$67)*(MONTH($E83)-1)/12)*$H83</f>
        <v>-3.7958555555555559E-3</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0.77096801737925169</v>
      </c>
    </row>
    <row r="84" spans="2:23" s="9" customFormat="1">
      <c r="B84" s="66"/>
      <c r="E84" s="214">
        <v>42278</v>
      </c>
      <c r="F84" s="214" t="s">
        <v>181</v>
      </c>
      <c r="G84" s="215" t="s">
        <v>69</v>
      </c>
      <c r="H84" s="229">
        <f>C$34/12</f>
        <v>9.1666666666666665E-4</v>
      </c>
      <c r="I84" s="230">
        <f>(SUM('1.  LRAMVA Summary'!D$54:D$65)+SUM('1.  LRAMVA Summary'!D$66:D$67)*(MONTH($E84)-1)/12)*$H84</f>
        <v>-2.8303534489451838</v>
      </c>
      <c r="J84" s="230">
        <f>(SUM('1.  LRAMVA Summary'!E$54:E$65)+SUM('1.  LRAMVA Summary'!E$66:E$67)*(MONTH($E84)-1)/12)*$H84</f>
        <v>0.25192450977819864</v>
      </c>
      <c r="K84" s="230">
        <f>(SUM('1.  LRAMVA Summary'!F$54:F$65)+SUM('1.  LRAMVA Summary'!F$66:F$67)*(MONTH($E84)-1)/12)*$H84</f>
        <v>-9.9580141144289147</v>
      </c>
      <c r="L84" s="230">
        <f>(SUM('1.  LRAMVA Summary'!G$54:G$65)+SUM('1.  LRAMVA Summary'!G$66:G$67)*(MONTH($E84)-1)/12)*$H84</f>
        <v>14.683795563151733</v>
      </c>
      <c r="M84" s="230">
        <f>(SUM('1.  LRAMVA Summary'!H$54:H$65)+SUM('1.  LRAMVA Summary'!H$66:H$67)*(MONTH($E84)-1)/12)*$H84</f>
        <v>-1.0808566032263305</v>
      </c>
      <c r="N84" s="230">
        <f>(SUM('1.  LRAMVA Summary'!I$54:I$65)+SUM('1.  LRAMVA Summary'!I$66:I$67)*(MONTH($E84)-1)/12)*$H84</f>
        <v>-2.995580625756702E-3</v>
      </c>
      <c r="O84" s="230">
        <f>(SUM('1.  LRAMVA Summary'!J$54:J$65)+SUM('1.  LRAMVA Summary'!J$66:J$67)*(MONTH($E84)-1)/12)*$H84</f>
        <v>-0.19189096865208879</v>
      </c>
      <c r="P84" s="230">
        <f>(SUM('1.  LRAMVA Summary'!K$54:K$65)+SUM('1.  LRAMVA Summary'!K$66:K$67)*(MONTH($E84)-1)/12)*$H84</f>
        <v>-4.2703374999999997E-3</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0.86733901955165771</v>
      </c>
    </row>
    <row r="85" spans="2:23" s="9" customFormat="1">
      <c r="B85" s="66"/>
      <c r="E85" s="214">
        <v>42309</v>
      </c>
      <c r="F85" s="214" t="s">
        <v>181</v>
      </c>
      <c r="G85" s="215" t="s">
        <v>69</v>
      </c>
      <c r="H85" s="229">
        <f t="shared" ref="H85:H86" si="23">C$34/12</f>
        <v>9.1666666666666665E-4</v>
      </c>
      <c r="I85" s="230">
        <f>(SUM('1.  LRAMVA Summary'!D$54:D$65)+SUM('1.  LRAMVA Summary'!D$66:D$67)*(MONTH($E85)-1)/12)*$H85</f>
        <v>-3.144837165494649</v>
      </c>
      <c r="J85" s="230">
        <f>(SUM('1.  LRAMVA Summary'!E$54:E$65)+SUM('1.  LRAMVA Summary'!E$66:E$67)*(MONTH($E85)-1)/12)*$H85</f>
        <v>0.27991612197577626</v>
      </c>
      <c r="K85" s="230">
        <f>(SUM('1.  LRAMVA Summary'!F$54:F$65)+SUM('1.  LRAMVA Summary'!F$66:F$67)*(MONTH($E85)-1)/12)*$H85</f>
        <v>-11.06446012714324</v>
      </c>
      <c r="L85" s="230">
        <f>(SUM('1.  LRAMVA Summary'!G$54:G$65)+SUM('1.  LRAMVA Summary'!G$66:G$67)*(MONTH($E85)-1)/12)*$H85</f>
        <v>16.315328403501926</v>
      </c>
      <c r="M85" s="230">
        <f>(SUM('1.  LRAMVA Summary'!H$54:H$65)+SUM('1.  LRAMVA Summary'!H$66:H$67)*(MONTH($E85)-1)/12)*$H85</f>
        <v>-1.2009517813625894</v>
      </c>
      <c r="N85" s="230">
        <f>(SUM('1.  LRAMVA Summary'!I$54:I$65)+SUM('1.  LRAMVA Summary'!I$66:I$67)*(MONTH($E85)-1)/12)*$H85</f>
        <v>-3.3284229175074465E-3</v>
      </c>
      <c r="O85" s="230">
        <f>(SUM('1.  LRAMVA Summary'!J$54:J$65)+SUM('1.  LRAMVA Summary'!J$66:J$67)*(MONTH($E85)-1)/12)*$H85</f>
        <v>-0.21321218739120978</v>
      </c>
      <c r="P85" s="230">
        <f>(SUM('1.  LRAMVA Summary'!K$54:K$65)+SUM('1.  LRAMVA Summary'!K$66:K$67)*(MONTH($E85)-1)/12)*$H85</f>
        <v>-4.7448194444444447E-3</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0.96371002172406184</v>
      </c>
    </row>
    <row r="86" spans="2:23" s="9" customFormat="1">
      <c r="B86" s="66"/>
      <c r="E86" s="214">
        <v>42339</v>
      </c>
      <c r="F86" s="214" t="s">
        <v>181</v>
      </c>
      <c r="G86" s="215" t="s">
        <v>69</v>
      </c>
      <c r="H86" s="229">
        <f t="shared" si="23"/>
        <v>9.1666666666666665E-4</v>
      </c>
      <c r="I86" s="230">
        <f>(SUM('1.  LRAMVA Summary'!D$54:D$65)+SUM('1.  LRAMVA Summary'!D$66:D$67)*(MONTH($E86)-1)/12)*$H86</f>
        <v>-3.4593208820441137</v>
      </c>
      <c r="J86" s="230">
        <f>(SUM('1.  LRAMVA Summary'!E$54:E$65)+SUM('1.  LRAMVA Summary'!E$66:E$67)*(MONTH($E86)-1)/12)*$H86</f>
        <v>0.30790773417335388</v>
      </c>
      <c r="K86" s="230">
        <f>(SUM('1.  LRAMVA Summary'!F$54:F$65)+SUM('1.  LRAMVA Summary'!F$66:F$67)*(MONTH($E86)-1)/12)*$H86</f>
        <v>-12.170906139857564</v>
      </c>
      <c r="L86" s="230">
        <f>(SUM('1.  LRAMVA Summary'!G$54:G$65)+SUM('1.  LRAMVA Summary'!G$66:G$67)*(MONTH($E86)-1)/12)*$H86</f>
        <v>17.946861243852119</v>
      </c>
      <c r="M86" s="230">
        <f>(SUM('1.  LRAMVA Summary'!H$54:H$65)+SUM('1.  LRAMVA Summary'!H$66:H$67)*(MONTH($E86)-1)/12)*$H86</f>
        <v>-1.3210469594988483</v>
      </c>
      <c r="N86" s="230">
        <f>(SUM('1.  LRAMVA Summary'!I$54:I$65)+SUM('1.  LRAMVA Summary'!I$66:I$67)*(MONTH($E86)-1)/12)*$H86</f>
        <v>-3.661265209258191E-3</v>
      </c>
      <c r="O86" s="230">
        <f>(SUM('1.  LRAMVA Summary'!J$54:J$65)+SUM('1.  LRAMVA Summary'!J$66:J$67)*(MONTH($E86)-1)/12)*$H86</f>
        <v>-0.23453340613033075</v>
      </c>
      <c r="P86" s="230">
        <f>(SUM('1.  LRAMVA Summary'!K$54:K$65)+SUM('1.  LRAMVA Summary'!K$66:K$67)*(MONTH($E86)-1)/12)*$H86</f>
        <v>-5.2193013888888889E-3</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1.0600810238964697</v>
      </c>
    </row>
    <row r="87" spans="2:23" s="9" customFormat="1" ht="15" thickBot="1">
      <c r="B87" s="66"/>
      <c r="E87" s="216" t="s">
        <v>466</v>
      </c>
      <c r="F87" s="216"/>
      <c r="G87" s="217"/>
      <c r="H87" s="218"/>
      <c r="I87" s="219">
        <f>SUM(I74:I86)</f>
        <v>-21.073267951691872</v>
      </c>
      <c r="J87" s="219">
        <f>SUM(J74:J86)</f>
        <v>1.8756924864394968</v>
      </c>
      <c r="K87" s="219">
        <f t="shared" ref="K87:O87" si="24">SUM(K74:K86)</f>
        <v>-74.141941451975285</v>
      </c>
      <c r="L87" s="219">
        <f t="shared" si="24"/>
        <v>109.32753242019336</v>
      </c>
      <c r="M87" s="219">
        <f t="shared" si="24"/>
        <v>-8.0474687094760426</v>
      </c>
      <c r="N87" s="219">
        <f t="shared" si="24"/>
        <v>-2.2303459386315807E-2</v>
      </c>
      <c r="O87" s="219">
        <f t="shared" si="24"/>
        <v>-1.4287154847823702</v>
      </c>
      <c r="P87" s="219">
        <f t="shared" ref="P87:V87" si="25">SUM(P74:P86)</f>
        <v>-3.1794603749999997E-2</v>
      </c>
      <c r="Q87" s="219">
        <f t="shared" si="25"/>
        <v>0</v>
      </c>
      <c r="R87" s="219">
        <f t="shared" si="25"/>
        <v>0</v>
      </c>
      <c r="S87" s="219">
        <f t="shared" si="25"/>
        <v>0</v>
      </c>
      <c r="T87" s="219">
        <f t="shared" si="25"/>
        <v>0</v>
      </c>
      <c r="U87" s="219">
        <f t="shared" si="25"/>
        <v>0</v>
      </c>
      <c r="V87" s="219">
        <f t="shared" si="25"/>
        <v>0</v>
      </c>
      <c r="W87" s="219">
        <f>SUM(W74:W86)</f>
        <v>6.4577332455709753</v>
      </c>
    </row>
    <row r="88" spans="2:23" s="9" customFormat="1" ht="1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-21.073267951691872</v>
      </c>
      <c r="J89" s="228">
        <f t="shared" ref="J89" si="26">J87+J88</f>
        <v>1.8756924864394968</v>
      </c>
      <c r="K89" s="228">
        <f t="shared" ref="K89" si="27">K87+K88</f>
        <v>-74.141941451975285</v>
      </c>
      <c r="L89" s="228">
        <f t="shared" ref="L89" si="28">L87+L88</f>
        <v>109.32753242019336</v>
      </c>
      <c r="M89" s="228">
        <f t="shared" ref="M89" si="29">M87+M88</f>
        <v>-8.0474687094760426</v>
      </c>
      <c r="N89" s="228">
        <f t="shared" ref="N89" si="30">N87+N88</f>
        <v>-2.2303459386315807E-2</v>
      </c>
      <c r="O89" s="228">
        <f t="shared" ref="O89:U89" si="31">O87+O88</f>
        <v>-1.4287154847823702</v>
      </c>
      <c r="P89" s="228">
        <f t="shared" si="31"/>
        <v>-3.1794603749999997E-2</v>
      </c>
      <c r="Q89" s="228">
        <f t="shared" si="31"/>
        <v>0</v>
      </c>
      <c r="R89" s="228">
        <f t="shared" si="31"/>
        <v>0</v>
      </c>
      <c r="S89" s="228">
        <f t="shared" si="31"/>
        <v>0</v>
      </c>
      <c r="T89" s="228">
        <f t="shared" si="31"/>
        <v>0</v>
      </c>
      <c r="U89" s="228">
        <f t="shared" si="31"/>
        <v>0</v>
      </c>
      <c r="V89" s="228">
        <f t="shared" ref="V89" si="32">V87+V88</f>
        <v>0</v>
      </c>
      <c r="W89" s="228">
        <f t="shared" ref="W89" si="33">W87+W88</f>
        <v>6.4577332455709753</v>
      </c>
    </row>
    <row r="90" spans="2:23" s="9" customFormat="1">
      <c r="B90" s="66"/>
      <c r="E90" s="214">
        <v>42370</v>
      </c>
      <c r="F90" s="214" t="s">
        <v>183</v>
      </c>
      <c r="G90" s="215" t="s">
        <v>65</v>
      </c>
      <c r="H90" s="229">
        <f>$C$35/12</f>
        <v>9.1666666666666665E-4</v>
      </c>
      <c r="I90" s="230">
        <f>(SUM('1.  LRAMVA Summary'!D$54:D$68)+SUM('1.  LRAMVA Summary'!D$69:D$70)*(MONTH($E90)-1)/12)*$H90</f>
        <v>-3.7738045985935784</v>
      </c>
      <c r="J90" s="230">
        <f>(SUM('1.  LRAMVA Summary'!E$54:E$68)+SUM('1.  LRAMVA Summary'!E$69:E$70)*(MONTH($E90)-1)/12)*$H90</f>
        <v>0.3358993463709315</v>
      </c>
      <c r="K90" s="230">
        <f>(SUM('1.  LRAMVA Summary'!F$54:F$68)+SUM('1.  LRAMVA Summary'!F$69:F$70)*(MONTH($E90)-1)/12)*$H90</f>
        <v>-13.277352152571888</v>
      </c>
      <c r="L90" s="230">
        <f>(SUM('1.  LRAMVA Summary'!G$54:G$68)+SUM('1.  LRAMVA Summary'!G$69:G$70)*(MONTH($E90)-1)/12)*$H90</f>
        <v>19.578394084202312</v>
      </c>
      <c r="M90" s="230">
        <f>(SUM('1.  LRAMVA Summary'!H$54:H$68)+SUM('1.  LRAMVA Summary'!H$69:H$70)*(MONTH($E90)-1)/12)*$H90</f>
        <v>-1.4411421376351072</v>
      </c>
      <c r="N90" s="230">
        <f>(SUM('1.  LRAMVA Summary'!I$54:I$68)+SUM('1.  LRAMVA Summary'!I$69:I$70)*(MONTH($E90)-1)/12)*$H90</f>
        <v>-3.9941075010089359E-3</v>
      </c>
      <c r="O90" s="230">
        <f>(SUM('1.  LRAMVA Summary'!J$54:J$68)+SUM('1.  LRAMVA Summary'!J$69:J$70)*(MONTH($E90)-1)/12)*$H90</f>
        <v>-0.25585462486945171</v>
      </c>
      <c r="P90" s="230">
        <f>(SUM('1.  LRAMVA Summary'!K$54:K$68)+SUM('1.  LRAMVA Summary'!K$69:K$70)*(MONTH($E90)-1)/12)*$H90</f>
        <v>-5.6937833333333332E-3</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1.1564520260688758</v>
      </c>
    </row>
    <row r="91" spans="2:23" s="9" customFormat="1">
      <c r="B91" s="66"/>
      <c r="E91" s="214">
        <v>42401</v>
      </c>
      <c r="F91" s="214" t="s">
        <v>183</v>
      </c>
      <c r="G91" s="215" t="s">
        <v>65</v>
      </c>
      <c r="H91" s="229">
        <f t="shared" ref="H91:H92" si="34">$C$35/12</f>
        <v>9.1666666666666665E-4</v>
      </c>
      <c r="I91" s="230">
        <f>(SUM('1.  LRAMVA Summary'!D$54:D$68)+SUM('1.  LRAMVA Summary'!D$69:D$70)*(MONTH($E91)-1)/12)*$H91</f>
        <v>5.9612376701562235</v>
      </c>
      <c r="J91" s="230">
        <f>(SUM('1.  LRAMVA Summary'!E$54:E$68)+SUM('1.  LRAMVA Summary'!E$69:E$70)*(MONTH($E91)-1)/12)*$H91</f>
        <v>3.2659118214000502</v>
      </c>
      <c r="K91" s="230">
        <f>(SUM('1.  LRAMVA Summary'!F$54:F$68)+SUM('1.  LRAMVA Summary'!F$69:F$70)*(MONTH($E91)-1)/12)*$H91</f>
        <v>-13.631413526523389</v>
      </c>
      <c r="L91" s="230">
        <f>(SUM('1.  LRAMVA Summary'!G$54:G$68)+SUM('1.  LRAMVA Summary'!G$69:G$70)*(MONTH($E91)-1)/12)*$H91</f>
        <v>21.265429873599093</v>
      </c>
      <c r="M91" s="230">
        <f>(SUM('1.  LRAMVA Summary'!H$54:H$68)+SUM('1.  LRAMVA Summary'!H$69:H$70)*(MONTH($E91)-1)/12)*$H91</f>
        <v>-1.5620269923116417</v>
      </c>
      <c r="N91" s="230">
        <f>(SUM('1.  LRAMVA Summary'!I$54:I$68)+SUM('1.  LRAMVA Summary'!I$69:I$70)*(MONTH($E91)-1)/12)*$H91</f>
        <v>-4.5136438695088949E-3</v>
      </c>
      <c r="O91" s="230">
        <f>(SUM('1.  LRAMVA Summary'!J$54:J$68)+SUM('1.  LRAMVA Summary'!J$69:J$70)*(MONTH($E91)-1)/12)*$H91</f>
        <v>-0.28376033763094832</v>
      </c>
      <c r="P91" s="230">
        <f>(SUM('1.  LRAMVA Summary'!K$54:K$68)+SUM('1.  LRAMVA Summary'!K$69:K$70)*(MONTH($E91)-1)/12)*$H91</f>
        <v>-6.2673722222222226E-3</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15.004597492597656</v>
      </c>
    </row>
    <row r="92" spans="2:23" s="9" customFormat="1" ht="14.25" customHeight="1">
      <c r="B92" s="66"/>
      <c r="E92" s="214">
        <v>42430</v>
      </c>
      <c r="F92" s="214" t="s">
        <v>183</v>
      </c>
      <c r="G92" s="215" t="s">
        <v>65</v>
      </c>
      <c r="H92" s="229">
        <f t="shared" si="34"/>
        <v>9.1666666666666665E-4</v>
      </c>
      <c r="I92" s="230">
        <f>(SUM('1.  LRAMVA Summary'!D$54:D$68)+SUM('1.  LRAMVA Summary'!D$69:D$70)*(MONTH($E92)-1)/12)*$H92</f>
        <v>15.696279938906025</v>
      </c>
      <c r="J92" s="230">
        <f>(SUM('1.  LRAMVA Summary'!E$54:E$68)+SUM('1.  LRAMVA Summary'!E$69:E$70)*(MONTH($E92)-1)/12)*$H92</f>
        <v>6.195924296429169</v>
      </c>
      <c r="K92" s="230">
        <f>(SUM('1.  LRAMVA Summary'!F$54:F$68)+SUM('1.  LRAMVA Summary'!F$69:F$70)*(MONTH($E92)-1)/12)*$H92</f>
        <v>-13.985474900474891</v>
      </c>
      <c r="L92" s="230">
        <f>(SUM('1.  LRAMVA Summary'!G$54:G$68)+SUM('1.  LRAMVA Summary'!G$69:G$70)*(MONTH($E92)-1)/12)*$H92</f>
        <v>22.952465662995881</v>
      </c>
      <c r="M92" s="230">
        <f>(SUM('1.  LRAMVA Summary'!H$54:H$68)+SUM('1.  LRAMVA Summary'!H$69:H$70)*(MONTH($E92)-1)/12)*$H92</f>
        <v>-1.6829118469881761</v>
      </c>
      <c r="N92" s="230">
        <f>(SUM('1.  LRAMVA Summary'!I$54:I$68)+SUM('1.  LRAMVA Summary'!I$69:I$70)*(MONTH($E92)-1)/12)*$H92</f>
        <v>-5.0331802380088548E-3</v>
      </c>
      <c r="O92" s="230">
        <f>(SUM('1.  LRAMVA Summary'!J$54:J$68)+SUM('1.  LRAMVA Summary'!J$69:J$70)*(MONTH($E92)-1)/12)*$H92</f>
        <v>-0.31166605039244483</v>
      </c>
      <c r="P92" s="230">
        <f>(SUM('1.  LRAMVA Summary'!K$54:K$68)+SUM('1.  LRAMVA Summary'!K$69:K$70)*(MONTH($E92)-1)/12)*$H92</f>
        <v>-6.8409611111111112E-3</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28.852742959126438</v>
      </c>
    </row>
    <row r="93" spans="2:23" s="8" customFormat="1">
      <c r="B93" s="239"/>
      <c r="D93" s="9"/>
      <c r="E93" s="214">
        <v>42461</v>
      </c>
      <c r="F93" s="214" t="s">
        <v>183</v>
      </c>
      <c r="G93" s="215" t="s">
        <v>66</v>
      </c>
      <c r="H93" s="229">
        <f>$C$36/12</f>
        <v>9.1666666666666665E-4</v>
      </c>
      <c r="I93" s="230">
        <f>(SUM('1.  LRAMVA Summary'!D$54:D$68)+SUM('1.  LRAMVA Summary'!D$69:D$70)*(MONTH($E93)-1)/12)*$H93</f>
        <v>25.431322207655825</v>
      </c>
      <c r="J93" s="230">
        <f>(SUM('1.  LRAMVA Summary'!E$54:E$68)+SUM('1.  LRAMVA Summary'!E$69:E$70)*(MONTH($E93)-1)/12)*$H93</f>
        <v>9.1259367714582869</v>
      </c>
      <c r="K93" s="230">
        <f>(SUM('1.  LRAMVA Summary'!F$54:F$68)+SUM('1.  LRAMVA Summary'!F$69:F$70)*(MONTH($E93)-1)/12)*$H93</f>
        <v>-14.339536274426392</v>
      </c>
      <c r="L93" s="230">
        <f>(SUM('1.  LRAMVA Summary'!G$54:G$68)+SUM('1.  LRAMVA Summary'!G$69:G$70)*(MONTH($E93)-1)/12)*$H93</f>
        <v>24.639501452392665</v>
      </c>
      <c r="M93" s="230">
        <f>(SUM('1.  LRAMVA Summary'!H$54:H$68)+SUM('1.  LRAMVA Summary'!H$69:H$70)*(MONTH($E93)-1)/12)*$H93</f>
        <v>-1.8037967016647105</v>
      </c>
      <c r="N93" s="230">
        <f>(SUM('1.  LRAMVA Summary'!I$54:I$68)+SUM('1.  LRAMVA Summary'!I$69:I$70)*(MONTH($E93)-1)/12)*$H93</f>
        <v>-5.5527166065088146E-3</v>
      </c>
      <c r="O93" s="230">
        <f>(SUM('1.  LRAMVA Summary'!J$54:J$68)+SUM('1.  LRAMVA Summary'!J$69:J$70)*(MONTH($E93)-1)/12)*$H93</f>
        <v>-0.33957176315394144</v>
      </c>
      <c r="P93" s="230">
        <f>(SUM('1.  LRAMVA Summary'!K$54:K$68)+SUM('1.  LRAMVA Summary'!K$69:K$70)*(MONTH($E93)-1)/12)*$H93</f>
        <v>-7.4145499999999998E-3</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42.700888425655222</v>
      </c>
    </row>
    <row r="94" spans="2:23" s="9" customFormat="1">
      <c r="B94" s="66"/>
      <c r="E94" s="214">
        <v>42491</v>
      </c>
      <c r="F94" s="214" t="s">
        <v>183</v>
      </c>
      <c r="G94" s="215" t="s">
        <v>66</v>
      </c>
      <c r="H94" s="229">
        <f t="shared" ref="H94:H95" si="36">$C$36/12</f>
        <v>9.1666666666666665E-4</v>
      </c>
      <c r="I94" s="230">
        <f>(SUM('1.  LRAMVA Summary'!D$54:D$68)+SUM('1.  LRAMVA Summary'!D$69:D$70)*(MONTH($E94)-1)/12)*$H94</f>
        <v>35.166364476405633</v>
      </c>
      <c r="J94" s="230">
        <f>(SUM('1.  LRAMVA Summary'!E$54:E$68)+SUM('1.  LRAMVA Summary'!E$69:E$70)*(MONTH($E94)-1)/12)*$H94</f>
        <v>12.055949246487407</v>
      </c>
      <c r="K94" s="230">
        <f>(SUM('1.  LRAMVA Summary'!F$54:F$68)+SUM('1.  LRAMVA Summary'!F$69:F$70)*(MONTH($E94)-1)/12)*$H94</f>
        <v>-14.693597648377894</v>
      </c>
      <c r="L94" s="230">
        <f>(SUM('1.  LRAMVA Summary'!G$54:G$68)+SUM('1.  LRAMVA Summary'!G$69:G$70)*(MONTH($E94)-1)/12)*$H94</f>
        <v>26.326537241789445</v>
      </c>
      <c r="M94" s="230">
        <f>(SUM('1.  LRAMVA Summary'!H$54:H$68)+SUM('1.  LRAMVA Summary'!H$69:H$70)*(MONTH($E94)-1)/12)*$H94</f>
        <v>-1.9246815563412447</v>
      </c>
      <c r="N94" s="230">
        <f>(SUM('1.  LRAMVA Summary'!I$54:I$68)+SUM('1.  LRAMVA Summary'!I$69:I$70)*(MONTH($E94)-1)/12)*$H94</f>
        <v>-6.0722529750087744E-3</v>
      </c>
      <c r="O94" s="230">
        <f>(SUM('1.  LRAMVA Summary'!J$54:J$68)+SUM('1.  LRAMVA Summary'!J$69:J$70)*(MONTH($E94)-1)/12)*$H94</f>
        <v>-0.36747747591543806</v>
      </c>
      <c r="P94" s="230">
        <f>(SUM('1.  LRAMVA Summary'!K$54:K$68)+SUM('1.  LRAMVA Summary'!K$69:K$70)*(MONTH($E94)-1)/12)*$H94</f>
        <v>-7.9881388888888901E-3</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56.549033892184006</v>
      </c>
    </row>
    <row r="95" spans="2:23" s="238" customFormat="1">
      <c r="B95" s="237"/>
      <c r="D95" s="9"/>
      <c r="E95" s="214">
        <v>42522</v>
      </c>
      <c r="F95" s="214" t="s">
        <v>183</v>
      </c>
      <c r="G95" s="215" t="s">
        <v>66</v>
      </c>
      <c r="H95" s="229">
        <f t="shared" si="36"/>
        <v>9.1666666666666665E-4</v>
      </c>
      <c r="I95" s="230">
        <f>(SUM('1.  LRAMVA Summary'!D$54:D$68)+SUM('1.  LRAMVA Summary'!D$69:D$70)*(MONTH($E95)-1)/12)*$H95</f>
        <v>44.901406745155434</v>
      </c>
      <c r="J95" s="230">
        <f>(SUM('1.  LRAMVA Summary'!E$54:E$68)+SUM('1.  LRAMVA Summary'!E$69:E$70)*(MONTH($E95)-1)/12)*$H95</f>
        <v>14.985961721516524</v>
      </c>
      <c r="K95" s="230">
        <f>(SUM('1.  LRAMVA Summary'!F$54:F$68)+SUM('1.  LRAMVA Summary'!F$69:F$70)*(MONTH($E95)-1)/12)*$H95</f>
        <v>-15.047659022329395</v>
      </c>
      <c r="L95" s="230">
        <f>(SUM('1.  LRAMVA Summary'!G$54:G$68)+SUM('1.  LRAMVA Summary'!G$69:G$70)*(MONTH($E95)-1)/12)*$H95</f>
        <v>28.013573031186226</v>
      </c>
      <c r="M95" s="230">
        <f>(SUM('1.  LRAMVA Summary'!H$54:H$68)+SUM('1.  LRAMVA Summary'!H$69:H$70)*(MONTH($E95)-1)/12)*$H95</f>
        <v>-2.0455664110177789</v>
      </c>
      <c r="N95" s="230">
        <f>(SUM('1.  LRAMVA Summary'!I$54:I$68)+SUM('1.  LRAMVA Summary'!I$69:I$70)*(MONTH($E95)-1)/12)*$H95</f>
        <v>-6.5917893435087326E-3</v>
      </c>
      <c r="O95" s="230">
        <f>(SUM('1.  LRAMVA Summary'!J$54:J$68)+SUM('1.  LRAMVA Summary'!J$69:J$70)*(MONTH($E95)-1)/12)*$H95</f>
        <v>-0.39538318867693456</v>
      </c>
      <c r="P95" s="230">
        <f>(SUM('1.  LRAMVA Summary'!K$54:K$68)+SUM('1.  LRAMVA Summary'!K$69:K$70)*(MONTH($E95)-1)/12)*$H95</f>
        <v>-8.5617277777777778E-3</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70.397179358712805</v>
      </c>
    </row>
    <row r="96" spans="2:23" s="9" customFormat="1">
      <c r="B96" s="66"/>
      <c r="E96" s="214">
        <v>42552</v>
      </c>
      <c r="F96" s="214" t="s">
        <v>183</v>
      </c>
      <c r="G96" s="215" t="s">
        <v>68</v>
      </c>
      <c r="H96" s="229">
        <f>$C$37/12</f>
        <v>9.1666666666666665E-4</v>
      </c>
      <c r="I96" s="230">
        <f>(SUM('1.  LRAMVA Summary'!D$54:D$68)+SUM('1.  LRAMVA Summary'!D$69:D$70)*(MONTH($E96)-1)/12)*$H96</f>
        <v>54.636449013905228</v>
      </c>
      <c r="J96" s="230">
        <f>(SUM('1.  LRAMVA Summary'!E$54:E$68)+SUM('1.  LRAMVA Summary'!E$69:E$70)*(MONTH($E96)-1)/12)*$H96</f>
        <v>17.915974196545644</v>
      </c>
      <c r="K96" s="230">
        <f>(SUM('1.  LRAMVA Summary'!F$54:F$68)+SUM('1.  LRAMVA Summary'!F$69:F$70)*(MONTH($E96)-1)/12)*$H96</f>
        <v>-15.401720396280897</v>
      </c>
      <c r="L96" s="230">
        <f>(SUM('1.  LRAMVA Summary'!G$54:G$68)+SUM('1.  LRAMVA Summary'!G$69:G$70)*(MONTH($E96)-1)/12)*$H96</f>
        <v>29.70060882058301</v>
      </c>
      <c r="M96" s="230">
        <f>(SUM('1.  LRAMVA Summary'!H$54:H$68)+SUM('1.  LRAMVA Summary'!H$69:H$70)*(MONTH($E96)-1)/12)*$H96</f>
        <v>-2.1664512656943136</v>
      </c>
      <c r="N96" s="230">
        <f>(SUM('1.  LRAMVA Summary'!I$54:I$68)+SUM('1.  LRAMVA Summary'!I$69:I$70)*(MONTH($E96)-1)/12)*$H96</f>
        <v>-7.1113257120086924E-3</v>
      </c>
      <c r="O96" s="230">
        <f>(SUM('1.  LRAMVA Summary'!J$54:J$68)+SUM('1.  LRAMVA Summary'!J$69:J$70)*(MONTH($E96)-1)/12)*$H96</f>
        <v>-0.42328890143843118</v>
      </c>
      <c r="P96" s="230">
        <f>(SUM('1.  LRAMVA Summary'!K$54:K$68)+SUM('1.  LRAMVA Summary'!K$69:K$70)*(MONTH($E96)-1)/12)*$H96</f>
        <v>-9.1353166666666655E-3</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84.245324825241568</v>
      </c>
    </row>
    <row r="97" spans="2:23" s="9" customFormat="1">
      <c r="B97" s="66"/>
      <c r="E97" s="214">
        <v>42583</v>
      </c>
      <c r="F97" s="214" t="s">
        <v>183</v>
      </c>
      <c r="G97" s="215" t="s">
        <v>68</v>
      </c>
      <c r="H97" s="229">
        <f t="shared" ref="H97:H98" si="37">$C$37/12</f>
        <v>9.1666666666666665E-4</v>
      </c>
      <c r="I97" s="230">
        <f>(SUM('1.  LRAMVA Summary'!D$54:D$68)+SUM('1.  LRAMVA Summary'!D$69:D$70)*(MONTH($E97)-1)/12)*$H97</f>
        <v>64.371491282655043</v>
      </c>
      <c r="J97" s="230">
        <f>(SUM('1.  LRAMVA Summary'!E$54:E$68)+SUM('1.  LRAMVA Summary'!E$69:E$70)*(MONTH($E97)-1)/12)*$H97</f>
        <v>20.84598667157476</v>
      </c>
      <c r="K97" s="230">
        <f>(SUM('1.  LRAMVA Summary'!F$54:F$68)+SUM('1.  LRAMVA Summary'!F$69:F$70)*(MONTH($E97)-1)/12)*$H97</f>
        <v>-15.755781770232399</v>
      </c>
      <c r="L97" s="230">
        <f>(SUM('1.  LRAMVA Summary'!G$54:G$68)+SUM('1.  LRAMVA Summary'!G$69:G$70)*(MONTH($E97)-1)/12)*$H97</f>
        <v>31.387644609979798</v>
      </c>
      <c r="M97" s="230">
        <f>(SUM('1.  LRAMVA Summary'!H$54:H$68)+SUM('1.  LRAMVA Summary'!H$69:H$70)*(MONTH($E97)-1)/12)*$H97</f>
        <v>-2.2873361203708482</v>
      </c>
      <c r="N97" s="230">
        <f>(SUM('1.  LRAMVA Summary'!I$54:I$68)+SUM('1.  LRAMVA Summary'!I$69:I$70)*(MONTH($E97)-1)/12)*$H97</f>
        <v>-7.6308620805086531E-3</v>
      </c>
      <c r="O97" s="230">
        <f>(SUM('1.  LRAMVA Summary'!J$54:J$68)+SUM('1.  LRAMVA Summary'!J$69:J$70)*(MONTH($E97)-1)/12)*$H97</f>
        <v>-0.45119461419992773</v>
      </c>
      <c r="P97" s="230">
        <f>(SUM('1.  LRAMVA Summary'!K$54:K$68)+SUM('1.  LRAMVA Summary'!K$69:K$70)*(MONTH($E97)-1)/12)*$H97</f>
        <v>-9.7089055555555567E-3</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98.093470291770359</v>
      </c>
    </row>
    <row r="98" spans="2:23" s="9" customFormat="1">
      <c r="B98" s="66"/>
      <c r="E98" s="214">
        <v>42614</v>
      </c>
      <c r="F98" s="214" t="s">
        <v>183</v>
      </c>
      <c r="G98" s="215" t="s">
        <v>68</v>
      </c>
      <c r="H98" s="229">
        <f t="shared" si="37"/>
        <v>9.1666666666666665E-4</v>
      </c>
      <c r="I98" s="230">
        <f>(SUM('1.  LRAMVA Summary'!D$54:D$68)+SUM('1.  LRAMVA Summary'!D$69:D$70)*(MONTH($E98)-1)/12)*$H98</f>
        <v>74.106533551404837</v>
      </c>
      <c r="J98" s="230">
        <f>(SUM('1.  LRAMVA Summary'!E$54:E$68)+SUM('1.  LRAMVA Summary'!E$69:E$70)*(MONTH($E98)-1)/12)*$H98</f>
        <v>23.775999146603883</v>
      </c>
      <c r="K98" s="230">
        <f>(SUM('1.  LRAMVA Summary'!F$54:F$68)+SUM('1.  LRAMVA Summary'!F$69:F$70)*(MONTH($E98)-1)/12)*$H98</f>
        <v>-16.109843144183898</v>
      </c>
      <c r="L98" s="230">
        <f>(SUM('1.  LRAMVA Summary'!G$54:G$68)+SUM('1.  LRAMVA Summary'!G$69:G$70)*(MONTH($E98)-1)/12)*$H98</f>
        <v>33.074680399376575</v>
      </c>
      <c r="M98" s="230">
        <f>(SUM('1.  LRAMVA Summary'!H$54:H$68)+SUM('1.  LRAMVA Summary'!H$69:H$70)*(MONTH($E98)-1)/12)*$H98</f>
        <v>-2.408220975047382</v>
      </c>
      <c r="N98" s="230">
        <f>(SUM('1.  LRAMVA Summary'!I$54:I$68)+SUM('1.  LRAMVA Summary'!I$69:I$70)*(MONTH($E98)-1)/12)*$H98</f>
        <v>-8.1503984490086129E-3</v>
      </c>
      <c r="O98" s="230">
        <f>(SUM('1.  LRAMVA Summary'!J$54:J$68)+SUM('1.  LRAMVA Summary'!J$69:J$70)*(MONTH($E98)-1)/12)*$H98</f>
        <v>-0.47910032696142435</v>
      </c>
      <c r="P98" s="230">
        <f>(SUM('1.  LRAMVA Summary'!K$54:K$68)+SUM('1.  LRAMVA Summary'!K$69:K$70)*(MONTH($E98)-1)/12)*$H98</f>
        <v>-1.0282494444444444E-2</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111.94161575829914</v>
      </c>
    </row>
    <row r="99" spans="2:23" s="9" customFormat="1">
      <c r="B99" s="66"/>
      <c r="E99" s="214">
        <v>42644</v>
      </c>
      <c r="F99" s="214" t="s">
        <v>183</v>
      </c>
      <c r="G99" s="215" t="s">
        <v>69</v>
      </c>
      <c r="H99" s="210">
        <f>$C$38/12</f>
        <v>9.1666666666666665E-4</v>
      </c>
      <c r="I99" s="230">
        <f>(SUM('1.  LRAMVA Summary'!D$54:D$68)+SUM('1.  LRAMVA Summary'!D$69:D$70)*(MONTH($E99)-1)/12)*$H99</f>
        <v>83.841575820154631</v>
      </c>
      <c r="J99" s="230">
        <f>(SUM('1.  LRAMVA Summary'!E$54:E$68)+SUM('1.  LRAMVA Summary'!E$69:E$70)*(MONTH($E99)-1)/12)*$H99</f>
        <v>26.706011621632999</v>
      </c>
      <c r="K99" s="230">
        <f>(SUM('1.  LRAMVA Summary'!F$54:F$68)+SUM('1.  LRAMVA Summary'!F$69:F$70)*(MONTH($E99)-1)/12)*$H99</f>
        <v>-16.463904518135401</v>
      </c>
      <c r="L99" s="230">
        <f>(SUM('1.  LRAMVA Summary'!G$54:G$68)+SUM('1.  LRAMVA Summary'!G$69:G$70)*(MONTH($E99)-1)/12)*$H99</f>
        <v>34.761716188773356</v>
      </c>
      <c r="M99" s="230">
        <f>(SUM('1.  LRAMVA Summary'!H$54:H$68)+SUM('1.  LRAMVA Summary'!H$69:H$70)*(MONTH($E99)-1)/12)*$H99</f>
        <v>-2.5291058297239166</v>
      </c>
      <c r="N99" s="230">
        <f>(SUM('1.  LRAMVA Summary'!I$54:I$68)+SUM('1.  LRAMVA Summary'!I$69:I$70)*(MONTH($E99)-1)/12)*$H99</f>
        <v>-8.6699348175085719E-3</v>
      </c>
      <c r="O99" s="230">
        <f>(SUM('1.  LRAMVA Summary'!J$54:J$68)+SUM('1.  LRAMVA Summary'!J$69:J$70)*(MONTH($E99)-1)/12)*$H99</f>
        <v>-0.5070060397229208</v>
      </c>
      <c r="P99" s="230">
        <f>(SUM('1.  LRAMVA Summary'!K$54:K$68)+SUM('1.  LRAMVA Summary'!K$69:K$70)*(MONTH($E99)-1)/12)*$H99</f>
        <v>-1.0856083333333334E-2</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125.7897612248279</v>
      </c>
    </row>
    <row r="100" spans="2:23" s="9" customFormat="1">
      <c r="B100" s="66"/>
      <c r="E100" s="214">
        <v>42675</v>
      </c>
      <c r="F100" s="214" t="s">
        <v>183</v>
      </c>
      <c r="G100" s="215" t="s">
        <v>69</v>
      </c>
      <c r="H100" s="210">
        <f t="shared" ref="H100:H101" si="38">$C$38/12</f>
        <v>9.1666666666666665E-4</v>
      </c>
      <c r="I100" s="230">
        <f>(SUM('1.  LRAMVA Summary'!D$54:D$68)+SUM('1.  LRAMVA Summary'!D$69:D$70)*(MONTH($E100)-1)/12)*$H100</f>
        <v>93.576618088904453</v>
      </c>
      <c r="J100" s="230">
        <f>(SUM('1.  LRAMVA Summary'!E$54:E$68)+SUM('1.  LRAMVA Summary'!E$69:E$70)*(MONTH($E100)-1)/12)*$H100</f>
        <v>29.636024096662116</v>
      </c>
      <c r="K100" s="230">
        <f>(SUM('1.  LRAMVA Summary'!F$54:F$68)+SUM('1.  LRAMVA Summary'!F$69:F$70)*(MONTH($E100)-1)/12)*$H100</f>
        <v>-16.817965892086903</v>
      </c>
      <c r="L100" s="230">
        <f>(SUM('1.  LRAMVA Summary'!G$54:G$68)+SUM('1.  LRAMVA Summary'!G$69:G$70)*(MONTH($E100)-1)/12)*$H100</f>
        <v>36.448751978170144</v>
      </c>
      <c r="M100" s="230">
        <f>(SUM('1.  LRAMVA Summary'!H$54:H$68)+SUM('1.  LRAMVA Summary'!H$69:H$70)*(MONTH($E100)-1)/12)*$H100</f>
        <v>-2.6499906844004513</v>
      </c>
      <c r="N100" s="230">
        <f>(SUM('1.  LRAMVA Summary'!I$54:I$68)+SUM('1.  LRAMVA Summary'!I$69:I$70)*(MONTH($E100)-1)/12)*$H100</f>
        <v>-9.1894711860085292E-3</v>
      </c>
      <c r="O100" s="230">
        <f>(SUM('1.  LRAMVA Summary'!J$54:J$68)+SUM('1.  LRAMVA Summary'!J$69:J$70)*(MONTH($E100)-1)/12)*$H100</f>
        <v>-0.53491175248441758</v>
      </c>
      <c r="P100" s="230">
        <f>(SUM('1.  LRAMVA Summary'!K$54:K$68)+SUM('1.  LRAMVA Summary'!K$69:K$70)*(MONTH($E100)-1)/12)*$H100</f>
        <v>-1.1429672222222222E-2</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139.6379066913567</v>
      </c>
    </row>
    <row r="101" spans="2:23" s="9" customFormat="1">
      <c r="B101" s="66"/>
      <c r="E101" s="214">
        <v>42705</v>
      </c>
      <c r="F101" s="214" t="s">
        <v>183</v>
      </c>
      <c r="G101" s="215" t="s">
        <v>69</v>
      </c>
      <c r="H101" s="210">
        <f t="shared" si="38"/>
        <v>9.1666666666666665E-4</v>
      </c>
      <c r="I101" s="230">
        <f>(SUM('1.  LRAMVA Summary'!D$54:D$68)+SUM('1.  LRAMVA Summary'!D$69:D$70)*(MONTH($E101)-1)/12)*$H101</f>
        <v>103.31166035765423</v>
      </c>
      <c r="J101" s="230">
        <f>(SUM('1.  LRAMVA Summary'!E$54:E$68)+SUM('1.  LRAMVA Summary'!E$69:E$70)*(MONTH($E101)-1)/12)*$H101</f>
        <v>32.566036571691235</v>
      </c>
      <c r="K101" s="230">
        <f>(SUM('1.  LRAMVA Summary'!F$54:F$68)+SUM('1.  LRAMVA Summary'!F$69:F$70)*(MONTH($E101)-1)/12)*$H101</f>
        <v>-17.172027266038405</v>
      </c>
      <c r="L101" s="230">
        <f>(SUM('1.  LRAMVA Summary'!G$54:G$68)+SUM('1.  LRAMVA Summary'!G$69:G$70)*(MONTH($E101)-1)/12)*$H101</f>
        <v>38.135787767566931</v>
      </c>
      <c r="M101" s="230">
        <f>(SUM('1.  LRAMVA Summary'!H$54:H$68)+SUM('1.  LRAMVA Summary'!H$69:H$70)*(MONTH($E101)-1)/12)*$H101</f>
        <v>-2.7708755390769855</v>
      </c>
      <c r="N101" s="230">
        <f>(SUM('1.  LRAMVA Summary'!I$54:I$68)+SUM('1.  LRAMVA Summary'!I$69:I$70)*(MONTH($E101)-1)/12)*$H101</f>
        <v>-9.7090075545084916E-3</v>
      </c>
      <c r="O101" s="230">
        <f>(SUM('1.  LRAMVA Summary'!J$54:J$68)+SUM('1.  LRAMVA Summary'!J$69:J$70)*(MONTH($E101)-1)/12)*$H101</f>
        <v>-0.56281746524591403</v>
      </c>
      <c r="P101" s="230">
        <f>(SUM('1.  LRAMVA Summary'!K$54:K$68)+SUM('1.  LRAMVA Summary'!K$69:K$70)*(MONTH($E101)-1)/12)*$H101</f>
        <v>-1.2003261111111111E-2</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153.48605215788544</v>
      </c>
    </row>
    <row r="102" spans="2:23" s="9" customFormat="1" ht="15" thickBot="1">
      <c r="B102" s="66"/>
      <c r="E102" s="216" t="s">
        <v>467</v>
      </c>
      <c r="F102" s="216"/>
      <c r="G102" s="217"/>
      <c r="H102" s="218"/>
      <c r="I102" s="219">
        <f>SUM(I89:I101)</f>
        <v>576.15386660267211</v>
      </c>
      <c r="J102" s="219">
        <f>SUM(J89:J101)</f>
        <v>199.28730799481249</v>
      </c>
      <c r="K102" s="219">
        <f t="shared" ref="K102:O102" si="39">SUM(K89:K101)</f>
        <v>-256.83821796363702</v>
      </c>
      <c r="L102" s="219">
        <f t="shared" si="39"/>
        <v>455.61262353080878</v>
      </c>
      <c r="M102" s="219">
        <f t="shared" si="39"/>
        <v>-33.319574769748598</v>
      </c>
      <c r="N102" s="219">
        <f t="shared" si="39"/>
        <v>-0.10452214971942035</v>
      </c>
      <c r="O102" s="219">
        <f t="shared" si="39"/>
        <v>-6.3407480254745643</v>
      </c>
      <c r="P102" s="219">
        <f t="shared" ref="P102:V102" si="40">SUM(P89:P101)</f>
        <v>-0.13797687041666665</v>
      </c>
      <c r="Q102" s="219">
        <f t="shared" si="40"/>
        <v>0</v>
      </c>
      <c r="R102" s="219">
        <f t="shared" si="40"/>
        <v>0</v>
      </c>
      <c r="S102" s="219">
        <f t="shared" si="40"/>
        <v>0</v>
      </c>
      <c r="T102" s="219">
        <f t="shared" si="40"/>
        <v>0</v>
      </c>
      <c r="U102" s="219">
        <f t="shared" si="40"/>
        <v>0</v>
      </c>
      <c r="V102" s="219">
        <f t="shared" si="40"/>
        <v>0</v>
      </c>
      <c r="W102" s="219">
        <f>SUM(W89:W101)</f>
        <v>934.31275834929704</v>
      </c>
    </row>
    <row r="103" spans="2:23" s="9" customFormat="1" ht="1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576.15386660267211</v>
      </c>
      <c r="J104" s="228">
        <f t="shared" ref="J104" si="41">J102+J103</f>
        <v>199.28730799481249</v>
      </c>
      <c r="K104" s="228">
        <f t="shared" ref="K104" si="42">K102+K103</f>
        <v>-256.83821796363702</v>
      </c>
      <c r="L104" s="228">
        <f t="shared" ref="L104" si="43">L102+L103</f>
        <v>455.61262353080878</v>
      </c>
      <c r="M104" s="228">
        <f t="shared" ref="M104" si="44">M102+M103</f>
        <v>-33.319574769748598</v>
      </c>
      <c r="N104" s="228">
        <f t="shared" ref="N104" si="45">N102+N103</f>
        <v>-0.10452214971942035</v>
      </c>
      <c r="O104" s="228">
        <f t="shared" ref="O104:V104" si="46">O102+O103</f>
        <v>-6.3407480254745643</v>
      </c>
      <c r="P104" s="228">
        <f t="shared" si="46"/>
        <v>-0.13797687041666665</v>
      </c>
      <c r="Q104" s="228">
        <f t="shared" si="46"/>
        <v>0</v>
      </c>
      <c r="R104" s="228">
        <f t="shared" si="46"/>
        <v>0</v>
      </c>
      <c r="S104" s="228">
        <f t="shared" si="46"/>
        <v>0</v>
      </c>
      <c r="T104" s="228">
        <f t="shared" si="46"/>
        <v>0</v>
      </c>
      <c r="U104" s="228">
        <f t="shared" si="46"/>
        <v>0</v>
      </c>
      <c r="V104" s="228">
        <f t="shared" si="46"/>
        <v>0</v>
      </c>
      <c r="W104" s="228">
        <f t="shared" ref="W104" si="47">W102+W103</f>
        <v>934.31275834929704</v>
      </c>
    </row>
    <row r="105" spans="2:23" s="9" customFormat="1">
      <c r="B105" s="66"/>
      <c r="E105" s="214">
        <v>42736</v>
      </c>
      <c r="F105" s="214" t="s">
        <v>184</v>
      </c>
      <c r="G105" s="215" t="s">
        <v>65</v>
      </c>
      <c r="H105" s="240">
        <f>$C$39/12</f>
        <v>9.1666666666666665E-4</v>
      </c>
      <c r="I105" s="230">
        <f>(SUM('1.  LRAMVA Summary'!D$54:D$71)+SUM('1.  LRAMVA Summary'!D$72:D$73)*(MONTH($E105)-1)/12)*$H105</f>
        <v>113.04670262640406</v>
      </c>
      <c r="J105" s="230">
        <f>(SUM('1.  LRAMVA Summary'!E$54:E$71)+SUM('1.  LRAMVA Summary'!E$72:E$73)*(MONTH($E105)-1)/12)*$H105</f>
        <v>35.496049046720358</v>
      </c>
      <c r="K105" s="230">
        <f>(SUM('1.  LRAMVA Summary'!F$54:F$71)+SUM('1.  LRAMVA Summary'!F$72:F$73)*(MONTH($E105)-1)/12)*$H105</f>
        <v>-17.526088639989904</v>
      </c>
      <c r="L105" s="230">
        <f>(SUM('1.  LRAMVA Summary'!G$54:G$71)+SUM('1.  LRAMVA Summary'!G$72:G$73)*(MONTH($E105)-1)/12)*$H105</f>
        <v>39.822823556963705</v>
      </c>
      <c r="M105" s="230">
        <f>(SUM('1.  LRAMVA Summary'!H$54:H$71)+SUM('1.  LRAMVA Summary'!H$72:H$73)*(MONTH($E105)-1)/12)*$H105</f>
        <v>-2.8917603937535197</v>
      </c>
      <c r="N105" s="230">
        <f>(SUM('1.  LRAMVA Summary'!I$54:I$71)+SUM('1.  LRAMVA Summary'!I$72:I$73)*(MONTH($E105)-1)/12)*$H105</f>
        <v>-1.0228543923008449E-2</v>
      </c>
      <c r="O105" s="230">
        <f>(SUM('1.  LRAMVA Summary'!J$54:J$71)+SUM('1.  LRAMVA Summary'!J$72:J$73)*(MONTH($E105)-1)/12)*$H105</f>
        <v>-0.59072317800741059</v>
      </c>
      <c r="P105" s="230">
        <f>(SUM('1.  LRAMVA Summary'!K$54:K$71)+SUM('1.  LRAMVA Summary'!K$72:K$73)*(MONTH($E105)-1)/12)*$H105</f>
        <v>-1.2576850000000001E-2</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167.33419762441432</v>
      </c>
    </row>
    <row r="106" spans="2:23" s="9" customFormat="1">
      <c r="B106" s="66"/>
      <c r="E106" s="214">
        <v>42767</v>
      </c>
      <c r="F106" s="214" t="s">
        <v>184</v>
      </c>
      <c r="G106" s="215" t="s">
        <v>65</v>
      </c>
      <c r="H106" s="240">
        <f t="shared" ref="H106:H107" si="48">$C$39/12</f>
        <v>9.1666666666666665E-4</v>
      </c>
      <c r="I106" s="230">
        <f>(SUM('1.  LRAMVA Summary'!D$54:D$71)+SUM('1.  LRAMVA Summary'!D$72:D$73)*(MONTH($E106)-1)/12)*$H106</f>
        <v>134.44086166998275</v>
      </c>
      <c r="J106" s="230">
        <f>(SUM('1.  LRAMVA Summary'!E$54:E$71)+SUM('1.  LRAMVA Summary'!E$72:E$73)*(MONTH($E106)-1)/12)*$H106</f>
        <v>43.152797651578553</v>
      </c>
      <c r="K106" s="230">
        <f>(SUM('1.  LRAMVA Summary'!F$54:F$71)+SUM('1.  LRAMVA Summary'!F$72:F$73)*(MONTH($E106)-1)/12)*$H106</f>
        <v>-16.080783516003681</v>
      </c>
      <c r="L106" s="230">
        <f>(SUM('1.  LRAMVA Summary'!G$54:G$71)+SUM('1.  LRAMVA Summary'!G$72:G$73)*(MONTH($E106)-1)/12)*$H106</f>
        <v>41.537104385245883</v>
      </c>
      <c r="M106" s="230">
        <f>(SUM('1.  LRAMVA Summary'!H$54:H$71)+SUM('1.  LRAMVA Summary'!H$72:H$73)*(MONTH($E106)-1)/12)*$H106</f>
        <v>-2.9509297788524047</v>
      </c>
      <c r="N106" s="230">
        <f>(SUM('1.  LRAMVA Summary'!I$54:I$71)+SUM('1.  LRAMVA Summary'!I$72:I$73)*(MONTH($E106)-1)/12)*$H106</f>
        <v>-1.0773955074231911E-2</v>
      </c>
      <c r="O106" s="230">
        <f>(SUM('1.  LRAMVA Summary'!J$54:J$71)+SUM('1.  LRAMVA Summary'!J$72:J$73)*(MONTH($E106)-1)/12)*$H106</f>
        <v>-0.61925598543770477</v>
      </c>
      <c r="P106" s="230">
        <f>(SUM('1.  LRAMVA Summary'!K$54:K$71)+SUM('1.  LRAMVA Summary'!K$72:K$73)*(MONTH($E106)-1)/12)*$H106</f>
        <v>-1.3162844444444443E-2</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199.45585762699466</v>
      </c>
    </row>
    <row r="107" spans="2:23" s="9" customFormat="1">
      <c r="B107" s="66"/>
      <c r="E107" s="214">
        <v>42795</v>
      </c>
      <c r="F107" s="214" t="s">
        <v>184</v>
      </c>
      <c r="G107" s="215" t="s">
        <v>65</v>
      </c>
      <c r="H107" s="240">
        <f t="shared" si="48"/>
        <v>9.1666666666666665E-4</v>
      </c>
      <c r="I107" s="230">
        <f>(SUM('1.  LRAMVA Summary'!D$54:D$71)+SUM('1.  LRAMVA Summary'!D$72:D$73)*(MONTH($E107)-1)/12)*$H107</f>
        <v>155.83502071356142</v>
      </c>
      <c r="J107" s="230">
        <f>(SUM('1.  LRAMVA Summary'!E$54:E$71)+SUM('1.  LRAMVA Summary'!E$72:E$73)*(MONTH($E107)-1)/12)*$H107</f>
        <v>50.809546256436747</v>
      </c>
      <c r="K107" s="230">
        <f>(SUM('1.  LRAMVA Summary'!F$54:F$71)+SUM('1.  LRAMVA Summary'!F$72:F$73)*(MONTH($E107)-1)/12)*$H107</f>
        <v>-14.635478392017459</v>
      </c>
      <c r="L107" s="230">
        <f>(SUM('1.  LRAMVA Summary'!G$54:G$71)+SUM('1.  LRAMVA Summary'!G$72:G$73)*(MONTH($E107)-1)/12)*$H107</f>
        <v>43.251385213528053</v>
      </c>
      <c r="M107" s="230">
        <f>(SUM('1.  LRAMVA Summary'!H$54:H$71)+SUM('1.  LRAMVA Summary'!H$72:H$73)*(MONTH($E107)-1)/12)*$H107</f>
        <v>-3.0100991639512893</v>
      </c>
      <c r="N107" s="230">
        <f>(SUM('1.  LRAMVA Summary'!I$54:I$71)+SUM('1.  LRAMVA Summary'!I$72:I$73)*(MONTH($E107)-1)/12)*$H107</f>
        <v>-1.1319366225455369E-2</v>
      </c>
      <c r="O107" s="230">
        <f>(SUM('1.  LRAMVA Summary'!J$54:J$71)+SUM('1.  LRAMVA Summary'!J$72:J$73)*(MONTH($E107)-1)/12)*$H107</f>
        <v>-0.64778879286799917</v>
      </c>
      <c r="P107" s="230">
        <f>(SUM('1.  LRAMVA Summary'!K$54:K$71)+SUM('1.  LRAMVA Summary'!K$72:K$73)*(MONTH($E107)-1)/12)*$H107</f>
        <v>-1.3748838888888889E-2</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231.57751762957511</v>
      </c>
    </row>
    <row r="108" spans="2:23" s="8" customFormat="1">
      <c r="B108" s="239"/>
      <c r="E108" s="214">
        <v>42826</v>
      </c>
      <c r="F108" s="214" t="s">
        <v>184</v>
      </c>
      <c r="G108" s="215" t="s">
        <v>66</v>
      </c>
      <c r="H108" s="240">
        <f>$C$40/12</f>
        <v>9.1666666666666665E-4</v>
      </c>
      <c r="I108" s="230">
        <f>(SUM('1.  LRAMVA Summary'!D$54:D$71)+SUM('1.  LRAMVA Summary'!D$72:D$73)*(MONTH($E108)-1)/12)*$H108</f>
        <v>177.22917975714009</v>
      </c>
      <c r="J108" s="230">
        <f>(SUM('1.  LRAMVA Summary'!E$54:E$71)+SUM('1.  LRAMVA Summary'!E$72:E$73)*(MONTH($E108)-1)/12)*$H108</f>
        <v>58.466294861294941</v>
      </c>
      <c r="K108" s="230">
        <f>(SUM('1.  LRAMVA Summary'!F$54:F$71)+SUM('1.  LRAMVA Summary'!F$72:F$73)*(MONTH($E108)-1)/12)*$H108</f>
        <v>-13.190173268031236</v>
      </c>
      <c r="L108" s="230">
        <f>(SUM('1.  LRAMVA Summary'!G$54:G$71)+SUM('1.  LRAMVA Summary'!G$72:G$73)*(MONTH($E108)-1)/12)*$H108</f>
        <v>44.965666041810231</v>
      </c>
      <c r="M108" s="230">
        <f>(SUM('1.  LRAMVA Summary'!H$54:H$71)+SUM('1.  LRAMVA Summary'!H$72:H$73)*(MONTH($E108)-1)/12)*$H108</f>
        <v>-3.0692685490501743</v>
      </c>
      <c r="N108" s="230">
        <f>(SUM('1.  LRAMVA Summary'!I$54:I$71)+SUM('1.  LRAMVA Summary'!I$72:I$73)*(MONTH($E108)-1)/12)*$H108</f>
        <v>-1.186477737667883E-2</v>
      </c>
      <c r="O108" s="230">
        <f>(SUM('1.  LRAMVA Summary'!J$54:J$71)+SUM('1.  LRAMVA Summary'!J$72:J$73)*(MONTH($E108)-1)/12)*$H108</f>
        <v>-0.67632160029829336</v>
      </c>
      <c r="P108" s="230">
        <f>(SUM('1.  LRAMVA Summary'!K$54:K$71)+SUM('1.  LRAMVA Summary'!K$72:K$73)*(MONTH($E108)-1)/12)*$H108</f>
        <v>-1.4334833333333333E-2</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263.69917763215551</v>
      </c>
    </row>
    <row r="109" spans="2:23" s="9" customFormat="1">
      <c r="B109" s="66"/>
      <c r="E109" s="214">
        <v>42856</v>
      </c>
      <c r="F109" s="214" t="s">
        <v>184</v>
      </c>
      <c r="G109" s="215" t="s">
        <v>66</v>
      </c>
      <c r="H109" s="240">
        <f t="shared" ref="H109:H110" si="50">$C$40/12</f>
        <v>9.1666666666666665E-4</v>
      </c>
      <c r="I109" s="230">
        <f>(SUM('1.  LRAMVA Summary'!D$54:D$71)+SUM('1.  LRAMVA Summary'!D$72:D$73)*(MONTH($E109)-1)/12)*$H109</f>
        <v>198.62333880071878</v>
      </c>
      <c r="J109" s="230">
        <f>(SUM('1.  LRAMVA Summary'!E$54:E$71)+SUM('1.  LRAMVA Summary'!E$72:E$73)*(MONTH($E109)-1)/12)*$H109</f>
        <v>66.123043466153135</v>
      </c>
      <c r="K109" s="230">
        <f>(SUM('1.  LRAMVA Summary'!F$54:F$71)+SUM('1.  LRAMVA Summary'!F$72:F$73)*(MONTH($E109)-1)/12)*$H109</f>
        <v>-11.744868144045014</v>
      </c>
      <c r="L109" s="230">
        <f>(SUM('1.  LRAMVA Summary'!G$54:G$71)+SUM('1.  LRAMVA Summary'!G$72:G$73)*(MONTH($E109)-1)/12)*$H109</f>
        <v>46.679946870092401</v>
      </c>
      <c r="M109" s="230">
        <f>(SUM('1.  LRAMVA Summary'!H$54:H$71)+SUM('1.  LRAMVA Summary'!H$72:H$73)*(MONTH($E109)-1)/12)*$H109</f>
        <v>-3.1284379341490589</v>
      </c>
      <c r="N109" s="230">
        <f>(SUM('1.  LRAMVA Summary'!I$54:I$71)+SUM('1.  LRAMVA Summary'!I$72:I$73)*(MONTH($E109)-1)/12)*$H109</f>
        <v>-1.241018852790229E-2</v>
      </c>
      <c r="O109" s="230">
        <f>(SUM('1.  LRAMVA Summary'!J$54:J$71)+SUM('1.  LRAMVA Summary'!J$72:J$73)*(MONTH($E109)-1)/12)*$H109</f>
        <v>-0.70485440772858765</v>
      </c>
      <c r="P109" s="230">
        <f>(SUM('1.  LRAMVA Summary'!K$54:K$71)+SUM('1.  LRAMVA Summary'!K$72:K$73)*(MONTH($E109)-1)/12)*$H109</f>
        <v>-1.4920827777777777E-2</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295.82083763473599</v>
      </c>
    </row>
    <row r="110" spans="2:23" s="238" customFormat="1">
      <c r="B110" s="237"/>
      <c r="E110" s="214">
        <v>42887</v>
      </c>
      <c r="F110" s="214" t="s">
        <v>184</v>
      </c>
      <c r="G110" s="215" t="s">
        <v>66</v>
      </c>
      <c r="H110" s="240">
        <f t="shared" si="50"/>
        <v>9.1666666666666665E-4</v>
      </c>
      <c r="I110" s="230">
        <f>(SUM('1.  LRAMVA Summary'!D$54:D$71)+SUM('1.  LRAMVA Summary'!D$72:D$73)*(MONTH($E110)-1)/12)*$H110</f>
        <v>220.01749784429745</v>
      </c>
      <c r="J110" s="230">
        <f>(SUM('1.  LRAMVA Summary'!E$54:E$71)+SUM('1.  LRAMVA Summary'!E$72:E$73)*(MONTH($E110)-1)/12)*$H110</f>
        <v>73.779792071011343</v>
      </c>
      <c r="K110" s="230">
        <f>(SUM('1.  LRAMVA Summary'!F$54:F$71)+SUM('1.  LRAMVA Summary'!F$72:F$73)*(MONTH($E110)-1)/12)*$H110</f>
        <v>-10.299563020058793</v>
      </c>
      <c r="L110" s="230">
        <f>(SUM('1.  LRAMVA Summary'!G$54:G$71)+SUM('1.  LRAMVA Summary'!G$72:G$73)*(MONTH($E110)-1)/12)*$H110</f>
        <v>48.394227698374571</v>
      </c>
      <c r="M110" s="230">
        <f>(SUM('1.  LRAMVA Summary'!H$54:H$71)+SUM('1.  LRAMVA Summary'!H$72:H$73)*(MONTH($E110)-1)/12)*$H110</f>
        <v>-3.1876073192479439</v>
      </c>
      <c r="N110" s="230">
        <f>(SUM('1.  LRAMVA Summary'!I$54:I$71)+SUM('1.  LRAMVA Summary'!I$72:I$73)*(MONTH($E110)-1)/12)*$H110</f>
        <v>-1.295559967912575E-2</v>
      </c>
      <c r="O110" s="230">
        <f>(SUM('1.  LRAMVA Summary'!J$54:J$71)+SUM('1.  LRAMVA Summary'!J$72:J$73)*(MONTH($E110)-1)/12)*$H110</f>
        <v>-0.73338721515888183</v>
      </c>
      <c r="P110" s="230">
        <f>(SUM('1.  LRAMVA Summary'!K$54:K$71)+SUM('1.  LRAMVA Summary'!K$72:K$73)*(MONTH($E110)-1)/12)*$H110</f>
        <v>-1.5506822222222221E-2</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327.94249763731642</v>
      </c>
    </row>
    <row r="111" spans="2:23" s="9" customFormat="1">
      <c r="B111" s="66"/>
      <c r="E111" s="214">
        <v>42917</v>
      </c>
      <c r="F111" s="214" t="s">
        <v>184</v>
      </c>
      <c r="G111" s="215" t="s">
        <v>68</v>
      </c>
      <c r="H111" s="240">
        <f>$C$41/12</f>
        <v>9.1666666666666665E-4</v>
      </c>
      <c r="I111" s="230">
        <f>(SUM('1.  LRAMVA Summary'!D$54:D$71)+SUM('1.  LRAMVA Summary'!D$72:D$73)*(MONTH($E111)-1)/12)*$H111</f>
        <v>241.41165688787612</v>
      </c>
      <c r="J111" s="230">
        <f>(SUM('1.  LRAMVA Summary'!E$54:E$71)+SUM('1.  LRAMVA Summary'!E$72:E$73)*(MONTH($E111)-1)/12)*$H111</f>
        <v>81.436540675869537</v>
      </c>
      <c r="K111" s="230">
        <f>(SUM('1.  LRAMVA Summary'!F$54:F$71)+SUM('1.  LRAMVA Summary'!F$72:F$73)*(MONTH($E111)-1)/12)*$H111</f>
        <v>-8.8542578960725695</v>
      </c>
      <c r="L111" s="230">
        <f>(SUM('1.  LRAMVA Summary'!G$54:G$71)+SUM('1.  LRAMVA Summary'!G$72:G$73)*(MONTH($E111)-1)/12)*$H111</f>
        <v>50.108508526656749</v>
      </c>
      <c r="M111" s="230">
        <f>(SUM('1.  LRAMVA Summary'!H$54:H$71)+SUM('1.  LRAMVA Summary'!H$72:H$73)*(MONTH($E111)-1)/12)*$H111</f>
        <v>-3.2467767043468285</v>
      </c>
      <c r="N111" s="230">
        <f>(SUM('1.  LRAMVA Summary'!I$54:I$71)+SUM('1.  LRAMVA Summary'!I$72:I$73)*(MONTH($E111)-1)/12)*$H111</f>
        <v>-1.350101083034921E-2</v>
      </c>
      <c r="O111" s="230">
        <f>(SUM('1.  LRAMVA Summary'!J$54:J$71)+SUM('1.  LRAMVA Summary'!J$72:J$73)*(MONTH($E111)-1)/12)*$H111</f>
        <v>-0.76192002258917613</v>
      </c>
      <c r="P111" s="230">
        <f>(SUM('1.  LRAMVA Summary'!K$54:K$71)+SUM('1.  LRAMVA Summary'!K$72:K$73)*(MONTH($E111)-1)/12)*$H111</f>
        <v>-1.6092816666666669E-2</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360.06415763989685</v>
      </c>
    </row>
    <row r="112" spans="2:23" s="9" customFormat="1">
      <c r="B112" s="66"/>
      <c r="E112" s="214">
        <v>42948</v>
      </c>
      <c r="F112" s="214" t="s">
        <v>184</v>
      </c>
      <c r="G112" s="215" t="s">
        <v>68</v>
      </c>
      <c r="H112" s="240">
        <f t="shared" ref="H112:H113" si="51">$C$41/12</f>
        <v>9.1666666666666665E-4</v>
      </c>
      <c r="I112" s="230">
        <f>(SUM('1.  LRAMVA Summary'!D$54:D$71)+SUM('1.  LRAMVA Summary'!D$72:D$73)*(MONTH($E112)-1)/12)*$H112</f>
        <v>262.80581593145484</v>
      </c>
      <c r="J112" s="230">
        <f>(SUM('1.  LRAMVA Summary'!E$54:E$71)+SUM('1.  LRAMVA Summary'!E$72:E$73)*(MONTH($E112)-1)/12)*$H112</f>
        <v>89.093289280727717</v>
      </c>
      <c r="K112" s="230">
        <f>(SUM('1.  LRAMVA Summary'!F$54:F$71)+SUM('1.  LRAMVA Summary'!F$72:F$73)*(MONTH($E112)-1)/12)*$H112</f>
        <v>-7.4089527720863471</v>
      </c>
      <c r="L112" s="230">
        <f>(SUM('1.  LRAMVA Summary'!G$54:G$71)+SUM('1.  LRAMVA Summary'!G$72:G$73)*(MONTH($E112)-1)/12)*$H112</f>
        <v>51.822789354938919</v>
      </c>
      <c r="M112" s="230">
        <f>(SUM('1.  LRAMVA Summary'!H$54:H$71)+SUM('1.  LRAMVA Summary'!H$72:H$73)*(MONTH($E112)-1)/12)*$H112</f>
        <v>-3.3059460894457136</v>
      </c>
      <c r="N112" s="230">
        <f>(SUM('1.  LRAMVA Summary'!I$54:I$71)+SUM('1.  LRAMVA Summary'!I$72:I$73)*(MONTH($E112)-1)/12)*$H112</f>
        <v>-1.404642198157267E-2</v>
      </c>
      <c r="O112" s="230">
        <f>(SUM('1.  LRAMVA Summary'!J$54:J$71)+SUM('1.  LRAMVA Summary'!J$72:J$73)*(MONTH($E112)-1)/12)*$H112</f>
        <v>-0.79045283001947031</v>
      </c>
      <c r="P112" s="230">
        <f>(SUM('1.  LRAMVA Summary'!K$54:K$71)+SUM('1.  LRAMVA Summary'!K$72:K$73)*(MONTH($E112)-1)/12)*$H112</f>
        <v>-1.6678811111111108E-2</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392.18581764247728</v>
      </c>
    </row>
    <row r="113" spans="2:23" s="9" customFormat="1">
      <c r="B113" s="66"/>
      <c r="E113" s="214">
        <v>42979</v>
      </c>
      <c r="F113" s="214" t="s">
        <v>184</v>
      </c>
      <c r="G113" s="215" t="s">
        <v>68</v>
      </c>
      <c r="H113" s="240">
        <f t="shared" si="51"/>
        <v>9.1666666666666665E-4</v>
      </c>
      <c r="I113" s="230">
        <f>(SUM('1.  LRAMVA Summary'!D$54:D$71)+SUM('1.  LRAMVA Summary'!D$72:D$73)*(MONTH($E113)-1)/12)*$H113</f>
        <v>284.19997497503351</v>
      </c>
      <c r="J113" s="230">
        <f>(SUM('1.  LRAMVA Summary'!E$54:E$71)+SUM('1.  LRAMVA Summary'!E$72:E$73)*(MONTH($E113)-1)/12)*$H113</f>
        <v>96.750037885585925</v>
      </c>
      <c r="K113" s="230">
        <f>(SUM('1.  LRAMVA Summary'!F$54:F$71)+SUM('1.  LRAMVA Summary'!F$72:F$73)*(MONTH($E113)-1)/12)*$H113</f>
        <v>-5.9636476481001255</v>
      </c>
      <c r="L113" s="230">
        <f>(SUM('1.  LRAMVA Summary'!G$54:G$71)+SUM('1.  LRAMVA Summary'!G$72:G$73)*(MONTH($E113)-1)/12)*$H113</f>
        <v>53.537070183221097</v>
      </c>
      <c r="M113" s="230">
        <f>(SUM('1.  LRAMVA Summary'!H$54:H$71)+SUM('1.  LRAMVA Summary'!H$72:H$73)*(MONTH($E113)-1)/12)*$H113</f>
        <v>-3.3651154745445981</v>
      </c>
      <c r="N113" s="230">
        <f>(SUM('1.  LRAMVA Summary'!I$54:I$71)+SUM('1.  LRAMVA Summary'!I$72:I$73)*(MONTH($E113)-1)/12)*$H113</f>
        <v>-1.4591833132796132E-2</v>
      </c>
      <c r="O113" s="230">
        <f>(SUM('1.  LRAMVA Summary'!J$54:J$71)+SUM('1.  LRAMVA Summary'!J$72:J$73)*(MONTH($E113)-1)/12)*$H113</f>
        <v>-0.8189856374497646</v>
      </c>
      <c r="P113" s="230">
        <f>(SUM('1.  LRAMVA Summary'!K$54:K$71)+SUM('1.  LRAMVA Summary'!K$72:K$73)*(MONTH($E113)-1)/12)*$H113</f>
        <v>-1.7264805555555554E-2</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424.3074776450577</v>
      </c>
    </row>
    <row r="114" spans="2:23" s="9" customFormat="1">
      <c r="B114" s="66"/>
      <c r="E114" s="214">
        <v>43009</v>
      </c>
      <c r="F114" s="214" t="s">
        <v>184</v>
      </c>
      <c r="G114" s="215" t="s">
        <v>69</v>
      </c>
      <c r="H114" s="240">
        <f>$C$42/12</f>
        <v>1.25E-3</v>
      </c>
      <c r="I114" s="230">
        <f>(SUM('1.  LRAMVA Summary'!D$54:D$71)+SUM('1.  LRAMVA Summary'!D$72:D$73)*(MONTH($E114)-1)/12)*$H114</f>
        <v>416.7192736617439</v>
      </c>
      <c r="J114" s="230">
        <f>(SUM('1.  LRAMVA Summary'!E$54:E$71)+SUM('1.  LRAMVA Summary'!E$72:E$73)*(MONTH($E114)-1)/12)*$H114</f>
        <v>142.37289066878745</v>
      </c>
      <c r="K114" s="230">
        <f>(SUM('1.  LRAMVA Summary'!F$54:F$71)+SUM('1.  LRAMVA Summary'!F$72:F$73)*(MONTH($E114)-1)/12)*$H114</f>
        <v>-6.1613761692462319</v>
      </c>
      <c r="L114" s="230">
        <f>(SUM('1.  LRAMVA Summary'!G$54:G$71)+SUM('1.  LRAMVA Summary'!G$72:G$73)*(MONTH($E114)-1)/12)*$H114</f>
        <v>75.342751379322635</v>
      </c>
      <c r="M114" s="230">
        <f>(SUM('1.  LRAMVA Summary'!H$54:H$71)+SUM('1.  LRAMVA Summary'!H$72:H$73)*(MONTH($E114)-1)/12)*$H114</f>
        <v>-4.6694793540592956</v>
      </c>
      <c r="N114" s="230">
        <f>(SUM('1.  LRAMVA Summary'!I$54:I$71)+SUM('1.  LRAMVA Summary'!I$72:I$73)*(MONTH($E114)-1)/12)*$H114</f>
        <v>-2.0641696750935808E-2</v>
      </c>
      <c r="O114" s="230">
        <f>(SUM('1.  LRAMVA Summary'!J$54:J$71)+SUM('1.  LRAMVA Summary'!J$72:J$73)*(MONTH($E114)-1)/12)*$H114</f>
        <v>-1.1557069702909895</v>
      </c>
      <c r="P114" s="230">
        <f>(SUM('1.  LRAMVA Summary'!K$54:K$71)+SUM('1.  LRAMVA Summary'!K$72:K$73)*(MONTH($E114)-1)/12)*$H114</f>
        <v>-2.4342000000000003E-2</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622.40336951950655</v>
      </c>
    </row>
    <row r="115" spans="2:23" s="9" customFormat="1">
      <c r="B115" s="66"/>
      <c r="E115" s="214">
        <v>43040</v>
      </c>
      <c r="F115" s="214" t="s">
        <v>184</v>
      </c>
      <c r="G115" s="215" t="s">
        <v>69</v>
      </c>
      <c r="H115" s="240">
        <f t="shared" ref="H115:H116" si="52">$C$42/12</f>
        <v>1.25E-3</v>
      </c>
      <c r="I115" s="230">
        <f>(SUM('1.  LRAMVA Summary'!D$54:D$71)+SUM('1.  LRAMVA Summary'!D$72:D$73)*(MONTH($E115)-1)/12)*$H115</f>
        <v>445.8931269029876</v>
      </c>
      <c r="J115" s="230">
        <f>(SUM('1.  LRAMVA Summary'!E$54:E$71)+SUM('1.  LRAMVA Summary'!E$72:E$73)*(MONTH($E115)-1)/12)*$H115</f>
        <v>152.81391149359408</v>
      </c>
      <c r="K115" s="230">
        <f>(SUM('1.  LRAMVA Summary'!F$54:F$71)+SUM('1.  LRAMVA Summary'!F$72:F$73)*(MONTH($E115)-1)/12)*$H115</f>
        <v>-4.1905055456286551</v>
      </c>
      <c r="L115" s="230">
        <f>(SUM('1.  LRAMVA Summary'!G$54:G$71)+SUM('1.  LRAMVA Summary'!G$72:G$73)*(MONTH($E115)-1)/12)*$H115</f>
        <v>77.680407054252882</v>
      </c>
      <c r="M115" s="230">
        <f>(SUM('1.  LRAMVA Summary'!H$54:H$71)+SUM('1.  LRAMVA Summary'!H$72:H$73)*(MONTH($E115)-1)/12)*$H115</f>
        <v>-4.7501648791941378</v>
      </c>
      <c r="N115" s="230">
        <f>(SUM('1.  LRAMVA Summary'!I$54:I$71)+SUM('1.  LRAMVA Summary'!I$72:I$73)*(MONTH($E115)-1)/12)*$H115</f>
        <v>-2.1385439229876888E-2</v>
      </c>
      <c r="O115" s="230">
        <f>(SUM('1.  LRAMVA Summary'!J$54:J$71)+SUM('1.  LRAMVA Summary'!J$72:J$73)*(MONTH($E115)-1)/12)*$H115</f>
        <v>-1.1946153440595726</v>
      </c>
      <c r="P115" s="230">
        <f>(SUM('1.  LRAMVA Summary'!K$54:K$71)+SUM('1.  LRAMVA Summary'!K$72:K$73)*(MONTH($E115)-1)/12)*$H115</f>
        <v>-2.5141083333333338E-2</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666.20563315938898</v>
      </c>
    </row>
    <row r="116" spans="2:23" s="9" customFormat="1">
      <c r="B116" s="66"/>
      <c r="E116" s="214">
        <v>43070</v>
      </c>
      <c r="F116" s="214" t="s">
        <v>184</v>
      </c>
      <c r="G116" s="215" t="s">
        <v>69</v>
      </c>
      <c r="H116" s="240">
        <f t="shared" si="52"/>
        <v>1.25E-3</v>
      </c>
      <c r="I116" s="230">
        <f>(SUM('1.  LRAMVA Summary'!D$54:D$71)+SUM('1.  LRAMVA Summary'!D$72:D$73)*(MONTH($E116)-1)/12)*$H116</f>
        <v>475.0669801442312</v>
      </c>
      <c r="J116" s="230">
        <f>(SUM('1.  LRAMVA Summary'!E$54:E$71)+SUM('1.  LRAMVA Summary'!E$72:E$73)*(MONTH($E116)-1)/12)*$H116</f>
        <v>163.25493231840071</v>
      </c>
      <c r="K116" s="230">
        <f>(SUM('1.  LRAMVA Summary'!F$54:F$71)+SUM('1.  LRAMVA Summary'!F$72:F$73)*(MONTH($E116)-1)/12)*$H116</f>
        <v>-2.2196349220110778</v>
      </c>
      <c r="L116" s="230">
        <f>(SUM('1.  LRAMVA Summary'!G$54:G$71)+SUM('1.  LRAMVA Summary'!G$72:G$73)*(MONTH($E116)-1)/12)*$H116</f>
        <v>80.018062729183114</v>
      </c>
      <c r="M116" s="230">
        <f>(SUM('1.  LRAMVA Summary'!H$54:H$71)+SUM('1.  LRAMVA Summary'!H$72:H$73)*(MONTH($E116)-1)/12)*$H116</f>
        <v>-4.8308504043289808</v>
      </c>
      <c r="N116" s="230">
        <f>(SUM('1.  LRAMVA Summary'!I$54:I$71)+SUM('1.  LRAMVA Summary'!I$72:I$73)*(MONTH($E116)-1)/12)*$H116</f>
        <v>-2.2129181708817974E-2</v>
      </c>
      <c r="O116" s="230">
        <f>(SUM('1.  LRAMVA Summary'!J$54:J$71)+SUM('1.  LRAMVA Summary'!J$72:J$73)*(MONTH($E116)-1)/12)*$H116</f>
        <v>-1.2335237178281555</v>
      </c>
      <c r="P116" s="230">
        <f>(SUM('1.  LRAMVA Summary'!K$54:K$71)+SUM('1.  LRAMVA Summary'!K$72:K$73)*(MONTH($E116)-1)/12)*$H116</f>
        <v>-2.5940166666666667E-2</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710.00789679927129</v>
      </c>
    </row>
    <row r="117" spans="2:23" s="9" customFormat="1" ht="15" thickBot="1">
      <c r="B117" s="66"/>
      <c r="E117" s="216" t="s">
        <v>468</v>
      </c>
      <c r="F117" s="216"/>
      <c r="G117" s="217"/>
      <c r="H117" s="218"/>
      <c r="I117" s="219">
        <f>SUM(I104:I116)</f>
        <v>3701.443296518104</v>
      </c>
      <c r="J117" s="219">
        <f>SUM(J104:J116)</f>
        <v>1252.8364336709731</v>
      </c>
      <c r="K117" s="219">
        <f t="shared" ref="K117:O117" si="53">SUM(K104:K116)</f>
        <v>-375.11354789692808</v>
      </c>
      <c r="L117" s="219">
        <f t="shared" si="53"/>
        <v>1108.7733665243989</v>
      </c>
      <c r="M117" s="219">
        <f t="shared" si="53"/>
        <v>-75.726010814672534</v>
      </c>
      <c r="N117" s="219">
        <f t="shared" si="53"/>
        <v>-0.28037016416017158</v>
      </c>
      <c r="O117" s="219">
        <f t="shared" si="53"/>
        <v>-16.268283727210569</v>
      </c>
      <c r="P117" s="219">
        <f t="shared" ref="P117:V117" si="54">SUM(P104:P116)</f>
        <v>-0.34768757041666654</v>
      </c>
      <c r="Q117" s="219">
        <f t="shared" si="54"/>
        <v>0</v>
      </c>
      <c r="R117" s="219">
        <f t="shared" si="54"/>
        <v>0</v>
      </c>
      <c r="S117" s="219">
        <f t="shared" si="54"/>
        <v>0</v>
      </c>
      <c r="T117" s="219">
        <f t="shared" si="54"/>
        <v>0</v>
      </c>
      <c r="U117" s="219">
        <f t="shared" si="54"/>
        <v>0</v>
      </c>
      <c r="V117" s="219">
        <f t="shared" si="54"/>
        <v>0</v>
      </c>
      <c r="W117" s="219">
        <f>SUM(W104:W116)</f>
        <v>5595.3171965400879</v>
      </c>
    </row>
    <row r="118" spans="2:23" s="9" customFormat="1" ht="1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3701.443296518104</v>
      </c>
      <c r="J119" s="228">
        <f t="shared" ref="J119" si="55">J117+J118</f>
        <v>1252.8364336709731</v>
      </c>
      <c r="K119" s="228">
        <f t="shared" ref="K119" si="56">K117+K118</f>
        <v>-375.11354789692808</v>
      </c>
      <c r="L119" s="228">
        <f t="shared" ref="L119" si="57">L117+L118</f>
        <v>1108.7733665243989</v>
      </c>
      <c r="M119" s="228">
        <f t="shared" ref="M119" si="58">M117+M118</f>
        <v>-75.726010814672534</v>
      </c>
      <c r="N119" s="228">
        <f t="shared" ref="N119" si="59">N117+N118</f>
        <v>-0.28037016416017158</v>
      </c>
      <c r="O119" s="228">
        <f t="shared" ref="O119:V119" si="60">O117+O118</f>
        <v>-16.268283727210569</v>
      </c>
      <c r="P119" s="228">
        <f t="shared" si="60"/>
        <v>-0.34768757041666654</v>
      </c>
      <c r="Q119" s="228">
        <f t="shared" si="60"/>
        <v>0</v>
      </c>
      <c r="R119" s="228">
        <f t="shared" si="60"/>
        <v>0</v>
      </c>
      <c r="S119" s="228">
        <f t="shared" si="60"/>
        <v>0</v>
      </c>
      <c r="T119" s="228">
        <f t="shared" si="60"/>
        <v>0</v>
      </c>
      <c r="U119" s="228">
        <f t="shared" si="60"/>
        <v>0</v>
      </c>
      <c r="V119" s="228">
        <f t="shared" si="60"/>
        <v>0</v>
      </c>
      <c r="W119" s="228">
        <f t="shared" ref="W119" si="61">W117+W118</f>
        <v>5595.3171965400879</v>
      </c>
    </row>
    <row r="120" spans="2:23" s="9" customFormat="1">
      <c r="B120" s="66"/>
      <c r="E120" s="214">
        <v>43101</v>
      </c>
      <c r="F120" s="214" t="s">
        <v>185</v>
      </c>
      <c r="G120" s="215" t="s">
        <v>65</v>
      </c>
      <c r="H120" s="240">
        <f>$C$43/12</f>
        <v>1.25E-3</v>
      </c>
      <c r="I120" s="230">
        <f>(SUM('1.  LRAMVA Summary'!D$54:D$74)+SUM('1.  LRAMVA Summary'!D$75:D$76)*(MONTH($E120)-1)/12)*$H120</f>
        <v>504.2408333854749</v>
      </c>
      <c r="J120" s="230">
        <f>(SUM('1.  LRAMVA Summary'!E$54:E$74)+SUM('1.  LRAMVA Summary'!E$75:E$76)*(MONTH($E120)-1)/12)*$H120</f>
        <v>173.69595314320733</v>
      </c>
      <c r="K120" s="230">
        <f>(SUM('1.  LRAMVA Summary'!F$54:F$74)+SUM('1.  LRAMVA Summary'!F$75:F$76)*(MONTH($E120)-1)/12)*$H120</f>
        <v>-0.24876429839350295</v>
      </c>
      <c r="L120" s="230">
        <f>(SUM('1.  LRAMVA Summary'!G$54:G$74)+SUM('1.  LRAMVA Summary'!G$75:G$76)*(MONTH($E120)-1)/12)*$H120</f>
        <v>82.355718404113361</v>
      </c>
      <c r="M120" s="230">
        <f>(SUM('1.  LRAMVA Summary'!H$54:H$74)+SUM('1.  LRAMVA Summary'!H$75:H$76)*(MONTH($E120)-1)/12)*$H120</f>
        <v>-4.9115359294638239</v>
      </c>
      <c r="N120" s="230">
        <f>(SUM('1.  LRAMVA Summary'!I$54:I$74)+SUM('1.  LRAMVA Summary'!I$75:I$76)*(MONTH($E120)-1)/12)*$H120</f>
        <v>-2.2872924187759054E-2</v>
      </c>
      <c r="O120" s="230">
        <f>(SUM('1.  LRAMVA Summary'!J$54:J$74)+SUM('1.  LRAMVA Summary'!J$75:J$76)*(MONTH($E120)-1)/12)*$H120</f>
        <v>-1.2724320915967386</v>
      </c>
      <c r="P120" s="230">
        <f>(SUM('1.  LRAMVA Summary'!K$54:K$74)+SUM('1.  LRAMVA Summary'!K$75:K$76)*(MONTH($E120)-1)/12)*$H120</f>
        <v>-2.6739250000000003E-2</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753.81016043915361</v>
      </c>
    </row>
    <row r="121" spans="2:23" s="9" customFormat="1">
      <c r="B121" s="66"/>
      <c r="E121" s="214">
        <v>43132</v>
      </c>
      <c r="F121" s="214" t="s">
        <v>185</v>
      </c>
      <c r="G121" s="215" t="s">
        <v>65</v>
      </c>
      <c r="H121" s="240">
        <f t="shared" ref="H121:H122" si="62">$C$43/12</f>
        <v>1.25E-3</v>
      </c>
      <c r="I121" s="230">
        <f>(SUM('1.  LRAMVA Summary'!D$54:D$74)+SUM('1.  LRAMVA Summary'!D$75:D$76)*(MONTH($E121)-1)/12)*$H121</f>
        <v>504.2408333854749</v>
      </c>
      <c r="J121" s="230">
        <f>(SUM('1.  LRAMVA Summary'!E$54:E$74)+SUM('1.  LRAMVA Summary'!E$75:E$76)*(MONTH($E121)-1)/12)*$H121</f>
        <v>173.69595314320733</v>
      </c>
      <c r="K121" s="230">
        <f>(SUM('1.  LRAMVA Summary'!F$54:F$74)+SUM('1.  LRAMVA Summary'!F$75:F$76)*(MONTH($E121)-1)/12)*$H121</f>
        <v>-0.24876429839350295</v>
      </c>
      <c r="L121" s="230">
        <f>(SUM('1.  LRAMVA Summary'!G$54:G$74)+SUM('1.  LRAMVA Summary'!G$75:G$76)*(MONTH($E121)-1)/12)*$H121</f>
        <v>82.355718404113361</v>
      </c>
      <c r="M121" s="230">
        <f>(SUM('1.  LRAMVA Summary'!H$54:H$74)+SUM('1.  LRAMVA Summary'!H$75:H$76)*(MONTH($E121)-1)/12)*$H121</f>
        <v>-4.9115359294638239</v>
      </c>
      <c r="N121" s="230">
        <f>(SUM('1.  LRAMVA Summary'!I$54:I$74)+SUM('1.  LRAMVA Summary'!I$75:I$76)*(MONTH($E121)-1)/12)*$H121</f>
        <v>-2.2872924187759054E-2</v>
      </c>
      <c r="O121" s="230">
        <f>(SUM('1.  LRAMVA Summary'!J$54:J$74)+SUM('1.  LRAMVA Summary'!J$75:J$76)*(MONTH($E121)-1)/12)*$H121</f>
        <v>-1.2724320915967386</v>
      </c>
      <c r="P121" s="230">
        <f>(SUM('1.  LRAMVA Summary'!K$54:K$74)+SUM('1.  LRAMVA Summary'!K$75:K$76)*(MONTH($E121)-1)/12)*$H121</f>
        <v>-2.6739250000000003E-2</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753.81016043915361</v>
      </c>
    </row>
    <row r="122" spans="2:23" s="9" customFormat="1">
      <c r="B122" s="66"/>
      <c r="E122" s="214">
        <v>43160</v>
      </c>
      <c r="F122" s="214" t="s">
        <v>185</v>
      </c>
      <c r="G122" s="215" t="s">
        <v>65</v>
      </c>
      <c r="H122" s="240">
        <f t="shared" si="62"/>
        <v>1.25E-3</v>
      </c>
      <c r="I122" s="230">
        <f>(SUM('1.  LRAMVA Summary'!D$54:D$74)+SUM('1.  LRAMVA Summary'!D$75:D$76)*(MONTH($E122)-1)/12)*$H122</f>
        <v>504.2408333854749</v>
      </c>
      <c r="J122" s="230">
        <f>(SUM('1.  LRAMVA Summary'!E$54:E$74)+SUM('1.  LRAMVA Summary'!E$75:E$76)*(MONTH($E122)-1)/12)*$H122</f>
        <v>173.69595314320733</v>
      </c>
      <c r="K122" s="230">
        <f>(SUM('1.  LRAMVA Summary'!F$54:F$74)+SUM('1.  LRAMVA Summary'!F$75:F$76)*(MONTH($E122)-1)/12)*$H122</f>
        <v>-0.24876429839350295</v>
      </c>
      <c r="L122" s="230">
        <f>(SUM('1.  LRAMVA Summary'!G$54:G$74)+SUM('1.  LRAMVA Summary'!G$75:G$76)*(MONTH($E122)-1)/12)*$H122</f>
        <v>82.355718404113361</v>
      </c>
      <c r="M122" s="230">
        <f>(SUM('1.  LRAMVA Summary'!H$54:H$74)+SUM('1.  LRAMVA Summary'!H$75:H$76)*(MONTH($E122)-1)/12)*$H122</f>
        <v>-4.9115359294638239</v>
      </c>
      <c r="N122" s="230">
        <f>(SUM('1.  LRAMVA Summary'!I$54:I$74)+SUM('1.  LRAMVA Summary'!I$75:I$76)*(MONTH($E122)-1)/12)*$H122</f>
        <v>-2.2872924187759054E-2</v>
      </c>
      <c r="O122" s="230">
        <f>(SUM('1.  LRAMVA Summary'!J$54:J$74)+SUM('1.  LRAMVA Summary'!J$75:J$76)*(MONTH($E122)-1)/12)*$H122</f>
        <v>-1.2724320915967386</v>
      </c>
      <c r="P122" s="230">
        <f>(SUM('1.  LRAMVA Summary'!K$54:K$74)+SUM('1.  LRAMVA Summary'!K$75:K$76)*(MONTH($E122)-1)/12)*$H122</f>
        <v>-2.6739250000000003E-2</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753.81016043915361</v>
      </c>
    </row>
    <row r="123" spans="2:23" s="8" customFormat="1">
      <c r="B123" s="239"/>
      <c r="E123" s="214">
        <v>43191</v>
      </c>
      <c r="F123" s="214" t="s">
        <v>185</v>
      </c>
      <c r="G123" s="215" t="s">
        <v>66</v>
      </c>
      <c r="H123" s="240">
        <f>$C$44/12</f>
        <v>1.575E-3</v>
      </c>
      <c r="I123" s="230">
        <f>(SUM('1.  LRAMVA Summary'!D$54:D$74)+SUM('1.  LRAMVA Summary'!D$75:D$76)*(MONTH($E123)-1)/12)*$H123</f>
        <v>635.34345006569833</v>
      </c>
      <c r="J123" s="230">
        <f>(SUM('1.  LRAMVA Summary'!E$54:E$74)+SUM('1.  LRAMVA Summary'!E$75:E$76)*(MONTH($E123)-1)/12)*$H123</f>
        <v>218.85690096044124</v>
      </c>
      <c r="K123" s="230">
        <f>(SUM('1.  LRAMVA Summary'!F$54:F$74)+SUM('1.  LRAMVA Summary'!F$75:F$76)*(MONTH($E123)-1)/12)*$H123</f>
        <v>-0.3134430159758137</v>
      </c>
      <c r="L123" s="230">
        <f>(SUM('1.  LRAMVA Summary'!G$54:G$74)+SUM('1.  LRAMVA Summary'!G$75:G$76)*(MONTH($E123)-1)/12)*$H123</f>
        <v>103.76820518918284</v>
      </c>
      <c r="M123" s="230">
        <f>(SUM('1.  LRAMVA Summary'!H$54:H$74)+SUM('1.  LRAMVA Summary'!H$75:H$76)*(MONTH($E123)-1)/12)*$H123</f>
        <v>-6.1885352711244179</v>
      </c>
      <c r="N123" s="230">
        <f>(SUM('1.  LRAMVA Summary'!I$54:I$74)+SUM('1.  LRAMVA Summary'!I$75:I$76)*(MONTH($E123)-1)/12)*$H123</f>
        <v>-2.8819884476576407E-2</v>
      </c>
      <c r="O123" s="230">
        <f>(SUM('1.  LRAMVA Summary'!J$54:J$74)+SUM('1.  LRAMVA Summary'!J$75:J$76)*(MONTH($E123)-1)/12)*$H123</f>
        <v>-1.6032644354118906</v>
      </c>
      <c r="P123" s="230">
        <f>(SUM('1.  LRAMVA Summary'!K$54:K$74)+SUM('1.  LRAMVA Summary'!K$75:K$76)*(MONTH($E123)-1)/12)*$H123</f>
        <v>-3.3691455000000002E-2</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949.80080215333351</v>
      </c>
    </row>
    <row r="124" spans="2:23" s="9" customFormat="1">
      <c r="B124" s="66"/>
      <c r="E124" s="214">
        <v>43221</v>
      </c>
      <c r="F124" s="214" t="s">
        <v>185</v>
      </c>
      <c r="G124" s="215" t="s">
        <v>66</v>
      </c>
      <c r="H124" s="240">
        <f t="shared" ref="H124:H125" si="64">$C$44/12</f>
        <v>1.575E-3</v>
      </c>
      <c r="I124" s="230">
        <f>(SUM('1.  LRAMVA Summary'!D$54:D$74)+SUM('1.  LRAMVA Summary'!D$75:D$76)*(MONTH($E124)-1)/12)*$H124</f>
        <v>635.34345006569833</v>
      </c>
      <c r="J124" s="230">
        <f>(SUM('1.  LRAMVA Summary'!E$54:E$74)+SUM('1.  LRAMVA Summary'!E$75:E$76)*(MONTH($E124)-1)/12)*$H124</f>
        <v>218.85690096044124</v>
      </c>
      <c r="K124" s="230">
        <f>(SUM('1.  LRAMVA Summary'!F$54:F$74)+SUM('1.  LRAMVA Summary'!F$75:F$76)*(MONTH($E124)-1)/12)*$H124</f>
        <v>-0.3134430159758137</v>
      </c>
      <c r="L124" s="230">
        <f>(SUM('1.  LRAMVA Summary'!G$54:G$74)+SUM('1.  LRAMVA Summary'!G$75:G$76)*(MONTH($E124)-1)/12)*$H124</f>
        <v>103.76820518918284</v>
      </c>
      <c r="M124" s="230">
        <f>(SUM('1.  LRAMVA Summary'!H$54:H$74)+SUM('1.  LRAMVA Summary'!H$75:H$76)*(MONTH($E124)-1)/12)*$H124</f>
        <v>-6.1885352711244179</v>
      </c>
      <c r="N124" s="230">
        <f>(SUM('1.  LRAMVA Summary'!I$54:I$74)+SUM('1.  LRAMVA Summary'!I$75:I$76)*(MONTH($E124)-1)/12)*$H124</f>
        <v>-2.8819884476576407E-2</v>
      </c>
      <c r="O124" s="230">
        <f>(SUM('1.  LRAMVA Summary'!J$54:J$74)+SUM('1.  LRAMVA Summary'!J$75:J$76)*(MONTH($E124)-1)/12)*$H124</f>
        <v>-1.6032644354118906</v>
      </c>
      <c r="P124" s="230">
        <f>(SUM('1.  LRAMVA Summary'!K$54:K$74)+SUM('1.  LRAMVA Summary'!K$75:K$76)*(MONTH($E124)-1)/12)*$H124</f>
        <v>-3.3691455000000002E-2</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949.80080215333351</v>
      </c>
    </row>
    <row r="125" spans="2:23" s="238" customFormat="1">
      <c r="B125" s="237"/>
      <c r="E125" s="214">
        <v>43252</v>
      </c>
      <c r="F125" s="214" t="s">
        <v>185</v>
      </c>
      <c r="G125" s="215" t="s">
        <v>66</v>
      </c>
      <c r="H125" s="240">
        <f t="shared" si="64"/>
        <v>1.575E-3</v>
      </c>
      <c r="I125" s="230">
        <f>(SUM('1.  LRAMVA Summary'!D$54:D$74)+SUM('1.  LRAMVA Summary'!D$75:D$76)*(MONTH($E125)-1)/12)*$H125</f>
        <v>635.34345006569833</v>
      </c>
      <c r="J125" s="230">
        <f>(SUM('1.  LRAMVA Summary'!E$54:E$74)+SUM('1.  LRAMVA Summary'!E$75:E$76)*(MONTH($E125)-1)/12)*$H125</f>
        <v>218.85690096044124</v>
      </c>
      <c r="K125" s="230">
        <f>(SUM('1.  LRAMVA Summary'!F$54:F$74)+SUM('1.  LRAMVA Summary'!F$75:F$76)*(MONTH($E125)-1)/12)*$H125</f>
        <v>-0.3134430159758137</v>
      </c>
      <c r="L125" s="230">
        <f>(SUM('1.  LRAMVA Summary'!G$54:G$74)+SUM('1.  LRAMVA Summary'!G$75:G$76)*(MONTH($E125)-1)/12)*$H125</f>
        <v>103.76820518918284</v>
      </c>
      <c r="M125" s="230">
        <f>(SUM('1.  LRAMVA Summary'!H$54:H$74)+SUM('1.  LRAMVA Summary'!H$75:H$76)*(MONTH($E125)-1)/12)*$H125</f>
        <v>-6.1885352711244179</v>
      </c>
      <c r="N125" s="230">
        <f>(SUM('1.  LRAMVA Summary'!I$54:I$74)+SUM('1.  LRAMVA Summary'!I$75:I$76)*(MONTH($E125)-1)/12)*$H125</f>
        <v>-2.8819884476576407E-2</v>
      </c>
      <c r="O125" s="230">
        <f>(SUM('1.  LRAMVA Summary'!J$54:J$74)+SUM('1.  LRAMVA Summary'!J$75:J$76)*(MONTH($E125)-1)/12)*$H125</f>
        <v>-1.6032644354118906</v>
      </c>
      <c r="P125" s="230">
        <f>(SUM('1.  LRAMVA Summary'!K$54:K$74)+SUM('1.  LRAMVA Summary'!K$75:K$76)*(MONTH($E125)-1)/12)*$H125</f>
        <v>-3.3691455000000002E-2</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949.80080215333351</v>
      </c>
    </row>
    <row r="126" spans="2:23" s="9" customFormat="1">
      <c r="B126" s="66"/>
      <c r="E126" s="214">
        <v>43282</v>
      </c>
      <c r="F126" s="214" t="s">
        <v>185</v>
      </c>
      <c r="G126" s="215" t="s">
        <v>68</v>
      </c>
      <c r="H126" s="240">
        <f>$C$45/12</f>
        <v>1.575E-3</v>
      </c>
      <c r="I126" s="230">
        <f>(SUM('1.  LRAMVA Summary'!D$54:D$74)+SUM('1.  LRAMVA Summary'!D$75:D$76)*(MONTH($E126)-1)/12)*$H126</f>
        <v>635.34345006569833</v>
      </c>
      <c r="J126" s="230">
        <f>(SUM('1.  LRAMVA Summary'!E$54:E$74)+SUM('1.  LRAMVA Summary'!E$75:E$76)*(MONTH($E126)-1)/12)*$H126</f>
        <v>218.85690096044124</v>
      </c>
      <c r="K126" s="230">
        <f>(SUM('1.  LRAMVA Summary'!F$54:F$74)+SUM('1.  LRAMVA Summary'!F$75:F$76)*(MONTH($E126)-1)/12)*$H126</f>
        <v>-0.3134430159758137</v>
      </c>
      <c r="L126" s="230">
        <f>(SUM('1.  LRAMVA Summary'!G$54:G$74)+SUM('1.  LRAMVA Summary'!G$75:G$76)*(MONTH($E126)-1)/12)*$H126</f>
        <v>103.76820518918284</v>
      </c>
      <c r="M126" s="230">
        <f>(SUM('1.  LRAMVA Summary'!H$54:H$74)+SUM('1.  LRAMVA Summary'!H$75:H$76)*(MONTH($E126)-1)/12)*$H126</f>
        <v>-6.1885352711244179</v>
      </c>
      <c r="N126" s="230">
        <f>(SUM('1.  LRAMVA Summary'!I$54:I$74)+SUM('1.  LRAMVA Summary'!I$75:I$76)*(MONTH($E126)-1)/12)*$H126</f>
        <v>-2.8819884476576407E-2</v>
      </c>
      <c r="O126" s="230">
        <f>(SUM('1.  LRAMVA Summary'!J$54:J$74)+SUM('1.  LRAMVA Summary'!J$75:J$76)*(MONTH($E126)-1)/12)*$H126</f>
        <v>-1.6032644354118906</v>
      </c>
      <c r="P126" s="230">
        <f>(SUM('1.  LRAMVA Summary'!K$54:K$74)+SUM('1.  LRAMVA Summary'!K$75:K$76)*(MONTH($E126)-1)/12)*$H126</f>
        <v>-3.3691455000000002E-2</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949.80080215333351</v>
      </c>
    </row>
    <row r="127" spans="2:23" s="9" customFormat="1">
      <c r="B127" s="66"/>
      <c r="E127" s="214">
        <v>43313</v>
      </c>
      <c r="F127" s="214" t="s">
        <v>185</v>
      </c>
      <c r="G127" s="215" t="s">
        <v>68</v>
      </c>
      <c r="H127" s="240">
        <f t="shared" ref="H127:H128" si="65">$C$45/12</f>
        <v>1.575E-3</v>
      </c>
      <c r="I127" s="230">
        <f>(SUM('1.  LRAMVA Summary'!D$54:D$74)+SUM('1.  LRAMVA Summary'!D$75:D$76)*(MONTH($E127)-1)/12)*$H127</f>
        <v>635.34345006569833</v>
      </c>
      <c r="J127" s="230">
        <f>(SUM('1.  LRAMVA Summary'!E$54:E$74)+SUM('1.  LRAMVA Summary'!E$75:E$76)*(MONTH($E127)-1)/12)*$H127</f>
        <v>218.85690096044124</v>
      </c>
      <c r="K127" s="230">
        <f>(SUM('1.  LRAMVA Summary'!F$54:F$74)+SUM('1.  LRAMVA Summary'!F$75:F$76)*(MONTH($E127)-1)/12)*$H127</f>
        <v>-0.3134430159758137</v>
      </c>
      <c r="L127" s="230">
        <f>(SUM('1.  LRAMVA Summary'!G$54:G$74)+SUM('1.  LRAMVA Summary'!G$75:G$76)*(MONTH($E127)-1)/12)*$H127</f>
        <v>103.76820518918284</v>
      </c>
      <c r="M127" s="230">
        <f>(SUM('1.  LRAMVA Summary'!H$54:H$74)+SUM('1.  LRAMVA Summary'!H$75:H$76)*(MONTH($E127)-1)/12)*$H127</f>
        <v>-6.1885352711244179</v>
      </c>
      <c r="N127" s="230">
        <f>(SUM('1.  LRAMVA Summary'!I$54:I$74)+SUM('1.  LRAMVA Summary'!I$75:I$76)*(MONTH($E127)-1)/12)*$H127</f>
        <v>-2.8819884476576407E-2</v>
      </c>
      <c r="O127" s="230">
        <f>(SUM('1.  LRAMVA Summary'!J$54:J$74)+SUM('1.  LRAMVA Summary'!J$75:J$76)*(MONTH($E127)-1)/12)*$H127</f>
        <v>-1.6032644354118906</v>
      </c>
      <c r="P127" s="230">
        <f>(SUM('1.  LRAMVA Summary'!K$54:K$74)+SUM('1.  LRAMVA Summary'!K$75:K$76)*(MONTH($E127)-1)/12)*$H127</f>
        <v>-3.3691455000000002E-2</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949.80080215333351</v>
      </c>
    </row>
    <row r="128" spans="2:23" s="9" customFormat="1">
      <c r="B128" s="66"/>
      <c r="E128" s="214">
        <v>43344</v>
      </c>
      <c r="F128" s="214" t="s">
        <v>185</v>
      </c>
      <c r="G128" s="215" t="s">
        <v>68</v>
      </c>
      <c r="H128" s="240">
        <f t="shared" si="65"/>
        <v>1.575E-3</v>
      </c>
      <c r="I128" s="230">
        <f>(SUM('1.  LRAMVA Summary'!D$54:D$74)+SUM('1.  LRAMVA Summary'!D$75:D$76)*(MONTH($E128)-1)/12)*$H128</f>
        <v>635.34345006569833</v>
      </c>
      <c r="J128" s="230">
        <f>(SUM('1.  LRAMVA Summary'!E$54:E$74)+SUM('1.  LRAMVA Summary'!E$75:E$76)*(MONTH($E128)-1)/12)*$H128</f>
        <v>218.85690096044124</v>
      </c>
      <c r="K128" s="230">
        <f>(SUM('1.  LRAMVA Summary'!F$54:F$74)+SUM('1.  LRAMVA Summary'!F$75:F$76)*(MONTH($E128)-1)/12)*$H128</f>
        <v>-0.3134430159758137</v>
      </c>
      <c r="L128" s="230">
        <f>(SUM('1.  LRAMVA Summary'!G$54:G$74)+SUM('1.  LRAMVA Summary'!G$75:G$76)*(MONTH($E128)-1)/12)*$H128</f>
        <v>103.76820518918284</v>
      </c>
      <c r="M128" s="230">
        <f>(SUM('1.  LRAMVA Summary'!H$54:H$74)+SUM('1.  LRAMVA Summary'!H$75:H$76)*(MONTH($E128)-1)/12)*$H128</f>
        <v>-6.1885352711244179</v>
      </c>
      <c r="N128" s="230">
        <f>(SUM('1.  LRAMVA Summary'!I$54:I$74)+SUM('1.  LRAMVA Summary'!I$75:I$76)*(MONTH($E128)-1)/12)*$H128</f>
        <v>-2.8819884476576407E-2</v>
      </c>
      <c r="O128" s="230">
        <f>(SUM('1.  LRAMVA Summary'!J$54:J$74)+SUM('1.  LRAMVA Summary'!J$75:J$76)*(MONTH($E128)-1)/12)*$H128</f>
        <v>-1.6032644354118906</v>
      </c>
      <c r="P128" s="230">
        <f>(SUM('1.  LRAMVA Summary'!K$54:K$74)+SUM('1.  LRAMVA Summary'!K$75:K$76)*(MONTH($E128)-1)/12)*$H128</f>
        <v>-3.3691455000000002E-2</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949.80080215333351</v>
      </c>
    </row>
    <row r="129" spans="2:23" s="9" customFormat="1">
      <c r="B129" s="66"/>
      <c r="E129" s="214">
        <v>43374</v>
      </c>
      <c r="F129" s="214" t="s">
        <v>185</v>
      </c>
      <c r="G129" s="215" t="s">
        <v>69</v>
      </c>
      <c r="H129" s="240">
        <f>$C$46/12</f>
        <v>1.8083333333333335E-3</v>
      </c>
      <c r="I129" s="230">
        <f>(SUM('1.  LRAMVA Summary'!D$54:D$74)+SUM('1.  LRAMVA Summary'!D$75:D$76)*(MONTH($E129)-1)/12)*$H129</f>
        <v>729.46840563098704</v>
      </c>
      <c r="J129" s="230">
        <f>(SUM('1.  LRAMVA Summary'!E$54:E$74)+SUM('1.  LRAMVA Summary'!E$75:E$76)*(MONTH($E129)-1)/12)*$H129</f>
        <v>251.2801455471733</v>
      </c>
      <c r="K129" s="230">
        <f>(SUM('1.  LRAMVA Summary'!F$54:F$74)+SUM('1.  LRAMVA Summary'!F$75:F$76)*(MONTH($E129)-1)/12)*$H129</f>
        <v>-0.35987901834260094</v>
      </c>
      <c r="L129" s="230">
        <f>(SUM('1.  LRAMVA Summary'!G$54:G$74)+SUM('1.  LRAMVA Summary'!G$75:G$76)*(MONTH($E129)-1)/12)*$H129</f>
        <v>119.14127262461733</v>
      </c>
      <c r="M129" s="230">
        <f>(SUM('1.  LRAMVA Summary'!H$54:H$74)+SUM('1.  LRAMVA Summary'!H$75:H$76)*(MONTH($E129)-1)/12)*$H129</f>
        <v>-7.1053553112909986</v>
      </c>
      <c r="N129" s="230">
        <f>(SUM('1.  LRAMVA Summary'!I$54:I$74)+SUM('1.  LRAMVA Summary'!I$75:I$76)*(MONTH($E129)-1)/12)*$H129</f>
        <v>-3.3089496991624764E-2</v>
      </c>
      <c r="O129" s="230">
        <f>(SUM('1.  LRAMVA Summary'!J$54:J$74)+SUM('1.  LRAMVA Summary'!J$75:J$76)*(MONTH($E129)-1)/12)*$H129</f>
        <v>-1.8407850925099485</v>
      </c>
      <c r="P129" s="230">
        <f>(SUM('1.  LRAMVA Summary'!K$54:K$74)+SUM('1.  LRAMVA Summary'!K$75:K$76)*(MONTH($E129)-1)/12)*$H129</f>
        <v>-3.8682781666666673E-2</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1090.5120321019758</v>
      </c>
    </row>
    <row r="130" spans="2:23" s="9" customFormat="1">
      <c r="B130" s="66"/>
      <c r="E130" s="214">
        <v>43405</v>
      </c>
      <c r="F130" s="214" t="s">
        <v>185</v>
      </c>
      <c r="G130" s="215" t="s">
        <v>69</v>
      </c>
      <c r="H130" s="240">
        <f t="shared" ref="H130:H131" si="66">$C$46/12</f>
        <v>1.8083333333333335E-3</v>
      </c>
      <c r="I130" s="230">
        <f>(SUM('1.  LRAMVA Summary'!D$54:D$74)+SUM('1.  LRAMVA Summary'!D$75:D$76)*(MONTH($E130)-1)/12)*$H130</f>
        <v>729.46840563098704</v>
      </c>
      <c r="J130" s="230">
        <f>(SUM('1.  LRAMVA Summary'!E$54:E$74)+SUM('1.  LRAMVA Summary'!E$75:E$76)*(MONTH($E130)-1)/12)*$H130</f>
        <v>251.2801455471733</v>
      </c>
      <c r="K130" s="230">
        <f>(SUM('1.  LRAMVA Summary'!F$54:F$74)+SUM('1.  LRAMVA Summary'!F$75:F$76)*(MONTH($E130)-1)/12)*$H130</f>
        <v>-0.35987901834260094</v>
      </c>
      <c r="L130" s="230">
        <f>(SUM('1.  LRAMVA Summary'!G$54:G$74)+SUM('1.  LRAMVA Summary'!G$75:G$76)*(MONTH($E130)-1)/12)*$H130</f>
        <v>119.14127262461733</v>
      </c>
      <c r="M130" s="230">
        <f>(SUM('1.  LRAMVA Summary'!H$54:H$74)+SUM('1.  LRAMVA Summary'!H$75:H$76)*(MONTH($E130)-1)/12)*$H130</f>
        <v>-7.1053553112909986</v>
      </c>
      <c r="N130" s="230">
        <f>(SUM('1.  LRAMVA Summary'!I$54:I$74)+SUM('1.  LRAMVA Summary'!I$75:I$76)*(MONTH($E130)-1)/12)*$H130</f>
        <v>-3.3089496991624764E-2</v>
      </c>
      <c r="O130" s="230">
        <f>(SUM('1.  LRAMVA Summary'!J$54:J$74)+SUM('1.  LRAMVA Summary'!J$75:J$76)*(MONTH($E130)-1)/12)*$H130</f>
        <v>-1.8407850925099485</v>
      </c>
      <c r="P130" s="230">
        <f>(SUM('1.  LRAMVA Summary'!K$54:K$74)+SUM('1.  LRAMVA Summary'!K$75:K$76)*(MONTH($E130)-1)/12)*$H130</f>
        <v>-3.8682781666666673E-2</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1090.5120321019758</v>
      </c>
    </row>
    <row r="131" spans="2:23" s="9" customFormat="1">
      <c r="B131" s="66"/>
      <c r="E131" s="214">
        <v>43435</v>
      </c>
      <c r="F131" s="214" t="s">
        <v>185</v>
      </c>
      <c r="G131" s="215" t="s">
        <v>69</v>
      </c>
      <c r="H131" s="240">
        <f t="shared" si="66"/>
        <v>1.8083333333333335E-3</v>
      </c>
      <c r="I131" s="230">
        <f>(SUM('1.  LRAMVA Summary'!D$54:D$74)+SUM('1.  LRAMVA Summary'!D$75:D$76)*(MONTH($E131)-1)/12)*$H131</f>
        <v>729.46840563098704</v>
      </c>
      <c r="J131" s="230">
        <f>(SUM('1.  LRAMVA Summary'!E$54:E$74)+SUM('1.  LRAMVA Summary'!E$75:E$76)*(MONTH($E131)-1)/12)*$H131</f>
        <v>251.2801455471733</v>
      </c>
      <c r="K131" s="230">
        <f>(SUM('1.  LRAMVA Summary'!F$54:F$74)+SUM('1.  LRAMVA Summary'!F$75:F$76)*(MONTH($E131)-1)/12)*$H131</f>
        <v>-0.35987901834260094</v>
      </c>
      <c r="L131" s="230">
        <f>(SUM('1.  LRAMVA Summary'!G$54:G$74)+SUM('1.  LRAMVA Summary'!G$75:G$76)*(MONTH($E131)-1)/12)*$H131</f>
        <v>119.14127262461733</v>
      </c>
      <c r="M131" s="230">
        <f>(SUM('1.  LRAMVA Summary'!H$54:H$74)+SUM('1.  LRAMVA Summary'!H$75:H$76)*(MONTH($E131)-1)/12)*$H131</f>
        <v>-7.1053553112909986</v>
      </c>
      <c r="N131" s="230">
        <f>(SUM('1.  LRAMVA Summary'!I$54:I$74)+SUM('1.  LRAMVA Summary'!I$75:I$76)*(MONTH($E131)-1)/12)*$H131</f>
        <v>-3.3089496991624764E-2</v>
      </c>
      <c r="O131" s="230">
        <f>(SUM('1.  LRAMVA Summary'!J$54:J$74)+SUM('1.  LRAMVA Summary'!J$75:J$76)*(MONTH($E131)-1)/12)*$H131</f>
        <v>-1.8407850925099485</v>
      </c>
      <c r="P131" s="230">
        <f>(SUM('1.  LRAMVA Summary'!K$54:K$74)+SUM('1.  LRAMVA Summary'!K$75:K$76)*(MONTH($E131)-1)/12)*$H131</f>
        <v>-3.8682781666666673E-2</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1090.5120321019758</v>
      </c>
    </row>
    <row r="132" spans="2:23" s="9" customFormat="1" ht="15" thickBot="1">
      <c r="B132" s="66"/>
      <c r="E132" s="216" t="s">
        <v>469</v>
      </c>
      <c r="F132" s="216"/>
      <c r="G132" s="217"/>
      <c r="H132" s="218"/>
      <c r="I132" s="219">
        <f>SUM(I119:I131)</f>
        <v>11214.63171396168</v>
      </c>
      <c r="J132" s="219">
        <f>SUM(J119:J131)</f>
        <v>3840.9061355047616</v>
      </c>
      <c r="K132" s="219">
        <f t="shared" ref="K132:O132" si="67">SUM(K119:K131)</f>
        <v>-378.82013594299116</v>
      </c>
      <c r="L132" s="219">
        <f t="shared" si="67"/>
        <v>2335.8735707456881</v>
      </c>
      <c r="M132" s="219">
        <f t="shared" si="67"/>
        <v>-148.90789616368352</v>
      </c>
      <c r="N132" s="219">
        <f t="shared" si="67"/>
        <v>-0.62117673455778155</v>
      </c>
      <c r="O132" s="219">
        <f t="shared" si="67"/>
        <v>-35.227521892001967</v>
      </c>
      <c r="P132" s="219">
        <f t="shared" ref="P132:V132" si="68">SUM(P119:P131)</f>
        <v>-0.74610239541666679</v>
      </c>
      <c r="Q132" s="219">
        <f t="shared" si="68"/>
        <v>0</v>
      </c>
      <c r="R132" s="219">
        <f t="shared" si="68"/>
        <v>0</v>
      </c>
      <c r="S132" s="219">
        <f t="shared" si="68"/>
        <v>0</v>
      </c>
      <c r="T132" s="219">
        <f t="shared" si="68"/>
        <v>0</v>
      </c>
      <c r="U132" s="219">
        <f t="shared" si="68"/>
        <v>0</v>
      </c>
      <c r="V132" s="219">
        <f t="shared" si="68"/>
        <v>0</v>
      </c>
      <c r="W132" s="219">
        <f>SUM(W119:W131)</f>
        <v>16827.088587083475</v>
      </c>
    </row>
    <row r="133" spans="2:23" s="9" customFormat="1" ht="1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11214.63171396168</v>
      </c>
      <c r="J134" s="228">
        <f t="shared" ref="J134" si="69">J132+J133</f>
        <v>3840.9061355047616</v>
      </c>
      <c r="K134" s="228">
        <f t="shared" ref="K134" si="70">K132+K133</f>
        <v>-378.82013594299116</v>
      </c>
      <c r="L134" s="228">
        <f t="shared" ref="L134" si="71">L132+L133</f>
        <v>2335.8735707456881</v>
      </c>
      <c r="M134" s="228">
        <f t="shared" ref="M134" si="72">M132+M133</f>
        <v>-148.90789616368352</v>
      </c>
      <c r="N134" s="228">
        <f t="shared" ref="N134" si="73">N132+N133</f>
        <v>-0.62117673455778155</v>
      </c>
      <c r="O134" s="228">
        <f t="shared" ref="O134:V134" si="74">O132+O133</f>
        <v>-35.227521892001967</v>
      </c>
      <c r="P134" s="228">
        <f t="shared" si="74"/>
        <v>-0.74610239541666679</v>
      </c>
      <c r="Q134" s="228">
        <f t="shared" si="74"/>
        <v>0</v>
      </c>
      <c r="R134" s="228">
        <f t="shared" si="74"/>
        <v>0</v>
      </c>
      <c r="S134" s="228">
        <f t="shared" si="74"/>
        <v>0</v>
      </c>
      <c r="T134" s="228">
        <f t="shared" si="74"/>
        <v>0</v>
      </c>
      <c r="U134" s="228">
        <f t="shared" si="74"/>
        <v>0</v>
      </c>
      <c r="V134" s="228">
        <f t="shared" si="74"/>
        <v>0</v>
      </c>
      <c r="W134" s="228">
        <f>W132+W133</f>
        <v>16827.088587083475</v>
      </c>
    </row>
    <row r="135" spans="2:23" s="9" customFormat="1">
      <c r="B135" s="66"/>
      <c r="E135" s="214">
        <v>43466</v>
      </c>
      <c r="F135" s="214" t="s">
        <v>186</v>
      </c>
      <c r="G135" s="215" t="s">
        <v>65</v>
      </c>
      <c r="H135" s="240">
        <f>$C$47/12</f>
        <v>2.0416666666666669E-3</v>
      </c>
      <c r="I135" s="230">
        <f>(SUM('1.  LRAMVA Summary'!D$54:D$77)+SUM('1.  LRAMVA Summary'!D$78:D$79)*(MONTH($E135)-1)/12)*$H135</f>
        <v>823.59336119627574</v>
      </c>
      <c r="J135" s="230">
        <f>(SUM('1.  LRAMVA Summary'!E$54:E$77)+SUM('1.  LRAMVA Summary'!E$78:E$79)*(MONTH($E135)-1)/12)*$H135</f>
        <v>283.70339013390532</v>
      </c>
      <c r="K135" s="230">
        <f>(SUM('1.  LRAMVA Summary'!F$54:F$77)+SUM('1.  LRAMVA Summary'!F$78:F$79)*(MONTH($E135)-1)/12)*$H135</f>
        <v>-0.40631502070938819</v>
      </c>
      <c r="L135" s="230">
        <f>(SUM('1.  LRAMVA Summary'!G$54:G$77)+SUM('1.  LRAMVA Summary'!G$78:G$79)*(MONTH($E135)-1)/12)*$H135</f>
        <v>134.51434006005184</v>
      </c>
      <c r="M135" s="230">
        <f>(SUM('1.  LRAMVA Summary'!H$54:H$77)+SUM('1.  LRAMVA Summary'!H$78:H$79)*(MONTH($E135)-1)/12)*$H135</f>
        <v>-8.0221753514575802</v>
      </c>
      <c r="N135" s="230">
        <f>(SUM('1.  LRAMVA Summary'!I$54:I$77)+SUM('1.  LRAMVA Summary'!I$78:I$79)*(MONTH($E135)-1)/12)*$H135</f>
        <v>-3.7359109506673129E-2</v>
      </c>
      <c r="O135" s="230">
        <f>(SUM('1.  LRAMVA Summary'!J$54:J$77)+SUM('1.  LRAMVA Summary'!J$78:J$79)*(MONTH($E135)-1)/12)*$H135</f>
        <v>-2.0783057496080066</v>
      </c>
      <c r="P135" s="230">
        <f>(SUM('1.  LRAMVA Summary'!K$54:K$77)+SUM('1.  LRAMVA Summary'!K$78:K$79)*(MONTH($E135)-1)/12)*$H135</f>
        <v>-4.3674108333333343E-2</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1231.2232620506177</v>
      </c>
    </row>
    <row r="136" spans="2:23" s="9" customFormat="1">
      <c r="B136" s="66"/>
      <c r="E136" s="214">
        <v>43497</v>
      </c>
      <c r="F136" s="214" t="s">
        <v>186</v>
      </c>
      <c r="G136" s="215" t="s">
        <v>65</v>
      </c>
      <c r="H136" s="240">
        <f t="shared" ref="H136:H137" si="75">$C$47/12</f>
        <v>2.0416666666666669E-3</v>
      </c>
      <c r="I136" s="230">
        <f>(SUM('1.  LRAMVA Summary'!D$54:D$77)+SUM('1.  LRAMVA Summary'!D$78:D$79)*(MONTH($E136)-1)/12)*$H136</f>
        <v>823.59336119627574</v>
      </c>
      <c r="J136" s="230">
        <f>(SUM('1.  LRAMVA Summary'!E$54:E$77)+SUM('1.  LRAMVA Summary'!E$78:E$79)*(MONTH($E136)-1)/12)*$H136</f>
        <v>283.70339013390532</v>
      </c>
      <c r="K136" s="230">
        <f>(SUM('1.  LRAMVA Summary'!F$54:F$77)+SUM('1.  LRAMVA Summary'!F$78:F$79)*(MONTH($E136)-1)/12)*$H136</f>
        <v>-0.40631502070938819</v>
      </c>
      <c r="L136" s="230">
        <f>(SUM('1.  LRAMVA Summary'!G$54:G$77)+SUM('1.  LRAMVA Summary'!G$78:G$79)*(MONTH($E136)-1)/12)*$H136</f>
        <v>134.51434006005184</v>
      </c>
      <c r="M136" s="230">
        <f>(SUM('1.  LRAMVA Summary'!H$54:H$77)+SUM('1.  LRAMVA Summary'!H$78:H$79)*(MONTH($E136)-1)/12)*$H136</f>
        <v>-8.0221753514575802</v>
      </c>
      <c r="N136" s="230">
        <f>(SUM('1.  LRAMVA Summary'!I$54:I$77)+SUM('1.  LRAMVA Summary'!I$78:I$79)*(MONTH($E136)-1)/12)*$H136</f>
        <v>-3.7359109506673129E-2</v>
      </c>
      <c r="O136" s="230">
        <f>(SUM('1.  LRAMVA Summary'!J$54:J$77)+SUM('1.  LRAMVA Summary'!J$78:J$79)*(MONTH($E136)-1)/12)*$H136</f>
        <v>-2.0783057496080066</v>
      </c>
      <c r="P136" s="230">
        <f>(SUM('1.  LRAMVA Summary'!K$54:K$77)+SUM('1.  LRAMVA Summary'!K$78:K$79)*(MONTH($E136)-1)/12)*$H136</f>
        <v>-4.3674108333333343E-2</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1231.2232620506177</v>
      </c>
    </row>
    <row r="137" spans="2:23" s="9" customFormat="1">
      <c r="B137" s="66"/>
      <c r="E137" s="214">
        <v>43525</v>
      </c>
      <c r="F137" s="214" t="s">
        <v>186</v>
      </c>
      <c r="G137" s="215" t="s">
        <v>65</v>
      </c>
      <c r="H137" s="240">
        <f t="shared" si="75"/>
        <v>2.0416666666666669E-3</v>
      </c>
      <c r="I137" s="230">
        <f>(SUM('1.  LRAMVA Summary'!D$54:D$77)+SUM('1.  LRAMVA Summary'!D$78:D$79)*(MONTH($E137)-1)/12)*$H137</f>
        <v>823.59336119627574</v>
      </c>
      <c r="J137" s="230">
        <f>(SUM('1.  LRAMVA Summary'!E$54:E$77)+SUM('1.  LRAMVA Summary'!E$78:E$79)*(MONTH($E137)-1)/12)*$H137</f>
        <v>283.70339013390532</v>
      </c>
      <c r="K137" s="230">
        <f>(SUM('1.  LRAMVA Summary'!F$54:F$77)+SUM('1.  LRAMVA Summary'!F$78:F$79)*(MONTH($E137)-1)/12)*$H137</f>
        <v>-0.40631502070938819</v>
      </c>
      <c r="L137" s="230">
        <f>(SUM('1.  LRAMVA Summary'!G$54:G$77)+SUM('1.  LRAMVA Summary'!G$78:G$79)*(MONTH($E137)-1)/12)*$H137</f>
        <v>134.51434006005184</v>
      </c>
      <c r="M137" s="230">
        <f>(SUM('1.  LRAMVA Summary'!H$54:H$77)+SUM('1.  LRAMVA Summary'!H$78:H$79)*(MONTH($E137)-1)/12)*$H137</f>
        <v>-8.0221753514575802</v>
      </c>
      <c r="N137" s="230">
        <f>(SUM('1.  LRAMVA Summary'!I$54:I$77)+SUM('1.  LRAMVA Summary'!I$78:I$79)*(MONTH($E137)-1)/12)*$H137</f>
        <v>-3.7359109506673129E-2</v>
      </c>
      <c r="O137" s="230">
        <f>(SUM('1.  LRAMVA Summary'!J$54:J$77)+SUM('1.  LRAMVA Summary'!J$78:J$79)*(MONTH($E137)-1)/12)*$H137</f>
        <v>-2.0783057496080066</v>
      </c>
      <c r="P137" s="230">
        <f>(SUM('1.  LRAMVA Summary'!K$54:K$77)+SUM('1.  LRAMVA Summary'!K$78:K$79)*(MONTH($E137)-1)/12)*$H137</f>
        <v>-4.3674108333333343E-2</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1231.2232620506177</v>
      </c>
    </row>
    <row r="138" spans="2:23" s="8" customFormat="1">
      <c r="B138" s="239"/>
      <c r="E138" s="214">
        <v>43556</v>
      </c>
      <c r="F138" s="214" t="s">
        <v>186</v>
      </c>
      <c r="G138" s="215" t="s">
        <v>66</v>
      </c>
      <c r="H138" s="240">
        <f>$C$48/12</f>
        <v>1.8166666666666667E-3</v>
      </c>
      <c r="I138" s="230">
        <f>(SUM('1.  LRAMVA Summary'!D$54:D$77)+SUM('1.  LRAMVA Summary'!D$78:D$79)*(MONTH($E138)-1)/12)*$H138</f>
        <v>732.83001118689026</v>
      </c>
      <c r="J138" s="230">
        <f>(SUM('1.  LRAMVA Summary'!E$54:E$77)+SUM('1.  LRAMVA Summary'!E$78:E$79)*(MONTH($E138)-1)/12)*$H138</f>
        <v>252.438118568128</v>
      </c>
      <c r="K138" s="230">
        <f>(SUM('1.  LRAMVA Summary'!F$54:F$77)+SUM('1.  LRAMVA Summary'!F$78:F$79)*(MONTH($E138)-1)/12)*$H138</f>
        <v>-0.36153744699855761</v>
      </c>
      <c r="L138" s="230">
        <f>(SUM('1.  LRAMVA Summary'!G$54:G$77)+SUM('1.  LRAMVA Summary'!G$78:G$79)*(MONTH($E138)-1)/12)*$H138</f>
        <v>119.69031074731141</v>
      </c>
      <c r="M138" s="230">
        <f>(SUM('1.  LRAMVA Summary'!H$54:H$77)+SUM('1.  LRAMVA Summary'!H$78:H$79)*(MONTH($E138)-1)/12)*$H138</f>
        <v>-7.1380988841540907</v>
      </c>
      <c r="N138" s="230">
        <f>(SUM('1.  LRAMVA Summary'!I$54:I$77)+SUM('1.  LRAMVA Summary'!I$78:I$79)*(MONTH($E138)-1)/12)*$H138</f>
        <v>-3.3241983152876492E-2</v>
      </c>
      <c r="O138" s="230">
        <f>(SUM('1.  LRAMVA Summary'!J$54:J$77)+SUM('1.  LRAMVA Summary'!J$78:J$79)*(MONTH($E138)-1)/12)*$H138</f>
        <v>-1.8492679731205934</v>
      </c>
      <c r="P138" s="230">
        <f>(SUM('1.  LRAMVA Summary'!K$54:K$77)+SUM('1.  LRAMVA Summary'!K$78:K$79)*(MONTH($E138)-1)/12)*$H138</f>
        <v>-3.8861043333333338E-2</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1095.5374331715702</v>
      </c>
    </row>
    <row r="139" spans="2:23" s="9" customFormat="1">
      <c r="B139" s="66"/>
      <c r="E139" s="214">
        <v>43586</v>
      </c>
      <c r="F139" s="214" t="s">
        <v>186</v>
      </c>
      <c r="G139" s="215" t="s">
        <v>66</v>
      </c>
      <c r="H139" s="240">
        <f>$C$48/12</f>
        <v>1.8166666666666667E-3</v>
      </c>
      <c r="I139" s="230">
        <f>(SUM('1.  LRAMVA Summary'!D$54:D$77)+SUM('1.  LRAMVA Summary'!D$78:D$79)*(MONTH($E139)-1)/12)*$H139</f>
        <v>732.83001118689026</v>
      </c>
      <c r="J139" s="230">
        <f>(SUM('1.  LRAMVA Summary'!E$54:E$77)+SUM('1.  LRAMVA Summary'!E$78:E$79)*(MONTH($E139)-1)/12)*$H139</f>
        <v>252.438118568128</v>
      </c>
      <c r="K139" s="230">
        <f>(SUM('1.  LRAMVA Summary'!F$54:F$77)+SUM('1.  LRAMVA Summary'!F$78:F$79)*(MONTH($E139)-1)/12)*$H139</f>
        <v>-0.36153744699855761</v>
      </c>
      <c r="L139" s="230">
        <f>(SUM('1.  LRAMVA Summary'!G$54:G$77)+SUM('1.  LRAMVA Summary'!G$78:G$79)*(MONTH($E139)-1)/12)*$H139</f>
        <v>119.69031074731141</v>
      </c>
      <c r="M139" s="230">
        <f>(SUM('1.  LRAMVA Summary'!H$54:H$77)+SUM('1.  LRAMVA Summary'!H$78:H$79)*(MONTH($E139)-1)/12)*$H139</f>
        <v>-7.1380988841540907</v>
      </c>
      <c r="N139" s="230">
        <f>(SUM('1.  LRAMVA Summary'!I$54:I$77)+SUM('1.  LRAMVA Summary'!I$78:I$79)*(MONTH($E139)-1)/12)*$H139</f>
        <v>-3.3241983152876492E-2</v>
      </c>
      <c r="O139" s="230">
        <f>(SUM('1.  LRAMVA Summary'!J$54:J$77)+SUM('1.  LRAMVA Summary'!J$78:J$79)*(MONTH($E139)-1)/12)*$H139</f>
        <v>-1.8492679731205934</v>
      </c>
      <c r="P139" s="230">
        <f>(SUM('1.  LRAMVA Summary'!K$54:K$77)+SUM('1.  LRAMVA Summary'!K$78:K$79)*(MONTH($E139)-1)/12)*$H139</f>
        <v>-3.8861043333333338E-2</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1095.5374331715702</v>
      </c>
    </row>
    <row r="140" spans="2:23" s="9" customFormat="1">
      <c r="B140" s="66"/>
      <c r="E140" s="214">
        <v>43617</v>
      </c>
      <c r="F140" s="214" t="s">
        <v>186</v>
      </c>
      <c r="G140" s="215" t="s">
        <v>66</v>
      </c>
      <c r="H140" s="240">
        <f t="shared" ref="H140" si="77">$C$48/12</f>
        <v>1.8166666666666667E-3</v>
      </c>
      <c r="I140" s="230">
        <f>(SUM('1.  LRAMVA Summary'!D$54:D$77)+SUM('1.  LRAMVA Summary'!D$78:D$79)*(MONTH($E140)-1)/12)*$H140</f>
        <v>732.83001118689026</v>
      </c>
      <c r="J140" s="230">
        <f>(SUM('1.  LRAMVA Summary'!E$54:E$77)+SUM('1.  LRAMVA Summary'!E$78:E$79)*(MONTH($E140)-1)/12)*$H140</f>
        <v>252.438118568128</v>
      </c>
      <c r="K140" s="230">
        <f>(SUM('1.  LRAMVA Summary'!F$54:F$77)+SUM('1.  LRAMVA Summary'!F$78:F$79)*(MONTH($E140)-1)/12)*$H140</f>
        <v>-0.36153744699855761</v>
      </c>
      <c r="L140" s="230">
        <f>(SUM('1.  LRAMVA Summary'!G$54:G$77)+SUM('1.  LRAMVA Summary'!G$78:G$79)*(MONTH($E140)-1)/12)*$H140</f>
        <v>119.69031074731141</v>
      </c>
      <c r="M140" s="230">
        <f>(SUM('1.  LRAMVA Summary'!H$54:H$77)+SUM('1.  LRAMVA Summary'!H$78:H$79)*(MONTH($E140)-1)/12)*$H140</f>
        <v>-7.1380988841540907</v>
      </c>
      <c r="N140" s="230">
        <f>(SUM('1.  LRAMVA Summary'!I$54:I$77)+SUM('1.  LRAMVA Summary'!I$78:I$79)*(MONTH($E140)-1)/12)*$H140</f>
        <v>-3.3241983152876492E-2</v>
      </c>
      <c r="O140" s="230">
        <f>(SUM('1.  LRAMVA Summary'!J$54:J$77)+SUM('1.  LRAMVA Summary'!J$78:J$79)*(MONTH($E140)-1)/12)*$H140</f>
        <v>-1.8492679731205934</v>
      </c>
      <c r="P140" s="230">
        <f>(SUM('1.  LRAMVA Summary'!K$54:K$77)+SUM('1.  LRAMVA Summary'!K$78:K$79)*(MONTH($E140)-1)/12)*$H140</f>
        <v>-3.8861043333333338E-2</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1095.5374331715702</v>
      </c>
    </row>
    <row r="141" spans="2:23" s="9" customFormat="1">
      <c r="B141" s="66"/>
      <c r="E141" s="214">
        <v>43647</v>
      </c>
      <c r="F141" s="214" t="s">
        <v>186</v>
      </c>
      <c r="G141" s="215" t="s">
        <v>68</v>
      </c>
      <c r="H141" s="240">
        <f>$C$49/12</f>
        <v>1.8166666666666667E-3</v>
      </c>
      <c r="I141" s="230">
        <f>(SUM('1.  LRAMVA Summary'!D$54:D$77)+SUM('1.  LRAMVA Summary'!D$78:D$79)*(MONTH($E141)-1)/12)*$H141</f>
        <v>732.83001118689026</v>
      </c>
      <c r="J141" s="230">
        <f>(SUM('1.  LRAMVA Summary'!E$54:E$77)+SUM('1.  LRAMVA Summary'!E$78:E$79)*(MONTH($E141)-1)/12)*$H141</f>
        <v>252.438118568128</v>
      </c>
      <c r="K141" s="230">
        <f>(SUM('1.  LRAMVA Summary'!F$54:F$77)+SUM('1.  LRAMVA Summary'!F$78:F$79)*(MONTH($E141)-1)/12)*$H141</f>
        <v>-0.36153744699855761</v>
      </c>
      <c r="L141" s="230">
        <f>(SUM('1.  LRAMVA Summary'!G$54:G$77)+SUM('1.  LRAMVA Summary'!G$78:G$79)*(MONTH($E141)-1)/12)*$H141</f>
        <v>119.69031074731141</v>
      </c>
      <c r="M141" s="230">
        <f>(SUM('1.  LRAMVA Summary'!H$54:H$77)+SUM('1.  LRAMVA Summary'!H$78:H$79)*(MONTH($E141)-1)/12)*$H141</f>
        <v>-7.1380988841540907</v>
      </c>
      <c r="N141" s="230">
        <f>(SUM('1.  LRAMVA Summary'!I$54:I$77)+SUM('1.  LRAMVA Summary'!I$78:I$79)*(MONTH($E141)-1)/12)*$H141</f>
        <v>-3.3241983152876492E-2</v>
      </c>
      <c r="O141" s="230">
        <f>(SUM('1.  LRAMVA Summary'!J$54:J$77)+SUM('1.  LRAMVA Summary'!J$78:J$79)*(MONTH($E141)-1)/12)*$H141</f>
        <v>-1.8492679731205934</v>
      </c>
      <c r="P141" s="230">
        <f>(SUM('1.  LRAMVA Summary'!K$54:K$77)+SUM('1.  LRAMVA Summary'!K$78:K$79)*(MONTH($E141)-1)/12)*$H141</f>
        <v>-3.8861043333333338E-2</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1095.5374331715702</v>
      </c>
    </row>
    <row r="142" spans="2:23" s="9" customFormat="1">
      <c r="B142" s="66"/>
      <c r="E142" s="214">
        <v>43678</v>
      </c>
      <c r="F142" s="214" t="s">
        <v>186</v>
      </c>
      <c r="G142" s="215" t="s">
        <v>68</v>
      </c>
      <c r="H142" s="240">
        <f t="shared" ref="H142" si="78">$C$49/12</f>
        <v>1.8166666666666667E-3</v>
      </c>
      <c r="I142" s="230">
        <f>(SUM('1.  LRAMVA Summary'!D$54:D$77)+SUM('1.  LRAMVA Summary'!D$78:D$79)*(MONTH($E142)-1)/12)*$H142</f>
        <v>732.83001118689026</v>
      </c>
      <c r="J142" s="230">
        <f>(SUM('1.  LRAMVA Summary'!E$54:E$77)+SUM('1.  LRAMVA Summary'!E$78:E$79)*(MONTH($E142)-1)/12)*$H142</f>
        <v>252.438118568128</v>
      </c>
      <c r="K142" s="230">
        <f>(SUM('1.  LRAMVA Summary'!F$54:F$77)+SUM('1.  LRAMVA Summary'!F$78:F$79)*(MONTH($E142)-1)/12)*$H142</f>
        <v>-0.36153744699855761</v>
      </c>
      <c r="L142" s="230">
        <f>(SUM('1.  LRAMVA Summary'!G$54:G$77)+SUM('1.  LRAMVA Summary'!G$78:G$79)*(MONTH($E142)-1)/12)*$H142</f>
        <v>119.69031074731141</v>
      </c>
      <c r="M142" s="230">
        <f>(SUM('1.  LRAMVA Summary'!H$54:H$77)+SUM('1.  LRAMVA Summary'!H$78:H$79)*(MONTH($E142)-1)/12)*$H142</f>
        <v>-7.1380988841540907</v>
      </c>
      <c r="N142" s="230">
        <f>(SUM('1.  LRAMVA Summary'!I$54:I$77)+SUM('1.  LRAMVA Summary'!I$78:I$79)*(MONTH($E142)-1)/12)*$H142</f>
        <v>-3.3241983152876492E-2</v>
      </c>
      <c r="O142" s="230">
        <f>(SUM('1.  LRAMVA Summary'!J$54:J$77)+SUM('1.  LRAMVA Summary'!J$78:J$79)*(MONTH($E142)-1)/12)*$H142</f>
        <v>-1.8492679731205934</v>
      </c>
      <c r="P142" s="230">
        <f>(SUM('1.  LRAMVA Summary'!K$54:K$77)+SUM('1.  LRAMVA Summary'!K$78:K$79)*(MONTH($E142)-1)/12)*$H142</f>
        <v>-3.8861043333333338E-2</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1095.5374331715702</v>
      </c>
    </row>
    <row r="143" spans="2:23" s="9" customFormat="1">
      <c r="B143" s="66"/>
      <c r="E143" s="214">
        <v>43709</v>
      </c>
      <c r="F143" s="214" t="s">
        <v>186</v>
      </c>
      <c r="G143" s="215" t="s">
        <v>68</v>
      </c>
      <c r="H143" s="240">
        <f>$C$49/12</f>
        <v>1.8166666666666667E-3</v>
      </c>
      <c r="I143" s="230">
        <f>(SUM('1.  LRAMVA Summary'!D$54:D$77)+SUM('1.  LRAMVA Summary'!D$78:D$79)*(MONTH($E143)-1)/12)*$H143</f>
        <v>732.83001118689026</v>
      </c>
      <c r="J143" s="230">
        <f>(SUM('1.  LRAMVA Summary'!E$54:E$77)+SUM('1.  LRAMVA Summary'!E$78:E$79)*(MONTH($E143)-1)/12)*$H143</f>
        <v>252.438118568128</v>
      </c>
      <c r="K143" s="230">
        <f>(SUM('1.  LRAMVA Summary'!F$54:F$77)+SUM('1.  LRAMVA Summary'!F$78:F$79)*(MONTH($E143)-1)/12)*$H143</f>
        <v>-0.36153744699855761</v>
      </c>
      <c r="L143" s="230">
        <f>(SUM('1.  LRAMVA Summary'!G$54:G$77)+SUM('1.  LRAMVA Summary'!G$78:G$79)*(MONTH($E143)-1)/12)*$H143</f>
        <v>119.69031074731141</v>
      </c>
      <c r="M143" s="230">
        <f>(SUM('1.  LRAMVA Summary'!H$54:H$77)+SUM('1.  LRAMVA Summary'!H$78:H$79)*(MONTH($E143)-1)/12)*$H143</f>
        <v>-7.1380988841540907</v>
      </c>
      <c r="N143" s="230">
        <f>(SUM('1.  LRAMVA Summary'!I$54:I$77)+SUM('1.  LRAMVA Summary'!I$78:I$79)*(MONTH($E143)-1)/12)*$H143</f>
        <v>-3.3241983152876492E-2</v>
      </c>
      <c r="O143" s="230">
        <f>(SUM('1.  LRAMVA Summary'!J$54:J$77)+SUM('1.  LRAMVA Summary'!J$78:J$79)*(MONTH($E143)-1)/12)*$H143</f>
        <v>-1.8492679731205934</v>
      </c>
      <c r="P143" s="230">
        <f>(SUM('1.  LRAMVA Summary'!K$54:K$77)+SUM('1.  LRAMVA Summary'!K$78:K$79)*(MONTH($E143)-1)/12)*$H143</f>
        <v>-3.8861043333333338E-2</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1095.5374331715702</v>
      </c>
    </row>
    <row r="144" spans="2:23" s="9" customFormat="1">
      <c r="B144" s="66"/>
      <c r="E144" s="214">
        <v>43739</v>
      </c>
      <c r="F144" s="214" t="s">
        <v>186</v>
      </c>
      <c r="G144" s="215" t="s">
        <v>69</v>
      </c>
      <c r="H144" s="240">
        <f>$C$50/12</f>
        <v>1.8166666666666667E-3</v>
      </c>
      <c r="I144" s="230">
        <f>(SUM('1.  LRAMVA Summary'!D$54:D$77)+SUM('1.  LRAMVA Summary'!D$78:D$79)*(MONTH($E144)-1)/12)*$H144</f>
        <v>732.83001118689026</v>
      </c>
      <c r="J144" s="230">
        <f>(SUM('1.  LRAMVA Summary'!E$54:E$77)+SUM('1.  LRAMVA Summary'!E$78:E$79)*(MONTH($E144)-1)/12)*$H144</f>
        <v>252.438118568128</v>
      </c>
      <c r="K144" s="230">
        <f>(SUM('1.  LRAMVA Summary'!F$54:F$77)+SUM('1.  LRAMVA Summary'!F$78:F$79)*(MONTH($E144)-1)/12)*$H144</f>
        <v>-0.36153744699855761</v>
      </c>
      <c r="L144" s="230">
        <f>(SUM('1.  LRAMVA Summary'!G$54:G$77)+SUM('1.  LRAMVA Summary'!G$78:G$79)*(MONTH($E144)-1)/12)*$H144</f>
        <v>119.69031074731141</v>
      </c>
      <c r="M144" s="230">
        <f>(SUM('1.  LRAMVA Summary'!H$54:H$77)+SUM('1.  LRAMVA Summary'!H$78:H$79)*(MONTH($E144)-1)/12)*$H144</f>
        <v>-7.1380988841540907</v>
      </c>
      <c r="N144" s="230">
        <f>(SUM('1.  LRAMVA Summary'!I$54:I$77)+SUM('1.  LRAMVA Summary'!I$78:I$79)*(MONTH($E144)-1)/12)*$H144</f>
        <v>-3.3241983152876492E-2</v>
      </c>
      <c r="O144" s="230">
        <f>(SUM('1.  LRAMVA Summary'!J$54:J$77)+SUM('1.  LRAMVA Summary'!J$78:J$79)*(MONTH($E144)-1)/12)*$H144</f>
        <v>-1.8492679731205934</v>
      </c>
      <c r="P144" s="230">
        <f>(SUM('1.  LRAMVA Summary'!K$54:K$77)+SUM('1.  LRAMVA Summary'!K$78:K$79)*(MONTH($E144)-1)/12)*$H144</f>
        <v>-3.8861043333333338E-2</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1095.5374331715702</v>
      </c>
    </row>
    <row r="145" spans="2:23" s="9" customFormat="1">
      <c r="B145" s="66"/>
      <c r="E145" s="214">
        <v>43770</v>
      </c>
      <c r="F145" s="214" t="s">
        <v>186</v>
      </c>
      <c r="G145" s="215" t="s">
        <v>69</v>
      </c>
      <c r="H145" s="240">
        <f t="shared" ref="H145:H146" si="79">$C$50/12</f>
        <v>1.8166666666666667E-3</v>
      </c>
      <c r="I145" s="230">
        <f>(SUM('1.  LRAMVA Summary'!D$54:D$77)+SUM('1.  LRAMVA Summary'!D$78:D$79)*(MONTH($E145)-1)/12)*$H145</f>
        <v>732.83001118689026</v>
      </c>
      <c r="J145" s="230">
        <f>(SUM('1.  LRAMVA Summary'!E$54:E$77)+SUM('1.  LRAMVA Summary'!E$78:E$79)*(MONTH($E145)-1)/12)*$H145</f>
        <v>252.438118568128</v>
      </c>
      <c r="K145" s="230">
        <f>(SUM('1.  LRAMVA Summary'!F$54:F$77)+SUM('1.  LRAMVA Summary'!F$78:F$79)*(MONTH($E145)-1)/12)*$H145</f>
        <v>-0.36153744699855761</v>
      </c>
      <c r="L145" s="230">
        <f>(SUM('1.  LRAMVA Summary'!G$54:G$77)+SUM('1.  LRAMVA Summary'!G$78:G$79)*(MONTH($E145)-1)/12)*$H145</f>
        <v>119.69031074731141</v>
      </c>
      <c r="M145" s="230">
        <f>(SUM('1.  LRAMVA Summary'!H$54:H$77)+SUM('1.  LRAMVA Summary'!H$78:H$79)*(MONTH($E145)-1)/12)*$H145</f>
        <v>-7.1380988841540907</v>
      </c>
      <c r="N145" s="230">
        <f>(SUM('1.  LRAMVA Summary'!I$54:I$77)+SUM('1.  LRAMVA Summary'!I$78:I$79)*(MONTH($E145)-1)/12)*$H145</f>
        <v>-3.3241983152876492E-2</v>
      </c>
      <c r="O145" s="230">
        <f>(SUM('1.  LRAMVA Summary'!J$54:J$77)+SUM('1.  LRAMVA Summary'!J$78:J$79)*(MONTH($E145)-1)/12)*$H145</f>
        <v>-1.8492679731205934</v>
      </c>
      <c r="P145" s="230">
        <f>(SUM('1.  LRAMVA Summary'!K$54:K$77)+SUM('1.  LRAMVA Summary'!K$78:K$79)*(MONTH($E145)-1)/12)*$H145</f>
        <v>-3.8861043333333338E-2</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1095.5374331715702</v>
      </c>
    </row>
    <row r="146" spans="2:23" s="9" customFormat="1">
      <c r="B146" s="66"/>
      <c r="E146" s="214">
        <v>43800</v>
      </c>
      <c r="F146" s="214" t="s">
        <v>186</v>
      </c>
      <c r="G146" s="215" t="s">
        <v>69</v>
      </c>
      <c r="H146" s="240">
        <f t="shared" si="79"/>
        <v>1.8166666666666667E-3</v>
      </c>
      <c r="I146" s="230">
        <f>(SUM('1.  LRAMVA Summary'!D$54:D$77)+SUM('1.  LRAMVA Summary'!D$78:D$79)*(MONTH($E146)-1)/12)*$H146</f>
        <v>732.83001118689026</v>
      </c>
      <c r="J146" s="230">
        <f>(SUM('1.  LRAMVA Summary'!E$54:E$77)+SUM('1.  LRAMVA Summary'!E$78:E$79)*(MONTH($E146)-1)/12)*$H146</f>
        <v>252.438118568128</v>
      </c>
      <c r="K146" s="230">
        <f>(SUM('1.  LRAMVA Summary'!F$54:F$77)+SUM('1.  LRAMVA Summary'!F$78:F$79)*(MONTH($E146)-1)/12)*$H146</f>
        <v>-0.36153744699855761</v>
      </c>
      <c r="L146" s="230">
        <f>(SUM('1.  LRAMVA Summary'!G$54:G$77)+SUM('1.  LRAMVA Summary'!G$78:G$79)*(MONTH($E146)-1)/12)*$H146</f>
        <v>119.69031074731141</v>
      </c>
      <c r="M146" s="230">
        <f>(SUM('1.  LRAMVA Summary'!H$54:H$77)+SUM('1.  LRAMVA Summary'!H$78:H$79)*(MONTH($E146)-1)/12)*$H146</f>
        <v>-7.1380988841540907</v>
      </c>
      <c r="N146" s="230">
        <f>(SUM('1.  LRAMVA Summary'!I$54:I$77)+SUM('1.  LRAMVA Summary'!I$78:I$79)*(MONTH($E146)-1)/12)*$H146</f>
        <v>-3.3241983152876492E-2</v>
      </c>
      <c r="O146" s="230">
        <f>(SUM('1.  LRAMVA Summary'!J$54:J$77)+SUM('1.  LRAMVA Summary'!J$78:J$79)*(MONTH($E146)-1)/12)*$H146</f>
        <v>-1.8492679731205934</v>
      </c>
      <c r="P146" s="230">
        <f>(SUM('1.  LRAMVA Summary'!K$54:K$77)+SUM('1.  LRAMVA Summary'!K$78:K$79)*(MONTH($E146)-1)/12)*$H146</f>
        <v>-3.8861043333333338E-2</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1095.5374331715702</v>
      </c>
    </row>
    <row r="147" spans="2:23" s="9" customFormat="1" ht="15" thickBot="1">
      <c r="B147" s="66"/>
      <c r="E147" s="216" t="s">
        <v>470</v>
      </c>
      <c r="F147" s="216"/>
      <c r="G147" s="217"/>
      <c r="H147" s="218"/>
      <c r="I147" s="219">
        <f>SUM(I134:I146)</f>
        <v>20280.88189823251</v>
      </c>
      <c r="J147" s="219">
        <f>SUM(J134:J146)</f>
        <v>6963.9593730196275</v>
      </c>
      <c r="K147" s="219">
        <f t="shared" ref="K147:O147" si="80">SUM(K134:K146)</f>
        <v>-383.29291802810639</v>
      </c>
      <c r="L147" s="219">
        <f t="shared" si="80"/>
        <v>3816.6293876516452</v>
      </c>
      <c r="M147" s="219">
        <f t="shared" si="80"/>
        <v>-237.21731217544306</v>
      </c>
      <c r="N147" s="219">
        <f t="shared" si="80"/>
        <v>-1.0324319114536895</v>
      </c>
      <c r="O147" s="219">
        <f t="shared" si="80"/>
        <v>-58.105850898911356</v>
      </c>
      <c r="P147" s="219">
        <f t="shared" ref="P147:V147" si="81">SUM(P134:P146)</f>
        <v>-1.2268741104166669</v>
      </c>
      <c r="Q147" s="219">
        <f t="shared" si="81"/>
        <v>0</v>
      </c>
      <c r="R147" s="219">
        <f t="shared" si="81"/>
        <v>0</v>
      </c>
      <c r="S147" s="219">
        <f t="shared" si="81"/>
        <v>0</v>
      </c>
      <c r="T147" s="219">
        <f t="shared" si="81"/>
        <v>0</v>
      </c>
      <c r="U147" s="219">
        <f t="shared" si="81"/>
        <v>0</v>
      </c>
      <c r="V147" s="219">
        <f t="shared" si="81"/>
        <v>0</v>
      </c>
      <c r="W147" s="219">
        <f>SUM(W134:W146)</f>
        <v>30380.595271779479</v>
      </c>
    </row>
    <row r="148" spans="2:23" s="9" customFormat="1" ht="1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20280.88189823251</v>
      </c>
      <c r="J149" s="228">
        <f t="shared" ref="J149" si="82">J147+J148</f>
        <v>6963.9593730196275</v>
      </c>
      <c r="K149" s="228">
        <f t="shared" ref="K149" si="83">K147+K148</f>
        <v>-383.29291802810639</v>
      </c>
      <c r="L149" s="228">
        <f t="shared" ref="L149" si="84">L147+L148</f>
        <v>3816.6293876516452</v>
      </c>
      <c r="M149" s="228">
        <f t="shared" ref="M149" si="85">M147+M148</f>
        <v>-237.21731217544306</v>
      </c>
      <c r="N149" s="228">
        <f t="shared" ref="N149" si="86">N147+N148</f>
        <v>-1.0324319114536895</v>
      </c>
      <c r="O149" s="228">
        <f t="shared" ref="O149:V149" si="87">O147+O148</f>
        <v>-58.105850898911356</v>
      </c>
      <c r="P149" s="228">
        <f t="shared" si="87"/>
        <v>-1.2268741104166669</v>
      </c>
      <c r="Q149" s="228">
        <f t="shared" si="87"/>
        <v>0</v>
      </c>
      <c r="R149" s="228">
        <f t="shared" si="87"/>
        <v>0</v>
      </c>
      <c r="S149" s="228">
        <f t="shared" si="87"/>
        <v>0</v>
      </c>
      <c r="T149" s="228">
        <f t="shared" si="87"/>
        <v>0</v>
      </c>
      <c r="U149" s="228">
        <f t="shared" si="87"/>
        <v>0</v>
      </c>
      <c r="V149" s="228">
        <f t="shared" si="87"/>
        <v>0</v>
      </c>
      <c r="W149" s="228">
        <f>W147+W148</f>
        <v>30380.595271779479</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 thickBot="1">
      <c r="B162" s="66"/>
      <c r="E162" s="216" t="s">
        <v>471</v>
      </c>
      <c r="F162" s="216"/>
      <c r="G162" s="217"/>
      <c r="H162" s="218"/>
      <c r="I162" s="219">
        <f>SUM(I149:I161)</f>
        <v>20280.88189823251</v>
      </c>
      <c r="J162" s="219">
        <f>SUM(J149:J161)</f>
        <v>6963.9593730196275</v>
      </c>
      <c r="K162" s="219">
        <f t="shared" ref="K162:O162" si="93">SUM(K149:K161)</f>
        <v>-383.29291802810639</v>
      </c>
      <c r="L162" s="219">
        <f t="shared" si="93"/>
        <v>3816.6293876516452</v>
      </c>
      <c r="M162" s="219">
        <f t="shared" si="93"/>
        <v>-237.21731217544306</v>
      </c>
      <c r="N162" s="219">
        <f t="shared" si="93"/>
        <v>-1.0324319114536895</v>
      </c>
      <c r="O162" s="219">
        <f t="shared" si="93"/>
        <v>-58.105850898911356</v>
      </c>
      <c r="P162" s="219">
        <f t="shared" ref="P162:V162" si="94">SUM(P149:P161)</f>
        <v>-1.2268741104166669</v>
      </c>
      <c r="Q162" s="219">
        <f t="shared" si="94"/>
        <v>0</v>
      </c>
      <c r="R162" s="219">
        <f t="shared" si="94"/>
        <v>0</v>
      </c>
      <c r="S162" s="219">
        <f t="shared" si="94"/>
        <v>0</v>
      </c>
      <c r="T162" s="219">
        <f t="shared" si="94"/>
        <v>0</v>
      </c>
      <c r="U162" s="219">
        <f t="shared" si="94"/>
        <v>0</v>
      </c>
      <c r="V162" s="219">
        <f t="shared" si="94"/>
        <v>0</v>
      </c>
      <c r="W162" s="219">
        <f>SUM(W149:W161)</f>
        <v>30380.595271779479</v>
      </c>
    </row>
    <row r="163" spans="2:23" s="9" customFormat="1" ht="1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5"/>
  <sheetViews>
    <sheetView topLeftCell="A19" zoomScale="70" zoomScaleNormal="70" workbookViewId="0">
      <selection activeCell="J61" sqref="J61:J67"/>
    </sheetView>
  </sheetViews>
  <sheetFormatPr defaultColWidth="9.109375" defaultRowHeight="14.4" outlineLevelRow="1"/>
  <cols>
    <col min="1" max="1" width="5.88671875" style="12" customWidth="1"/>
    <col min="2" max="2" width="10.44140625" style="12" customWidth="1"/>
    <col min="3" max="3" width="25.21875" style="12" bestFit="1" customWidth="1"/>
    <col min="4" max="4" width="53.88671875" style="12" customWidth="1"/>
    <col min="5" max="5" width="14.77734375" style="12" customWidth="1"/>
    <col min="6" max="6" width="14.109375" style="12" customWidth="1"/>
    <col min="7" max="7" width="5.33203125" style="12" customWidth="1"/>
    <col min="8" max="8" width="7.21875" style="12" customWidth="1"/>
    <col min="9" max="10" width="23"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620</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614</v>
      </c>
      <c r="C17" s="90"/>
      <c r="D17" s="611" t="s">
        <v>592</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627</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626</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628</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638</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6">
      <c r="B23" s="182" t="s">
        <v>597</v>
      </c>
      <c r="H23" s="10"/>
      <c r="I23" s="10"/>
      <c r="J23" s="10"/>
    </row>
    <row r="24" spans="2:73" s="670" customFormat="1" ht="21" customHeight="1">
      <c r="B24" s="702" t="s">
        <v>601</v>
      </c>
      <c r="C24" s="890" t="s">
        <v>602</v>
      </c>
      <c r="D24" s="890"/>
      <c r="E24" s="890"/>
      <c r="F24" s="890"/>
      <c r="G24" s="890"/>
      <c r="H24" s="678" t="s">
        <v>599</v>
      </c>
      <c r="I24" s="678" t="s">
        <v>598</v>
      </c>
      <c r="J24" s="678" t="s">
        <v>600</v>
      </c>
      <c r="K24" s="669"/>
      <c r="L24" s="670" t="s">
        <v>602</v>
      </c>
      <c r="AQ24" s="670" t="s">
        <v>602</v>
      </c>
      <c r="BU24" s="669"/>
    </row>
    <row r="25" spans="2:73" s="250" customFormat="1" ht="49.5" customHeight="1">
      <c r="B25" s="245" t="s">
        <v>474</v>
      </c>
      <c r="C25" s="245" t="s">
        <v>211</v>
      </c>
      <c r="D25" s="628" t="s">
        <v>475</v>
      </c>
      <c r="E25" s="245" t="s">
        <v>208</v>
      </c>
      <c r="F25" s="245" t="s">
        <v>476</v>
      </c>
      <c r="G25" s="245" t="s">
        <v>477</v>
      </c>
      <c r="H25" s="628" t="s">
        <v>478</v>
      </c>
      <c r="I25" s="636" t="s">
        <v>590</v>
      </c>
      <c r="J25" s="643" t="s">
        <v>591</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6">
      <c r="B27" s="692"/>
      <c r="C27" s="692" t="s">
        <v>745</v>
      </c>
      <c r="D27" s="774" t="s">
        <v>109</v>
      </c>
      <c r="E27" s="692" t="s">
        <v>726</v>
      </c>
      <c r="F27" s="692" t="s">
        <v>491</v>
      </c>
      <c r="G27" s="692"/>
      <c r="H27" s="692">
        <v>2015</v>
      </c>
      <c r="I27" s="644" t="s">
        <v>584</v>
      </c>
      <c r="J27" s="644" t="s">
        <v>596</v>
      </c>
      <c r="K27" s="633"/>
      <c r="L27" s="696"/>
      <c r="M27" s="697"/>
      <c r="N27" s="697"/>
      <c r="O27" s="697"/>
      <c r="P27" s="697">
        <v>20</v>
      </c>
      <c r="Q27" s="697">
        <v>20</v>
      </c>
      <c r="R27" s="697">
        <v>20</v>
      </c>
      <c r="S27" s="697">
        <v>20</v>
      </c>
      <c r="T27" s="697">
        <v>20</v>
      </c>
      <c r="U27" s="697">
        <v>20</v>
      </c>
      <c r="V27" s="697">
        <v>20</v>
      </c>
      <c r="W27" s="697">
        <v>20</v>
      </c>
      <c r="X27" s="697">
        <v>20</v>
      </c>
      <c r="Y27" s="697">
        <v>20</v>
      </c>
      <c r="Z27" s="697">
        <v>0</v>
      </c>
      <c r="AA27" s="697">
        <v>0</v>
      </c>
      <c r="AB27" s="697">
        <v>0</v>
      </c>
      <c r="AC27" s="697">
        <v>0</v>
      </c>
      <c r="AD27" s="697">
        <v>0</v>
      </c>
      <c r="AE27" s="697">
        <v>0</v>
      </c>
      <c r="AF27" s="697">
        <v>0</v>
      </c>
      <c r="AG27" s="697">
        <v>0</v>
      </c>
      <c r="AH27" s="697">
        <v>0</v>
      </c>
      <c r="AI27" s="697">
        <v>0</v>
      </c>
      <c r="AJ27" s="697"/>
      <c r="AK27" s="697"/>
      <c r="AL27" s="697"/>
      <c r="AM27" s="697"/>
      <c r="AN27" s="697"/>
      <c r="AO27" s="698"/>
      <c r="AP27" s="633"/>
      <c r="AQ27" s="696"/>
      <c r="AR27" s="697"/>
      <c r="AS27" s="697"/>
      <c r="AT27" s="697"/>
      <c r="AU27" s="697">
        <v>354721</v>
      </c>
      <c r="AV27" s="697">
        <v>354721</v>
      </c>
      <c r="AW27" s="697">
        <v>354721</v>
      </c>
      <c r="AX27" s="697">
        <v>354721</v>
      </c>
      <c r="AY27" s="697">
        <v>354721</v>
      </c>
      <c r="AZ27" s="697">
        <v>354721</v>
      </c>
      <c r="BA27" s="697">
        <v>354721</v>
      </c>
      <c r="BB27" s="697">
        <v>354721</v>
      </c>
      <c r="BC27" s="697">
        <v>354721</v>
      </c>
      <c r="BD27" s="697">
        <v>354721</v>
      </c>
      <c r="BE27" s="697">
        <v>0</v>
      </c>
      <c r="BF27" s="697">
        <v>0</v>
      </c>
      <c r="BG27" s="697">
        <v>0</v>
      </c>
      <c r="BH27" s="697">
        <v>0</v>
      </c>
      <c r="BI27" s="697">
        <v>0</v>
      </c>
      <c r="BJ27" s="697">
        <v>0</v>
      </c>
      <c r="BK27" s="697">
        <v>0</v>
      </c>
      <c r="BL27" s="697">
        <v>0</v>
      </c>
      <c r="BM27" s="697">
        <v>0</v>
      </c>
      <c r="BN27" s="697">
        <v>0</v>
      </c>
      <c r="BO27" s="697">
        <v>0</v>
      </c>
      <c r="BP27" s="697"/>
      <c r="BQ27" s="697"/>
      <c r="BR27" s="697"/>
      <c r="BS27" s="697"/>
      <c r="BT27" s="698"/>
      <c r="BU27" s="16"/>
    </row>
    <row r="28" spans="2:73" s="17" customFormat="1" ht="15.6">
      <c r="B28" s="692"/>
      <c r="C28" s="692" t="s">
        <v>29</v>
      </c>
      <c r="D28" s="774" t="s">
        <v>97</v>
      </c>
      <c r="E28" s="692" t="s">
        <v>726</v>
      </c>
      <c r="F28" s="692" t="s">
        <v>29</v>
      </c>
      <c r="G28" s="692" t="s">
        <v>748</v>
      </c>
      <c r="H28" s="692">
        <v>2015</v>
      </c>
      <c r="I28" s="644" t="s">
        <v>584</v>
      </c>
      <c r="J28" s="644" t="s">
        <v>596</v>
      </c>
      <c r="K28" s="633"/>
      <c r="L28" s="696"/>
      <c r="M28" s="697"/>
      <c r="N28" s="697"/>
      <c r="O28" s="697"/>
      <c r="P28" s="697">
        <v>1</v>
      </c>
      <c r="Q28" s="697">
        <v>1</v>
      </c>
      <c r="R28" s="697">
        <v>1</v>
      </c>
      <c r="S28" s="697">
        <v>1</v>
      </c>
      <c r="T28" s="697">
        <v>1</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c r="AK28" s="697"/>
      <c r="AL28" s="697"/>
      <c r="AM28" s="697"/>
      <c r="AN28" s="697"/>
      <c r="AO28" s="698"/>
      <c r="AP28" s="633"/>
      <c r="AQ28" s="696"/>
      <c r="AR28" s="697"/>
      <c r="AS28" s="697"/>
      <c r="AT28" s="697"/>
      <c r="AU28" s="697">
        <v>9670</v>
      </c>
      <c r="AV28" s="697">
        <v>9670</v>
      </c>
      <c r="AW28" s="697">
        <v>9670</v>
      </c>
      <c r="AX28" s="697">
        <v>9670</v>
      </c>
      <c r="AY28" s="697">
        <v>4070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c r="BQ28" s="697"/>
      <c r="BR28" s="697"/>
      <c r="BS28" s="697"/>
      <c r="BT28" s="698"/>
      <c r="BU28" s="16"/>
    </row>
    <row r="29" spans="2:73" s="17" customFormat="1" ht="16.5" customHeight="1">
      <c r="B29" s="692"/>
      <c r="C29" s="692" t="s">
        <v>29</v>
      </c>
      <c r="D29" s="774" t="s">
        <v>95</v>
      </c>
      <c r="E29" s="692" t="s">
        <v>726</v>
      </c>
      <c r="F29" s="692" t="s">
        <v>29</v>
      </c>
      <c r="G29" s="692" t="s">
        <v>748</v>
      </c>
      <c r="H29" s="692">
        <v>2015</v>
      </c>
      <c r="I29" s="644" t="s">
        <v>584</v>
      </c>
      <c r="J29" s="644" t="s">
        <v>596</v>
      </c>
      <c r="K29" s="633"/>
      <c r="L29" s="696"/>
      <c r="M29" s="697"/>
      <c r="N29" s="697"/>
      <c r="O29" s="697"/>
      <c r="P29" s="697">
        <v>41</v>
      </c>
      <c r="Q29" s="697">
        <v>40</v>
      </c>
      <c r="R29" s="697">
        <v>40</v>
      </c>
      <c r="S29" s="697">
        <v>40</v>
      </c>
      <c r="T29" s="697">
        <v>40</v>
      </c>
      <c r="U29" s="697">
        <v>40</v>
      </c>
      <c r="V29" s="697">
        <v>40</v>
      </c>
      <c r="W29" s="697">
        <v>40</v>
      </c>
      <c r="X29" s="697">
        <v>40</v>
      </c>
      <c r="Y29" s="697">
        <v>40</v>
      </c>
      <c r="Z29" s="697">
        <v>36</v>
      </c>
      <c r="AA29" s="697">
        <v>36</v>
      </c>
      <c r="AB29" s="697">
        <v>36</v>
      </c>
      <c r="AC29" s="697">
        <v>36</v>
      </c>
      <c r="AD29" s="697">
        <v>36</v>
      </c>
      <c r="AE29" s="697">
        <v>36</v>
      </c>
      <c r="AF29" s="697">
        <v>13</v>
      </c>
      <c r="AG29" s="697">
        <v>13</v>
      </c>
      <c r="AH29" s="697">
        <v>13</v>
      </c>
      <c r="AI29" s="697">
        <v>13</v>
      </c>
      <c r="AJ29" s="697"/>
      <c r="AK29" s="697"/>
      <c r="AL29" s="697"/>
      <c r="AM29" s="697"/>
      <c r="AN29" s="697"/>
      <c r="AO29" s="698"/>
      <c r="AP29" s="633"/>
      <c r="AQ29" s="696"/>
      <c r="AR29" s="697"/>
      <c r="AS29" s="697"/>
      <c r="AT29" s="697"/>
      <c r="AU29" s="697">
        <v>624186</v>
      </c>
      <c r="AV29" s="697">
        <v>618505</v>
      </c>
      <c r="AW29" s="697">
        <v>618505</v>
      </c>
      <c r="AX29" s="697">
        <v>618505</v>
      </c>
      <c r="AY29" s="697">
        <v>618505</v>
      </c>
      <c r="AZ29" s="697">
        <v>618505</v>
      </c>
      <c r="BA29" s="697">
        <v>618505</v>
      </c>
      <c r="BB29" s="697">
        <v>618370</v>
      </c>
      <c r="BC29" s="697">
        <v>618370</v>
      </c>
      <c r="BD29" s="697">
        <v>618370</v>
      </c>
      <c r="BE29" s="697">
        <v>570502</v>
      </c>
      <c r="BF29" s="697">
        <v>568430</v>
      </c>
      <c r="BG29" s="697">
        <v>568430</v>
      </c>
      <c r="BH29" s="697">
        <v>566462</v>
      </c>
      <c r="BI29" s="697">
        <v>566462</v>
      </c>
      <c r="BJ29" s="697">
        <v>566218</v>
      </c>
      <c r="BK29" s="697">
        <v>211635</v>
      </c>
      <c r="BL29" s="697">
        <v>211635</v>
      </c>
      <c r="BM29" s="697">
        <v>211635</v>
      </c>
      <c r="BN29" s="697">
        <v>211635</v>
      </c>
      <c r="BO29" s="697">
        <v>0</v>
      </c>
      <c r="BP29" s="697"/>
      <c r="BQ29" s="697"/>
      <c r="BR29" s="697"/>
      <c r="BS29" s="697"/>
      <c r="BT29" s="698"/>
      <c r="BU29" s="16"/>
    </row>
    <row r="30" spans="2:73" s="17" customFormat="1" ht="15.6">
      <c r="B30" s="692"/>
      <c r="C30" s="692" t="s">
        <v>29</v>
      </c>
      <c r="D30" s="774" t="s">
        <v>96</v>
      </c>
      <c r="E30" s="692" t="s">
        <v>726</v>
      </c>
      <c r="F30" s="692" t="s">
        <v>29</v>
      </c>
      <c r="G30" s="692" t="s">
        <v>748</v>
      </c>
      <c r="H30" s="692">
        <v>2015</v>
      </c>
      <c r="I30" s="644" t="s">
        <v>584</v>
      </c>
      <c r="J30" s="644" t="s">
        <v>596</v>
      </c>
      <c r="K30" s="633"/>
      <c r="L30" s="696"/>
      <c r="M30" s="697"/>
      <c r="N30" s="697"/>
      <c r="O30" s="697"/>
      <c r="P30" s="697">
        <v>78</v>
      </c>
      <c r="Q30" s="697">
        <v>77</v>
      </c>
      <c r="R30" s="697">
        <v>77</v>
      </c>
      <c r="S30" s="697">
        <v>77</v>
      </c>
      <c r="T30" s="697">
        <v>77</v>
      </c>
      <c r="U30" s="697">
        <v>77</v>
      </c>
      <c r="V30" s="697">
        <v>77</v>
      </c>
      <c r="W30" s="697">
        <v>76</v>
      </c>
      <c r="X30" s="697">
        <v>76</v>
      </c>
      <c r="Y30" s="697">
        <v>76</v>
      </c>
      <c r="Z30" s="697">
        <v>64</v>
      </c>
      <c r="AA30" s="697">
        <v>61</v>
      </c>
      <c r="AB30" s="697">
        <v>61</v>
      </c>
      <c r="AC30" s="697">
        <v>61</v>
      </c>
      <c r="AD30" s="697">
        <v>61</v>
      </c>
      <c r="AE30" s="697">
        <v>61</v>
      </c>
      <c r="AF30" s="697">
        <v>22</v>
      </c>
      <c r="AG30" s="697">
        <v>22</v>
      </c>
      <c r="AH30" s="697">
        <v>22</v>
      </c>
      <c r="AI30" s="697">
        <v>22</v>
      </c>
      <c r="AJ30" s="697"/>
      <c r="AK30" s="697"/>
      <c r="AL30" s="697"/>
      <c r="AM30" s="697"/>
      <c r="AN30" s="697"/>
      <c r="AO30" s="698"/>
      <c r="AP30" s="633"/>
      <c r="AQ30" s="696"/>
      <c r="AR30" s="697"/>
      <c r="AS30" s="697"/>
      <c r="AT30" s="697"/>
      <c r="AU30" s="697">
        <v>1153140</v>
      </c>
      <c r="AV30" s="697">
        <v>1132646</v>
      </c>
      <c r="AW30" s="697">
        <v>1132646</v>
      </c>
      <c r="AX30" s="697">
        <v>1132646</v>
      </c>
      <c r="AY30" s="697">
        <v>1132646</v>
      </c>
      <c r="AZ30" s="697">
        <v>1132646</v>
      </c>
      <c r="BA30" s="697">
        <v>1132646</v>
      </c>
      <c r="BB30" s="697">
        <v>1132053</v>
      </c>
      <c r="BC30" s="697">
        <v>1132053</v>
      </c>
      <c r="BD30" s="697">
        <v>1132053</v>
      </c>
      <c r="BE30" s="697">
        <v>1043915</v>
      </c>
      <c r="BF30" s="697">
        <v>990164</v>
      </c>
      <c r="BG30" s="697">
        <v>990164</v>
      </c>
      <c r="BH30" s="697">
        <v>968867</v>
      </c>
      <c r="BI30" s="697">
        <v>968867</v>
      </c>
      <c r="BJ30" s="697">
        <v>966608</v>
      </c>
      <c r="BK30" s="697">
        <v>358093</v>
      </c>
      <c r="BL30" s="697">
        <v>358093</v>
      </c>
      <c r="BM30" s="697">
        <v>358093</v>
      </c>
      <c r="BN30" s="697">
        <v>358093</v>
      </c>
      <c r="BO30" s="697">
        <v>0</v>
      </c>
      <c r="BP30" s="697"/>
      <c r="BQ30" s="697"/>
      <c r="BR30" s="697"/>
      <c r="BS30" s="697"/>
      <c r="BT30" s="698"/>
      <c r="BU30" s="16"/>
    </row>
    <row r="31" spans="2:73" s="17" customFormat="1" ht="15.6">
      <c r="B31" s="692"/>
      <c r="C31" s="692" t="s">
        <v>29</v>
      </c>
      <c r="D31" s="774" t="s">
        <v>683</v>
      </c>
      <c r="E31" s="692" t="s">
        <v>726</v>
      </c>
      <c r="F31" s="692" t="s">
        <v>29</v>
      </c>
      <c r="G31" s="692" t="s">
        <v>748</v>
      </c>
      <c r="H31" s="692">
        <v>2015</v>
      </c>
      <c r="I31" s="644" t="s">
        <v>584</v>
      </c>
      <c r="J31" s="644" t="s">
        <v>596</v>
      </c>
      <c r="K31" s="633"/>
      <c r="L31" s="696"/>
      <c r="M31" s="697"/>
      <c r="N31" s="697"/>
      <c r="O31" s="697"/>
      <c r="P31" s="697">
        <v>664</v>
      </c>
      <c r="Q31" s="697">
        <v>664</v>
      </c>
      <c r="R31" s="697">
        <v>664</v>
      </c>
      <c r="S31" s="697">
        <v>664</v>
      </c>
      <c r="T31" s="697">
        <v>664</v>
      </c>
      <c r="U31" s="697">
        <v>664</v>
      </c>
      <c r="V31" s="697">
        <v>664</v>
      </c>
      <c r="W31" s="697">
        <v>664</v>
      </c>
      <c r="X31" s="697">
        <v>664</v>
      </c>
      <c r="Y31" s="697">
        <v>664</v>
      </c>
      <c r="Z31" s="697">
        <v>664</v>
      </c>
      <c r="AA31" s="697">
        <v>664</v>
      </c>
      <c r="AB31" s="697">
        <v>664</v>
      </c>
      <c r="AC31" s="697">
        <v>664</v>
      </c>
      <c r="AD31" s="697">
        <v>664</v>
      </c>
      <c r="AE31" s="697">
        <v>664</v>
      </c>
      <c r="AF31" s="697">
        <v>664</v>
      </c>
      <c r="AG31" s="697">
        <v>664</v>
      </c>
      <c r="AH31" s="697">
        <v>602</v>
      </c>
      <c r="AI31" s="697">
        <v>0</v>
      </c>
      <c r="AJ31" s="697"/>
      <c r="AK31" s="697"/>
      <c r="AL31" s="697"/>
      <c r="AM31" s="697"/>
      <c r="AN31" s="697"/>
      <c r="AO31" s="698"/>
      <c r="AP31" s="633"/>
      <c r="AQ31" s="696"/>
      <c r="AR31" s="697"/>
      <c r="AS31" s="697"/>
      <c r="AT31" s="697"/>
      <c r="AU31" s="697">
        <v>1265384</v>
      </c>
      <c r="AV31" s="697">
        <v>1265384</v>
      </c>
      <c r="AW31" s="697">
        <v>1265384</v>
      </c>
      <c r="AX31" s="697">
        <v>1265384</v>
      </c>
      <c r="AY31" s="697">
        <v>1265384</v>
      </c>
      <c r="AZ31" s="697">
        <v>1265384</v>
      </c>
      <c r="BA31" s="697">
        <v>1265384</v>
      </c>
      <c r="BB31" s="697">
        <v>1265384</v>
      </c>
      <c r="BC31" s="697">
        <v>1265384</v>
      </c>
      <c r="BD31" s="697">
        <v>1265384</v>
      </c>
      <c r="BE31" s="697">
        <v>1265384</v>
      </c>
      <c r="BF31" s="697">
        <v>1265384</v>
      </c>
      <c r="BG31" s="697">
        <v>1265384</v>
      </c>
      <c r="BH31" s="697">
        <v>1265384</v>
      </c>
      <c r="BI31" s="697">
        <v>1265384</v>
      </c>
      <c r="BJ31" s="697">
        <v>1265384</v>
      </c>
      <c r="BK31" s="697">
        <v>1265384</v>
      </c>
      <c r="BL31" s="697">
        <v>1265384</v>
      </c>
      <c r="BM31" s="697">
        <v>1210392</v>
      </c>
      <c r="BN31" s="697">
        <v>0</v>
      </c>
      <c r="BO31" s="697">
        <v>0</v>
      </c>
      <c r="BP31" s="697"/>
      <c r="BQ31" s="697"/>
      <c r="BR31" s="697"/>
      <c r="BS31" s="697"/>
      <c r="BT31" s="698"/>
      <c r="BU31" s="16"/>
    </row>
    <row r="32" spans="2:73" s="17" customFormat="1" ht="15.6">
      <c r="B32" s="692"/>
      <c r="C32" s="692" t="s">
        <v>742</v>
      </c>
      <c r="D32" s="774" t="s">
        <v>100</v>
      </c>
      <c r="E32" s="692" t="s">
        <v>726</v>
      </c>
      <c r="F32" s="692" t="s">
        <v>746</v>
      </c>
      <c r="G32" s="692" t="s">
        <v>748</v>
      </c>
      <c r="H32" s="692">
        <v>2015</v>
      </c>
      <c r="I32" s="644" t="s">
        <v>584</v>
      </c>
      <c r="J32" s="644" t="s">
        <v>596</v>
      </c>
      <c r="K32" s="633"/>
      <c r="L32" s="696"/>
      <c r="M32" s="697"/>
      <c r="N32" s="697"/>
      <c r="O32" s="697"/>
      <c r="P32" s="697">
        <v>268</v>
      </c>
      <c r="Q32" s="697">
        <v>268</v>
      </c>
      <c r="R32" s="697">
        <v>252</v>
      </c>
      <c r="S32" s="697">
        <v>244</v>
      </c>
      <c r="T32" s="697">
        <v>244</v>
      </c>
      <c r="U32" s="697">
        <v>244</v>
      </c>
      <c r="V32" s="697">
        <v>235</v>
      </c>
      <c r="W32" s="697">
        <v>235</v>
      </c>
      <c r="X32" s="697">
        <v>233</v>
      </c>
      <c r="Y32" s="697">
        <v>203</v>
      </c>
      <c r="Z32" s="697">
        <v>132</v>
      </c>
      <c r="AA32" s="697">
        <v>132</v>
      </c>
      <c r="AB32" s="697">
        <v>68</v>
      </c>
      <c r="AC32" s="697">
        <v>68</v>
      </c>
      <c r="AD32" s="697">
        <v>68</v>
      </c>
      <c r="AE32" s="697">
        <v>53</v>
      </c>
      <c r="AF32" s="697">
        <v>37</v>
      </c>
      <c r="AG32" s="697">
        <v>37</v>
      </c>
      <c r="AH32" s="697">
        <v>37</v>
      </c>
      <c r="AI32" s="697">
        <v>37</v>
      </c>
      <c r="AJ32" s="697"/>
      <c r="AK32" s="697"/>
      <c r="AL32" s="697"/>
      <c r="AM32" s="697"/>
      <c r="AN32" s="697"/>
      <c r="AO32" s="698"/>
      <c r="AP32" s="633"/>
      <c r="AQ32" s="696"/>
      <c r="AR32" s="697"/>
      <c r="AS32" s="697"/>
      <c r="AT32" s="697"/>
      <c r="AU32" s="697">
        <v>1655090</v>
      </c>
      <c r="AV32" s="697">
        <v>1655090</v>
      </c>
      <c r="AW32" s="697">
        <v>1604633</v>
      </c>
      <c r="AX32" s="697">
        <v>1577999</v>
      </c>
      <c r="AY32" s="697">
        <v>1577999</v>
      </c>
      <c r="AZ32" s="697">
        <v>1577999</v>
      </c>
      <c r="BA32" s="697">
        <v>1529250</v>
      </c>
      <c r="BB32" s="697">
        <v>1529250</v>
      </c>
      <c r="BC32" s="697">
        <v>1478551</v>
      </c>
      <c r="BD32" s="697">
        <v>1302929</v>
      </c>
      <c r="BE32" s="697">
        <v>762861</v>
      </c>
      <c r="BF32" s="697">
        <v>646285</v>
      </c>
      <c r="BG32" s="697">
        <v>229788</v>
      </c>
      <c r="BH32" s="697">
        <v>229788</v>
      </c>
      <c r="BI32" s="697">
        <v>229788</v>
      </c>
      <c r="BJ32" s="697">
        <v>167598</v>
      </c>
      <c r="BK32" s="697">
        <v>93548</v>
      </c>
      <c r="BL32" s="697">
        <v>93548</v>
      </c>
      <c r="BM32" s="697">
        <v>93548</v>
      </c>
      <c r="BN32" s="697">
        <v>93548</v>
      </c>
      <c r="BO32" s="697">
        <v>0</v>
      </c>
      <c r="BP32" s="697"/>
      <c r="BQ32" s="697"/>
      <c r="BR32" s="697"/>
      <c r="BS32" s="697"/>
      <c r="BT32" s="698"/>
      <c r="BU32" s="16"/>
    </row>
    <row r="33" spans="2:73" s="17" customFormat="1" ht="15.6">
      <c r="B33" s="692"/>
      <c r="C33" s="692" t="s">
        <v>10</v>
      </c>
      <c r="D33" s="774" t="s">
        <v>106</v>
      </c>
      <c r="E33" s="692" t="s">
        <v>726</v>
      </c>
      <c r="F33" s="692" t="s">
        <v>747</v>
      </c>
      <c r="G33" s="692" t="s">
        <v>748</v>
      </c>
      <c r="H33" s="692">
        <v>2015</v>
      </c>
      <c r="I33" s="644" t="s">
        <v>584</v>
      </c>
      <c r="J33" s="644" t="s">
        <v>596</v>
      </c>
      <c r="K33" s="633"/>
      <c r="L33" s="696"/>
      <c r="M33" s="697"/>
      <c r="N33" s="697"/>
      <c r="O33" s="697"/>
      <c r="P33" s="697">
        <v>11</v>
      </c>
      <c r="Q33" s="697">
        <v>11</v>
      </c>
      <c r="R33" s="697">
        <v>11</v>
      </c>
      <c r="S33" s="697">
        <v>11</v>
      </c>
      <c r="T33" s="697">
        <v>11</v>
      </c>
      <c r="U33" s="697">
        <v>11</v>
      </c>
      <c r="V33" s="697">
        <v>11</v>
      </c>
      <c r="W33" s="697">
        <v>11</v>
      </c>
      <c r="X33" s="697">
        <v>11</v>
      </c>
      <c r="Y33" s="697">
        <v>11</v>
      </c>
      <c r="Z33" s="697">
        <v>0</v>
      </c>
      <c r="AA33" s="697">
        <v>0</v>
      </c>
      <c r="AB33" s="697">
        <v>0</v>
      </c>
      <c r="AC33" s="697">
        <v>0</v>
      </c>
      <c r="AD33" s="697">
        <v>0</v>
      </c>
      <c r="AE33" s="697">
        <v>0</v>
      </c>
      <c r="AF33" s="697">
        <v>0</v>
      </c>
      <c r="AG33" s="697">
        <v>0</v>
      </c>
      <c r="AH33" s="697">
        <v>0</v>
      </c>
      <c r="AI33" s="697">
        <v>0</v>
      </c>
      <c r="AJ33" s="697"/>
      <c r="AK33" s="697"/>
      <c r="AL33" s="697"/>
      <c r="AM33" s="697"/>
      <c r="AN33" s="697"/>
      <c r="AO33" s="698"/>
      <c r="AP33" s="633"/>
      <c r="AQ33" s="696"/>
      <c r="AR33" s="697"/>
      <c r="AS33" s="697"/>
      <c r="AT33" s="697"/>
      <c r="AU33" s="697">
        <v>39560</v>
      </c>
      <c r="AV33" s="697">
        <v>39560</v>
      </c>
      <c r="AW33" s="697">
        <v>39560</v>
      </c>
      <c r="AX33" s="697">
        <v>39560</v>
      </c>
      <c r="AY33" s="697">
        <v>39560</v>
      </c>
      <c r="AZ33" s="697">
        <v>39560</v>
      </c>
      <c r="BA33" s="697">
        <v>39560</v>
      </c>
      <c r="BB33" s="697">
        <v>39560</v>
      </c>
      <c r="BC33" s="697">
        <v>39560</v>
      </c>
      <c r="BD33" s="697">
        <v>39560</v>
      </c>
      <c r="BE33" s="697">
        <v>0</v>
      </c>
      <c r="BF33" s="697">
        <v>0</v>
      </c>
      <c r="BG33" s="697">
        <v>0</v>
      </c>
      <c r="BH33" s="697">
        <v>0</v>
      </c>
      <c r="BI33" s="697">
        <v>0</v>
      </c>
      <c r="BJ33" s="697">
        <v>0</v>
      </c>
      <c r="BK33" s="697">
        <v>0</v>
      </c>
      <c r="BL33" s="697">
        <v>0</v>
      </c>
      <c r="BM33" s="697">
        <v>0</v>
      </c>
      <c r="BN33" s="697">
        <v>0</v>
      </c>
      <c r="BO33" s="697">
        <v>0</v>
      </c>
      <c r="BP33" s="697"/>
      <c r="BQ33" s="697"/>
      <c r="BR33" s="697"/>
      <c r="BS33" s="697"/>
      <c r="BT33" s="698"/>
      <c r="BU33" s="16"/>
    </row>
    <row r="34" spans="2:73" s="17" customFormat="1" ht="15.6">
      <c r="B34" s="692"/>
      <c r="C34" s="692" t="s">
        <v>107</v>
      </c>
      <c r="D34" s="774" t="s">
        <v>108</v>
      </c>
      <c r="E34" s="692" t="s">
        <v>726</v>
      </c>
      <c r="F34" s="692" t="s">
        <v>29</v>
      </c>
      <c r="G34" s="692" t="s">
        <v>748</v>
      </c>
      <c r="H34" s="692">
        <v>2015</v>
      </c>
      <c r="I34" s="644" t="s">
        <v>584</v>
      </c>
      <c r="J34" s="644" t="s">
        <v>596</v>
      </c>
      <c r="K34" s="633"/>
      <c r="L34" s="696"/>
      <c r="M34" s="697"/>
      <c r="N34" s="697"/>
      <c r="O34" s="697"/>
      <c r="P34" s="697">
        <v>7</v>
      </c>
      <c r="Q34" s="697">
        <v>6</v>
      </c>
      <c r="R34" s="697">
        <v>6</v>
      </c>
      <c r="S34" s="697">
        <v>6</v>
      </c>
      <c r="T34" s="697">
        <v>6</v>
      </c>
      <c r="U34" s="697">
        <v>6</v>
      </c>
      <c r="V34" s="697">
        <v>6</v>
      </c>
      <c r="W34" s="697">
        <v>6</v>
      </c>
      <c r="X34" s="697">
        <v>5</v>
      </c>
      <c r="Y34" s="697">
        <v>5</v>
      </c>
      <c r="Z34" s="697">
        <v>5</v>
      </c>
      <c r="AA34" s="697">
        <v>5</v>
      </c>
      <c r="AB34" s="697">
        <v>4</v>
      </c>
      <c r="AC34" s="697">
        <v>4</v>
      </c>
      <c r="AD34" s="697">
        <v>0</v>
      </c>
      <c r="AE34" s="697">
        <v>0</v>
      </c>
      <c r="AF34" s="697">
        <v>0</v>
      </c>
      <c r="AG34" s="697">
        <v>0</v>
      </c>
      <c r="AH34" s="697">
        <v>0</v>
      </c>
      <c r="AI34" s="697">
        <v>0</v>
      </c>
      <c r="AJ34" s="697"/>
      <c r="AK34" s="697"/>
      <c r="AL34" s="697"/>
      <c r="AM34" s="697"/>
      <c r="AN34" s="697"/>
      <c r="AO34" s="698"/>
      <c r="AP34" s="633"/>
      <c r="AQ34" s="696"/>
      <c r="AR34" s="697"/>
      <c r="AS34" s="697"/>
      <c r="AT34" s="697"/>
      <c r="AU34" s="697">
        <v>76713</v>
      </c>
      <c r="AV34" s="697">
        <v>62341</v>
      </c>
      <c r="AW34" s="697">
        <v>59617</v>
      </c>
      <c r="AX34" s="697">
        <v>57258</v>
      </c>
      <c r="AY34" s="697">
        <v>57258</v>
      </c>
      <c r="AZ34" s="697">
        <v>57258</v>
      </c>
      <c r="BA34" s="697">
        <v>56565</v>
      </c>
      <c r="BB34" s="697">
        <v>56565</v>
      </c>
      <c r="BC34" s="697">
        <v>34835</v>
      </c>
      <c r="BD34" s="697">
        <v>34835</v>
      </c>
      <c r="BE34" s="697">
        <v>34657</v>
      </c>
      <c r="BF34" s="697">
        <v>34657</v>
      </c>
      <c r="BG34" s="697">
        <v>33608</v>
      </c>
      <c r="BH34" s="697">
        <v>33608</v>
      </c>
      <c r="BI34" s="697">
        <v>3612</v>
      </c>
      <c r="BJ34" s="697">
        <v>3324</v>
      </c>
      <c r="BK34" s="697">
        <v>3324</v>
      </c>
      <c r="BL34" s="697">
        <v>3324</v>
      </c>
      <c r="BM34" s="697">
        <v>3324</v>
      </c>
      <c r="BN34" s="697">
        <v>3324</v>
      </c>
      <c r="BO34" s="697">
        <v>3324</v>
      </c>
      <c r="BP34" s="697"/>
      <c r="BQ34" s="697"/>
      <c r="BR34" s="697"/>
      <c r="BS34" s="697"/>
      <c r="BT34" s="698"/>
      <c r="BU34" s="16"/>
    </row>
    <row r="35" spans="2:73" s="772" customFormat="1" ht="6" customHeight="1">
      <c r="B35" s="765"/>
      <c r="C35" s="765"/>
      <c r="D35" s="765"/>
      <c r="E35" s="765"/>
      <c r="F35" s="765"/>
      <c r="G35" s="765"/>
      <c r="H35" s="765"/>
      <c r="I35" s="766"/>
      <c r="J35" s="766"/>
      <c r="K35" s="767"/>
      <c r="L35" s="768"/>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70"/>
      <c r="AP35" s="767"/>
      <c r="AQ35" s="768"/>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69"/>
      <c r="BR35" s="769"/>
      <c r="BS35" s="769"/>
      <c r="BT35" s="770"/>
      <c r="BU35" s="771"/>
    </row>
    <row r="36" spans="2:73" s="17" customFormat="1" ht="15.6">
      <c r="B36" s="692"/>
      <c r="C36" s="692" t="s">
        <v>743</v>
      </c>
      <c r="D36" s="774" t="s">
        <v>118</v>
      </c>
      <c r="E36" s="692" t="s">
        <v>726</v>
      </c>
      <c r="F36" s="692" t="s">
        <v>746</v>
      </c>
      <c r="G36" s="692" t="s">
        <v>748</v>
      </c>
      <c r="H36" s="692">
        <v>2015</v>
      </c>
      <c r="I36" s="644" t="s">
        <v>584</v>
      </c>
      <c r="J36" s="644" t="s">
        <v>589</v>
      </c>
      <c r="K36" s="633"/>
      <c r="L36" s="696"/>
      <c r="M36" s="697"/>
      <c r="N36" s="697"/>
      <c r="O36" s="697"/>
      <c r="P36" s="697">
        <v>47</v>
      </c>
      <c r="Q36" s="697">
        <v>47</v>
      </c>
      <c r="R36" s="697">
        <v>47</v>
      </c>
      <c r="S36" s="697">
        <v>47</v>
      </c>
      <c r="T36" s="697">
        <v>47</v>
      </c>
      <c r="U36" s="697">
        <v>47</v>
      </c>
      <c r="V36" s="697">
        <v>44</v>
      </c>
      <c r="W36" s="697">
        <v>44</v>
      </c>
      <c r="X36" s="697">
        <v>43</v>
      </c>
      <c r="Y36" s="697">
        <v>33</v>
      </c>
      <c r="Z36" s="697">
        <v>7</v>
      </c>
      <c r="AA36" s="697">
        <v>0</v>
      </c>
      <c r="AB36" s="697">
        <v>0</v>
      </c>
      <c r="AC36" s="697">
        <v>0</v>
      </c>
      <c r="AD36" s="697">
        <v>0</v>
      </c>
      <c r="AE36" s="697">
        <v>0</v>
      </c>
      <c r="AF36" s="697">
        <v>0</v>
      </c>
      <c r="AG36" s="697">
        <v>0</v>
      </c>
      <c r="AH36" s="697">
        <v>0</v>
      </c>
      <c r="AI36" s="697">
        <v>0</v>
      </c>
      <c r="AJ36" s="697">
        <v>0</v>
      </c>
      <c r="AK36" s="697">
        <v>0</v>
      </c>
      <c r="AL36" s="697">
        <v>0</v>
      </c>
      <c r="AM36" s="697"/>
      <c r="AN36" s="697"/>
      <c r="AO36" s="698"/>
      <c r="AP36" s="633"/>
      <c r="AQ36" s="696"/>
      <c r="AR36" s="697"/>
      <c r="AS36" s="697"/>
      <c r="AT36" s="697"/>
      <c r="AU36" s="697">
        <v>554307</v>
      </c>
      <c r="AV36" s="697">
        <v>554307</v>
      </c>
      <c r="AW36" s="697">
        <v>554307</v>
      </c>
      <c r="AX36" s="697">
        <v>554307</v>
      </c>
      <c r="AY36" s="697">
        <v>554307</v>
      </c>
      <c r="AZ36" s="697">
        <v>554307</v>
      </c>
      <c r="BA36" s="697">
        <v>536358</v>
      </c>
      <c r="BB36" s="697">
        <v>536358</v>
      </c>
      <c r="BC36" s="697">
        <v>535192</v>
      </c>
      <c r="BD36" s="697">
        <v>478511</v>
      </c>
      <c r="BE36" s="697">
        <v>327602</v>
      </c>
      <c r="BF36" s="697">
        <v>304298</v>
      </c>
      <c r="BG36" s="697">
        <v>276371</v>
      </c>
      <c r="BH36" s="697">
        <v>276371</v>
      </c>
      <c r="BI36" s="697">
        <v>276371</v>
      </c>
      <c r="BJ36" s="697">
        <v>190287</v>
      </c>
      <c r="BK36" s="697">
        <v>0</v>
      </c>
      <c r="BL36" s="697">
        <v>0</v>
      </c>
      <c r="BM36" s="697">
        <v>0</v>
      </c>
      <c r="BN36" s="697">
        <v>0</v>
      </c>
      <c r="BO36" s="697">
        <v>0</v>
      </c>
      <c r="BP36" s="697">
        <v>0</v>
      </c>
      <c r="BQ36" s="697">
        <v>0</v>
      </c>
      <c r="BR36" s="697"/>
      <c r="BS36" s="697"/>
      <c r="BT36" s="698"/>
      <c r="BU36" s="16"/>
    </row>
    <row r="37" spans="2:73" s="17" customFormat="1" ht="15.6">
      <c r="B37" s="692"/>
      <c r="C37" s="692" t="s">
        <v>29</v>
      </c>
      <c r="D37" s="774" t="s">
        <v>95</v>
      </c>
      <c r="E37" s="692" t="s">
        <v>726</v>
      </c>
      <c r="F37" s="692" t="s">
        <v>29</v>
      </c>
      <c r="G37" s="692" t="s">
        <v>748</v>
      </c>
      <c r="H37" s="692">
        <v>2015</v>
      </c>
      <c r="I37" s="644" t="s">
        <v>584</v>
      </c>
      <c r="J37" s="644" t="s">
        <v>589</v>
      </c>
      <c r="K37" s="633"/>
      <c r="L37" s="696"/>
      <c r="M37" s="697"/>
      <c r="N37" s="697"/>
      <c r="O37" s="697"/>
      <c r="P37" s="697">
        <v>7</v>
      </c>
      <c r="Q37" s="697">
        <v>7</v>
      </c>
      <c r="R37" s="697">
        <v>7</v>
      </c>
      <c r="S37" s="697">
        <v>7</v>
      </c>
      <c r="T37" s="697">
        <v>7</v>
      </c>
      <c r="U37" s="697">
        <v>7</v>
      </c>
      <c r="V37" s="697">
        <v>7</v>
      </c>
      <c r="W37" s="697">
        <v>7</v>
      </c>
      <c r="X37" s="697">
        <v>7</v>
      </c>
      <c r="Y37" s="697">
        <v>7</v>
      </c>
      <c r="Z37" s="697">
        <v>6</v>
      </c>
      <c r="AA37" s="697">
        <v>6</v>
      </c>
      <c r="AB37" s="697">
        <v>6</v>
      </c>
      <c r="AC37" s="697">
        <v>6</v>
      </c>
      <c r="AD37" s="697">
        <v>6</v>
      </c>
      <c r="AE37" s="697">
        <v>6</v>
      </c>
      <c r="AF37" s="697">
        <v>3</v>
      </c>
      <c r="AG37" s="697">
        <v>3</v>
      </c>
      <c r="AH37" s="697">
        <v>3</v>
      </c>
      <c r="AI37" s="697">
        <v>3</v>
      </c>
      <c r="AJ37" s="697">
        <v>0</v>
      </c>
      <c r="AK37" s="697">
        <v>0</v>
      </c>
      <c r="AL37" s="697">
        <v>0</v>
      </c>
      <c r="AM37" s="697"/>
      <c r="AN37" s="697"/>
      <c r="AO37" s="698"/>
      <c r="AP37" s="633"/>
      <c r="AQ37" s="696"/>
      <c r="AR37" s="697"/>
      <c r="AS37" s="697"/>
      <c r="AT37" s="697"/>
      <c r="AU37" s="697">
        <v>104247</v>
      </c>
      <c r="AV37" s="697">
        <v>102747</v>
      </c>
      <c r="AW37" s="697">
        <v>102747</v>
      </c>
      <c r="AX37" s="697">
        <v>102747</v>
      </c>
      <c r="AY37" s="697">
        <v>102747</v>
      </c>
      <c r="AZ37" s="697">
        <v>102747</v>
      </c>
      <c r="BA37" s="697">
        <v>102747</v>
      </c>
      <c r="BB37" s="697">
        <v>102705</v>
      </c>
      <c r="BC37" s="697">
        <v>102705</v>
      </c>
      <c r="BD37" s="697">
        <v>102705</v>
      </c>
      <c r="BE37" s="697">
        <v>100152</v>
      </c>
      <c r="BF37" s="697">
        <v>100040</v>
      </c>
      <c r="BG37" s="697">
        <v>100040</v>
      </c>
      <c r="BH37" s="697">
        <v>99810</v>
      </c>
      <c r="BI37" s="697">
        <v>99810</v>
      </c>
      <c r="BJ37" s="697">
        <v>99627</v>
      </c>
      <c r="BK37" s="697">
        <v>51632</v>
      </c>
      <c r="BL37" s="697">
        <v>51632</v>
      </c>
      <c r="BM37" s="697">
        <v>51632</v>
      </c>
      <c r="BN37" s="697">
        <v>51632</v>
      </c>
      <c r="BO37" s="697">
        <v>0</v>
      </c>
      <c r="BP37" s="697">
        <v>0</v>
      </c>
      <c r="BQ37" s="697">
        <v>0</v>
      </c>
      <c r="BR37" s="697"/>
      <c r="BS37" s="697"/>
      <c r="BT37" s="698"/>
      <c r="BU37" s="16"/>
    </row>
    <row r="38" spans="2:73" s="17" customFormat="1" ht="15.6">
      <c r="B38" s="692"/>
      <c r="C38" s="692" t="s">
        <v>29</v>
      </c>
      <c r="D38" s="774" t="s">
        <v>96</v>
      </c>
      <c r="E38" s="692" t="s">
        <v>726</v>
      </c>
      <c r="F38" s="692" t="s">
        <v>29</v>
      </c>
      <c r="G38" s="692" t="s">
        <v>748</v>
      </c>
      <c r="H38" s="692">
        <v>2015</v>
      </c>
      <c r="I38" s="644" t="s">
        <v>584</v>
      </c>
      <c r="J38" s="644" t="s">
        <v>589</v>
      </c>
      <c r="K38" s="633"/>
      <c r="L38" s="696"/>
      <c r="M38" s="697"/>
      <c r="N38" s="697"/>
      <c r="O38" s="697"/>
      <c r="P38" s="697">
        <v>1</v>
      </c>
      <c r="Q38" s="697">
        <v>1</v>
      </c>
      <c r="R38" s="697">
        <v>1</v>
      </c>
      <c r="S38" s="697">
        <v>1</v>
      </c>
      <c r="T38" s="697">
        <v>1</v>
      </c>
      <c r="U38" s="697">
        <v>1</v>
      </c>
      <c r="V38" s="697">
        <v>1</v>
      </c>
      <c r="W38" s="697">
        <v>1</v>
      </c>
      <c r="X38" s="697">
        <v>1</v>
      </c>
      <c r="Y38" s="697">
        <v>1</v>
      </c>
      <c r="Z38" s="697">
        <v>1</v>
      </c>
      <c r="AA38" s="697">
        <v>1</v>
      </c>
      <c r="AB38" s="697">
        <v>1</v>
      </c>
      <c r="AC38" s="697">
        <v>1</v>
      </c>
      <c r="AD38" s="697">
        <v>1</v>
      </c>
      <c r="AE38" s="697">
        <v>1</v>
      </c>
      <c r="AF38" s="697">
        <v>0</v>
      </c>
      <c r="AG38" s="697">
        <v>0</v>
      </c>
      <c r="AH38" s="697">
        <v>0</v>
      </c>
      <c r="AI38" s="697">
        <v>0</v>
      </c>
      <c r="AJ38" s="697">
        <v>0</v>
      </c>
      <c r="AK38" s="697">
        <v>0</v>
      </c>
      <c r="AL38" s="697">
        <v>0</v>
      </c>
      <c r="AM38" s="697"/>
      <c r="AN38" s="697"/>
      <c r="AO38" s="698"/>
      <c r="AP38" s="633"/>
      <c r="AQ38" s="696"/>
      <c r="AR38" s="697"/>
      <c r="AS38" s="697"/>
      <c r="AT38" s="697"/>
      <c r="AU38" s="697">
        <v>11928</v>
      </c>
      <c r="AV38" s="697">
        <v>11788</v>
      </c>
      <c r="AW38" s="697">
        <v>11788</v>
      </c>
      <c r="AX38" s="697">
        <v>11788</v>
      </c>
      <c r="AY38" s="697">
        <v>11788</v>
      </c>
      <c r="AZ38" s="697">
        <v>11788</v>
      </c>
      <c r="BA38" s="697">
        <v>11788</v>
      </c>
      <c r="BB38" s="697">
        <v>11758</v>
      </c>
      <c r="BC38" s="697">
        <v>11758</v>
      </c>
      <c r="BD38" s="697">
        <v>11758</v>
      </c>
      <c r="BE38" s="697">
        <v>9972</v>
      </c>
      <c r="BF38" s="697">
        <v>9891</v>
      </c>
      <c r="BG38" s="697">
        <v>9891</v>
      </c>
      <c r="BH38" s="697">
        <v>9587</v>
      </c>
      <c r="BI38" s="697">
        <v>9587</v>
      </c>
      <c r="BJ38" s="697">
        <v>9551</v>
      </c>
      <c r="BK38" s="697">
        <v>3991</v>
      </c>
      <c r="BL38" s="697">
        <v>3991</v>
      </c>
      <c r="BM38" s="697">
        <v>3991</v>
      </c>
      <c r="BN38" s="697">
        <v>3991</v>
      </c>
      <c r="BO38" s="697">
        <v>0</v>
      </c>
      <c r="BP38" s="697">
        <v>0</v>
      </c>
      <c r="BQ38" s="697">
        <v>0</v>
      </c>
      <c r="BR38" s="697"/>
      <c r="BS38" s="697"/>
      <c r="BT38" s="698"/>
      <c r="BU38" s="16"/>
    </row>
    <row r="39" spans="2:73" s="17" customFormat="1" ht="15.6">
      <c r="B39" s="692"/>
      <c r="C39" s="692" t="s">
        <v>29</v>
      </c>
      <c r="D39" s="774" t="s">
        <v>683</v>
      </c>
      <c r="E39" s="692" t="s">
        <v>726</v>
      </c>
      <c r="F39" s="692" t="s">
        <v>29</v>
      </c>
      <c r="G39" s="692" t="s">
        <v>748</v>
      </c>
      <c r="H39" s="692">
        <v>2015</v>
      </c>
      <c r="I39" s="644" t="s">
        <v>584</v>
      </c>
      <c r="J39" s="644" t="s">
        <v>589</v>
      </c>
      <c r="K39" s="633"/>
      <c r="L39" s="696"/>
      <c r="M39" s="697"/>
      <c r="N39" s="697"/>
      <c r="O39" s="697"/>
      <c r="P39" s="697">
        <v>11</v>
      </c>
      <c r="Q39" s="697">
        <v>11</v>
      </c>
      <c r="R39" s="697">
        <v>11</v>
      </c>
      <c r="S39" s="697">
        <v>11</v>
      </c>
      <c r="T39" s="697">
        <v>11</v>
      </c>
      <c r="U39" s="697">
        <v>11</v>
      </c>
      <c r="V39" s="697">
        <v>11</v>
      </c>
      <c r="W39" s="697">
        <v>11</v>
      </c>
      <c r="X39" s="697">
        <v>11</v>
      </c>
      <c r="Y39" s="697">
        <v>11</v>
      </c>
      <c r="Z39" s="697">
        <v>11</v>
      </c>
      <c r="AA39" s="697">
        <v>11</v>
      </c>
      <c r="AB39" s="697">
        <v>11</v>
      </c>
      <c r="AC39" s="697">
        <v>11</v>
      </c>
      <c r="AD39" s="697">
        <v>11</v>
      </c>
      <c r="AE39" s="697">
        <v>11</v>
      </c>
      <c r="AF39" s="697">
        <v>11</v>
      </c>
      <c r="AG39" s="697">
        <v>11</v>
      </c>
      <c r="AH39" s="697">
        <v>10</v>
      </c>
      <c r="AI39" s="697">
        <v>0</v>
      </c>
      <c r="AJ39" s="697">
        <v>0</v>
      </c>
      <c r="AK39" s="697">
        <v>0</v>
      </c>
      <c r="AL39" s="697">
        <v>0</v>
      </c>
      <c r="AM39" s="697"/>
      <c r="AN39" s="697"/>
      <c r="AO39" s="698"/>
      <c r="AP39" s="633"/>
      <c r="AQ39" s="696"/>
      <c r="AR39" s="697"/>
      <c r="AS39" s="697"/>
      <c r="AT39" s="697"/>
      <c r="AU39" s="697">
        <v>21001</v>
      </c>
      <c r="AV39" s="697">
        <v>21001</v>
      </c>
      <c r="AW39" s="697">
        <v>21001</v>
      </c>
      <c r="AX39" s="697">
        <v>21001</v>
      </c>
      <c r="AY39" s="697">
        <v>21001</v>
      </c>
      <c r="AZ39" s="697">
        <v>21001</v>
      </c>
      <c r="BA39" s="697">
        <v>21001</v>
      </c>
      <c r="BB39" s="697">
        <v>21001</v>
      </c>
      <c r="BC39" s="697">
        <v>21001</v>
      </c>
      <c r="BD39" s="697">
        <v>21001</v>
      </c>
      <c r="BE39" s="697">
        <v>21001</v>
      </c>
      <c r="BF39" s="697">
        <v>21001</v>
      </c>
      <c r="BG39" s="697">
        <v>21001</v>
      </c>
      <c r="BH39" s="697">
        <v>21001</v>
      </c>
      <c r="BI39" s="697">
        <v>21001</v>
      </c>
      <c r="BJ39" s="697">
        <v>21001</v>
      </c>
      <c r="BK39" s="697">
        <v>21001</v>
      </c>
      <c r="BL39" s="697">
        <v>21001</v>
      </c>
      <c r="BM39" s="697">
        <v>20387</v>
      </c>
      <c r="BN39" s="697">
        <v>0</v>
      </c>
      <c r="BO39" s="697">
        <v>0</v>
      </c>
      <c r="BP39" s="697">
        <v>0</v>
      </c>
      <c r="BQ39" s="697">
        <v>0</v>
      </c>
      <c r="BR39" s="697"/>
      <c r="BS39" s="697"/>
      <c r="BT39" s="698"/>
      <c r="BU39" s="16"/>
    </row>
    <row r="40" spans="2:73" s="17" customFormat="1" ht="15.6">
      <c r="B40" s="692"/>
      <c r="C40" s="692" t="s">
        <v>29</v>
      </c>
      <c r="D40" s="774" t="s">
        <v>98</v>
      </c>
      <c r="E40" s="692" t="s">
        <v>726</v>
      </c>
      <c r="F40" s="692" t="s">
        <v>29</v>
      </c>
      <c r="G40" s="692" t="s">
        <v>748</v>
      </c>
      <c r="H40" s="692">
        <v>2015</v>
      </c>
      <c r="I40" s="644" t="s">
        <v>584</v>
      </c>
      <c r="J40" s="644" t="s">
        <v>589</v>
      </c>
      <c r="K40" s="633"/>
      <c r="L40" s="696"/>
      <c r="M40" s="697"/>
      <c r="N40" s="697"/>
      <c r="O40" s="697"/>
      <c r="P40" s="697">
        <v>13</v>
      </c>
      <c r="Q40" s="697">
        <v>13</v>
      </c>
      <c r="R40" s="697">
        <v>13</v>
      </c>
      <c r="S40" s="697">
        <v>13</v>
      </c>
      <c r="T40" s="697">
        <v>13</v>
      </c>
      <c r="U40" s="697">
        <v>13</v>
      </c>
      <c r="V40" s="697">
        <v>13</v>
      </c>
      <c r="W40" s="697">
        <v>13</v>
      </c>
      <c r="X40" s="697">
        <v>13</v>
      </c>
      <c r="Y40" s="697">
        <v>13</v>
      </c>
      <c r="Z40" s="697">
        <v>13</v>
      </c>
      <c r="AA40" s="697">
        <v>13</v>
      </c>
      <c r="AB40" s="697">
        <v>13</v>
      </c>
      <c r="AC40" s="697">
        <v>13</v>
      </c>
      <c r="AD40" s="697">
        <v>13</v>
      </c>
      <c r="AE40" s="697">
        <v>13</v>
      </c>
      <c r="AF40" s="697">
        <v>3</v>
      </c>
      <c r="AG40" s="697">
        <v>3</v>
      </c>
      <c r="AH40" s="697">
        <v>3</v>
      </c>
      <c r="AI40" s="697">
        <v>3</v>
      </c>
      <c r="AJ40" s="697">
        <v>3</v>
      </c>
      <c r="AK40" s="697">
        <v>3</v>
      </c>
      <c r="AL40" s="697">
        <v>3</v>
      </c>
      <c r="AM40" s="697"/>
      <c r="AN40" s="697"/>
      <c r="AO40" s="698"/>
      <c r="AP40" s="633"/>
      <c r="AQ40" s="696"/>
      <c r="AR40" s="697"/>
      <c r="AS40" s="697"/>
      <c r="AT40" s="697"/>
      <c r="AU40" s="697">
        <v>225449</v>
      </c>
      <c r="AV40" s="697">
        <v>225449</v>
      </c>
      <c r="AW40" s="697">
        <v>225449</v>
      </c>
      <c r="AX40" s="697">
        <v>225449</v>
      </c>
      <c r="AY40" s="697">
        <v>225449</v>
      </c>
      <c r="AZ40" s="697">
        <v>225449</v>
      </c>
      <c r="BA40" s="697">
        <v>225449</v>
      </c>
      <c r="BB40" s="697">
        <v>225449</v>
      </c>
      <c r="BC40" s="697">
        <v>225449</v>
      </c>
      <c r="BD40" s="697">
        <v>225449</v>
      </c>
      <c r="BE40" s="697">
        <v>225449</v>
      </c>
      <c r="BF40" s="697">
        <v>225449</v>
      </c>
      <c r="BG40" s="697">
        <v>225449</v>
      </c>
      <c r="BH40" s="697">
        <v>225449</v>
      </c>
      <c r="BI40" s="697">
        <v>225449</v>
      </c>
      <c r="BJ40" s="697">
        <v>225449</v>
      </c>
      <c r="BK40" s="697">
        <v>73379</v>
      </c>
      <c r="BL40" s="697">
        <v>73379</v>
      </c>
      <c r="BM40" s="697">
        <v>73379</v>
      </c>
      <c r="BN40" s="697">
        <v>73379</v>
      </c>
      <c r="BO40" s="697">
        <v>72067</v>
      </c>
      <c r="BP40" s="697">
        <v>72067</v>
      </c>
      <c r="BQ40" s="697">
        <v>72067</v>
      </c>
      <c r="BR40" s="697"/>
      <c r="BS40" s="697"/>
      <c r="BT40" s="698"/>
      <c r="BU40" s="16"/>
    </row>
    <row r="41" spans="2:73" s="17" customFormat="1" ht="15.6">
      <c r="B41" s="692"/>
      <c r="C41" s="692" t="s">
        <v>742</v>
      </c>
      <c r="D41" s="774" t="s">
        <v>100</v>
      </c>
      <c r="E41" s="692" t="s">
        <v>726</v>
      </c>
      <c r="F41" s="692" t="s">
        <v>746</v>
      </c>
      <c r="G41" s="692" t="s">
        <v>748</v>
      </c>
      <c r="H41" s="692">
        <v>2015</v>
      </c>
      <c r="I41" s="644" t="s">
        <v>584</v>
      </c>
      <c r="J41" s="644" t="s">
        <v>589</v>
      </c>
      <c r="K41" s="633"/>
      <c r="L41" s="696"/>
      <c r="M41" s="697"/>
      <c r="N41" s="697"/>
      <c r="O41" s="697"/>
      <c r="P41" s="697">
        <v>69</v>
      </c>
      <c r="Q41" s="697">
        <v>69</v>
      </c>
      <c r="R41" s="697">
        <v>69</v>
      </c>
      <c r="S41" s="697">
        <v>66</v>
      </c>
      <c r="T41" s="697">
        <v>66</v>
      </c>
      <c r="U41" s="697">
        <v>66</v>
      </c>
      <c r="V41" s="697">
        <v>61</v>
      </c>
      <c r="W41" s="697">
        <v>61</v>
      </c>
      <c r="X41" s="697">
        <v>61</v>
      </c>
      <c r="Y41" s="697">
        <v>38</v>
      </c>
      <c r="Z41" s="697">
        <v>16</v>
      </c>
      <c r="AA41" s="697">
        <v>16</v>
      </c>
      <c r="AB41" s="697">
        <v>14</v>
      </c>
      <c r="AC41" s="697">
        <v>14</v>
      </c>
      <c r="AD41" s="697">
        <v>14</v>
      </c>
      <c r="AE41" s="697">
        <v>11</v>
      </c>
      <c r="AF41" s="697">
        <v>1</v>
      </c>
      <c r="AG41" s="697">
        <v>1</v>
      </c>
      <c r="AH41" s="697">
        <v>1</v>
      </c>
      <c r="AI41" s="697">
        <v>1</v>
      </c>
      <c r="AJ41" s="697">
        <v>0</v>
      </c>
      <c r="AK41" s="697">
        <v>0</v>
      </c>
      <c r="AL41" s="697">
        <v>0</v>
      </c>
      <c r="AM41" s="697"/>
      <c r="AN41" s="697"/>
      <c r="AO41" s="698"/>
      <c r="AP41" s="633"/>
      <c r="AQ41" s="696"/>
      <c r="AR41" s="697"/>
      <c r="AS41" s="697"/>
      <c r="AT41" s="697"/>
      <c r="AU41" s="697">
        <v>275170</v>
      </c>
      <c r="AV41" s="697">
        <v>275170</v>
      </c>
      <c r="AW41" s="697">
        <v>275170</v>
      </c>
      <c r="AX41" s="697">
        <v>268516</v>
      </c>
      <c r="AY41" s="697">
        <v>268516</v>
      </c>
      <c r="AZ41" s="697">
        <v>267035</v>
      </c>
      <c r="BA41" s="697">
        <v>243662</v>
      </c>
      <c r="BB41" s="697">
        <v>243662</v>
      </c>
      <c r="BC41" s="697">
        <v>243662</v>
      </c>
      <c r="BD41" s="697">
        <v>144643</v>
      </c>
      <c r="BE41" s="697">
        <v>43085</v>
      </c>
      <c r="BF41" s="697">
        <v>43085</v>
      </c>
      <c r="BG41" s="697">
        <v>17105</v>
      </c>
      <c r="BH41" s="697">
        <v>17105</v>
      </c>
      <c r="BI41" s="697">
        <v>17105</v>
      </c>
      <c r="BJ41" s="697">
        <v>13739</v>
      </c>
      <c r="BK41" s="697">
        <v>1427</v>
      </c>
      <c r="BL41" s="697">
        <v>1427</v>
      </c>
      <c r="BM41" s="697">
        <v>1427</v>
      </c>
      <c r="BN41" s="697">
        <v>1427</v>
      </c>
      <c r="BO41" s="697">
        <v>0</v>
      </c>
      <c r="BP41" s="697">
        <v>0</v>
      </c>
      <c r="BQ41" s="697">
        <v>0</v>
      </c>
      <c r="BR41" s="697"/>
      <c r="BS41" s="697"/>
      <c r="BT41" s="698"/>
      <c r="BU41" s="16"/>
    </row>
    <row r="42" spans="2:73" s="17" customFormat="1" ht="15.6">
      <c r="B42" s="692"/>
      <c r="C42" s="692" t="s">
        <v>743</v>
      </c>
      <c r="D42" s="774" t="s">
        <v>118</v>
      </c>
      <c r="E42" s="692" t="s">
        <v>726</v>
      </c>
      <c r="F42" s="692" t="s">
        <v>746</v>
      </c>
      <c r="G42" s="692" t="s">
        <v>748</v>
      </c>
      <c r="H42" s="692">
        <v>2015</v>
      </c>
      <c r="I42" s="644" t="s">
        <v>584</v>
      </c>
      <c r="J42" s="644" t="s">
        <v>589</v>
      </c>
      <c r="K42" s="633"/>
      <c r="L42" s="696"/>
      <c r="M42" s="697"/>
      <c r="N42" s="697"/>
      <c r="O42" s="697"/>
      <c r="P42" s="697">
        <v>6</v>
      </c>
      <c r="Q42" s="697">
        <v>6</v>
      </c>
      <c r="R42" s="697">
        <v>6</v>
      </c>
      <c r="S42" s="697">
        <v>6</v>
      </c>
      <c r="T42" s="697">
        <v>6</v>
      </c>
      <c r="U42" s="697">
        <v>6</v>
      </c>
      <c r="V42" s="697">
        <v>9</v>
      </c>
      <c r="W42" s="697">
        <v>9</v>
      </c>
      <c r="X42" s="697">
        <v>9</v>
      </c>
      <c r="Y42" s="697">
        <v>6</v>
      </c>
      <c r="Z42" s="697">
        <v>0</v>
      </c>
      <c r="AA42" s="697">
        <v>0</v>
      </c>
      <c r="AB42" s="697">
        <v>0</v>
      </c>
      <c r="AC42" s="697">
        <v>0</v>
      </c>
      <c r="AD42" s="697">
        <v>0</v>
      </c>
      <c r="AE42" s="697">
        <v>0</v>
      </c>
      <c r="AF42" s="697">
        <v>0</v>
      </c>
      <c r="AG42" s="697">
        <v>0</v>
      </c>
      <c r="AH42" s="697">
        <v>0</v>
      </c>
      <c r="AI42" s="697">
        <v>0</v>
      </c>
      <c r="AJ42" s="697">
        <v>0</v>
      </c>
      <c r="AK42" s="697">
        <v>0</v>
      </c>
      <c r="AL42" s="697">
        <v>0</v>
      </c>
      <c r="AM42" s="697"/>
      <c r="AN42" s="697"/>
      <c r="AO42" s="698"/>
      <c r="AP42" s="633"/>
      <c r="AQ42" s="696"/>
      <c r="AR42" s="697"/>
      <c r="AS42" s="697"/>
      <c r="AT42" s="697"/>
      <c r="AU42" s="697">
        <v>270321</v>
      </c>
      <c r="AV42" s="697">
        <v>270321</v>
      </c>
      <c r="AW42" s="697">
        <v>270321</v>
      </c>
      <c r="AX42" s="697">
        <v>270321</v>
      </c>
      <c r="AY42" s="697">
        <v>270321</v>
      </c>
      <c r="AZ42" s="697">
        <v>270321</v>
      </c>
      <c r="BA42" s="697">
        <v>288270</v>
      </c>
      <c r="BB42" s="697">
        <v>288270</v>
      </c>
      <c r="BC42" s="697">
        <v>288270</v>
      </c>
      <c r="BD42" s="697">
        <v>275091</v>
      </c>
      <c r="BE42" s="697">
        <v>237072</v>
      </c>
      <c r="BF42" s="697">
        <v>232294</v>
      </c>
      <c r="BG42" s="697">
        <v>209506</v>
      </c>
      <c r="BH42" s="697">
        <v>209506</v>
      </c>
      <c r="BI42" s="697">
        <v>209506</v>
      </c>
      <c r="BJ42" s="697">
        <v>144249</v>
      </c>
      <c r="BK42" s="697">
        <v>0</v>
      </c>
      <c r="BL42" s="697">
        <v>0</v>
      </c>
      <c r="BM42" s="697">
        <v>0</v>
      </c>
      <c r="BN42" s="697">
        <v>0</v>
      </c>
      <c r="BO42" s="697"/>
      <c r="BP42" s="697"/>
      <c r="BQ42" s="697"/>
      <c r="BR42" s="697"/>
      <c r="BS42" s="697"/>
      <c r="BT42" s="698"/>
      <c r="BU42" s="16"/>
    </row>
    <row r="43" spans="2:73" s="17" customFormat="1" ht="15.6">
      <c r="B43" s="692"/>
      <c r="C43" s="692" t="s">
        <v>742</v>
      </c>
      <c r="D43" s="774" t="s">
        <v>100</v>
      </c>
      <c r="E43" s="692" t="s">
        <v>726</v>
      </c>
      <c r="F43" s="692" t="s">
        <v>746</v>
      </c>
      <c r="G43" s="692" t="s">
        <v>748</v>
      </c>
      <c r="H43" s="692">
        <v>2015</v>
      </c>
      <c r="I43" s="644" t="s">
        <v>584</v>
      </c>
      <c r="J43" s="644" t="s">
        <v>589</v>
      </c>
      <c r="K43" s="633"/>
      <c r="L43" s="696"/>
      <c r="M43" s="697"/>
      <c r="N43" s="697"/>
      <c r="O43" s="697"/>
      <c r="P43" s="697">
        <v>-9</v>
      </c>
      <c r="Q43" s="697">
        <v>-9</v>
      </c>
      <c r="R43" s="697">
        <v>6</v>
      </c>
      <c r="S43" s="697">
        <v>13</v>
      </c>
      <c r="T43" s="697">
        <v>13</v>
      </c>
      <c r="U43" s="697">
        <v>13</v>
      </c>
      <c r="V43" s="697">
        <v>27</v>
      </c>
      <c r="W43" s="697">
        <v>27</v>
      </c>
      <c r="X43" s="697">
        <v>27</v>
      </c>
      <c r="Y43" s="697">
        <v>20</v>
      </c>
      <c r="Z43" s="697">
        <v>10</v>
      </c>
      <c r="AA43" s="697">
        <v>10</v>
      </c>
      <c r="AB43" s="697">
        <v>1</v>
      </c>
      <c r="AC43" s="697">
        <v>1</v>
      </c>
      <c r="AD43" s="697">
        <v>1</v>
      </c>
      <c r="AE43" s="697">
        <v>1</v>
      </c>
      <c r="AF43" s="697">
        <v>2</v>
      </c>
      <c r="AG43" s="697">
        <v>2</v>
      </c>
      <c r="AH43" s="697">
        <v>2</v>
      </c>
      <c r="AI43" s="697">
        <v>2</v>
      </c>
      <c r="AJ43" s="697">
        <v>0</v>
      </c>
      <c r="AK43" s="697">
        <v>0</v>
      </c>
      <c r="AL43" s="697">
        <v>0</v>
      </c>
      <c r="AM43" s="697"/>
      <c r="AN43" s="697"/>
      <c r="AO43" s="698"/>
      <c r="AP43" s="633"/>
      <c r="AQ43" s="696"/>
      <c r="AR43" s="697"/>
      <c r="AS43" s="697"/>
      <c r="AT43" s="697"/>
      <c r="AU43" s="697">
        <v>-43690</v>
      </c>
      <c r="AV43" s="697">
        <v>-43690</v>
      </c>
      <c r="AW43" s="697">
        <v>6767</v>
      </c>
      <c r="AX43" s="697">
        <v>26474</v>
      </c>
      <c r="AY43" s="697">
        <v>26474</v>
      </c>
      <c r="AZ43" s="697">
        <v>26492</v>
      </c>
      <c r="BA43" s="697">
        <v>98615</v>
      </c>
      <c r="BB43" s="697">
        <v>98615</v>
      </c>
      <c r="BC43" s="697">
        <v>142524</v>
      </c>
      <c r="BD43" s="697">
        <v>128824</v>
      </c>
      <c r="BE43" s="697">
        <v>43769</v>
      </c>
      <c r="BF43" s="697">
        <v>18201</v>
      </c>
      <c r="BG43" s="697">
        <v>4608</v>
      </c>
      <c r="BH43" s="697">
        <v>4608</v>
      </c>
      <c r="BI43" s="697">
        <v>4608</v>
      </c>
      <c r="BJ43" s="697">
        <v>4371</v>
      </c>
      <c r="BK43" s="697">
        <v>3506</v>
      </c>
      <c r="BL43" s="697">
        <v>3506</v>
      </c>
      <c r="BM43" s="697">
        <v>3506</v>
      </c>
      <c r="BN43" s="697">
        <v>3506</v>
      </c>
      <c r="BO43" s="697"/>
      <c r="BP43" s="697"/>
      <c r="BQ43" s="697"/>
      <c r="BR43" s="697"/>
      <c r="BS43" s="697"/>
      <c r="BT43" s="698"/>
      <c r="BU43" s="16"/>
    </row>
    <row r="44" spans="2:73" s="17" customFormat="1" ht="15.6">
      <c r="B44" s="692"/>
      <c r="C44" s="692" t="s">
        <v>10</v>
      </c>
      <c r="D44" s="774" t="s">
        <v>104</v>
      </c>
      <c r="E44" s="692" t="s">
        <v>726</v>
      </c>
      <c r="F44" s="692" t="s">
        <v>747</v>
      </c>
      <c r="G44" s="692" t="s">
        <v>748</v>
      </c>
      <c r="H44" s="692">
        <v>2015</v>
      </c>
      <c r="I44" s="644" t="s">
        <v>584</v>
      </c>
      <c r="J44" s="644" t="s">
        <v>589</v>
      </c>
      <c r="K44" s="633"/>
      <c r="L44" s="696"/>
      <c r="M44" s="697"/>
      <c r="N44" s="697"/>
      <c r="O44" s="697"/>
      <c r="P44" s="697">
        <v>734</v>
      </c>
      <c r="Q44" s="697">
        <v>734</v>
      </c>
      <c r="R44" s="697">
        <v>734</v>
      </c>
      <c r="S44" s="697">
        <v>734</v>
      </c>
      <c r="T44" s="697">
        <v>734</v>
      </c>
      <c r="U44" s="697">
        <v>734</v>
      </c>
      <c r="V44" s="697">
        <v>734</v>
      </c>
      <c r="W44" s="697">
        <v>734</v>
      </c>
      <c r="X44" s="697">
        <v>734</v>
      </c>
      <c r="Y44" s="697">
        <v>734</v>
      </c>
      <c r="Z44" s="697">
        <v>734</v>
      </c>
      <c r="AA44" s="697">
        <v>734</v>
      </c>
      <c r="AB44" s="697">
        <v>734</v>
      </c>
      <c r="AC44" s="697">
        <v>734</v>
      </c>
      <c r="AD44" s="697">
        <v>734</v>
      </c>
      <c r="AE44" s="697">
        <v>734</v>
      </c>
      <c r="AF44" s="697">
        <v>734</v>
      </c>
      <c r="AG44" s="697">
        <v>734</v>
      </c>
      <c r="AH44" s="697">
        <v>734</v>
      </c>
      <c r="AI44" s="697">
        <v>734</v>
      </c>
      <c r="AJ44" s="697">
        <v>0</v>
      </c>
      <c r="AK44" s="697">
        <v>0</v>
      </c>
      <c r="AL44" s="697">
        <v>0</v>
      </c>
      <c r="AM44" s="697"/>
      <c r="AN44" s="697"/>
      <c r="AO44" s="698"/>
      <c r="AP44" s="633"/>
      <c r="AQ44" s="696"/>
      <c r="AR44" s="697"/>
      <c r="AS44" s="697"/>
      <c r="AT44" s="697"/>
      <c r="AU44" s="697">
        <v>9012548</v>
      </c>
      <c r="AV44" s="697">
        <v>9012548</v>
      </c>
      <c r="AW44" s="697">
        <v>9012548</v>
      </c>
      <c r="AX44" s="697">
        <v>9012548</v>
      </c>
      <c r="AY44" s="697">
        <v>9012548</v>
      </c>
      <c r="AZ44" s="697">
        <v>9012548</v>
      </c>
      <c r="BA44" s="697">
        <v>9012548</v>
      </c>
      <c r="BB44" s="697">
        <v>9012548</v>
      </c>
      <c r="BC44" s="697">
        <v>9012548</v>
      </c>
      <c r="BD44" s="697">
        <v>9012548</v>
      </c>
      <c r="BE44" s="697">
        <v>9012548</v>
      </c>
      <c r="BF44" s="697">
        <v>9012548</v>
      </c>
      <c r="BG44" s="697">
        <v>9012548</v>
      </c>
      <c r="BH44" s="697">
        <v>9012548</v>
      </c>
      <c r="BI44" s="697">
        <v>9012548</v>
      </c>
      <c r="BJ44" s="697">
        <v>9012548</v>
      </c>
      <c r="BK44" s="697">
        <v>9012548</v>
      </c>
      <c r="BL44" s="697">
        <v>9012548</v>
      </c>
      <c r="BM44" s="697">
        <v>9012548</v>
      </c>
      <c r="BN44" s="697">
        <v>9012548</v>
      </c>
      <c r="BO44" s="697"/>
      <c r="BP44" s="697"/>
      <c r="BQ44" s="697"/>
      <c r="BR44" s="697"/>
      <c r="BS44" s="697"/>
      <c r="BT44" s="698"/>
      <c r="BU44" s="16"/>
    </row>
    <row r="45" spans="2:73" s="772" customFormat="1" ht="4.2" customHeight="1">
      <c r="B45" s="765"/>
      <c r="C45" s="765"/>
      <c r="D45" s="765"/>
      <c r="E45" s="765"/>
      <c r="F45" s="765"/>
      <c r="G45" s="765"/>
      <c r="H45" s="765"/>
      <c r="I45" s="766"/>
      <c r="J45" s="766"/>
      <c r="K45" s="767"/>
      <c r="L45" s="768"/>
      <c r="M45" s="769"/>
      <c r="N45" s="769"/>
      <c r="O45" s="769"/>
      <c r="P45" s="769"/>
      <c r="Q45" s="769"/>
      <c r="R45" s="769"/>
      <c r="S45" s="769"/>
      <c r="T45" s="769"/>
      <c r="U45" s="769"/>
      <c r="V45" s="769"/>
      <c r="W45" s="769"/>
      <c r="X45" s="769"/>
      <c r="Y45" s="769"/>
      <c r="Z45" s="769"/>
      <c r="AA45" s="769"/>
      <c r="AB45" s="769"/>
      <c r="AC45" s="769"/>
      <c r="AD45" s="769"/>
      <c r="AE45" s="769"/>
      <c r="AF45" s="769"/>
      <c r="AG45" s="769"/>
      <c r="AH45" s="769"/>
      <c r="AI45" s="769"/>
      <c r="AJ45" s="769"/>
      <c r="AK45" s="769"/>
      <c r="AL45" s="769"/>
      <c r="AM45" s="769"/>
      <c r="AN45" s="769"/>
      <c r="AO45" s="770"/>
      <c r="AP45" s="767"/>
      <c r="AQ45" s="768"/>
      <c r="AR45" s="769"/>
      <c r="AS45" s="769"/>
      <c r="AT45" s="769"/>
      <c r="AU45" s="769"/>
      <c r="AV45" s="769"/>
      <c r="AW45" s="769"/>
      <c r="AX45" s="769"/>
      <c r="AY45" s="769"/>
      <c r="AZ45" s="769"/>
      <c r="BA45" s="769"/>
      <c r="BB45" s="769"/>
      <c r="BC45" s="769"/>
      <c r="BD45" s="769"/>
      <c r="BE45" s="769"/>
      <c r="BF45" s="769"/>
      <c r="BG45" s="769"/>
      <c r="BH45" s="769"/>
      <c r="BI45" s="769"/>
      <c r="BJ45" s="769"/>
      <c r="BK45" s="769"/>
      <c r="BL45" s="769"/>
      <c r="BM45" s="769"/>
      <c r="BN45" s="769"/>
      <c r="BO45" s="769"/>
      <c r="BP45" s="769"/>
      <c r="BQ45" s="769"/>
      <c r="BR45" s="769"/>
      <c r="BS45" s="769"/>
      <c r="BT45" s="770"/>
      <c r="BU45" s="771"/>
    </row>
    <row r="46" spans="2:73" s="17" customFormat="1" ht="15.6">
      <c r="B46" s="692"/>
      <c r="C46" s="692" t="s">
        <v>744</v>
      </c>
      <c r="D46" s="774" t="s">
        <v>113</v>
      </c>
      <c r="E46" s="692" t="s">
        <v>726</v>
      </c>
      <c r="F46" s="692" t="s">
        <v>29</v>
      </c>
      <c r="G46" s="692" t="s">
        <v>748</v>
      </c>
      <c r="H46" s="692">
        <v>2016</v>
      </c>
      <c r="I46" s="644" t="s">
        <v>584</v>
      </c>
      <c r="J46" s="644" t="s">
        <v>596</v>
      </c>
      <c r="K46" s="633"/>
      <c r="L46" s="696"/>
      <c r="M46" s="697"/>
      <c r="N46" s="697"/>
      <c r="O46" s="697"/>
      <c r="P46" s="697"/>
      <c r="Q46" s="697">
        <v>482</v>
      </c>
      <c r="R46" s="697">
        <v>482</v>
      </c>
      <c r="S46" s="697">
        <v>482</v>
      </c>
      <c r="T46" s="697">
        <v>482</v>
      </c>
      <c r="U46" s="697">
        <v>482</v>
      </c>
      <c r="V46" s="697">
        <v>482</v>
      </c>
      <c r="W46" s="697">
        <v>482</v>
      </c>
      <c r="X46" s="697">
        <v>482</v>
      </c>
      <c r="Y46" s="697">
        <v>482</v>
      </c>
      <c r="Z46" s="697">
        <v>480</v>
      </c>
      <c r="AA46" s="697">
        <v>464</v>
      </c>
      <c r="AB46" s="697">
        <v>464</v>
      </c>
      <c r="AC46" s="697">
        <v>464</v>
      </c>
      <c r="AD46" s="697">
        <v>463</v>
      </c>
      <c r="AE46" s="697">
        <v>403</v>
      </c>
      <c r="AF46" s="697">
        <v>403</v>
      </c>
      <c r="AG46" s="697">
        <v>168</v>
      </c>
      <c r="AH46" s="697">
        <v>0</v>
      </c>
      <c r="AI46" s="697">
        <v>0</v>
      </c>
      <c r="AJ46" s="697">
        <v>0</v>
      </c>
      <c r="AK46" s="697"/>
      <c r="AL46" s="697"/>
      <c r="AM46" s="697"/>
      <c r="AN46" s="697"/>
      <c r="AO46" s="698"/>
      <c r="AP46" s="633"/>
      <c r="AQ46" s="696"/>
      <c r="AR46" s="697"/>
      <c r="AS46" s="697"/>
      <c r="AT46" s="697"/>
      <c r="AU46" s="697"/>
      <c r="AV46" s="697">
        <v>7417669</v>
      </c>
      <c r="AW46" s="697">
        <v>7417669</v>
      </c>
      <c r="AX46" s="697">
        <v>7417669</v>
      </c>
      <c r="AY46" s="697">
        <v>7417669</v>
      </c>
      <c r="AZ46" s="697">
        <v>7417669</v>
      </c>
      <c r="BA46" s="697">
        <v>7417669</v>
      </c>
      <c r="BB46" s="697">
        <v>7417669</v>
      </c>
      <c r="BC46" s="697">
        <v>7416614</v>
      </c>
      <c r="BD46" s="697">
        <v>7416614</v>
      </c>
      <c r="BE46" s="697">
        <v>7385670</v>
      </c>
      <c r="BF46" s="697">
        <v>7299544</v>
      </c>
      <c r="BG46" s="697">
        <v>7295369</v>
      </c>
      <c r="BH46" s="697">
        <v>7295369</v>
      </c>
      <c r="BI46" s="697">
        <v>7257230</v>
      </c>
      <c r="BJ46" s="697">
        <v>6294208</v>
      </c>
      <c r="BK46" s="697">
        <v>6294208</v>
      </c>
      <c r="BL46" s="697">
        <v>2675769</v>
      </c>
      <c r="BM46" s="697">
        <v>0</v>
      </c>
      <c r="BN46" s="697">
        <v>0</v>
      </c>
      <c r="BO46" s="697">
        <v>0</v>
      </c>
      <c r="BP46" s="697"/>
      <c r="BQ46" s="697"/>
      <c r="BR46" s="697"/>
      <c r="BS46" s="697"/>
      <c r="BT46" s="698"/>
      <c r="BU46" s="16"/>
    </row>
    <row r="47" spans="2:73" s="17" customFormat="1" ht="15.6">
      <c r="B47" s="692"/>
      <c r="C47" s="692" t="s">
        <v>744</v>
      </c>
      <c r="D47" s="774" t="s">
        <v>738</v>
      </c>
      <c r="E47" s="692" t="s">
        <v>726</v>
      </c>
      <c r="F47" s="692" t="s">
        <v>29</v>
      </c>
      <c r="G47" s="692" t="s">
        <v>748</v>
      </c>
      <c r="H47" s="692">
        <v>2016</v>
      </c>
      <c r="I47" s="644" t="s">
        <v>584</v>
      </c>
      <c r="J47" s="644" t="s">
        <v>596</v>
      </c>
      <c r="K47" s="633"/>
      <c r="L47" s="696"/>
      <c r="M47" s="697"/>
      <c r="N47" s="697"/>
      <c r="O47" s="697"/>
      <c r="P47" s="697"/>
      <c r="Q47" s="697">
        <v>320</v>
      </c>
      <c r="R47" s="697">
        <v>320</v>
      </c>
      <c r="S47" s="697">
        <v>320</v>
      </c>
      <c r="T47" s="697">
        <v>320</v>
      </c>
      <c r="U47" s="697">
        <v>320</v>
      </c>
      <c r="V47" s="697">
        <v>320</v>
      </c>
      <c r="W47" s="697">
        <v>320</v>
      </c>
      <c r="X47" s="697">
        <v>320</v>
      </c>
      <c r="Y47" s="697">
        <v>320</v>
      </c>
      <c r="Z47" s="697">
        <v>320</v>
      </c>
      <c r="AA47" s="697">
        <v>320</v>
      </c>
      <c r="AB47" s="697">
        <v>320</v>
      </c>
      <c r="AC47" s="697">
        <v>320</v>
      </c>
      <c r="AD47" s="697">
        <v>320</v>
      </c>
      <c r="AE47" s="697">
        <v>320</v>
      </c>
      <c r="AF47" s="697">
        <v>320</v>
      </c>
      <c r="AG47" s="697">
        <v>320</v>
      </c>
      <c r="AH47" s="697">
        <v>320</v>
      </c>
      <c r="AI47" s="697">
        <v>286</v>
      </c>
      <c r="AJ47" s="697">
        <v>0</v>
      </c>
      <c r="AK47" s="697"/>
      <c r="AL47" s="697"/>
      <c r="AM47" s="697"/>
      <c r="AN47" s="697"/>
      <c r="AO47" s="698"/>
      <c r="AP47" s="633"/>
      <c r="AQ47" s="696"/>
      <c r="AR47" s="697"/>
      <c r="AS47" s="697"/>
      <c r="AT47" s="697"/>
      <c r="AU47" s="697"/>
      <c r="AV47" s="697">
        <v>1068465</v>
      </c>
      <c r="AW47" s="697">
        <v>1068465</v>
      </c>
      <c r="AX47" s="697">
        <v>1068465</v>
      </c>
      <c r="AY47" s="697">
        <v>1068465</v>
      </c>
      <c r="AZ47" s="697">
        <v>1068465</v>
      </c>
      <c r="BA47" s="697">
        <v>1068465</v>
      </c>
      <c r="BB47" s="697">
        <v>1068465</v>
      </c>
      <c r="BC47" s="697">
        <v>1068465</v>
      </c>
      <c r="BD47" s="697">
        <v>1068465</v>
      </c>
      <c r="BE47" s="697">
        <v>1068465</v>
      </c>
      <c r="BF47" s="697">
        <v>1068465</v>
      </c>
      <c r="BG47" s="697">
        <v>1068465</v>
      </c>
      <c r="BH47" s="697">
        <v>1068465</v>
      </c>
      <c r="BI47" s="697">
        <v>1068465</v>
      </c>
      <c r="BJ47" s="697">
        <v>1068465</v>
      </c>
      <c r="BK47" s="697">
        <v>1068465</v>
      </c>
      <c r="BL47" s="697">
        <v>1068465</v>
      </c>
      <c r="BM47" s="697">
        <v>1068465</v>
      </c>
      <c r="BN47" s="697">
        <v>1038128</v>
      </c>
      <c r="BO47" s="697">
        <v>0</v>
      </c>
      <c r="BP47" s="697"/>
      <c r="BQ47" s="697"/>
      <c r="BR47" s="697"/>
      <c r="BS47" s="697"/>
      <c r="BT47" s="698"/>
      <c r="BU47" s="16"/>
    </row>
    <row r="48" spans="2:73" s="17" customFormat="1" ht="15.6">
      <c r="B48" s="692"/>
      <c r="C48" s="692" t="s">
        <v>743</v>
      </c>
      <c r="D48" s="774" t="s">
        <v>118</v>
      </c>
      <c r="E48" s="692" t="s">
        <v>726</v>
      </c>
      <c r="F48" s="692" t="s">
        <v>746</v>
      </c>
      <c r="G48" s="692" t="s">
        <v>748</v>
      </c>
      <c r="H48" s="692">
        <v>2016</v>
      </c>
      <c r="I48" s="644" t="s">
        <v>584</v>
      </c>
      <c r="J48" s="644" t="s">
        <v>596</v>
      </c>
      <c r="K48" s="633"/>
      <c r="L48" s="696"/>
      <c r="M48" s="697"/>
      <c r="N48" s="697"/>
      <c r="O48" s="697"/>
      <c r="P48" s="697"/>
      <c r="Q48" s="697">
        <v>283</v>
      </c>
      <c r="R48" s="697">
        <v>278</v>
      </c>
      <c r="S48" s="697">
        <v>278</v>
      </c>
      <c r="T48" s="697">
        <v>278</v>
      </c>
      <c r="U48" s="697">
        <v>278</v>
      </c>
      <c r="V48" s="697">
        <v>277</v>
      </c>
      <c r="W48" s="697">
        <v>277</v>
      </c>
      <c r="X48" s="697">
        <v>277</v>
      </c>
      <c r="Y48" s="697">
        <v>277</v>
      </c>
      <c r="Z48" s="697">
        <v>277</v>
      </c>
      <c r="AA48" s="697">
        <v>273</v>
      </c>
      <c r="AB48" s="697">
        <v>215</v>
      </c>
      <c r="AC48" s="697">
        <v>126</v>
      </c>
      <c r="AD48" s="697">
        <v>126</v>
      </c>
      <c r="AE48" s="697">
        <v>39</v>
      </c>
      <c r="AF48" s="697">
        <v>8</v>
      </c>
      <c r="AG48" s="697">
        <v>8</v>
      </c>
      <c r="AH48" s="697">
        <v>8</v>
      </c>
      <c r="AI48" s="697">
        <v>8</v>
      </c>
      <c r="AJ48" s="697">
        <v>8</v>
      </c>
      <c r="AK48" s="697"/>
      <c r="AL48" s="697"/>
      <c r="AM48" s="697"/>
      <c r="AN48" s="697"/>
      <c r="AO48" s="698"/>
      <c r="AP48" s="633"/>
      <c r="AQ48" s="696"/>
      <c r="AR48" s="697"/>
      <c r="AS48" s="697"/>
      <c r="AT48" s="697"/>
      <c r="AU48" s="697"/>
      <c r="AV48" s="697">
        <v>1842371</v>
      </c>
      <c r="AW48" s="697">
        <v>1819642</v>
      </c>
      <c r="AX48" s="697">
        <v>1819642</v>
      </c>
      <c r="AY48" s="697">
        <v>1819642</v>
      </c>
      <c r="AZ48" s="697">
        <v>1819642</v>
      </c>
      <c r="BA48" s="697">
        <v>1799644</v>
      </c>
      <c r="BB48" s="697">
        <v>1799644</v>
      </c>
      <c r="BC48" s="697">
        <v>1799644</v>
      </c>
      <c r="BD48" s="697">
        <v>1798901</v>
      </c>
      <c r="BE48" s="697">
        <v>1798901</v>
      </c>
      <c r="BF48" s="697">
        <v>1730765</v>
      </c>
      <c r="BG48" s="697">
        <v>1447636</v>
      </c>
      <c r="BH48" s="697">
        <v>800655</v>
      </c>
      <c r="BI48" s="697">
        <v>800655</v>
      </c>
      <c r="BJ48" s="697">
        <v>146631</v>
      </c>
      <c r="BK48" s="697">
        <v>5404</v>
      </c>
      <c r="BL48" s="697">
        <v>5404</v>
      </c>
      <c r="BM48" s="697">
        <v>5404</v>
      </c>
      <c r="BN48" s="697">
        <v>5404</v>
      </c>
      <c r="BO48" s="697">
        <v>5404</v>
      </c>
      <c r="BP48" s="697"/>
      <c r="BQ48" s="697"/>
      <c r="BR48" s="697"/>
      <c r="BS48" s="697"/>
      <c r="BT48" s="698"/>
      <c r="BU48" s="16"/>
    </row>
    <row r="49" spans="2:73" s="17" customFormat="1" ht="15.6">
      <c r="B49" s="692"/>
      <c r="C49" s="692" t="s">
        <v>743</v>
      </c>
      <c r="D49" s="774" t="s">
        <v>119</v>
      </c>
      <c r="E49" s="692" t="s">
        <v>726</v>
      </c>
      <c r="F49" s="692" t="s">
        <v>746</v>
      </c>
      <c r="G49" s="692" t="s">
        <v>748</v>
      </c>
      <c r="H49" s="692">
        <v>2016</v>
      </c>
      <c r="I49" s="644" t="s">
        <v>584</v>
      </c>
      <c r="J49" s="644" t="s">
        <v>596</v>
      </c>
      <c r="K49" s="633"/>
      <c r="L49" s="696"/>
      <c r="M49" s="697"/>
      <c r="N49" s="697"/>
      <c r="O49" s="697"/>
      <c r="P49" s="697"/>
      <c r="Q49" s="697">
        <v>236</v>
      </c>
      <c r="R49" s="697">
        <v>236</v>
      </c>
      <c r="S49" s="697">
        <v>236</v>
      </c>
      <c r="T49" s="697">
        <v>226</v>
      </c>
      <c r="U49" s="697">
        <v>215</v>
      </c>
      <c r="V49" s="697">
        <v>167</v>
      </c>
      <c r="W49" s="697">
        <v>135</v>
      </c>
      <c r="X49" s="697">
        <v>118</v>
      </c>
      <c r="Y49" s="697">
        <v>93</v>
      </c>
      <c r="Z49" s="697">
        <v>58</v>
      </c>
      <c r="AA49" s="697">
        <v>28</v>
      </c>
      <c r="AB49" s="697">
        <v>19</v>
      </c>
      <c r="AC49" s="697">
        <v>9</v>
      </c>
      <c r="AD49" s="697">
        <v>5</v>
      </c>
      <c r="AE49" s="697">
        <v>3</v>
      </c>
      <c r="AF49" s="697">
        <v>1</v>
      </c>
      <c r="AG49" s="697">
        <v>1</v>
      </c>
      <c r="AH49" s="697">
        <v>1</v>
      </c>
      <c r="AI49" s="697">
        <v>0</v>
      </c>
      <c r="AJ49" s="697">
        <v>0</v>
      </c>
      <c r="AK49" s="697"/>
      <c r="AL49" s="697"/>
      <c r="AM49" s="697"/>
      <c r="AN49" s="697"/>
      <c r="AO49" s="698"/>
      <c r="AP49" s="633"/>
      <c r="AQ49" s="696"/>
      <c r="AR49" s="697"/>
      <c r="AS49" s="697"/>
      <c r="AT49" s="697"/>
      <c r="AU49" s="697"/>
      <c r="AV49" s="697">
        <v>1354329</v>
      </c>
      <c r="AW49" s="697">
        <v>1354329</v>
      </c>
      <c r="AX49" s="697">
        <v>1343623</v>
      </c>
      <c r="AY49" s="697">
        <v>1228531</v>
      </c>
      <c r="AZ49" s="697">
        <v>1137843</v>
      </c>
      <c r="BA49" s="697">
        <v>777056</v>
      </c>
      <c r="BB49" s="697">
        <v>543064</v>
      </c>
      <c r="BC49" s="697">
        <v>455457</v>
      </c>
      <c r="BD49" s="697">
        <v>338799</v>
      </c>
      <c r="BE49" s="697">
        <v>198524</v>
      </c>
      <c r="BF49" s="697">
        <v>87429</v>
      </c>
      <c r="BG49" s="697">
        <v>55480</v>
      </c>
      <c r="BH49" s="697">
        <v>25127</v>
      </c>
      <c r="BI49" s="697">
        <v>15511</v>
      </c>
      <c r="BJ49" s="697">
        <v>9958</v>
      </c>
      <c r="BK49" s="697">
        <v>4951</v>
      </c>
      <c r="BL49" s="697">
        <v>4951</v>
      </c>
      <c r="BM49" s="697">
        <v>3050</v>
      </c>
      <c r="BN49" s="697">
        <v>0</v>
      </c>
      <c r="BO49" s="697">
        <v>0</v>
      </c>
      <c r="BP49" s="697"/>
      <c r="BQ49" s="697"/>
      <c r="BR49" s="697"/>
      <c r="BS49" s="697"/>
      <c r="BT49" s="698"/>
      <c r="BU49" s="16"/>
    </row>
    <row r="50" spans="2:73" s="17" customFormat="1" ht="15.6">
      <c r="B50" s="692"/>
      <c r="C50" s="692" t="s">
        <v>743</v>
      </c>
      <c r="D50" s="774" t="s">
        <v>120</v>
      </c>
      <c r="E50" s="692" t="s">
        <v>726</v>
      </c>
      <c r="F50" s="692" t="s">
        <v>746</v>
      </c>
      <c r="G50" s="692" t="s">
        <v>748</v>
      </c>
      <c r="H50" s="692">
        <v>2016</v>
      </c>
      <c r="I50" s="644" t="s">
        <v>584</v>
      </c>
      <c r="J50" s="644" t="s">
        <v>596</v>
      </c>
      <c r="K50" s="633"/>
      <c r="L50" s="696"/>
      <c r="M50" s="697"/>
      <c r="N50" s="697"/>
      <c r="O50" s="697"/>
      <c r="P50" s="697"/>
      <c r="Q50" s="697">
        <v>8</v>
      </c>
      <c r="R50" s="697">
        <v>8</v>
      </c>
      <c r="S50" s="697">
        <v>8</v>
      </c>
      <c r="T50" s="697">
        <v>8</v>
      </c>
      <c r="U50" s="697">
        <v>8</v>
      </c>
      <c r="V50" s="697">
        <v>8</v>
      </c>
      <c r="W50" s="697">
        <v>8</v>
      </c>
      <c r="X50" s="697">
        <v>8</v>
      </c>
      <c r="Y50" s="697">
        <v>8</v>
      </c>
      <c r="Z50" s="697">
        <v>8</v>
      </c>
      <c r="AA50" s="697">
        <v>8</v>
      </c>
      <c r="AB50" s="697">
        <v>8</v>
      </c>
      <c r="AC50" s="697">
        <v>8</v>
      </c>
      <c r="AD50" s="697">
        <v>8</v>
      </c>
      <c r="AE50" s="697">
        <v>8</v>
      </c>
      <c r="AF50" s="697">
        <v>3</v>
      </c>
      <c r="AG50" s="697">
        <v>0</v>
      </c>
      <c r="AH50" s="697">
        <v>0</v>
      </c>
      <c r="AI50" s="697">
        <v>0</v>
      </c>
      <c r="AJ50" s="697">
        <v>0</v>
      </c>
      <c r="AK50" s="697"/>
      <c r="AL50" s="697"/>
      <c r="AM50" s="697"/>
      <c r="AN50" s="697"/>
      <c r="AO50" s="698"/>
      <c r="AP50" s="633"/>
      <c r="AQ50" s="696"/>
      <c r="AR50" s="697"/>
      <c r="AS50" s="697"/>
      <c r="AT50" s="697"/>
      <c r="AU50" s="697"/>
      <c r="AV50" s="697">
        <v>5102</v>
      </c>
      <c r="AW50" s="697">
        <v>5102</v>
      </c>
      <c r="AX50" s="697">
        <v>5102</v>
      </c>
      <c r="AY50" s="697">
        <v>5102</v>
      </c>
      <c r="AZ50" s="697">
        <v>5102</v>
      </c>
      <c r="BA50" s="697">
        <v>5102</v>
      </c>
      <c r="BB50" s="697">
        <v>5102</v>
      </c>
      <c r="BC50" s="697">
        <v>5102</v>
      </c>
      <c r="BD50" s="697">
        <v>5102</v>
      </c>
      <c r="BE50" s="697">
        <v>5102</v>
      </c>
      <c r="BF50" s="697">
        <v>5102</v>
      </c>
      <c r="BG50" s="697">
        <v>5102</v>
      </c>
      <c r="BH50" s="697">
        <v>5102</v>
      </c>
      <c r="BI50" s="697">
        <v>5102</v>
      </c>
      <c r="BJ50" s="697">
        <v>5102</v>
      </c>
      <c r="BK50" s="697">
        <v>1833</v>
      </c>
      <c r="BL50" s="697">
        <v>0</v>
      </c>
      <c r="BM50" s="697">
        <v>0</v>
      </c>
      <c r="BN50" s="697">
        <v>0</v>
      </c>
      <c r="BO50" s="697">
        <v>0</v>
      </c>
      <c r="BP50" s="697"/>
      <c r="BQ50" s="697"/>
      <c r="BR50" s="697"/>
      <c r="BS50" s="697"/>
      <c r="BT50" s="698"/>
      <c r="BU50" s="16"/>
    </row>
    <row r="51" spans="2:73" s="17" customFormat="1" ht="15.6">
      <c r="B51" s="692"/>
      <c r="C51" s="692" t="s">
        <v>745</v>
      </c>
      <c r="D51" s="774" t="s">
        <v>739</v>
      </c>
      <c r="E51" s="692" t="s">
        <v>726</v>
      </c>
      <c r="F51" s="692" t="s">
        <v>29</v>
      </c>
      <c r="G51" s="692" t="s">
        <v>748</v>
      </c>
      <c r="H51" s="692">
        <v>2016</v>
      </c>
      <c r="I51" s="644" t="s">
        <v>584</v>
      </c>
      <c r="J51" s="644" t="s">
        <v>596</v>
      </c>
      <c r="K51" s="633"/>
      <c r="L51" s="696"/>
      <c r="M51" s="697"/>
      <c r="N51" s="697"/>
      <c r="O51" s="697"/>
      <c r="P51" s="697"/>
      <c r="Q51" s="697">
        <v>0</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c r="AL51" s="697"/>
      <c r="AM51" s="697"/>
      <c r="AN51" s="697"/>
      <c r="AO51" s="698"/>
      <c r="AP51" s="633"/>
      <c r="AQ51" s="696"/>
      <c r="AR51" s="697"/>
      <c r="AS51" s="697"/>
      <c r="AT51" s="697"/>
      <c r="AU51" s="697"/>
      <c r="AV51" s="697">
        <v>813</v>
      </c>
      <c r="AW51" s="697">
        <v>813</v>
      </c>
      <c r="AX51" s="697">
        <v>813</v>
      </c>
      <c r="AY51" s="697">
        <v>813</v>
      </c>
      <c r="AZ51" s="697">
        <v>813</v>
      </c>
      <c r="BA51" s="697">
        <v>813</v>
      </c>
      <c r="BB51" s="697">
        <v>813</v>
      </c>
      <c r="BC51" s="697">
        <v>813</v>
      </c>
      <c r="BD51" s="697">
        <v>813</v>
      </c>
      <c r="BE51" s="697">
        <v>813</v>
      </c>
      <c r="BF51" s="697">
        <v>813</v>
      </c>
      <c r="BG51" s="697">
        <v>813</v>
      </c>
      <c r="BH51" s="697">
        <v>813</v>
      </c>
      <c r="BI51" s="697">
        <v>813</v>
      </c>
      <c r="BJ51" s="697">
        <v>570</v>
      </c>
      <c r="BK51" s="697">
        <v>570</v>
      </c>
      <c r="BL51" s="697">
        <v>570</v>
      </c>
      <c r="BM51" s="697">
        <v>570</v>
      </c>
      <c r="BN51" s="697">
        <v>0</v>
      </c>
      <c r="BO51" s="697">
        <v>0</v>
      </c>
      <c r="BP51" s="697"/>
      <c r="BQ51" s="697"/>
      <c r="BR51" s="697"/>
      <c r="BS51" s="697"/>
      <c r="BT51" s="698"/>
      <c r="BU51" s="16"/>
    </row>
    <row r="52" spans="2:73" s="772" customFormat="1" ht="6.6" customHeight="1">
      <c r="B52" s="765"/>
      <c r="C52" s="765"/>
      <c r="D52" s="765"/>
      <c r="E52" s="765"/>
      <c r="F52" s="765"/>
      <c r="G52" s="765"/>
      <c r="H52" s="765"/>
      <c r="I52" s="766"/>
      <c r="J52" s="766"/>
      <c r="K52" s="767"/>
      <c r="L52" s="768"/>
      <c r="M52" s="769"/>
      <c r="N52" s="769"/>
      <c r="O52" s="769"/>
      <c r="P52" s="769"/>
      <c r="Q52" s="769"/>
      <c r="R52" s="769"/>
      <c r="S52" s="769"/>
      <c r="T52" s="769"/>
      <c r="U52" s="769"/>
      <c r="V52" s="769"/>
      <c r="W52" s="769"/>
      <c r="X52" s="769"/>
      <c r="Y52" s="769"/>
      <c r="Z52" s="769"/>
      <c r="AA52" s="769"/>
      <c r="AB52" s="769"/>
      <c r="AC52" s="769"/>
      <c r="AD52" s="769"/>
      <c r="AE52" s="769"/>
      <c r="AF52" s="769"/>
      <c r="AG52" s="769"/>
      <c r="AH52" s="769"/>
      <c r="AI52" s="769"/>
      <c r="AJ52" s="769"/>
      <c r="AK52" s="769"/>
      <c r="AL52" s="769"/>
      <c r="AM52" s="769"/>
      <c r="AN52" s="769"/>
      <c r="AO52" s="770"/>
      <c r="AP52" s="767"/>
      <c r="AQ52" s="768"/>
      <c r="AR52" s="769"/>
      <c r="AS52" s="769"/>
      <c r="AT52" s="769"/>
      <c r="AU52" s="769"/>
      <c r="AV52" s="769"/>
      <c r="AW52" s="769"/>
      <c r="AX52" s="769"/>
      <c r="AY52" s="769"/>
      <c r="AZ52" s="769"/>
      <c r="BA52" s="769"/>
      <c r="BB52" s="769"/>
      <c r="BC52" s="769"/>
      <c r="BD52" s="769"/>
      <c r="BE52" s="769"/>
      <c r="BF52" s="769"/>
      <c r="BG52" s="769"/>
      <c r="BH52" s="769"/>
      <c r="BI52" s="769"/>
      <c r="BJ52" s="769"/>
      <c r="BK52" s="769"/>
      <c r="BL52" s="769"/>
      <c r="BM52" s="769"/>
      <c r="BN52" s="769"/>
      <c r="BO52" s="769"/>
      <c r="BP52" s="769"/>
      <c r="BQ52" s="769"/>
      <c r="BR52" s="769"/>
      <c r="BS52" s="769"/>
      <c r="BT52" s="770"/>
      <c r="BU52" s="771"/>
    </row>
    <row r="53" spans="2:73" s="17" customFormat="1" ht="15.6">
      <c r="B53" s="692"/>
      <c r="C53" s="692" t="s">
        <v>744</v>
      </c>
      <c r="D53" s="774" t="s">
        <v>113</v>
      </c>
      <c r="E53" s="692" t="s">
        <v>726</v>
      </c>
      <c r="F53" s="692" t="s">
        <v>29</v>
      </c>
      <c r="G53" s="692" t="s">
        <v>748</v>
      </c>
      <c r="H53" s="692">
        <v>2016</v>
      </c>
      <c r="I53" s="644" t="s">
        <v>584</v>
      </c>
      <c r="J53" s="644" t="s">
        <v>589</v>
      </c>
      <c r="K53" s="633"/>
      <c r="L53" s="696"/>
      <c r="M53" s="697"/>
      <c r="N53" s="697"/>
      <c r="O53" s="697"/>
      <c r="P53" s="697"/>
      <c r="Q53" s="697">
        <v>51</v>
      </c>
      <c r="R53" s="697">
        <v>51</v>
      </c>
      <c r="S53" s="697">
        <v>51</v>
      </c>
      <c r="T53" s="697">
        <v>51</v>
      </c>
      <c r="U53" s="697">
        <v>51</v>
      </c>
      <c r="V53" s="697">
        <v>51</v>
      </c>
      <c r="W53" s="697">
        <v>51</v>
      </c>
      <c r="X53" s="697">
        <v>51</v>
      </c>
      <c r="Y53" s="697">
        <v>51</v>
      </c>
      <c r="Z53" s="697">
        <v>51</v>
      </c>
      <c r="AA53" s="697">
        <v>52</v>
      </c>
      <c r="AB53" s="697">
        <v>52</v>
      </c>
      <c r="AC53" s="697">
        <v>52</v>
      </c>
      <c r="AD53" s="697">
        <v>52</v>
      </c>
      <c r="AE53" s="697">
        <v>45</v>
      </c>
      <c r="AF53" s="697">
        <v>45</v>
      </c>
      <c r="AG53" s="697">
        <v>18</v>
      </c>
      <c r="AH53" s="697">
        <v>0</v>
      </c>
      <c r="AI53" s="697">
        <v>0</v>
      </c>
      <c r="AJ53" s="697">
        <v>0</v>
      </c>
      <c r="AK53" s="697">
        <v>0</v>
      </c>
      <c r="AL53" s="697"/>
      <c r="AM53" s="697"/>
      <c r="AN53" s="697"/>
      <c r="AO53" s="698"/>
      <c r="AP53" s="633"/>
      <c r="AQ53" s="696"/>
      <c r="AR53" s="697"/>
      <c r="AS53" s="697"/>
      <c r="AT53" s="697"/>
      <c r="AU53" s="697"/>
      <c r="AV53" s="697">
        <v>807124</v>
      </c>
      <c r="AW53" s="697">
        <v>807124</v>
      </c>
      <c r="AX53" s="697">
        <v>807124</v>
      </c>
      <c r="AY53" s="697">
        <v>807124</v>
      </c>
      <c r="AZ53" s="697">
        <v>807124</v>
      </c>
      <c r="BA53" s="697">
        <v>807124</v>
      </c>
      <c r="BB53" s="697">
        <v>807124</v>
      </c>
      <c r="BC53" s="697">
        <v>807056</v>
      </c>
      <c r="BD53" s="697">
        <v>807056</v>
      </c>
      <c r="BE53" s="697">
        <v>808265</v>
      </c>
      <c r="BF53" s="697">
        <v>808803</v>
      </c>
      <c r="BG53" s="697">
        <v>809570</v>
      </c>
      <c r="BH53" s="697">
        <v>809570</v>
      </c>
      <c r="BI53" s="697">
        <v>807425</v>
      </c>
      <c r="BJ53" s="697">
        <v>699371</v>
      </c>
      <c r="BK53" s="697">
        <v>699371</v>
      </c>
      <c r="BL53" s="697">
        <v>288222</v>
      </c>
      <c r="BM53" s="697">
        <v>0</v>
      </c>
      <c r="BN53" s="697">
        <v>0</v>
      </c>
      <c r="BO53" s="697">
        <v>0</v>
      </c>
      <c r="BP53" s="697"/>
      <c r="BQ53" s="697"/>
      <c r="BR53" s="697"/>
      <c r="BS53" s="697"/>
      <c r="BT53" s="698"/>
      <c r="BU53" s="16"/>
    </row>
    <row r="54" spans="2:73" s="17" customFormat="1" ht="15.6">
      <c r="B54" s="692"/>
      <c r="C54" s="692" t="s">
        <v>744</v>
      </c>
      <c r="D54" s="774" t="s">
        <v>738</v>
      </c>
      <c r="E54" s="692" t="s">
        <v>726</v>
      </c>
      <c r="F54" s="692" t="s">
        <v>29</v>
      </c>
      <c r="G54" s="692" t="s">
        <v>748</v>
      </c>
      <c r="H54" s="692">
        <v>2016</v>
      </c>
      <c r="I54" s="644" t="s">
        <v>584</v>
      </c>
      <c r="J54" s="644" t="s">
        <v>589</v>
      </c>
      <c r="K54" s="633"/>
      <c r="L54" s="696"/>
      <c r="M54" s="697"/>
      <c r="N54" s="697"/>
      <c r="O54" s="697"/>
      <c r="P54" s="697"/>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c r="AM54" s="697"/>
      <c r="AN54" s="697"/>
      <c r="AO54" s="698"/>
      <c r="AP54" s="633"/>
      <c r="AQ54" s="696"/>
      <c r="AR54" s="697"/>
      <c r="AS54" s="697"/>
      <c r="AT54" s="697"/>
      <c r="AU54" s="697"/>
      <c r="AV54" s="697">
        <v>1020</v>
      </c>
      <c r="AW54" s="697">
        <v>1020</v>
      </c>
      <c r="AX54" s="697">
        <v>1020</v>
      </c>
      <c r="AY54" s="697">
        <v>1020</v>
      </c>
      <c r="AZ54" s="697">
        <v>1020</v>
      </c>
      <c r="BA54" s="697">
        <v>1020</v>
      </c>
      <c r="BB54" s="697">
        <v>1020</v>
      </c>
      <c r="BC54" s="697">
        <v>1020</v>
      </c>
      <c r="BD54" s="697">
        <v>1020</v>
      </c>
      <c r="BE54" s="697">
        <v>1020</v>
      </c>
      <c r="BF54" s="697">
        <v>1020</v>
      </c>
      <c r="BG54" s="697">
        <v>1020</v>
      </c>
      <c r="BH54" s="697">
        <v>1020</v>
      </c>
      <c r="BI54" s="697">
        <v>1020</v>
      </c>
      <c r="BJ54" s="697">
        <v>1020</v>
      </c>
      <c r="BK54" s="697">
        <v>1020</v>
      </c>
      <c r="BL54" s="697">
        <v>1020</v>
      </c>
      <c r="BM54" s="697">
        <v>1020</v>
      </c>
      <c r="BN54" s="697">
        <v>957</v>
      </c>
      <c r="BO54" s="697">
        <v>0</v>
      </c>
      <c r="BP54" s="697"/>
      <c r="BQ54" s="697"/>
      <c r="BR54" s="697"/>
      <c r="BS54" s="697"/>
      <c r="BT54" s="698"/>
      <c r="BU54" s="16"/>
    </row>
    <row r="55" spans="2:73">
      <c r="B55" s="692"/>
      <c r="C55" s="692" t="s">
        <v>744</v>
      </c>
      <c r="D55" s="774" t="s">
        <v>115</v>
      </c>
      <c r="E55" s="692" t="s">
        <v>726</v>
      </c>
      <c r="F55" s="692" t="s">
        <v>29</v>
      </c>
      <c r="G55" s="692" t="s">
        <v>748</v>
      </c>
      <c r="H55" s="692">
        <v>2016</v>
      </c>
      <c r="I55" s="644" t="s">
        <v>584</v>
      </c>
      <c r="J55" s="644" t="s">
        <v>589</v>
      </c>
      <c r="K55" s="633"/>
      <c r="L55" s="696"/>
      <c r="M55" s="697"/>
      <c r="N55" s="697"/>
      <c r="O55" s="697"/>
      <c r="P55" s="697"/>
      <c r="Q55" s="697">
        <v>19</v>
      </c>
      <c r="R55" s="697">
        <v>19</v>
      </c>
      <c r="S55" s="697">
        <v>19</v>
      </c>
      <c r="T55" s="697">
        <v>19</v>
      </c>
      <c r="U55" s="697">
        <v>19</v>
      </c>
      <c r="V55" s="697">
        <v>19</v>
      </c>
      <c r="W55" s="697">
        <v>19</v>
      </c>
      <c r="X55" s="697">
        <v>19</v>
      </c>
      <c r="Y55" s="697">
        <v>19</v>
      </c>
      <c r="Z55" s="697">
        <v>19</v>
      </c>
      <c r="AA55" s="697">
        <v>19</v>
      </c>
      <c r="AB55" s="697">
        <v>19</v>
      </c>
      <c r="AC55" s="697">
        <v>19</v>
      </c>
      <c r="AD55" s="697">
        <v>19</v>
      </c>
      <c r="AE55" s="697">
        <v>19</v>
      </c>
      <c r="AF55" s="697">
        <v>0</v>
      </c>
      <c r="AG55" s="697">
        <v>0</v>
      </c>
      <c r="AH55" s="697">
        <v>0</v>
      </c>
      <c r="AI55" s="697">
        <v>0</v>
      </c>
      <c r="AJ55" s="697">
        <v>0</v>
      </c>
      <c r="AK55" s="697">
        <v>0</v>
      </c>
      <c r="AL55" s="697"/>
      <c r="AM55" s="697"/>
      <c r="AN55" s="697"/>
      <c r="AO55" s="698"/>
      <c r="AP55" s="633"/>
      <c r="AQ55" s="696"/>
      <c r="AR55" s="697"/>
      <c r="AS55" s="697"/>
      <c r="AT55" s="697"/>
      <c r="AU55" s="697"/>
      <c r="AV55" s="697">
        <v>64856</v>
      </c>
      <c r="AW55" s="697">
        <v>64856</v>
      </c>
      <c r="AX55" s="697">
        <v>64856</v>
      </c>
      <c r="AY55" s="697">
        <v>64856</v>
      </c>
      <c r="AZ55" s="697">
        <v>64856</v>
      </c>
      <c r="BA55" s="697">
        <v>64856</v>
      </c>
      <c r="BB55" s="697">
        <v>64856</v>
      </c>
      <c r="BC55" s="697">
        <v>64856</v>
      </c>
      <c r="BD55" s="697">
        <v>64856</v>
      </c>
      <c r="BE55" s="697">
        <v>64856</v>
      </c>
      <c r="BF55" s="697">
        <v>64760</v>
      </c>
      <c r="BG55" s="697">
        <v>64760</v>
      </c>
      <c r="BH55" s="697">
        <v>64760</v>
      </c>
      <c r="BI55" s="697">
        <v>64760</v>
      </c>
      <c r="BJ55" s="697">
        <v>64760</v>
      </c>
      <c r="BK55" s="697">
        <v>7680</v>
      </c>
      <c r="BL55" s="697">
        <v>7680</v>
      </c>
      <c r="BM55" s="697">
        <v>0</v>
      </c>
      <c r="BN55" s="697">
        <v>0</v>
      </c>
      <c r="BO55" s="697">
        <v>0</v>
      </c>
      <c r="BP55" s="697"/>
      <c r="BQ55" s="697"/>
      <c r="BR55" s="697"/>
      <c r="BS55" s="697"/>
      <c r="BT55" s="698"/>
    </row>
    <row r="56" spans="2:73">
      <c r="B56" s="692"/>
      <c r="C56" s="692" t="s">
        <v>743</v>
      </c>
      <c r="D56" s="774" t="s">
        <v>117</v>
      </c>
      <c r="E56" s="692" t="s">
        <v>726</v>
      </c>
      <c r="F56" s="692" t="s">
        <v>746</v>
      </c>
      <c r="G56" s="692" t="s">
        <v>748</v>
      </c>
      <c r="H56" s="692">
        <v>2016</v>
      </c>
      <c r="I56" s="644" t="s">
        <v>584</v>
      </c>
      <c r="J56" s="644" t="s">
        <v>589</v>
      </c>
      <c r="K56" s="633"/>
      <c r="L56" s="696"/>
      <c r="M56" s="697"/>
      <c r="N56" s="697"/>
      <c r="O56" s="697"/>
      <c r="P56" s="697"/>
      <c r="Q56" s="697">
        <v>9</v>
      </c>
      <c r="R56" s="697">
        <v>9</v>
      </c>
      <c r="S56" s="697">
        <v>9</v>
      </c>
      <c r="T56" s="697">
        <v>9</v>
      </c>
      <c r="U56" s="697">
        <v>9</v>
      </c>
      <c r="V56" s="697">
        <v>9</v>
      </c>
      <c r="W56" s="697">
        <v>9</v>
      </c>
      <c r="X56" s="697">
        <v>9</v>
      </c>
      <c r="Y56" s="697">
        <v>9</v>
      </c>
      <c r="Z56" s="697">
        <v>9</v>
      </c>
      <c r="AA56" s="697">
        <v>2</v>
      </c>
      <c r="AB56" s="697">
        <v>0</v>
      </c>
      <c r="AC56" s="697">
        <v>0</v>
      </c>
      <c r="AD56" s="697">
        <v>0</v>
      </c>
      <c r="AE56" s="697">
        <v>0</v>
      </c>
      <c r="AF56" s="697">
        <v>0</v>
      </c>
      <c r="AG56" s="697">
        <v>0</v>
      </c>
      <c r="AH56" s="697">
        <v>0</v>
      </c>
      <c r="AI56" s="697">
        <v>0</v>
      </c>
      <c r="AJ56" s="697">
        <v>0</v>
      </c>
      <c r="AK56" s="697">
        <v>0</v>
      </c>
      <c r="AL56" s="697"/>
      <c r="AM56" s="697"/>
      <c r="AN56" s="697"/>
      <c r="AO56" s="698"/>
      <c r="AP56" s="633"/>
      <c r="AQ56" s="696"/>
      <c r="AR56" s="697"/>
      <c r="AS56" s="697"/>
      <c r="AT56" s="697"/>
      <c r="AU56" s="697"/>
      <c r="AV56" s="697">
        <v>65713</v>
      </c>
      <c r="AW56" s="697">
        <v>65713</v>
      </c>
      <c r="AX56" s="697">
        <v>65713</v>
      </c>
      <c r="AY56" s="697">
        <v>65713</v>
      </c>
      <c r="AZ56" s="697">
        <v>65713</v>
      </c>
      <c r="BA56" s="697">
        <v>65713</v>
      </c>
      <c r="BB56" s="697">
        <v>65713</v>
      </c>
      <c r="BC56" s="697">
        <v>65713</v>
      </c>
      <c r="BD56" s="697">
        <v>65713</v>
      </c>
      <c r="BE56" s="697">
        <v>65713</v>
      </c>
      <c r="BF56" s="697">
        <v>16224</v>
      </c>
      <c r="BG56" s="697">
        <v>0</v>
      </c>
      <c r="BH56" s="697">
        <v>0</v>
      </c>
      <c r="BI56" s="697">
        <v>0</v>
      </c>
      <c r="BJ56" s="697">
        <v>0</v>
      </c>
      <c r="BK56" s="697">
        <v>0</v>
      </c>
      <c r="BL56" s="697">
        <v>0</v>
      </c>
      <c r="BM56" s="697">
        <v>0</v>
      </c>
      <c r="BN56" s="697">
        <v>0</v>
      </c>
      <c r="BO56" s="697">
        <v>0</v>
      </c>
      <c r="BP56" s="697"/>
      <c r="BQ56" s="697"/>
      <c r="BR56" s="697"/>
      <c r="BS56" s="697"/>
      <c r="BT56" s="698"/>
    </row>
    <row r="57" spans="2:73">
      <c r="B57" s="692"/>
      <c r="C57" s="692" t="s">
        <v>743</v>
      </c>
      <c r="D57" s="774" t="s">
        <v>118</v>
      </c>
      <c r="E57" s="692" t="s">
        <v>726</v>
      </c>
      <c r="F57" s="692" t="s">
        <v>746</v>
      </c>
      <c r="G57" s="692" t="s">
        <v>748</v>
      </c>
      <c r="H57" s="692">
        <v>2016</v>
      </c>
      <c r="I57" s="644" t="s">
        <v>584</v>
      </c>
      <c r="J57" s="644" t="s">
        <v>589</v>
      </c>
      <c r="K57" s="633"/>
      <c r="L57" s="696"/>
      <c r="M57" s="697"/>
      <c r="N57" s="697"/>
      <c r="O57" s="697"/>
      <c r="P57" s="697"/>
      <c r="Q57" s="697">
        <v>117</v>
      </c>
      <c r="R57" s="697">
        <v>121</v>
      </c>
      <c r="S57" s="697">
        <v>124</v>
      </c>
      <c r="T57" s="697">
        <v>124</v>
      </c>
      <c r="U57" s="697">
        <v>124</v>
      </c>
      <c r="V57" s="697">
        <v>124</v>
      </c>
      <c r="W57" s="697">
        <v>124</v>
      </c>
      <c r="X57" s="697">
        <v>124</v>
      </c>
      <c r="Y57" s="697">
        <v>123</v>
      </c>
      <c r="Z57" s="697">
        <v>123</v>
      </c>
      <c r="AA57" s="697">
        <v>120</v>
      </c>
      <c r="AB57" s="697">
        <v>110</v>
      </c>
      <c r="AC57" s="697">
        <v>62</v>
      </c>
      <c r="AD57" s="697">
        <v>62</v>
      </c>
      <c r="AE57" s="697">
        <v>56</v>
      </c>
      <c r="AF57" s="697">
        <v>2</v>
      </c>
      <c r="AG57" s="697">
        <v>2</v>
      </c>
      <c r="AH57" s="697">
        <v>2</v>
      </c>
      <c r="AI57" s="697">
        <v>2</v>
      </c>
      <c r="AJ57" s="697">
        <v>2</v>
      </c>
      <c r="AK57" s="697">
        <v>0</v>
      </c>
      <c r="AL57" s="697"/>
      <c r="AM57" s="697"/>
      <c r="AN57" s="697"/>
      <c r="AO57" s="698"/>
      <c r="AP57" s="633"/>
      <c r="AQ57" s="696"/>
      <c r="AR57" s="697"/>
      <c r="AS57" s="697"/>
      <c r="AT57" s="697"/>
      <c r="AU57" s="697"/>
      <c r="AV57" s="697">
        <v>1035652</v>
      </c>
      <c r="AW57" s="697">
        <v>1058380</v>
      </c>
      <c r="AX57" s="697">
        <v>1073529</v>
      </c>
      <c r="AY57" s="697">
        <v>1073529</v>
      </c>
      <c r="AZ57" s="697">
        <v>1073529</v>
      </c>
      <c r="BA57" s="697">
        <v>1073529</v>
      </c>
      <c r="BB57" s="697">
        <v>1073529</v>
      </c>
      <c r="BC57" s="697">
        <v>1073529</v>
      </c>
      <c r="BD57" s="697">
        <v>1068922</v>
      </c>
      <c r="BE57" s="697">
        <v>1068922</v>
      </c>
      <c r="BF57" s="697">
        <v>1027483</v>
      </c>
      <c r="BG57" s="697">
        <v>959739</v>
      </c>
      <c r="BH57" s="697">
        <v>618178</v>
      </c>
      <c r="BI57" s="697">
        <v>618178</v>
      </c>
      <c r="BJ57" s="697">
        <v>217759</v>
      </c>
      <c r="BK57" s="697">
        <v>1299</v>
      </c>
      <c r="BL57" s="697">
        <v>1299</v>
      </c>
      <c r="BM57" s="697">
        <v>1299</v>
      </c>
      <c r="BN57" s="697">
        <v>1299</v>
      </c>
      <c r="BO57" s="697">
        <v>1299</v>
      </c>
      <c r="BP57" s="697"/>
      <c r="BQ57" s="697"/>
      <c r="BR57" s="697"/>
      <c r="BS57" s="697"/>
      <c r="BT57" s="698"/>
    </row>
    <row r="58" spans="2:73">
      <c r="B58" s="692"/>
      <c r="C58" s="692" t="s">
        <v>743</v>
      </c>
      <c r="D58" s="774" t="s">
        <v>119</v>
      </c>
      <c r="E58" s="692" t="s">
        <v>726</v>
      </c>
      <c r="F58" s="692" t="s">
        <v>746</v>
      </c>
      <c r="G58" s="692" t="s">
        <v>748</v>
      </c>
      <c r="H58" s="692">
        <v>2016</v>
      </c>
      <c r="I58" s="644" t="s">
        <v>584</v>
      </c>
      <c r="J58" s="644" t="s">
        <v>589</v>
      </c>
      <c r="K58" s="633"/>
      <c r="L58" s="696"/>
      <c r="M58" s="697"/>
      <c r="N58" s="697"/>
      <c r="O58" s="697"/>
      <c r="P58" s="697"/>
      <c r="Q58" s="697">
        <v>60</v>
      </c>
      <c r="R58" s="697">
        <v>60</v>
      </c>
      <c r="S58" s="697">
        <v>60</v>
      </c>
      <c r="T58" s="697">
        <v>56</v>
      </c>
      <c r="U58" s="697">
        <v>53</v>
      </c>
      <c r="V58" s="697">
        <v>40</v>
      </c>
      <c r="W58" s="697">
        <v>34</v>
      </c>
      <c r="X58" s="697">
        <v>29</v>
      </c>
      <c r="Y58" s="697">
        <v>21</v>
      </c>
      <c r="Z58" s="697">
        <v>14</v>
      </c>
      <c r="AA58" s="697">
        <v>8</v>
      </c>
      <c r="AB58" s="697">
        <v>6</v>
      </c>
      <c r="AC58" s="697">
        <v>3</v>
      </c>
      <c r="AD58" s="697">
        <v>2</v>
      </c>
      <c r="AE58" s="697">
        <v>1</v>
      </c>
      <c r="AF58" s="697">
        <v>0</v>
      </c>
      <c r="AG58" s="697">
        <v>0</v>
      </c>
      <c r="AH58" s="697">
        <v>0</v>
      </c>
      <c r="AI58" s="697">
        <v>0</v>
      </c>
      <c r="AJ58" s="697">
        <v>0</v>
      </c>
      <c r="AK58" s="697">
        <v>0</v>
      </c>
      <c r="AL58" s="697"/>
      <c r="AM58" s="697"/>
      <c r="AN58" s="697"/>
      <c r="AO58" s="698"/>
      <c r="AP58" s="633"/>
      <c r="AQ58" s="696"/>
      <c r="AR58" s="697"/>
      <c r="AS58" s="697"/>
      <c r="AT58" s="697"/>
      <c r="AU58" s="697"/>
      <c r="AV58" s="697">
        <v>348309</v>
      </c>
      <c r="AW58" s="697">
        <v>348309</v>
      </c>
      <c r="AX58" s="697">
        <v>343808</v>
      </c>
      <c r="AY58" s="697">
        <v>297661</v>
      </c>
      <c r="AZ58" s="697">
        <v>268410</v>
      </c>
      <c r="BA58" s="697">
        <v>178494</v>
      </c>
      <c r="BB58" s="697">
        <v>134546</v>
      </c>
      <c r="BC58" s="697">
        <v>109443</v>
      </c>
      <c r="BD58" s="697">
        <v>76319</v>
      </c>
      <c r="BE58" s="697">
        <v>45141</v>
      </c>
      <c r="BF58" s="697">
        <v>25223</v>
      </c>
      <c r="BG58" s="697">
        <v>17114</v>
      </c>
      <c r="BH58" s="697">
        <v>7454</v>
      </c>
      <c r="BI58" s="697">
        <v>5623</v>
      </c>
      <c r="BJ58" s="697">
        <v>2813</v>
      </c>
      <c r="BK58" s="697">
        <v>5</v>
      </c>
      <c r="BL58" s="697">
        <v>5</v>
      </c>
      <c r="BM58" s="697">
        <v>3</v>
      </c>
      <c r="BN58" s="697">
        <v>0</v>
      </c>
      <c r="BO58" s="697">
        <v>0</v>
      </c>
      <c r="BP58" s="697"/>
      <c r="BQ58" s="697"/>
      <c r="BR58" s="697"/>
      <c r="BS58" s="697"/>
      <c r="BT58" s="698"/>
    </row>
    <row r="59" spans="2:73">
      <c r="B59" s="692"/>
      <c r="C59" s="692" t="s">
        <v>743</v>
      </c>
      <c r="D59" s="774" t="s">
        <v>124</v>
      </c>
      <c r="E59" s="692" t="s">
        <v>726</v>
      </c>
      <c r="F59" s="692" t="s">
        <v>747</v>
      </c>
      <c r="G59" s="692" t="s">
        <v>748</v>
      </c>
      <c r="H59" s="692">
        <v>2016</v>
      </c>
      <c r="I59" s="644" t="s">
        <v>584</v>
      </c>
      <c r="J59" s="644" t="s">
        <v>589</v>
      </c>
      <c r="K59" s="633"/>
      <c r="L59" s="696"/>
      <c r="M59" s="697"/>
      <c r="N59" s="697"/>
      <c r="O59" s="697"/>
      <c r="P59" s="697"/>
      <c r="Q59" s="697">
        <v>0</v>
      </c>
      <c r="R59" s="697">
        <v>0</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c r="AM59" s="697"/>
      <c r="AN59" s="697"/>
      <c r="AO59" s="698"/>
      <c r="AP59" s="633"/>
      <c r="AQ59" s="696"/>
      <c r="AR59" s="697"/>
      <c r="AS59" s="697"/>
      <c r="AT59" s="697"/>
      <c r="AU59" s="697"/>
      <c r="AV59" s="697">
        <v>835</v>
      </c>
      <c r="AW59" s="697">
        <v>835</v>
      </c>
      <c r="AX59" s="697">
        <v>835</v>
      </c>
      <c r="AY59" s="697">
        <v>835</v>
      </c>
      <c r="AZ59" s="697">
        <v>835</v>
      </c>
      <c r="BA59" s="697">
        <v>835</v>
      </c>
      <c r="BB59" s="697">
        <v>835</v>
      </c>
      <c r="BC59" s="697">
        <v>835</v>
      </c>
      <c r="BD59" s="697">
        <v>835</v>
      </c>
      <c r="BE59" s="697">
        <v>835</v>
      </c>
      <c r="BF59" s="697">
        <v>835</v>
      </c>
      <c r="BG59" s="697">
        <v>835</v>
      </c>
      <c r="BH59" s="697">
        <v>0</v>
      </c>
      <c r="BI59" s="697">
        <v>0</v>
      </c>
      <c r="BJ59" s="697">
        <v>0</v>
      </c>
      <c r="BK59" s="697">
        <v>0</v>
      </c>
      <c r="BL59" s="697">
        <v>0</v>
      </c>
      <c r="BM59" s="697">
        <v>0</v>
      </c>
      <c r="BN59" s="697">
        <v>0</v>
      </c>
      <c r="BO59" s="697">
        <v>0</v>
      </c>
      <c r="BP59" s="697"/>
      <c r="BQ59" s="697"/>
      <c r="BR59" s="697"/>
      <c r="BS59" s="697"/>
      <c r="BT59" s="698"/>
    </row>
    <row r="60" spans="2:73" s="773" customFormat="1" ht="6.6" customHeight="1">
      <c r="B60" s="765"/>
      <c r="C60" s="765"/>
      <c r="D60" s="765"/>
      <c r="E60" s="765"/>
      <c r="F60" s="765"/>
      <c r="G60" s="765"/>
      <c r="H60" s="765"/>
      <c r="I60" s="766"/>
      <c r="J60" s="766"/>
      <c r="K60" s="767"/>
      <c r="L60" s="768"/>
      <c r="M60" s="769"/>
      <c r="N60" s="769"/>
      <c r="O60" s="769"/>
      <c r="P60" s="769"/>
      <c r="Q60" s="769"/>
      <c r="R60" s="769"/>
      <c r="S60" s="769"/>
      <c r="T60" s="769"/>
      <c r="U60" s="769"/>
      <c r="V60" s="769"/>
      <c r="W60" s="769"/>
      <c r="X60" s="769"/>
      <c r="Y60" s="769"/>
      <c r="Z60" s="769"/>
      <c r="AA60" s="769"/>
      <c r="AB60" s="769"/>
      <c r="AC60" s="769"/>
      <c r="AD60" s="769"/>
      <c r="AE60" s="769"/>
      <c r="AF60" s="769"/>
      <c r="AG60" s="769"/>
      <c r="AH60" s="769"/>
      <c r="AI60" s="769"/>
      <c r="AJ60" s="769"/>
      <c r="AK60" s="769"/>
      <c r="AL60" s="769"/>
      <c r="AM60" s="769"/>
      <c r="AN60" s="769"/>
      <c r="AO60" s="770"/>
      <c r="AP60" s="767"/>
      <c r="AQ60" s="768"/>
      <c r="AR60" s="769"/>
      <c r="AS60" s="769"/>
      <c r="AT60" s="769"/>
      <c r="AU60" s="769"/>
      <c r="AV60" s="769"/>
      <c r="AW60" s="769"/>
      <c r="AX60" s="769"/>
      <c r="AY60" s="769"/>
      <c r="AZ60" s="769"/>
      <c r="BA60" s="769"/>
      <c r="BB60" s="769"/>
      <c r="BC60" s="769"/>
      <c r="BD60" s="769"/>
      <c r="BE60" s="769"/>
      <c r="BF60" s="769"/>
      <c r="BG60" s="769"/>
      <c r="BH60" s="769"/>
      <c r="BI60" s="769"/>
      <c r="BJ60" s="769"/>
      <c r="BK60" s="769"/>
      <c r="BL60" s="769"/>
      <c r="BM60" s="769"/>
      <c r="BN60" s="769"/>
      <c r="BO60" s="769"/>
      <c r="BP60" s="769"/>
      <c r="BQ60" s="769"/>
      <c r="BR60" s="769"/>
      <c r="BS60" s="769"/>
      <c r="BT60" s="770"/>
      <c r="BU60" s="771"/>
    </row>
    <row r="61" spans="2:73">
      <c r="B61" s="692"/>
      <c r="C61" s="692" t="s">
        <v>744</v>
      </c>
      <c r="D61" s="774" t="s">
        <v>113</v>
      </c>
      <c r="E61" s="692" t="s">
        <v>726</v>
      </c>
      <c r="F61" s="692" t="s">
        <v>29</v>
      </c>
      <c r="G61" s="692" t="s">
        <v>748</v>
      </c>
      <c r="H61" s="692">
        <v>2017</v>
      </c>
      <c r="I61" s="644" t="s">
        <v>584</v>
      </c>
      <c r="J61" s="644" t="s">
        <v>596</v>
      </c>
      <c r="K61" s="633"/>
      <c r="L61" s="696"/>
      <c r="M61" s="697"/>
      <c r="N61" s="697"/>
      <c r="O61" s="697"/>
      <c r="P61" s="697"/>
      <c r="Q61" s="697"/>
      <c r="R61" s="697">
        <v>627</v>
      </c>
      <c r="S61" s="697">
        <v>508</v>
      </c>
      <c r="T61" s="697">
        <v>508</v>
      </c>
      <c r="U61" s="697">
        <v>508</v>
      </c>
      <c r="V61" s="697">
        <v>508</v>
      </c>
      <c r="W61" s="697">
        <v>508</v>
      </c>
      <c r="X61" s="697">
        <v>508</v>
      </c>
      <c r="Y61" s="697">
        <v>508</v>
      </c>
      <c r="Z61" s="697">
        <v>508</v>
      </c>
      <c r="AA61" s="697">
        <v>507</v>
      </c>
      <c r="AB61" s="697">
        <v>478</v>
      </c>
      <c r="AC61" s="697">
        <v>478</v>
      </c>
      <c r="AD61" s="697">
        <v>478</v>
      </c>
      <c r="AE61" s="697">
        <v>478</v>
      </c>
      <c r="AF61" s="697">
        <v>421</v>
      </c>
      <c r="AG61" s="697">
        <v>421</v>
      </c>
      <c r="AH61" s="697">
        <v>38</v>
      </c>
      <c r="AI61" s="697">
        <v>0</v>
      </c>
      <c r="AJ61" s="697">
        <v>0</v>
      </c>
      <c r="AK61" s="697">
        <v>0</v>
      </c>
      <c r="AL61" s="697"/>
      <c r="AM61" s="697"/>
      <c r="AN61" s="697"/>
      <c r="AO61" s="698"/>
      <c r="AP61" s="633"/>
      <c r="AQ61" s="696"/>
      <c r="AR61" s="697"/>
      <c r="AS61" s="697"/>
      <c r="AT61" s="697"/>
      <c r="AU61" s="697"/>
      <c r="AV61" s="697"/>
      <c r="AW61" s="697">
        <v>9110804</v>
      </c>
      <c r="AX61" s="697">
        <v>7342121</v>
      </c>
      <c r="AY61" s="697">
        <v>7342121</v>
      </c>
      <c r="AZ61" s="697">
        <v>7342121</v>
      </c>
      <c r="BA61" s="697">
        <v>7342121</v>
      </c>
      <c r="BB61" s="697">
        <v>7342121</v>
      </c>
      <c r="BC61" s="697">
        <v>7342121</v>
      </c>
      <c r="BD61" s="697">
        <v>7342063</v>
      </c>
      <c r="BE61" s="697">
        <v>7342063</v>
      </c>
      <c r="BF61" s="697">
        <v>7328142</v>
      </c>
      <c r="BG61" s="697">
        <v>7134909</v>
      </c>
      <c r="BH61" s="697">
        <v>7134008</v>
      </c>
      <c r="BI61" s="697">
        <v>7134008</v>
      </c>
      <c r="BJ61" s="697">
        <v>7133539</v>
      </c>
      <c r="BK61" s="697">
        <v>6281419</v>
      </c>
      <c r="BL61" s="697">
        <v>6281419</v>
      </c>
      <c r="BM61" s="697">
        <v>564291</v>
      </c>
      <c r="BN61" s="697">
        <v>0</v>
      </c>
      <c r="BO61" s="697">
        <v>0</v>
      </c>
      <c r="BP61" s="697">
        <v>0</v>
      </c>
      <c r="BQ61" s="697"/>
      <c r="BR61" s="697"/>
      <c r="BS61" s="697"/>
      <c r="BT61" s="698"/>
    </row>
    <row r="62" spans="2:73">
      <c r="B62" s="692"/>
      <c r="C62" s="692" t="s">
        <v>491</v>
      </c>
      <c r="D62" s="774" t="s">
        <v>740</v>
      </c>
      <c r="E62" s="692" t="s">
        <v>726</v>
      </c>
      <c r="F62" s="692" t="s">
        <v>491</v>
      </c>
      <c r="G62" s="692"/>
      <c r="H62" s="692">
        <v>2017</v>
      </c>
      <c r="I62" s="644" t="s">
        <v>584</v>
      </c>
      <c r="J62" s="644" t="s">
        <v>596</v>
      </c>
      <c r="K62" s="633"/>
      <c r="L62" s="696"/>
      <c r="M62" s="697"/>
      <c r="N62" s="697"/>
      <c r="O62" s="697"/>
      <c r="P62" s="697"/>
      <c r="Q62" s="697"/>
      <c r="R62" s="697">
        <v>451</v>
      </c>
      <c r="S62" s="697">
        <v>329</v>
      </c>
      <c r="T62" s="697">
        <v>329</v>
      </c>
      <c r="U62" s="697">
        <v>329</v>
      </c>
      <c r="V62" s="697">
        <v>329</v>
      </c>
      <c r="W62" s="697">
        <v>329</v>
      </c>
      <c r="X62" s="697">
        <v>329</v>
      </c>
      <c r="Y62" s="697">
        <v>329</v>
      </c>
      <c r="Z62" s="697">
        <v>329</v>
      </c>
      <c r="AA62" s="697">
        <v>329</v>
      </c>
      <c r="AB62" s="697">
        <v>312</v>
      </c>
      <c r="AC62" s="697">
        <v>312</v>
      </c>
      <c r="AD62" s="697">
        <v>312</v>
      </c>
      <c r="AE62" s="697">
        <v>264</v>
      </c>
      <c r="AF62" s="697">
        <v>264</v>
      </c>
      <c r="AG62" s="697">
        <v>205</v>
      </c>
      <c r="AH62" s="697">
        <v>162</v>
      </c>
      <c r="AI62" s="697">
        <v>0</v>
      </c>
      <c r="AJ62" s="697">
        <v>0</v>
      </c>
      <c r="AK62" s="697">
        <v>0</v>
      </c>
      <c r="AL62" s="697"/>
      <c r="AM62" s="697"/>
      <c r="AN62" s="697"/>
      <c r="AO62" s="698"/>
      <c r="AP62" s="633"/>
      <c r="AQ62" s="696"/>
      <c r="AR62" s="697"/>
      <c r="AS62" s="697"/>
      <c r="AT62" s="697"/>
      <c r="AU62" s="697"/>
      <c r="AV62" s="697"/>
      <c r="AW62" s="697">
        <v>6573748</v>
      </c>
      <c r="AX62" s="697">
        <v>4760633</v>
      </c>
      <c r="AY62" s="697">
        <v>4760633</v>
      </c>
      <c r="AZ62" s="697">
        <v>4760633</v>
      </c>
      <c r="BA62" s="697">
        <v>4760633</v>
      </c>
      <c r="BB62" s="697">
        <v>4760633</v>
      </c>
      <c r="BC62" s="697">
        <v>4760633</v>
      </c>
      <c r="BD62" s="697">
        <v>4760541</v>
      </c>
      <c r="BE62" s="697">
        <v>4760541</v>
      </c>
      <c r="BF62" s="697">
        <v>4760541</v>
      </c>
      <c r="BG62" s="697">
        <v>4673870</v>
      </c>
      <c r="BH62" s="697">
        <v>4665723</v>
      </c>
      <c r="BI62" s="697">
        <v>4665723</v>
      </c>
      <c r="BJ62" s="697">
        <v>3939574</v>
      </c>
      <c r="BK62" s="697">
        <v>3939574</v>
      </c>
      <c r="BL62" s="697">
        <v>3051378</v>
      </c>
      <c r="BM62" s="697">
        <v>2418438</v>
      </c>
      <c r="BN62" s="697">
        <v>0</v>
      </c>
      <c r="BO62" s="697">
        <v>0</v>
      </c>
      <c r="BP62" s="697">
        <v>0</v>
      </c>
      <c r="BQ62" s="697"/>
      <c r="BR62" s="697"/>
      <c r="BS62" s="697"/>
      <c r="BT62" s="698"/>
    </row>
    <row r="63" spans="2:73" ht="15.6">
      <c r="B63" s="692"/>
      <c r="C63" s="692" t="s">
        <v>744</v>
      </c>
      <c r="D63" s="774" t="s">
        <v>738</v>
      </c>
      <c r="E63" s="692" t="s">
        <v>726</v>
      </c>
      <c r="F63" s="692" t="s">
        <v>29</v>
      </c>
      <c r="G63" s="692" t="s">
        <v>748</v>
      </c>
      <c r="H63" s="692">
        <v>2017</v>
      </c>
      <c r="I63" s="644" t="s">
        <v>584</v>
      </c>
      <c r="J63" s="644" t="s">
        <v>596</v>
      </c>
      <c r="K63" s="633"/>
      <c r="L63" s="696"/>
      <c r="M63" s="697"/>
      <c r="N63" s="697"/>
      <c r="O63" s="697"/>
      <c r="P63" s="697"/>
      <c r="Q63" s="697"/>
      <c r="R63" s="697">
        <v>256</v>
      </c>
      <c r="S63" s="697">
        <v>256</v>
      </c>
      <c r="T63" s="697">
        <v>256</v>
      </c>
      <c r="U63" s="697">
        <v>256</v>
      </c>
      <c r="V63" s="697">
        <v>256</v>
      </c>
      <c r="W63" s="697">
        <v>256</v>
      </c>
      <c r="X63" s="697">
        <v>256</v>
      </c>
      <c r="Y63" s="697">
        <v>256</v>
      </c>
      <c r="Z63" s="697">
        <v>256</v>
      </c>
      <c r="AA63" s="697">
        <v>256</v>
      </c>
      <c r="AB63" s="697">
        <v>256</v>
      </c>
      <c r="AC63" s="697">
        <v>256</v>
      </c>
      <c r="AD63" s="697">
        <v>256</v>
      </c>
      <c r="AE63" s="697">
        <v>256</v>
      </c>
      <c r="AF63" s="697">
        <v>256</v>
      </c>
      <c r="AG63" s="697">
        <v>256</v>
      </c>
      <c r="AH63" s="697">
        <v>256</v>
      </c>
      <c r="AI63" s="697">
        <v>256</v>
      </c>
      <c r="AJ63" s="697">
        <v>229</v>
      </c>
      <c r="AK63" s="697">
        <v>0</v>
      </c>
      <c r="AL63" s="697"/>
      <c r="AM63" s="697"/>
      <c r="AN63" s="697"/>
      <c r="AO63" s="698"/>
      <c r="AP63" s="633"/>
      <c r="AQ63" s="696"/>
      <c r="AR63" s="697"/>
      <c r="AS63" s="697"/>
      <c r="AT63" s="697"/>
      <c r="AU63" s="697"/>
      <c r="AV63" s="697"/>
      <c r="AW63" s="697">
        <v>898827</v>
      </c>
      <c r="AX63" s="697">
        <v>898827</v>
      </c>
      <c r="AY63" s="697">
        <v>898827</v>
      </c>
      <c r="AZ63" s="697">
        <v>898827</v>
      </c>
      <c r="BA63" s="697">
        <v>898827</v>
      </c>
      <c r="BB63" s="697">
        <v>898827</v>
      </c>
      <c r="BC63" s="697">
        <v>898827</v>
      </c>
      <c r="BD63" s="697">
        <v>898827</v>
      </c>
      <c r="BE63" s="697">
        <v>898827</v>
      </c>
      <c r="BF63" s="697">
        <v>898827</v>
      </c>
      <c r="BG63" s="697">
        <v>898827</v>
      </c>
      <c r="BH63" s="697">
        <v>898827</v>
      </c>
      <c r="BI63" s="697">
        <v>898827</v>
      </c>
      <c r="BJ63" s="697">
        <v>898827</v>
      </c>
      <c r="BK63" s="697">
        <v>898827</v>
      </c>
      <c r="BL63" s="697">
        <v>898827</v>
      </c>
      <c r="BM63" s="697">
        <v>898827</v>
      </c>
      <c r="BN63" s="697">
        <v>898827</v>
      </c>
      <c r="BO63" s="697">
        <v>849378</v>
      </c>
      <c r="BP63" s="697">
        <v>0</v>
      </c>
      <c r="BQ63" s="697"/>
      <c r="BR63" s="697"/>
      <c r="BS63" s="697"/>
      <c r="BT63" s="698"/>
      <c r="BU63" s="163"/>
    </row>
    <row r="64" spans="2:73">
      <c r="B64" s="692"/>
      <c r="C64" s="692" t="s">
        <v>744</v>
      </c>
      <c r="D64" s="774" t="s">
        <v>116</v>
      </c>
      <c r="E64" s="692" t="s">
        <v>726</v>
      </c>
      <c r="F64" s="692" t="s">
        <v>29</v>
      </c>
      <c r="G64" s="692" t="s">
        <v>748</v>
      </c>
      <c r="H64" s="692">
        <v>2017</v>
      </c>
      <c r="I64" s="644" t="s">
        <v>584</v>
      </c>
      <c r="J64" s="644" t="s">
        <v>596</v>
      </c>
      <c r="K64" s="633"/>
      <c r="L64" s="696"/>
      <c r="M64" s="697"/>
      <c r="N64" s="697"/>
      <c r="O64" s="697"/>
      <c r="P64" s="697"/>
      <c r="Q64" s="697"/>
      <c r="R64" s="697">
        <v>16</v>
      </c>
      <c r="S64" s="697">
        <v>16</v>
      </c>
      <c r="T64" s="697">
        <v>16</v>
      </c>
      <c r="U64" s="697">
        <v>16</v>
      </c>
      <c r="V64" s="697">
        <v>16</v>
      </c>
      <c r="W64" s="697">
        <v>16</v>
      </c>
      <c r="X64" s="697">
        <v>16</v>
      </c>
      <c r="Y64" s="697">
        <v>16</v>
      </c>
      <c r="Z64" s="697">
        <v>16</v>
      </c>
      <c r="AA64" s="697">
        <v>16</v>
      </c>
      <c r="AB64" s="697">
        <v>5</v>
      </c>
      <c r="AC64" s="697">
        <v>5</v>
      </c>
      <c r="AD64" s="697">
        <v>4</v>
      </c>
      <c r="AE64" s="697">
        <v>4</v>
      </c>
      <c r="AF64" s="697">
        <v>4</v>
      </c>
      <c r="AG64" s="697">
        <v>3</v>
      </c>
      <c r="AH64" s="697">
        <v>3</v>
      </c>
      <c r="AI64" s="697">
        <v>3</v>
      </c>
      <c r="AJ64" s="697">
        <v>3</v>
      </c>
      <c r="AK64" s="697">
        <v>3</v>
      </c>
      <c r="AL64" s="697"/>
      <c r="AM64" s="697"/>
      <c r="AN64" s="697"/>
      <c r="AO64" s="698"/>
      <c r="AP64" s="633"/>
      <c r="AQ64" s="696"/>
      <c r="AR64" s="697"/>
      <c r="AS64" s="697"/>
      <c r="AT64" s="697"/>
      <c r="AU64" s="697"/>
      <c r="AV64" s="697"/>
      <c r="AW64" s="697">
        <v>78940</v>
      </c>
      <c r="AX64" s="697">
        <v>78940</v>
      </c>
      <c r="AY64" s="697">
        <v>78940</v>
      </c>
      <c r="AZ64" s="697">
        <v>78940</v>
      </c>
      <c r="BA64" s="697">
        <v>78940</v>
      </c>
      <c r="BB64" s="697">
        <v>78940</v>
      </c>
      <c r="BC64" s="697">
        <v>78940</v>
      </c>
      <c r="BD64" s="697">
        <v>78940</v>
      </c>
      <c r="BE64" s="697">
        <v>78940</v>
      </c>
      <c r="BF64" s="697">
        <v>78370</v>
      </c>
      <c r="BG64" s="697">
        <v>60057</v>
      </c>
      <c r="BH64" s="697">
        <v>59634</v>
      </c>
      <c r="BI64" s="697">
        <v>54899</v>
      </c>
      <c r="BJ64" s="697">
        <v>54899</v>
      </c>
      <c r="BK64" s="697">
        <v>52579</v>
      </c>
      <c r="BL64" s="697">
        <v>52192</v>
      </c>
      <c r="BM64" s="697">
        <v>52192</v>
      </c>
      <c r="BN64" s="697">
        <v>52192</v>
      </c>
      <c r="BO64" s="697">
        <v>52192</v>
      </c>
      <c r="BP64" s="697">
        <v>52192</v>
      </c>
      <c r="BQ64" s="697"/>
      <c r="BR64" s="697"/>
      <c r="BS64" s="697"/>
      <c r="BT64" s="698"/>
    </row>
    <row r="65" spans="2:73">
      <c r="B65" s="692"/>
      <c r="C65" s="692" t="s">
        <v>743</v>
      </c>
      <c r="D65" s="774" t="s">
        <v>118</v>
      </c>
      <c r="E65" s="692" t="s">
        <v>726</v>
      </c>
      <c r="F65" s="692" t="s">
        <v>746</v>
      </c>
      <c r="G65" s="692" t="s">
        <v>748</v>
      </c>
      <c r="H65" s="692">
        <v>2017</v>
      </c>
      <c r="I65" s="644" t="s">
        <v>584</v>
      </c>
      <c r="J65" s="644" t="s">
        <v>596</v>
      </c>
      <c r="K65" s="633"/>
      <c r="L65" s="696"/>
      <c r="M65" s="697"/>
      <c r="N65" s="697"/>
      <c r="O65" s="697"/>
      <c r="P65" s="697"/>
      <c r="Q65" s="697"/>
      <c r="R65" s="697">
        <v>661</v>
      </c>
      <c r="S65" s="697">
        <v>662</v>
      </c>
      <c r="T65" s="697">
        <v>662</v>
      </c>
      <c r="U65" s="697">
        <v>662</v>
      </c>
      <c r="V65" s="697">
        <v>662</v>
      </c>
      <c r="W65" s="697">
        <v>611</v>
      </c>
      <c r="X65" s="697">
        <v>611</v>
      </c>
      <c r="Y65" s="697">
        <v>611</v>
      </c>
      <c r="Z65" s="697">
        <v>611</v>
      </c>
      <c r="AA65" s="697">
        <v>611</v>
      </c>
      <c r="AB65" s="697">
        <v>590</v>
      </c>
      <c r="AC65" s="697">
        <v>586</v>
      </c>
      <c r="AD65" s="697">
        <v>173</v>
      </c>
      <c r="AE65" s="697">
        <v>106</v>
      </c>
      <c r="AF65" s="697">
        <v>11</v>
      </c>
      <c r="AG65" s="697">
        <v>0</v>
      </c>
      <c r="AH65" s="697">
        <v>0</v>
      </c>
      <c r="AI65" s="697">
        <v>0</v>
      </c>
      <c r="AJ65" s="697">
        <v>0</v>
      </c>
      <c r="AK65" s="697">
        <v>0</v>
      </c>
      <c r="AL65" s="697"/>
      <c r="AM65" s="697"/>
      <c r="AN65" s="697"/>
      <c r="AO65" s="698"/>
      <c r="AP65" s="633"/>
      <c r="AQ65" s="696"/>
      <c r="AR65" s="697"/>
      <c r="AS65" s="697"/>
      <c r="AT65" s="697"/>
      <c r="AU65" s="697"/>
      <c r="AV65" s="697"/>
      <c r="AW65" s="697">
        <v>9198528</v>
      </c>
      <c r="AX65" s="697">
        <v>9203461</v>
      </c>
      <c r="AY65" s="697">
        <v>9203461</v>
      </c>
      <c r="AZ65" s="697">
        <v>9203461</v>
      </c>
      <c r="BA65" s="697">
        <v>9203461</v>
      </c>
      <c r="BB65" s="697">
        <v>8951413</v>
      </c>
      <c r="BC65" s="697">
        <v>8951413</v>
      </c>
      <c r="BD65" s="697">
        <v>8951413</v>
      </c>
      <c r="BE65" s="697">
        <v>8948494</v>
      </c>
      <c r="BF65" s="697">
        <v>8948494</v>
      </c>
      <c r="BG65" s="697">
        <v>8846694</v>
      </c>
      <c r="BH65" s="697">
        <v>8819114</v>
      </c>
      <c r="BI65" s="697">
        <v>684209</v>
      </c>
      <c r="BJ65" s="697">
        <v>411867</v>
      </c>
      <c r="BK65" s="697">
        <v>57330</v>
      </c>
      <c r="BL65" s="697">
        <v>0</v>
      </c>
      <c r="BM65" s="697">
        <v>0</v>
      </c>
      <c r="BN65" s="697">
        <v>0</v>
      </c>
      <c r="BO65" s="697">
        <v>0</v>
      </c>
      <c r="BP65" s="697">
        <v>0</v>
      </c>
      <c r="BQ65" s="697"/>
      <c r="BR65" s="697"/>
      <c r="BS65" s="697"/>
      <c r="BT65" s="698"/>
    </row>
    <row r="66" spans="2:73">
      <c r="B66" s="692"/>
      <c r="C66" s="692" t="s">
        <v>743</v>
      </c>
      <c r="D66" s="774" t="s">
        <v>119</v>
      </c>
      <c r="E66" s="692" t="s">
        <v>726</v>
      </c>
      <c r="F66" s="692" t="s">
        <v>746</v>
      </c>
      <c r="G66" s="692" t="s">
        <v>748</v>
      </c>
      <c r="H66" s="692">
        <v>2017</v>
      </c>
      <c r="I66" s="644" t="s">
        <v>584</v>
      </c>
      <c r="J66" s="644" t="s">
        <v>596</v>
      </c>
      <c r="K66" s="633"/>
      <c r="L66" s="696"/>
      <c r="M66" s="697"/>
      <c r="N66" s="697"/>
      <c r="O66" s="697"/>
      <c r="P66" s="697"/>
      <c r="Q66" s="697"/>
      <c r="R66" s="697">
        <v>149</v>
      </c>
      <c r="S66" s="697">
        <v>149</v>
      </c>
      <c r="T66" s="697">
        <v>149</v>
      </c>
      <c r="U66" s="697">
        <v>145</v>
      </c>
      <c r="V66" s="697">
        <v>139</v>
      </c>
      <c r="W66" s="697">
        <v>120</v>
      </c>
      <c r="X66" s="697">
        <v>90</v>
      </c>
      <c r="Y66" s="697">
        <v>87</v>
      </c>
      <c r="Z66" s="697">
        <v>76</v>
      </c>
      <c r="AA66" s="697">
        <v>59</v>
      </c>
      <c r="AB66" s="697">
        <v>33</v>
      </c>
      <c r="AC66" s="697">
        <v>20</v>
      </c>
      <c r="AD66" s="697">
        <v>12</v>
      </c>
      <c r="AE66" s="697">
        <v>6</v>
      </c>
      <c r="AF66" s="697">
        <v>3</v>
      </c>
      <c r="AG66" s="697">
        <v>1</v>
      </c>
      <c r="AH66" s="697">
        <v>0</v>
      </c>
      <c r="AI66" s="697">
        <v>0</v>
      </c>
      <c r="AJ66" s="697">
        <v>0</v>
      </c>
      <c r="AK66" s="697">
        <v>0</v>
      </c>
      <c r="AL66" s="697"/>
      <c r="AM66" s="697"/>
      <c r="AN66" s="697"/>
      <c r="AO66" s="698"/>
      <c r="AP66" s="633"/>
      <c r="AQ66" s="696"/>
      <c r="AR66" s="697"/>
      <c r="AS66" s="697"/>
      <c r="AT66" s="697"/>
      <c r="AU66" s="697"/>
      <c r="AV66" s="697"/>
      <c r="AW66" s="697">
        <v>740956</v>
      </c>
      <c r="AX66" s="697">
        <v>740956</v>
      </c>
      <c r="AY66" s="697">
        <v>734673</v>
      </c>
      <c r="AZ66" s="697">
        <v>695741</v>
      </c>
      <c r="BA66" s="697">
        <v>649974</v>
      </c>
      <c r="BB66" s="697">
        <v>516856</v>
      </c>
      <c r="BC66" s="697">
        <v>301939</v>
      </c>
      <c r="BD66" s="697">
        <v>284356</v>
      </c>
      <c r="BE66" s="697">
        <v>236406</v>
      </c>
      <c r="BF66" s="697">
        <v>177740</v>
      </c>
      <c r="BG66" s="697">
        <v>88319</v>
      </c>
      <c r="BH66" s="697">
        <v>47860</v>
      </c>
      <c r="BI66" s="697">
        <v>28250</v>
      </c>
      <c r="BJ66" s="697">
        <v>12271</v>
      </c>
      <c r="BK66" s="697">
        <v>6473</v>
      </c>
      <c r="BL66" s="697">
        <v>1176</v>
      </c>
      <c r="BM66" s="697">
        <v>0</v>
      </c>
      <c r="BN66" s="697">
        <v>0</v>
      </c>
      <c r="BO66" s="697">
        <v>0</v>
      </c>
      <c r="BP66" s="697">
        <v>0</v>
      </c>
      <c r="BQ66" s="697"/>
      <c r="BR66" s="697"/>
      <c r="BS66" s="697"/>
      <c r="BT66" s="698"/>
    </row>
    <row r="67" spans="2:73">
      <c r="B67" s="692"/>
      <c r="C67" s="692" t="s">
        <v>491</v>
      </c>
      <c r="D67" s="774" t="s">
        <v>741</v>
      </c>
      <c r="E67" s="692" t="s">
        <v>726</v>
      </c>
      <c r="F67" s="692" t="s">
        <v>491</v>
      </c>
      <c r="G67" s="692"/>
      <c r="H67" s="692">
        <v>2017</v>
      </c>
      <c r="I67" s="644" t="s">
        <v>584</v>
      </c>
      <c r="J67" s="644" t="s">
        <v>596</v>
      </c>
      <c r="K67" s="633"/>
      <c r="L67" s="696"/>
      <c r="M67" s="697"/>
      <c r="N67" s="697"/>
      <c r="O67" s="697"/>
      <c r="P67" s="697"/>
      <c r="Q67" s="697"/>
      <c r="R67" s="697">
        <v>6</v>
      </c>
      <c r="S67" s="697">
        <v>6</v>
      </c>
      <c r="T67" s="697">
        <v>6</v>
      </c>
      <c r="U67" s="697">
        <v>6</v>
      </c>
      <c r="V67" s="697">
        <v>6</v>
      </c>
      <c r="W67" s="697">
        <v>6</v>
      </c>
      <c r="X67" s="697">
        <v>6</v>
      </c>
      <c r="Y67" s="697">
        <v>6</v>
      </c>
      <c r="Z67" s="697">
        <v>6</v>
      </c>
      <c r="AA67" s="697">
        <v>6</v>
      </c>
      <c r="AB67" s="697">
        <v>6</v>
      </c>
      <c r="AC67" s="697">
        <v>6</v>
      </c>
      <c r="AD67" s="697">
        <v>6</v>
      </c>
      <c r="AE67" s="697">
        <v>6</v>
      </c>
      <c r="AF67" s="697">
        <v>6</v>
      </c>
      <c r="AG67" s="697">
        <v>6</v>
      </c>
      <c r="AH67" s="697">
        <v>6</v>
      </c>
      <c r="AI67" s="697">
        <v>6</v>
      </c>
      <c r="AJ67" s="697">
        <v>5</v>
      </c>
      <c r="AK67" s="697">
        <v>2</v>
      </c>
      <c r="AL67" s="697"/>
      <c r="AM67" s="697"/>
      <c r="AN67" s="697"/>
      <c r="AO67" s="698"/>
      <c r="AP67" s="633"/>
      <c r="AQ67" s="696"/>
      <c r="AR67" s="697"/>
      <c r="AS67" s="697"/>
      <c r="AT67" s="697"/>
      <c r="AU67" s="697"/>
      <c r="AV67" s="697"/>
      <c r="AW67" s="697">
        <v>60121</v>
      </c>
      <c r="AX67" s="697">
        <v>60121</v>
      </c>
      <c r="AY67" s="697">
        <v>60121</v>
      </c>
      <c r="AZ67" s="697">
        <v>60121</v>
      </c>
      <c r="BA67" s="697">
        <v>59840</v>
      </c>
      <c r="BB67" s="697">
        <v>59178</v>
      </c>
      <c r="BC67" s="697">
        <v>59178</v>
      </c>
      <c r="BD67" s="697">
        <v>59178</v>
      </c>
      <c r="BE67" s="697">
        <v>59178</v>
      </c>
      <c r="BF67" s="697">
        <v>59178</v>
      </c>
      <c r="BG67" s="697">
        <v>59178</v>
      </c>
      <c r="BH67" s="697">
        <v>59178</v>
      </c>
      <c r="BI67" s="697">
        <v>59178</v>
      </c>
      <c r="BJ67" s="697">
        <v>59178</v>
      </c>
      <c r="BK67" s="697">
        <v>59178</v>
      </c>
      <c r="BL67" s="697">
        <v>58845</v>
      </c>
      <c r="BM67" s="697">
        <v>58845</v>
      </c>
      <c r="BN67" s="697">
        <v>58763</v>
      </c>
      <c r="BO67" s="697">
        <v>57624</v>
      </c>
      <c r="BP67" s="697">
        <v>2929</v>
      </c>
      <c r="BQ67" s="697"/>
      <c r="BR67" s="697"/>
      <c r="BS67" s="697"/>
      <c r="BT67" s="698"/>
    </row>
    <row r="68" spans="2:73" s="773" customFormat="1" ht="5.4" customHeight="1">
      <c r="B68" s="765"/>
      <c r="C68" s="765"/>
      <c r="D68" s="765"/>
      <c r="E68" s="765"/>
      <c r="F68" s="765"/>
      <c r="G68" s="765"/>
      <c r="H68" s="765"/>
      <c r="I68" s="766"/>
      <c r="J68" s="766"/>
      <c r="K68" s="767"/>
      <c r="L68" s="768"/>
      <c r="M68" s="769"/>
      <c r="N68" s="769"/>
      <c r="O68" s="769"/>
      <c r="P68" s="769"/>
      <c r="Q68" s="769"/>
      <c r="R68" s="769"/>
      <c r="S68" s="769"/>
      <c r="T68" s="769"/>
      <c r="U68" s="769"/>
      <c r="V68" s="769"/>
      <c r="W68" s="769"/>
      <c r="X68" s="769"/>
      <c r="Y68" s="769"/>
      <c r="Z68" s="769"/>
      <c r="AA68" s="769"/>
      <c r="AB68" s="769"/>
      <c r="AC68" s="769"/>
      <c r="AD68" s="769"/>
      <c r="AE68" s="769"/>
      <c r="AF68" s="769"/>
      <c r="AG68" s="769"/>
      <c r="AH68" s="769"/>
      <c r="AI68" s="769"/>
      <c r="AJ68" s="769"/>
      <c r="AK68" s="769"/>
      <c r="AL68" s="769"/>
      <c r="AM68" s="769"/>
      <c r="AN68" s="769"/>
      <c r="AO68" s="770"/>
      <c r="AP68" s="767"/>
      <c r="AQ68" s="768"/>
      <c r="AR68" s="769"/>
      <c r="AS68" s="769"/>
      <c r="AT68" s="769"/>
      <c r="AU68" s="769"/>
      <c r="AV68" s="769"/>
      <c r="AW68" s="769"/>
      <c r="AX68" s="769"/>
      <c r="AY68" s="769"/>
      <c r="AZ68" s="769"/>
      <c r="BA68" s="769"/>
      <c r="BB68" s="769"/>
      <c r="BC68" s="769"/>
      <c r="BD68" s="769"/>
      <c r="BE68" s="769"/>
      <c r="BF68" s="769"/>
      <c r="BG68" s="769"/>
      <c r="BH68" s="769"/>
      <c r="BI68" s="769"/>
      <c r="BJ68" s="769"/>
      <c r="BK68" s="769"/>
      <c r="BL68" s="769"/>
      <c r="BM68" s="769"/>
      <c r="BN68" s="769"/>
      <c r="BO68" s="769"/>
      <c r="BP68" s="769"/>
      <c r="BQ68" s="769"/>
      <c r="BR68" s="769"/>
      <c r="BS68" s="769"/>
      <c r="BT68" s="770"/>
      <c r="BU68" s="771"/>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6"/>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8"/>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9"/>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1"/>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3"/>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5"/>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3"/>
    </row>
    <row r="86" spans="2:73" ht="15.6">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c r="BU86" s="163"/>
    </row>
    <row r="87" spans="2:73" ht="15.6">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c r="BU87" s="163"/>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6"/>
      <c r="AR89" s="697"/>
      <c r="AS89" s="697"/>
      <c r="AT89" s="697"/>
      <c r="AU89" s="697"/>
      <c r="AV89" s="697"/>
      <c r="AW89" s="697"/>
      <c r="AX89" s="697"/>
      <c r="AY89" s="697"/>
      <c r="AZ89" s="697"/>
      <c r="BA89" s="697"/>
      <c r="BB89" s="697"/>
      <c r="BC89" s="697"/>
      <c r="BD89" s="697"/>
      <c r="BE89" s="697"/>
      <c r="BF89" s="697"/>
      <c r="BG89" s="697"/>
      <c r="BH89" s="697"/>
      <c r="BI89" s="697"/>
      <c r="BJ89" s="697"/>
      <c r="BK89" s="697"/>
      <c r="BL89" s="697"/>
      <c r="BM89" s="697"/>
      <c r="BN89" s="697"/>
      <c r="BO89" s="697"/>
      <c r="BP89" s="697"/>
      <c r="BQ89" s="697"/>
      <c r="BR89" s="697"/>
      <c r="BS89" s="697"/>
      <c r="BT89" s="698"/>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9"/>
      <c r="AR91" s="700"/>
      <c r="AS91" s="700"/>
      <c r="AT91" s="700"/>
      <c r="AU91" s="700"/>
      <c r="AV91" s="700"/>
      <c r="AW91" s="700"/>
      <c r="AX91" s="700"/>
      <c r="AY91" s="700"/>
      <c r="AZ91" s="700"/>
      <c r="BA91" s="700"/>
      <c r="BB91" s="700"/>
      <c r="BC91" s="700"/>
      <c r="BD91" s="700"/>
      <c r="BE91" s="700"/>
      <c r="BF91" s="700"/>
      <c r="BG91" s="700"/>
      <c r="BH91" s="700"/>
      <c r="BI91" s="700"/>
      <c r="BJ91" s="700"/>
      <c r="BK91" s="700"/>
      <c r="BL91" s="700"/>
      <c r="BM91" s="700"/>
      <c r="BN91" s="700"/>
      <c r="BO91" s="700"/>
      <c r="BP91" s="700"/>
      <c r="BQ91" s="700"/>
      <c r="BR91" s="700"/>
      <c r="BS91" s="700"/>
      <c r="BT91" s="701"/>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3"/>
      <c r="AR92" s="694"/>
      <c r="AS92" s="694"/>
      <c r="AT92" s="694"/>
      <c r="AU92" s="694"/>
      <c r="AV92" s="694"/>
      <c r="AW92" s="694"/>
      <c r="AX92" s="694"/>
      <c r="AY92" s="694"/>
      <c r="AZ92" s="694"/>
      <c r="BA92" s="694"/>
      <c r="BB92" s="694"/>
      <c r="BC92" s="694"/>
      <c r="BD92" s="694"/>
      <c r="BE92" s="694"/>
      <c r="BF92" s="694"/>
      <c r="BG92" s="694"/>
      <c r="BH92" s="694"/>
      <c r="BI92" s="694"/>
      <c r="BJ92" s="694"/>
      <c r="BK92" s="694"/>
      <c r="BL92" s="694"/>
      <c r="BM92" s="694"/>
      <c r="BN92" s="694"/>
      <c r="BO92" s="694"/>
      <c r="BP92" s="694"/>
      <c r="BQ92" s="694"/>
      <c r="BR92" s="694"/>
      <c r="BS92" s="694"/>
      <c r="BT92" s="695"/>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row>
    <row r="100" spans="2:73">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3"/>
    </row>
    <row r="102" spans="2:73" ht="15.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3"/>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6"/>
      <c r="AR108" s="697"/>
      <c r="AS108" s="697"/>
      <c r="AT108" s="697"/>
      <c r="AU108" s="697"/>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8"/>
      <c r="BU108" s="163"/>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9"/>
      <c r="AR110" s="700"/>
      <c r="AS110" s="700"/>
      <c r="AT110" s="700"/>
      <c r="AU110" s="700"/>
      <c r="AV110" s="700"/>
      <c r="AW110" s="700"/>
      <c r="AX110" s="700"/>
      <c r="AY110" s="700"/>
      <c r="AZ110" s="700"/>
      <c r="BA110" s="700"/>
      <c r="BB110" s="700"/>
      <c r="BC110" s="700"/>
      <c r="BD110" s="700"/>
      <c r="BE110" s="700"/>
      <c r="BF110" s="700"/>
      <c r="BG110" s="700"/>
      <c r="BH110" s="700"/>
      <c r="BI110" s="700"/>
      <c r="BJ110" s="700"/>
      <c r="BK110" s="700"/>
      <c r="BL110" s="700"/>
      <c r="BM110" s="700"/>
      <c r="BN110" s="700"/>
      <c r="BO110" s="700"/>
      <c r="BP110" s="700"/>
      <c r="BQ110" s="700"/>
      <c r="BR110" s="700"/>
      <c r="BS110" s="700"/>
      <c r="BT110" s="701"/>
      <c r="BU110" s="163"/>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3"/>
      <c r="AR111" s="694"/>
      <c r="AS111" s="694"/>
      <c r="AT111" s="694"/>
      <c r="AU111" s="694"/>
      <c r="AV111" s="694"/>
      <c r="AW111" s="694"/>
      <c r="AX111" s="694"/>
      <c r="AY111" s="694"/>
      <c r="AZ111" s="694"/>
      <c r="BA111" s="694"/>
      <c r="BB111" s="694"/>
      <c r="BC111" s="694"/>
      <c r="BD111" s="694"/>
      <c r="BE111" s="694"/>
      <c r="BF111" s="694"/>
      <c r="BG111" s="694"/>
      <c r="BH111" s="694"/>
      <c r="BI111" s="694"/>
      <c r="BJ111" s="694"/>
      <c r="BK111" s="694"/>
      <c r="BL111" s="694"/>
      <c r="BM111" s="694"/>
      <c r="BN111" s="694"/>
      <c r="BO111" s="694"/>
      <c r="BP111" s="694"/>
      <c r="BQ111" s="694"/>
      <c r="BR111" s="694"/>
      <c r="BS111" s="694"/>
      <c r="BT111" s="695"/>
      <c r="BU111" s="163"/>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3"/>
    </row>
    <row r="113" spans="2:73" ht="15.6">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c r="BU113" s="163"/>
    </row>
    <row r="114" spans="2:73" ht="15.6">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c r="BU114" s="163"/>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row>
    <row r="117" spans="2:73">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3"/>
    </row>
    <row r="121" spans="2:73" ht="15.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3"/>
    </row>
    <row r="123" spans="2:73">
      <c r="B123" s="692"/>
      <c r="C123" s="692"/>
      <c r="D123" s="692"/>
      <c r="E123" s="692"/>
      <c r="F123" s="692"/>
      <c r="G123" s="692"/>
      <c r="H123" s="692"/>
      <c r="I123" s="644"/>
      <c r="J123" s="644"/>
      <c r="K123" s="633"/>
      <c r="L123" s="696"/>
      <c r="M123" s="697"/>
      <c r="N123" s="697"/>
      <c r="O123" s="697"/>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8"/>
      <c r="AP123" s="633"/>
      <c r="AQ123" s="696"/>
      <c r="AR123" s="697"/>
      <c r="AS123" s="697"/>
      <c r="AT123" s="697"/>
      <c r="AU123" s="697"/>
      <c r="AV123" s="697"/>
      <c r="AW123" s="697"/>
      <c r="AX123" s="697"/>
      <c r="AY123" s="697"/>
      <c r="AZ123" s="697"/>
      <c r="BA123" s="697"/>
      <c r="BB123" s="697"/>
      <c r="BC123" s="697"/>
      <c r="BD123" s="697"/>
      <c r="BE123" s="697"/>
      <c r="BF123" s="697"/>
      <c r="BG123" s="697"/>
      <c r="BH123" s="697"/>
      <c r="BI123" s="697"/>
      <c r="BJ123" s="697"/>
      <c r="BK123" s="697"/>
      <c r="BL123" s="697"/>
      <c r="BM123" s="697"/>
      <c r="BN123" s="697"/>
      <c r="BO123" s="697"/>
      <c r="BP123" s="697"/>
      <c r="BQ123" s="697"/>
      <c r="BR123" s="697"/>
      <c r="BS123" s="697"/>
      <c r="BT123" s="698"/>
    </row>
    <row r="124" spans="2:73" ht="15.6">
      <c r="B124" s="692"/>
      <c r="C124" s="692"/>
      <c r="D124" s="692"/>
      <c r="E124" s="692"/>
      <c r="F124" s="692"/>
      <c r="G124" s="692"/>
      <c r="H124" s="692"/>
      <c r="I124" s="644"/>
      <c r="J124" s="644"/>
      <c r="K124" s="633"/>
      <c r="L124" s="696"/>
      <c r="M124" s="697"/>
      <c r="N124" s="697"/>
      <c r="O124" s="697"/>
      <c r="P124" s="697"/>
      <c r="Q124" s="697"/>
      <c r="R124" s="697"/>
      <c r="S124" s="697"/>
      <c r="T124" s="697"/>
      <c r="U124" s="697"/>
      <c r="V124" s="697"/>
      <c r="W124" s="697"/>
      <c r="X124" s="697"/>
      <c r="Y124" s="697"/>
      <c r="Z124" s="697"/>
      <c r="AA124" s="697"/>
      <c r="AB124" s="697"/>
      <c r="AC124" s="697"/>
      <c r="AD124" s="697"/>
      <c r="AE124" s="697"/>
      <c r="AF124" s="697"/>
      <c r="AG124" s="697"/>
      <c r="AH124" s="697"/>
      <c r="AI124" s="697"/>
      <c r="AJ124" s="697"/>
      <c r="AK124" s="697"/>
      <c r="AL124" s="697"/>
      <c r="AM124" s="697"/>
      <c r="AN124" s="697"/>
      <c r="AO124" s="698"/>
      <c r="AP124" s="633"/>
      <c r="AQ124" s="696"/>
      <c r="AR124" s="697"/>
      <c r="AS124" s="697"/>
      <c r="AT124" s="697"/>
      <c r="AU124" s="697"/>
      <c r="AV124" s="697"/>
      <c r="AW124" s="697"/>
      <c r="AX124" s="697"/>
      <c r="AY124" s="697"/>
      <c r="AZ124" s="697"/>
      <c r="BA124" s="697"/>
      <c r="BB124" s="697"/>
      <c r="BC124" s="697"/>
      <c r="BD124" s="697"/>
      <c r="BE124" s="697"/>
      <c r="BF124" s="697"/>
      <c r="BG124" s="697"/>
      <c r="BH124" s="697"/>
      <c r="BI124" s="697"/>
      <c r="BJ124" s="697"/>
      <c r="BK124" s="697"/>
      <c r="BL124" s="697"/>
      <c r="BM124" s="697"/>
      <c r="BN124" s="697"/>
      <c r="BO124" s="697"/>
      <c r="BP124" s="697"/>
      <c r="BQ124" s="697"/>
      <c r="BR124" s="697"/>
      <c r="BS124" s="697"/>
      <c r="BT124" s="698"/>
      <c r="BU124" s="163"/>
    </row>
    <row r="125" spans="2:73" ht="15.6">
      <c r="B125" s="692"/>
      <c r="C125" s="692"/>
      <c r="D125" s="692"/>
      <c r="E125" s="692"/>
      <c r="F125" s="692"/>
      <c r="G125" s="692"/>
      <c r="H125" s="692"/>
      <c r="I125" s="644"/>
      <c r="J125" s="644"/>
      <c r="K125" s="633"/>
      <c r="L125" s="699"/>
      <c r="M125" s="700"/>
      <c r="N125" s="700"/>
      <c r="O125" s="700"/>
      <c r="P125" s="700"/>
      <c r="Q125" s="700"/>
      <c r="R125" s="700"/>
      <c r="S125" s="700"/>
      <c r="T125" s="700"/>
      <c r="U125" s="700"/>
      <c r="V125" s="700"/>
      <c r="W125" s="700"/>
      <c r="X125" s="700"/>
      <c r="Y125" s="700"/>
      <c r="Z125" s="700"/>
      <c r="AA125" s="700"/>
      <c r="AB125" s="700"/>
      <c r="AC125" s="700"/>
      <c r="AD125" s="700"/>
      <c r="AE125" s="700"/>
      <c r="AF125" s="700"/>
      <c r="AG125" s="700"/>
      <c r="AH125" s="700"/>
      <c r="AI125" s="700"/>
      <c r="AJ125" s="700"/>
      <c r="AK125" s="700"/>
      <c r="AL125" s="700"/>
      <c r="AM125" s="700"/>
      <c r="AN125" s="700"/>
      <c r="AO125" s="701"/>
      <c r="AP125" s="633"/>
      <c r="AQ125" s="699"/>
      <c r="AR125" s="700"/>
      <c r="AS125" s="700"/>
      <c r="AT125" s="700"/>
      <c r="AU125" s="700"/>
      <c r="AV125" s="700"/>
      <c r="AW125" s="700"/>
      <c r="AX125" s="700"/>
      <c r="AY125" s="700"/>
      <c r="AZ125" s="700"/>
      <c r="BA125" s="700"/>
      <c r="BB125" s="700"/>
      <c r="BC125" s="700"/>
      <c r="BD125" s="700"/>
      <c r="BE125" s="700"/>
      <c r="BF125" s="700"/>
      <c r="BG125" s="700"/>
      <c r="BH125" s="700"/>
      <c r="BI125" s="700"/>
      <c r="BJ125" s="700"/>
      <c r="BK125" s="700"/>
      <c r="BL125" s="700"/>
      <c r="BM125" s="700"/>
      <c r="BN125" s="700"/>
      <c r="BO125" s="700"/>
      <c r="BP125" s="700"/>
      <c r="BQ125" s="700"/>
      <c r="BR125" s="700"/>
      <c r="BS125" s="700"/>
      <c r="BT125" s="701"/>
      <c r="BU125" s="163"/>
    </row>
  </sheetData>
  <autoFilter ref="C26:BT26">
    <sortState ref="C26:BT42">
      <sortCondition ref="H25"/>
    </sortState>
  </autoFilter>
  <mergeCells count="1">
    <mergeCell ref="C24:G24"/>
  </mergeCells>
  <conditionalFormatting sqref="L27:AO72 AQ37:BT74">
    <cfRule type="cellIs" dxfId="10" priority="12" operator="equal">
      <formula>0</formula>
    </cfRule>
  </conditionalFormatting>
  <conditionalFormatting sqref="L113:AO125 AQ111:BT125">
    <cfRule type="cellIs" dxfId="9" priority="9" operator="equal">
      <formula>0</formula>
    </cfRule>
  </conditionalFormatting>
  <conditionalFormatting sqref="L77:AO89 AQ75:BT91">
    <cfRule type="cellIs" dxfId="8" priority="11" operator="equal">
      <formula>0</formula>
    </cfRule>
  </conditionalFormatting>
  <conditionalFormatting sqref="L94:AO108 AQ92:BT110">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3:AO76">
    <cfRule type="cellIs" dxfId="4" priority="6" operator="equal">
      <formula>0</formula>
    </cfRule>
  </conditionalFormatting>
  <conditionalFormatting sqref="L90:AO93">
    <cfRule type="cellIs" dxfId="3" priority="5" operator="equal">
      <formula>0</formula>
    </cfRule>
  </conditionalFormatting>
  <conditionalFormatting sqref="L109:AO112">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U67"/>
  <sheetViews>
    <sheetView topLeftCell="A13" zoomScale="70" zoomScaleNormal="70" workbookViewId="0">
      <selection activeCell="D20" sqref="D20"/>
    </sheetView>
  </sheetViews>
  <sheetFormatPr defaultColWidth="9.109375" defaultRowHeight="14.4" outlineLevelRow="1"/>
  <cols>
    <col min="1" max="1" width="13.109375" style="12" customWidth="1"/>
    <col min="2" max="2" width="13.77734375" style="12" customWidth="1"/>
    <col min="3" max="3" width="16.5546875" style="12" customWidth="1"/>
    <col min="4" max="4" width="17.33203125" style="12" customWidth="1"/>
    <col min="5" max="5" width="15" style="12" customWidth="1"/>
    <col min="6" max="6" width="16.77734375" style="12" customWidth="1"/>
    <col min="7" max="7" width="11" style="12" customWidth="1"/>
    <col min="8" max="8" width="24.5546875" style="12" customWidth="1"/>
    <col min="9" max="9" width="11.109375" style="12" customWidth="1"/>
    <col min="10" max="10" width="9.109375" style="12"/>
    <col min="11" max="11" width="11.5546875" style="12" customWidth="1"/>
    <col min="12" max="12" width="10.6640625" style="12" customWidth="1"/>
    <col min="13" max="13" width="26" style="12" customWidth="1"/>
    <col min="14" max="14" width="9.88671875" style="12" customWidth="1"/>
    <col min="15" max="15" width="9.109375" style="12"/>
    <col min="16" max="16" width="9.77734375" style="12" customWidth="1"/>
    <col min="17" max="16384" width="9.109375" style="12"/>
  </cols>
  <sheetData>
    <row r="12" spans="1:17" ht="24" customHeight="1" thickBot="1"/>
    <row r="13" spans="1:17" s="9" customFormat="1" ht="23.4" customHeight="1" thickBot="1">
      <c r="A13" s="588"/>
      <c r="B13" s="588" t="s">
        <v>171</v>
      </c>
      <c r="D13" s="126" t="s">
        <v>175</v>
      </c>
      <c r="E13" s="746"/>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6">
      <c r="B15" s="588" t="s">
        <v>507</v>
      </c>
    </row>
    <row r="16" spans="1:17" ht="15.6">
      <c r="B16" s="588"/>
    </row>
    <row r="17" spans="2:21" s="668" customFormat="1" ht="20.399999999999999" customHeight="1">
      <c r="B17" s="666" t="s">
        <v>671</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92" t="s">
        <v>724</v>
      </c>
      <c r="C18" s="892"/>
      <c r="D18" s="892"/>
      <c r="E18" s="892"/>
      <c r="F18" s="892"/>
      <c r="G18" s="892"/>
      <c r="H18" s="892"/>
      <c r="I18" s="892"/>
      <c r="J18" s="892"/>
      <c r="K18" s="892"/>
      <c r="L18" s="892"/>
      <c r="M18" s="892"/>
      <c r="N18" s="892"/>
      <c r="O18" s="892"/>
      <c r="P18" s="892"/>
      <c r="Q18" s="892"/>
      <c r="R18" s="892"/>
      <c r="S18" s="892"/>
      <c r="T18" s="892"/>
      <c r="U18" s="892"/>
    </row>
    <row r="21" spans="2:21" ht="21">
      <c r="B21" s="744" t="s">
        <v>755</v>
      </c>
    </row>
    <row r="23" spans="2:21" ht="21" hidden="1" outlineLevel="1">
      <c r="B23" s="744" t="s">
        <v>709</v>
      </c>
      <c r="C23" s="745"/>
      <c r="E23" s="745"/>
      <c r="F23" s="745"/>
      <c r="H23" s="744" t="s">
        <v>710</v>
      </c>
    </row>
    <row r="24" spans="2:21" ht="18.600000000000001" hidden="1" customHeight="1" outlineLevel="1">
      <c r="B24" s="891" t="s">
        <v>687</v>
      </c>
      <c r="C24" s="891"/>
      <c r="D24" s="891"/>
      <c r="E24" s="891"/>
      <c r="F24" s="891"/>
      <c r="H24" s="12" t="s">
        <v>695</v>
      </c>
      <c r="M24" s="12" t="s">
        <v>696</v>
      </c>
    </row>
    <row r="25" spans="2:21" ht="43.2" hidden="1" outlineLevel="1">
      <c r="B25" s="741" t="s">
        <v>62</v>
      </c>
      <c r="C25" s="741" t="s">
        <v>688</v>
      </c>
      <c r="D25" s="741" t="s">
        <v>689</v>
      </c>
      <c r="E25" s="741" t="s">
        <v>691</v>
      </c>
      <c r="F25" s="741" t="s">
        <v>690</v>
      </c>
      <c r="H25" s="741" t="s">
        <v>692</v>
      </c>
      <c r="I25" s="741" t="s">
        <v>693</v>
      </c>
      <c r="J25" s="741" t="s">
        <v>694</v>
      </c>
      <c r="K25" s="741" t="s">
        <v>688</v>
      </c>
      <c r="M25" s="741" t="s">
        <v>692</v>
      </c>
      <c r="N25" s="741" t="s">
        <v>693</v>
      </c>
      <c r="O25" s="741" t="s">
        <v>694</v>
      </c>
      <c r="P25" s="741" t="s">
        <v>688</v>
      </c>
    </row>
    <row r="26" spans="2:21" ht="15.6" hidden="1" outlineLevel="1">
      <c r="B26" s="748"/>
      <c r="C26" s="748" t="s">
        <v>699</v>
      </c>
      <c r="D26" s="748" t="s">
        <v>700</v>
      </c>
      <c r="E26" s="748" t="s">
        <v>701</v>
      </c>
      <c r="F26" s="748" t="s">
        <v>702</v>
      </c>
      <c r="H26" s="748"/>
      <c r="I26" s="748" t="s">
        <v>703</v>
      </c>
      <c r="J26" s="748" t="s">
        <v>704</v>
      </c>
      <c r="K26" s="748" t="s">
        <v>705</v>
      </c>
      <c r="M26" s="748"/>
      <c r="N26" s="748" t="s">
        <v>706</v>
      </c>
      <c r="O26" s="748" t="s">
        <v>707</v>
      </c>
      <c r="P26" s="748" t="s">
        <v>708</v>
      </c>
    </row>
    <row r="27" spans="2:21" ht="15.6" hidden="1" customHeight="1" outlineLevel="1">
      <c r="B27" s="743" t="s">
        <v>712</v>
      </c>
      <c r="C27" s="751">
        <f>K49</f>
        <v>0</v>
      </c>
      <c r="D27" s="749"/>
      <c r="E27" s="742"/>
      <c r="F27" s="742"/>
      <c r="H27" s="742"/>
      <c r="I27" s="742"/>
      <c r="J27" s="742"/>
      <c r="K27" s="742">
        <f>I27*J27</f>
        <v>0</v>
      </c>
      <c r="M27" s="742"/>
      <c r="N27" s="742"/>
      <c r="O27" s="742"/>
      <c r="P27" s="742">
        <f>N27*O27</f>
        <v>0</v>
      </c>
    </row>
    <row r="28" spans="2:21" ht="15.6" hidden="1" customHeight="1" outlineLevel="1">
      <c r="B28" s="743" t="s">
        <v>713</v>
      </c>
      <c r="C28" s="752">
        <f>P49</f>
        <v>0</v>
      </c>
      <c r="D28" s="753">
        <f>C28-C27</f>
        <v>0</v>
      </c>
      <c r="E28" s="742"/>
      <c r="F28" s="750">
        <f>D28*E28</f>
        <v>0</v>
      </c>
      <c r="H28" s="742"/>
      <c r="I28" s="742"/>
      <c r="J28" s="742"/>
      <c r="K28" s="742"/>
      <c r="M28" s="742"/>
      <c r="N28" s="742"/>
      <c r="O28" s="742"/>
      <c r="P28" s="742"/>
    </row>
    <row r="29" spans="2:21" ht="15.6" hidden="1" customHeight="1" outlineLevel="1">
      <c r="B29" s="743" t="s">
        <v>714</v>
      </c>
      <c r="C29" s="742"/>
      <c r="D29" s="742"/>
      <c r="E29" s="742"/>
      <c r="F29" s="742"/>
      <c r="H29" s="742"/>
      <c r="I29" s="742"/>
      <c r="J29" s="742"/>
      <c r="K29" s="742"/>
      <c r="M29" s="742"/>
      <c r="N29" s="742"/>
      <c r="O29" s="742"/>
      <c r="P29" s="742"/>
    </row>
    <row r="30" spans="2:21" ht="15.6" hidden="1" customHeight="1" outlineLevel="1">
      <c r="B30" s="743" t="s">
        <v>715</v>
      </c>
      <c r="C30" s="742"/>
      <c r="D30" s="742"/>
      <c r="E30" s="742"/>
      <c r="F30" s="742"/>
      <c r="H30" s="742"/>
      <c r="I30" s="742"/>
      <c r="J30" s="742"/>
      <c r="K30" s="742"/>
      <c r="M30" s="742"/>
      <c r="N30" s="742"/>
      <c r="O30" s="742"/>
      <c r="P30" s="742"/>
    </row>
    <row r="31" spans="2:21" ht="15.6" hidden="1" customHeight="1" outlineLevel="1">
      <c r="B31" s="743" t="s">
        <v>716</v>
      </c>
      <c r="C31" s="742"/>
      <c r="D31" s="742"/>
      <c r="E31" s="742"/>
      <c r="F31" s="742"/>
      <c r="H31" s="742"/>
      <c r="I31" s="742"/>
      <c r="J31" s="742"/>
      <c r="K31" s="742"/>
      <c r="M31" s="742"/>
      <c r="N31" s="742"/>
      <c r="O31" s="742"/>
      <c r="P31" s="742"/>
    </row>
    <row r="32" spans="2:21" ht="15.6" hidden="1" customHeight="1" outlineLevel="1">
      <c r="B32" s="743" t="s">
        <v>717</v>
      </c>
      <c r="C32" s="742"/>
      <c r="D32" s="742"/>
      <c r="E32" s="742"/>
      <c r="F32" s="742"/>
      <c r="H32" s="742"/>
      <c r="I32" s="742"/>
      <c r="J32" s="742"/>
      <c r="K32" s="742"/>
      <c r="M32" s="742"/>
      <c r="N32" s="742"/>
      <c r="O32" s="742"/>
      <c r="P32" s="742"/>
    </row>
    <row r="33" spans="2:16" ht="15.6" hidden="1" customHeight="1" outlineLevel="1">
      <c r="B33" s="743" t="s">
        <v>718</v>
      </c>
      <c r="C33" s="742"/>
      <c r="D33" s="742"/>
      <c r="E33" s="742"/>
      <c r="F33" s="742"/>
      <c r="H33" s="742"/>
      <c r="I33" s="742"/>
      <c r="J33" s="742"/>
      <c r="K33" s="742"/>
      <c r="M33" s="742"/>
      <c r="N33" s="742"/>
      <c r="O33" s="742"/>
      <c r="P33" s="742"/>
    </row>
    <row r="34" spans="2:16" ht="15.6" hidden="1" customHeight="1" outlineLevel="1">
      <c r="B34" s="743" t="s">
        <v>719</v>
      </c>
      <c r="C34" s="742"/>
      <c r="D34" s="742"/>
      <c r="E34" s="742"/>
      <c r="F34" s="742"/>
      <c r="H34" s="742"/>
      <c r="I34" s="742"/>
      <c r="J34" s="742"/>
      <c r="K34" s="742"/>
      <c r="M34" s="742"/>
      <c r="N34" s="742"/>
      <c r="O34" s="742"/>
      <c r="P34" s="742"/>
    </row>
    <row r="35" spans="2:16" ht="15.6" hidden="1" customHeight="1" outlineLevel="1">
      <c r="B35" s="743" t="s">
        <v>720</v>
      </c>
      <c r="C35" s="742"/>
      <c r="D35" s="742"/>
      <c r="E35" s="742"/>
      <c r="F35" s="742"/>
      <c r="H35" s="742"/>
      <c r="I35" s="742"/>
      <c r="J35" s="742"/>
      <c r="K35" s="742"/>
      <c r="M35" s="742"/>
      <c r="N35" s="742"/>
      <c r="O35" s="742"/>
      <c r="P35" s="742"/>
    </row>
    <row r="36" spans="2:16" ht="15.6" hidden="1" customHeight="1" outlineLevel="1">
      <c r="B36" s="743" t="s">
        <v>721</v>
      </c>
      <c r="C36" s="742"/>
      <c r="D36" s="742"/>
      <c r="E36" s="742"/>
      <c r="F36" s="742"/>
      <c r="H36" s="742"/>
      <c r="I36" s="742"/>
      <c r="J36" s="742"/>
      <c r="K36" s="742"/>
      <c r="M36" s="742"/>
      <c r="N36" s="742"/>
      <c r="O36" s="742"/>
      <c r="P36" s="742"/>
    </row>
    <row r="37" spans="2:16" ht="15.6" hidden="1" customHeight="1" outlineLevel="1">
      <c r="B37" s="743" t="s">
        <v>722</v>
      </c>
      <c r="C37" s="742"/>
      <c r="D37" s="742"/>
      <c r="E37" s="742"/>
      <c r="F37" s="742"/>
      <c r="H37" s="742"/>
      <c r="I37" s="742"/>
      <c r="J37" s="742"/>
      <c r="K37" s="742"/>
      <c r="M37" s="742"/>
      <c r="N37" s="742"/>
      <c r="O37" s="742"/>
      <c r="P37" s="742"/>
    </row>
    <row r="38" spans="2:16" ht="15.6" hidden="1" customHeight="1" outlineLevel="1">
      <c r="B38" s="743" t="s">
        <v>723</v>
      </c>
      <c r="C38" s="742"/>
      <c r="D38" s="742"/>
      <c r="E38" s="742"/>
      <c r="F38" s="742"/>
      <c r="H38" s="742"/>
      <c r="I38" s="742"/>
      <c r="J38" s="742"/>
      <c r="K38" s="742"/>
      <c r="M38" s="742"/>
      <c r="N38" s="742"/>
      <c r="O38" s="742"/>
      <c r="P38" s="742"/>
    </row>
    <row r="39" spans="2:16" ht="16.2" hidden="1" customHeight="1" outlineLevel="1">
      <c r="B39" s="754" t="s">
        <v>26</v>
      </c>
      <c r="C39" s="755"/>
      <c r="D39" s="755"/>
      <c r="E39" s="755"/>
      <c r="F39" s="756">
        <f>SUM(F28:F38)</f>
        <v>0</v>
      </c>
      <c r="H39" s="742"/>
      <c r="I39" s="742"/>
      <c r="J39" s="742"/>
      <c r="K39" s="742"/>
      <c r="M39" s="742"/>
      <c r="N39" s="742"/>
      <c r="O39" s="742"/>
      <c r="P39" s="742"/>
    </row>
    <row r="40" spans="2:16" hidden="1" outlineLevel="1">
      <c r="B40" s="743" t="s">
        <v>711</v>
      </c>
      <c r="C40" s="742"/>
      <c r="D40" s="742"/>
      <c r="E40" s="742"/>
      <c r="F40" s="742"/>
      <c r="H40" s="742"/>
      <c r="I40" s="742"/>
      <c r="J40" s="742"/>
      <c r="K40" s="742"/>
      <c r="M40" s="742"/>
      <c r="N40" s="742"/>
      <c r="O40" s="742"/>
      <c r="P40" s="742"/>
    </row>
    <row r="41" spans="2:16" hidden="1" outlineLevel="1">
      <c r="B41" s="743" t="s">
        <v>711</v>
      </c>
      <c r="C41" s="742"/>
      <c r="D41" s="742"/>
      <c r="E41" s="742"/>
      <c r="F41" s="742"/>
      <c r="H41" s="742"/>
      <c r="I41" s="742"/>
      <c r="J41" s="742"/>
      <c r="K41" s="742"/>
      <c r="M41" s="742"/>
      <c r="N41" s="742"/>
      <c r="O41" s="742"/>
      <c r="P41" s="742"/>
    </row>
    <row r="42" spans="2:16" hidden="1" outlineLevel="1">
      <c r="B42" s="743" t="s">
        <v>711</v>
      </c>
      <c r="C42" s="742"/>
      <c r="D42" s="742"/>
      <c r="E42" s="742"/>
      <c r="F42" s="742"/>
      <c r="H42" s="742"/>
      <c r="I42" s="742"/>
      <c r="J42" s="742"/>
      <c r="K42" s="742"/>
      <c r="M42" s="742"/>
      <c r="N42" s="742"/>
      <c r="O42" s="742"/>
      <c r="P42" s="742"/>
    </row>
    <row r="43" spans="2:16" hidden="1" outlineLevel="1">
      <c r="B43" s="743" t="s">
        <v>711</v>
      </c>
      <c r="C43" s="742"/>
      <c r="D43" s="742"/>
      <c r="E43" s="742"/>
      <c r="F43" s="742"/>
      <c r="H43" s="742"/>
      <c r="I43" s="742"/>
      <c r="J43" s="742"/>
      <c r="K43" s="742"/>
      <c r="M43" s="742"/>
      <c r="N43" s="742"/>
      <c r="O43" s="742"/>
      <c r="P43" s="742"/>
    </row>
    <row r="44" spans="2:16" hidden="1" outlineLevel="1">
      <c r="H44" s="742"/>
      <c r="I44" s="742"/>
      <c r="J44" s="742"/>
      <c r="K44" s="742"/>
      <c r="M44" s="742"/>
      <c r="N44" s="742"/>
      <c r="O44" s="742"/>
      <c r="P44" s="742"/>
    </row>
    <row r="45" spans="2:16" hidden="1" outlineLevel="1">
      <c r="H45" s="742"/>
      <c r="I45" s="742"/>
      <c r="J45" s="742"/>
      <c r="K45" s="742"/>
      <c r="M45" s="742"/>
      <c r="N45" s="742"/>
      <c r="O45" s="742"/>
      <c r="P45" s="742"/>
    </row>
    <row r="46" spans="2:16" hidden="1" outlineLevel="1">
      <c r="H46" s="742"/>
      <c r="I46" s="742"/>
      <c r="J46" s="742"/>
      <c r="K46" s="742"/>
      <c r="M46" s="742"/>
      <c r="N46" s="742"/>
      <c r="O46" s="742"/>
      <c r="P46" s="742"/>
    </row>
    <row r="47" spans="2:16" hidden="1" outlineLevel="1">
      <c r="H47" s="742"/>
      <c r="I47" s="742"/>
      <c r="J47" s="742"/>
      <c r="K47" s="742"/>
      <c r="M47" s="742"/>
      <c r="N47" s="742"/>
      <c r="O47" s="742"/>
      <c r="P47" s="742"/>
    </row>
    <row r="48" spans="2:16" hidden="1" outlineLevel="1">
      <c r="H48" s="742"/>
      <c r="I48" s="742"/>
      <c r="J48" s="742"/>
      <c r="K48" s="742"/>
      <c r="M48" s="742"/>
      <c r="N48" s="742"/>
      <c r="O48" s="742"/>
      <c r="P48" s="742"/>
    </row>
    <row r="49" spans="1:17" hidden="1" outlineLevel="1">
      <c r="H49" s="754" t="s">
        <v>26</v>
      </c>
      <c r="I49" s="755"/>
      <c r="J49" s="755"/>
      <c r="K49" s="751">
        <f>SUM(K27:K48)</f>
        <v>0</v>
      </c>
      <c r="M49" s="754" t="s">
        <v>26</v>
      </c>
      <c r="N49" s="755"/>
      <c r="O49" s="755"/>
      <c r="P49" s="752">
        <f>SUM(P27:P48)</f>
        <v>0</v>
      </c>
    </row>
    <row r="50" spans="1:17" hidden="1" outlineLevel="1"/>
    <row r="51" spans="1:17" hidden="1" outlineLevel="1">
      <c r="A51"/>
      <c r="B51"/>
      <c r="C51"/>
      <c r="D51"/>
      <c r="E51"/>
      <c r="F51"/>
      <c r="G51"/>
      <c r="H51"/>
      <c r="I51"/>
      <c r="J51"/>
      <c r="K51"/>
      <c r="L51"/>
      <c r="M51"/>
      <c r="N51"/>
      <c r="O51"/>
      <c r="P51"/>
      <c r="Q51"/>
    </row>
    <row r="52" spans="1:17" hidden="1" outlineLevel="1">
      <c r="A52"/>
      <c r="B52"/>
      <c r="C52"/>
      <c r="D52"/>
      <c r="E52"/>
      <c r="F52"/>
      <c r="G52"/>
      <c r="H52"/>
      <c r="I52"/>
      <c r="J52"/>
      <c r="K52"/>
      <c r="L52"/>
      <c r="M52"/>
      <c r="N52"/>
      <c r="O52"/>
      <c r="P52"/>
      <c r="Q52"/>
    </row>
    <row r="53" spans="1:17" hidden="1" outlineLevel="1">
      <c r="A53"/>
      <c r="B53"/>
      <c r="C53"/>
      <c r="D53"/>
      <c r="E53"/>
      <c r="F53"/>
      <c r="G53"/>
      <c r="H53"/>
      <c r="I53"/>
      <c r="J53"/>
      <c r="K53"/>
      <c r="L53"/>
      <c r="M53"/>
      <c r="N53"/>
      <c r="O53"/>
      <c r="P53"/>
      <c r="Q53"/>
    </row>
    <row r="54" spans="1:17" hidden="1" outlineLevel="1">
      <c r="A54"/>
      <c r="B54"/>
      <c r="C54"/>
      <c r="D54"/>
      <c r="E54"/>
      <c r="F54"/>
      <c r="G54"/>
      <c r="H54"/>
      <c r="I54"/>
      <c r="J54"/>
      <c r="K54"/>
      <c r="L54"/>
      <c r="M54"/>
      <c r="N54"/>
      <c r="O54"/>
      <c r="P54"/>
      <c r="Q54"/>
    </row>
    <row r="55" spans="1:17" collapsed="1"/>
    <row r="57" spans="1:17" ht="43.2">
      <c r="B57"/>
      <c r="C57" s="818" t="s">
        <v>764</v>
      </c>
      <c r="D57" s="818" t="s">
        <v>769</v>
      </c>
      <c r="E57" s="818" t="s">
        <v>765</v>
      </c>
      <c r="F57" s="818" t="s">
        <v>766</v>
      </c>
      <c r="G57" s="818" t="s">
        <v>767</v>
      </c>
    </row>
    <row r="58" spans="1:17">
      <c r="B58">
        <v>2015</v>
      </c>
      <c r="C58" s="819">
        <v>10721.240673886883</v>
      </c>
      <c r="D58" s="819">
        <v>10721</v>
      </c>
      <c r="E58" s="819">
        <f>D58-C58</f>
        <v>-0.24067388688308711</v>
      </c>
      <c r="F58" s="46">
        <v>18.104199999999999</v>
      </c>
      <c r="G58" s="819">
        <f>F58*E58</f>
        <v>-4.357208182908785</v>
      </c>
    </row>
    <row r="59" spans="1:17">
      <c r="B59">
        <v>2016</v>
      </c>
      <c r="C59" s="819">
        <v>10721.240673886883</v>
      </c>
      <c r="D59" s="819">
        <v>10721</v>
      </c>
      <c r="E59" s="819">
        <f t="shared" ref="E59:E63" si="0">D59-C59</f>
        <v>-0.24067388688308711</v>
      </c>
      <c r="F59" s="46">
        <v>28.259</v>
      </c>
      <c r="G59" s="819">
        <f t="shared" ref="G59:G63" si="1">F59*E59</f>
        <v>-6.8012033694291585</v>
      </c>
    </row>
    <row r="60" spans="1:17">
      <c r="B60">
        <v>2017</v>
      </c>
      <c r="C60" s="819">
        <v>10721.240673886883</v>
      </c>
      <c r="D60" s="819">
        <v>10721</v>
      </c>
      <c r="E60" s="819">
        <f t="shared" si="0"/>
        <v>-0.24067388688308711</v>
      </c>
      <c r="F60" s="46">
        <v>29.666399999999999</v>
      </c>
      <c r="G60" s="819">
        <f t="shared" si="1"/>
        <v>-7.139927797828415</v>
      </c>
    </row>
    <row r="61" spans="1:17">
      <c r="B61">
        <v>2018</v>
      </c>
      <c r="C61" s="819">
        <v>10721.240673886883</v>
      </c>
      <c r="D61" s="819"/>
      <c r="E61" s="819">
        <f t="shared" si="0"/>
        <v>-10721.240673886883</v>
      </c>
      <c r="F61" s="46"/>
      <c r="G61" s="819">
        <f t="shared" si="1"/>
        <v>0</v>
      </c>
    </row>
    <row r="62" spans="1:17">
      <c r="B62">
        <v>2019</v>
      </c>
      <c r="C62" s="819">
        <v>10721.240673886883</v>
      </c>
      <c r="D62" s="819"/>
      <c r="E62" s="819">
        <f t="shared" si="0"/>
        <v>-10721.240673886883</v>
      </c>
      <c r="F62"/>
      <c r="G62" s="819">
        <f t="shared" si="1"/>
        <v>0</v>
      </c>
    </row>
    <row r="63" spans="1:17" ht="23.4" customHeight="1">
      <c r="B63">
        <v>2020</v>
      </c>
      <c r="C63" s="819">
        <v>10721.240673886883</v>
      </c>
      <c r="D63" s="819"/>
      <c r="E63" s="819">
        <f t="shared" si="0"/>
        <v>-10721.240673886883</v>
      </c>
      <c r="F63"/>
      <c r="G63" s="819">
        <f t="shared" si="1"/>
        <v>0</v>
      </c>
    </row>
    <row r="64" spans="1:17" ht="15" thickBot="1">
      <c r="B64"/>
      <c r="C64"/>
      <c r="D64"/>
      <c r="E64"/>
      <c r="F64"/>
      <c r="G64" s="820">
        <f>SUM(G58:G63)</f>
        <v>-18.298339350166358</v>
      </c>
    </row>
    <row r="65" ht="15" thickTop="1"/>
    <row r="67" ht="39" customHeight="1"/>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Margaret Boland</cp:lastModifiedBy>
  <cp:lastPrinted>2019-07-30T17:19:57Z</cp:lastPrinted>
  <dcterms:created xsi:type="dcterms:W3CDTF">2012-03-05T18:56:04Z</dcterms:created>
  <dcterms:modified xsi:type="dcterms:W3CDTF">2019-08-13T14:03:22Z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