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19 Notes\API COS Notes\IRR Notes\"/>
    </mc:Choice>
  </mc:AlternateContent>
  <xr:revisionPtr revIDLastSave="0" documentId="13_ncr:1_{A44FB121-EB84-40A0-9534-9E0CFEC65990}" xr6:coauthVersionLast="36" xr6:coauthVersionMax="36" xr10:uidLastSave="{00000000-0000-0000-0000-000000000000}"/>
  <bookViews>
    <workbookView xWindow="0" yWindow="0" windowWidth="28800" windowHeight="13425" xr2:uid="{8207FD66-B913-4810-B760-569D2FBAA2DF}"/>
  </bookViews>
  <sheets>
    <sheet name="2017 to 2019 DLI Costs" sheetId="2" r:id="rId1"/>
    <sheet name="Interest Calculations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2" l="1"/>
  <c r="J45" i="2"/>
  <c r="I45" i="2"/>
  <c r="H45" i="2"/>
  <c r="D45" i="2"/>
  <c r="I42" i="2" l="1"/>
  <c r="I43" i="2" s="1"/>
  <c r="I38" i="2"/>
  <c r="I40" i="2" s="1"/>
  <c r="J43" i="2"/>
  <c r="H43" i="2"/>
  <c r="K43" i="2" s="1"/>
  <c r="K42" i="2"/>
  <c r="K40" i="2"/>
  <c r="K39" i="2"/>
  <c r="K38" i="2"/>
  <c r="I31" i="2"/>
  <c r="I29" i="2"/>
  <c r="I28" i="2"/>
  <c r="I24" i="2"/>
  <c r="I22" i="2"/>
  <c r="I14" i="2"/>
  <c r="I21" i="2"/>
  <c r="I10" i="2"/>
  <c r="J42" i="2"/>
  <c r="D43" i="2"/>
  <c r="V5" i="3"/>
  <c r="M5" i="3"/>
  <c r="E7" i="3"/>
  <c r="B7" i="3"/>
  <c r="Z5" i="3"/>
  <c r="Q5" i="3"/>
  <c r="Z4" i="3"/>
  <c r="Q4" i="3"/>
  <c r="H4" i="3"/>
  <c r="Z3" i="3"/>
  <c r="Q3" i="3"/>
  <c r="H3" i="3"/>
  <c r="H5" i="3" s="1"/>
  <c r="G3" i="3"/>
  <c r="G4" i="3" s="1"/>
  <c r="K32" i="2"/>
  <c r="J32" i="2"/>
  <c r="H32" i="2"/>
  <c r="D32" i="2"/>
  <c r="Q30" i="2"/>
  <c r="R30" i="2" s="1"/>
  <c r="N30" i="2"/>
  <c r="O30" i="2" s="1"/>
  <c r="P28" i="2"/>
  <c r="P31" i="2" s="1"/>
  <c r="M28" i="2"/>
  <c r="M31" i="2" s="1"/>
  <c r="J23" i="2"/>
  <c r="Q28" i="2" s="1"/>
  <c r="H23" i="2"/>
  <c r="N23" i="2" s="1"/>
  <c r="O23" i="2" s="1"/>
  <c r="G23" i="2"/>
  <c r="G28" i="2" s="1"/>
  <c r="F23" i="2"/>
  <c r="F28" i="2" s="1"/>
  <c r="E23" i="2"/>
  <c r="E28" i="2" s="1"/>
  <c r="D23" i="2"/>
  <c r="D28" i="2" s="1"/>
  <c r="C3" i="3" s="1"/>
  <c r="D3" i="3" s="1"/>
  <c r="P21" i="2"/>
  <c r="Q20" i="2"/>
  <c r="R20" i="2" s="1"/>
  <c r="N20" i="2"/>
  <c r="M20" i="2"/>
  <c r="Q19" i="2"/>
  <c r="R19" i="2" s="1"/>
  <c r="M19" i="2"/>
  <c r="N19" i="2"/>
  <c r="Q18" i="2"/>
  <c r="R18" i="2" s="1"/>
  <c r="N18" i="2"/>
  <c r="M18" i="2"/>
  <c r="Q17" i="2"/>
  <c r="R17" i="2" s="1"/>
  <c r="M17" i="2"/>
  <c r="N17" i="2"/>
  <c r="Q16" i="2"/>
  <c r="R16" i="2" s="1"/>
  <c r="N16" i="2"/>
  <c r="M16" i="2"/>
  <c r="Q15" i="2"/>
  <c r="M15" i="2"/>
  <c r="J21" i="2"/>
  <c r="H21" i="2"/>
  <c r="G21" i="2"/>
  <c r="G29" i="2" s="1"/>
  <c r="F21" i="2"/>
  <c r="F29" i="2" s="1"/>
  <c r="E21" i="2"/>
  <c r="E29" i="2" s="1"/>
  <c r="D21" i="2"/>
  <c r="P14" i="2"/>
  <c r="Q13" i="2"/>
  <c r="R13" i="2" s="1"/>
  <c r="N13" i="2"/>
  <c r="M13" i="2"/>
  <c r="K13" i="2"/>
  <c r="M12" i="2"/>
  <c r="K12" i="2"/>
  <c r="Q12" i="2"/>
  <c r="R12" i="2" s="1"/>
  <c r="N12" i="2"/>
  <c r="Q11" i="2"/>
  <c r="R11" i="2" s="1"/>
  <c r="J14" i="2"/>
  <c r="H14" i="2"/>
  <c r="G14" i="2"/>
  <c r="F14" i="2"/>
  <c r="E14" i="2"/>
  <c r="K11" i="2"/>
  <c r="P10" i="2"/>
  <c r="M9" i="2"/>
  <c r="K9" i="2"/>
  <c r="Q9" i="2"/>
  <c r="R9" i="2" s="1"/>
  <c r="N9" i="2"/>
  <c r="O9" i="2" s="1"/>
  <c r="Q8" i="2"/>
  <c r="R8" i="2" s="1"/>
  <c r="N8" i="2"/>
  <c r="M8" i="2"/>
  <c r="K8" i="2"/>
  <c r="M7" i="2"/>
  <c r="K7" i="2"/>
  <c r="Q7" i="2"/>
  <c r="R7" i="2" s="1"/>
  <c r="N7" i="2"/>
  <c r="O7" i="2" s="1"/>
  <c r="Q6" i="2"/>
  <c r="R6" i="2" s="1"/>
  <c r="N6" i="2"/>
  <c r="M6" i="2"/>
  <c r="K6" i="2"/>
  <c r="M5" i="2"/>
  <c r="K5" i="2"/>
  <c r="Q5" i="2"/>
  <c r="R5" i="2" s="1"/>
  <c r="N5" i="2"/>
  <c r="Q4" i="2"/>
  <c r="R4" i="2" s="1"/>
  <c r="N4" i="2"/>
  <c r="M4" i="2"/>
  <c r="F10" i="2"/>
  <c r="K4" i="2"/>
  <c r="M3" i="2"/>
  <c r="K3" i="2"/>
  <c r="Q3" i="2"/>
  <c r="H10" i="2"/>
  <c r="E10" i="2"/>
  <c r="D10" i="2"/>
  <c r="O6" i="2" l="1"/>
  <c r="P22" i="2"/>
  <c r="P24" i="2" s="1"/>
  <c r="O17" i="2"/>
  <c r="F31" i="2"/>
  <c r="D39" i="2"/>
  <c r="M10" i="2"/>
  <c r="G31" i="2"/>
  <c r="O16" i="2"/>
  <c r="Q23" i="2"/>
  <c r="R23" i="2" s="1"/>
  <c r="F3" i="3"/>
  <c r="L3" i="3"/>
  <c r="G5" i="3"/>
  <c r="O20" i="2"/>
  <c r="O18" i="2"/>
  <c r="Q21" i="2"/>
  <c r="O19" i="2"/>
  <c r="O12" i="2"/>
  <c r="O4" i="2"/>
  <c r="O8" i="2"/>
  <c r="O5" i="2"/>
  <c r="D30" i="2"/>
  <c r="Q14" i="2"/>
  <c r="O13" i="2"/>
  <c r="H29" i="2"/>
  <c r="R28" i="2"/>
  <c r="R3" i="2"/>
  <c r="R10" i="2" s="1"/>
  <c r="Q10" i="2"/>
  <c r="E22" i="2"/>
  <c r="E24" i="2" s="1"/>
  <c r="R14" i="2"/>
  <c r="J29" i="2"/>
  <c r="F22" i="2"/>
  <c r="F24" i="2" s="1"/>
  <c r="M21" i="2"/>
  <c r="H22" i="2"/>
  <c r="K21" i="2"/>
  <c r="D29" i="2"/>
  <c r="E31" i="2"/>
  <c r="N3" i="2"/>
  <c r="D14" i="2"/>
  <c r="N15" i="2"/>
  <c r="N28" i="2"/>
  <c r="J10" i="2"/>
  <c r="K10" i="2" s="1"/>
  <c r="H28" i="2"/>
  <c r="H42" i="2" s="1"/>
  <c r="G10" i="2"/>
  <c r="G22" i="2" s="1"/>
  <c r="G24" i="2" s="1"/>
  <c r="J28" i="2"/>
  <c r="V3" i="3" s="1"/>
  <c r="M11" i="2"/>
  <c r="M14" i="2" s="1"/>
  <c r="R15" i="2"/>
  <c r="R21" i="2" s="1"/>
  <c r="K23" i="2"/>
  <c r="N11" i="2"/>
  <c r="K30" i="2" l="1"/>
  <c r="C5" i="3"/>
  <c r="D5" i="3" s="1"/>
  <c r="D31" i="2"/>
  <c r="C4" i="3"/>
  <c r="N29" i="2"/>
  <c r="O29" i="2" s="1"/>
  <c r="M4" i="3"/>
  <c r="Q29" i="2"/>
  <c r="V4" i="3"/>
  <c r="V7" i="3" s="1"/>
  <c r="H24" i="2"/>
  <c r="H38" i="2"/>
  <c r="H40" i="2" s="1"/>
  <c r="H31" i="2"/>
  <c r="M3" i="3"/>
  <c r="I3" i="3"/>
  <c r="M22" i="2"/>
  <c r="M24" i="2" s="1"/>
  <c r="Q22" i="2"/>
  <c r="Q24" i="2" s="1"/>
  <c r="J22" i="2"/>
  <c r="O11" i="2"/>
  <c r="O14" i="2" s="1"/>
  <c r="N14" i="2"/>
  <c r="N21" i="2"/>
  <c r="O15" i="2"/>
  <c r="O21" i="2" s="1"/>
  <c r="K14" i="2"/>
  <c r="K22" i="2" s="1"/>
  <c r="K24" i="2" s="1"/>
  <c r="K28" i="2"/>
  <c r="O28" i="2"/>
  <c r="O3" i="2"/>
  <c r="O10" i="2" s="1"/>
  <c r="N10" i="2"/>
  <c r="D22" i="2"/>
  <c r="J31" i="2"/>
  <c r="R22" i="2"/>
  <c r="R24" i="2" s="1"/>
  <c r="K29" i="2"/>
  <c r="D4" i="3" l="1"/>
  <c r="C7" i="3"/>
  <c r="C9" i="3" s="1"/>
  <c r="N22" i="2"/>
  <c r="N24" i="2" s="1"/>
  <c r="F5" i="3"/>
  <c r="I5" i="3" s="1"/>
  <c r="J5" i="3" s="1"/>
  <c r="O5" i="3" s="1"/>
  <c r="L5" i="3"/>
  <c r="N5" i="3" s="1"/>
  <c r="U5" i="3" s="1"/>
  <c r="W5" i="3" s="1"/>
  <c r="Y5" i="3" s="1"/>
  <c r="AA5" i="3" s="1"/>
  <c r="M7" i="3"/>
  <c r="N3" i="3"/>
  <c r="P3" i="3" s="1"/>
  <c r="D24" i="2"/>
  <c r="D38" i="2"/>
  <c r="D40" i="2" s="1"/>
  <c r="O31" i="2"/>
  <c r="N31" i="2"/>
  <c r="R29" i="2"/>
  <c r="R31" i="2" s="1"/>
  <c r="Q31" i="2"/>
  <c r="J24" i="2"/>
  <c r="J38" i="2"/>
  <c r="J40" i="2" s="1"/>
  <c r="M9" i="3"/>
  <c r="K31" i="2"/>
  <c r="K34" i="2" s="1"/>
  <c r="V9" i="3"/>
  <c r="P5" i="3"/>
  <c r="R5" i="3" s="1"/>
  <c r="J3" i="3"/>
  <c r="O22" i="2"/>
  <c r="O24" i="2" s="1"/>
  <c r="S5" i="3" l="1"/>
  <c r="X5" i="3" s="1"/>
  <c r="AB5" i="3" s="1"/>
  <c r="U3" i="3"/>
  <c r="W3" i="3" s="1"/>
  <c r="F4" i="3"/>
  <c r="L4" i="3"/>
  <c r="D7" i="3"/>
  <c r="D9" i="3" s="1"/>
  <c r="O3" i="3"/>
  <c r="R3" i="3"/>
  <c r="I4" i="3" l="1"/>
  <c r="F7" i="3"/>
  <c r="F9" i="3" s="1"/>
  <c r="L7" i="3"/>
  <c r="L9" i="3" s="1"/>
  <c r="N4" i="3"/>
  <c r="Y3" i="3"/>
  <c r="S3" i="3"/>
  <c r="U4" i="3" l="1"/>
  <c r="N7" i="3"/>
  <c r="N9" i="3" s="1"/>
  <c r="P4" i="3"/>
  <c r="J4" i="3"/>
  <c r="I7" i="3"/>
  <c r="X3" i="3"/>
  <c r="AA3" i="3"/>
  <c r="O4" i="3" l="1"/>
  <c r="O7" i="3" s="1"/>
  <c r="J7" i="3"/>
  <c r="J9" i="3" s="1"/>
  <c r="R4" i="3"/>
  <c r="P7" i="3"/>
  <c r="P9" i="3" s="1"/>
  <c r="W4" i="3"/>
  <c r="U7" i="3"/>
  <c r="U9" i="3" s="1"/>
  <c r="AB3" i="3"/>
  <c r="Y4" i="3" l="1"/>
  <c r="W7" i="3"/>
  <c r="W9" i="3" s="1"/>
  <c r="S4" i="3"/>
  <c r="R7" i="3"/>
  <c r="R9" i="3" s="1"/>
  <c r="O9" i="3"/>
  <c r="X4" i="3" l="1"/>
  <c r="X7" i="3" s="1"/>
  <c r="S7" i="3"/>
  <c r="S9" i="3" s="1"/>
  <c r="AA4" i="3"/>
  <c r="Y7" i="3"/>
  <c r="Y9" i="3" s="1"/>
  <c r="AB4" i="3" l="1"/>
  <c r="AB7" i="3" s="1"/>
  <c r="AA7" i="3"/>
  <c r="AA9" i="3" s="1"/>
  <c r="X9" i="3"/>
  <c r="AB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Beharriell, Greg</author>
  </authors>
  <commentList>
    <comment ref="H29" authorId="0" shapeId="0" xr:uid="{1780ED60-0F88-4C07-97BD-878C5EE7BC7A}">
      <text>
        <r>
          <rPr>
            <b/>
            <sz val="9"/>
            <color indexed="81"/>
            <rFont val="Tahoma"/>
            <family val="2"/>
          </rPr>
          <t>Beharriell, Greg:</t>
        </r>
        <r>
          <rPr>
            <sz val="9"/>
            <color indexed="81"/>
            <rFont val="Tahoma"/>
            <family val="2"/>
          </rPr>
          <t xml:space="preserve">
Note - error in Table in Exh F-3-2 of MAAD - $71,307 entered based on 2018 YTD instead of whole-year forecast of $168,761</t>
        </r>
      </text>
    </comment>
    <comment ref="M29" authorId="0" shapeId="0" xr:uid="{77D54A19-6BF4-4367-A75F-E88A4E1A325A}">
      <text>
        <r>
          <rPr>
            <b/>
            <sz val="9"/>
            <color indexed="81"/>
            <rFont val="Tahoma"/>
            <family val="2"/>
          </rPr>
          <t>Beharriell, Greg:</t>
        </r>
        <r>
          <rPr>
            <sz val="9"/>
            <color indexed="81"/>
            <rFont val="Tahoma"/>
            <family val="2"/>
          </rPr>
          <t xml:space="preserve">
Reference error in MAAD spreadsheet - should have been $168,761</t>
        </r>
      </text>
    </comment>
    <comment ref="P29" authorId="0" shapeId="0" xr:uid="{72FCC331-0CB1-4039-817B-568141F744C6}">
      <text>
        <r>
          <rPr>
            <b/>
            <sz val="9"/>
            <color indexed="81"/>
            <rFont val="Tahoma"/>
            <family val="2"/>
          </rPr>
          <t>Beharriell, Greg:</t>
        </r>
        <r>
          <rPr>
            <sz val="9"/>
            <color indexed="81"/>
            <rFont val="Tahoma"/>
            <family val="2"/>
          </rPr>
          <t xml:space="preserve">
Reference error in MAAD spreadsheet - should have been $80,000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Beharriell, Greg</author>
  </authors>
  <commentList>
    <comment ref="B26" authorId="0" shapeId="0" xr:uid="{C3A93A2F-9639-4C86-A409-4E0B09509BC2}">
      <text>
        <r>
          <rPr>
            <b/>
            <sz val="9"/>
            <color indexed="81"/>
            <rFont val="Tahoma"/>
            <family val="2"/>
          </rPr>
          <t>Beharriell, Greg:</t>
        </r>
        <r>
          <rPr>
            <sz val="9"/>
            <color indexed="81"/>
            <rFont val="Tahoma"/>
            <family val="2"/>
          </rPr>
          <t xml:space="preserve">
Placeholder</t>
        </r>
      </text>
    </comment>
  </commentList>
</comments>
</file>

<file path=xl/sharedStrings.xml><?xml version="1.0" encoding="utf-8"?>
<sst xmlns="http://schemas.openxmlformats.org/spreadsheetml/2006/main" count="117" uniqueCount="78">
  <si>
    <t>Nature of Costs</t>
  </si>
  <si>
    <t>Description</t>
  </si>
  <si>
    <t>2018 YTD 
(Jan-Jun)</t>
  </si>
  <si>
    <t>2018 Forecast (Jul-Dec)</t>
  </si>
  <si>
    <t>2018 Forecast</t>
  </si>
  <si>
    <t>2018 Actual</t>
  </si>
  <si>
    <t>2019 Forecast</t>
  </si>
  <si>
    <t>Total 2017-2019</t>
  </si>
  <si>
    <t>2018 MAAD Forecast</t>
  </si>
  <si>
    <t>Variance</t>
  </si>
  <si>
    <t>2019 MAAD Forecast</t>
  </si>
  <si>
    <t>2019 Revised Forecast</t>
  </si>
  <si>
    <t>OM&amp;A, Cost of Power, Billed Revenue</t>
  </si>
  <si>
    <t>Outage and Emergency Response (Includes Locates)</t>
  </si>
  <si>
    <t>Meter Reading</t>
  </si>
  <si>
    <t>Customer Service and Community Relations</t>
  </si>
  <si>
    <t>Billing &amp; Collections</t>
  </si>
  <si>
    <t>Supervisory and Administrative Support</t>
  </si>
  <si>
    <t>Cyclical Maintenance</t>
  </si>
  <si>
    <t>Cost of Power and Billed Revenue Tracking</t>
  </si>
  <si>
    <t>Sub-Total OM&amp;A, Cost of Power, Billed Revenue</t>
  </si>
  <si>
    <t>Capital</t>
  </si>
  <si>
    <t>Distribution Line Capital (Including Bypass Project)</t>
  </si>
  <si>
    <t>Metering Replacements</t>
  </si>
  <si>
    <t>Substation and Underground Capital</t>
  </si>
  <si>
    <t>Sub-Total Capital</t>
  </si>
  <si>
    <t>One-Time</t>
  </si>
  <si>
    <t>Transfer of Control and Process Development</t>
  </si>
  <si>
    <t>Condition Assessments, Audits, and Reporting</t>
  </si>
  <si>
    <t>Safety, Environmental and Regulatory Compliance</t>
  </si>
  <si>
    <t>Substation #1 Decommissioning</t>
  </si>
  <si>
    <t>Substation #2 Transformer Contingency</t>
  </si>
  <si>
    <t>Oil Sampling for PCB Testing</t>
  </si>
  <si>
    <t>Sub-Total One-Time Costs</t>
  </si>
  <si>
    <t>Total (Excl Transaction Costs)</t>
  </si>
  <si>
    <t>Transaction Costs</t>
  </si>
  <si>
    <t>Total Cost</t>
  </si>
  <si>
    <t>Transfer of One-Time Costs from Deferral Account</t>
  </si>
  <si>
    <t>Transfer of 50% of 2017 OM&amp;A from Deferral Account</t>
  </si>
  <si>
    <t>Interest on Above Costs</t>
  </si>
  <si>
    <t>YTD/Forecast Info from MAAD Appl</t>
  </si>
  <si>
    <t>Cost Category</t>
  </si>
  <si>
    <t>Opening Principal</t>
  </si>
  <si>
    <t>Transactions</t>
  </si>
  <si>
    <t>Closing Pricipal</t>
  </si>
  <si>
    <t>Opening Interest</t>
  </si>
  <si>
    <t>Average Principal</t>
  </si>
  <si>
    <t>Average Interest Rate</t>
  </si>
  <si>
    <t>Partial Year Adj Factor</t>
  </si>
  <si>
    <t>Interest to Dec 31, 2017</t>
  </si>
  <si>
    <t>Closing Interest</t>
  </si>
  <si>
    <t>One-Time Costs</t>
  </si>
  <si>
    <t>50% of 2017 OM&amp;A (Incl Revenue Offset)</t>
  </si>
  <si>
    <t>Total</t>
  </si>
  <si>
    <t>Check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</si>
  <si>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</si>
  <si>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</si>
  <si>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</si>
  <si>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</si>
  <si>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</si>
  <si>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</si>
  <si>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</si>
  <si>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</si>
  <si>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</si>
  <si>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</si>
  <si>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</si>
  <si>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Total Recorded in ILDA</t>
  </si>
  <si>
    <t>Total Recorded in TICDA</t>
  </si>
  <si>
    <t>Total for Recovery through One-Time Costs</t>
  </si>
  <si>
    <t>Total OM&amp;A, Capital, One-Time</t>
  </si>
  <si>
    <t>2019 YTD
(Jan-Jun)</t>
  </si>
  <si>
    <t>2017 Actual
(Audited)</t>
  </si>
  <si>
    <t>2018 Actual
(Audited)</t>
  </si>
  <si>
    <t>Total Proposed for Recovery through One-Time Costs:</t>
  </si>
  <si>
    <t>Transaction costs post-Septermber 24, 2018</t>
  </si>
  <si>
    <t>Transaction costs pre-September 24, 2018</t>
  </si>
  <si>
    <t>NOTE - Proposed treatment at time of MAAD application differs from OEB approval.  Values in other columns reflect costs recorded in accordance with OEB decision.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</si>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</sst>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5" fontId="0" fillId="0" borderId="1" xfId="2" applyNumberFormat="1" applyFont="1" applyBorder="1"/>
    <xf numFmtId="165" fontId="0" fillId="0" borderId="1" xfId="0" applyNumberFormat="1" applyBorder="1"/>
    <xf numFmtId="41" fontId="0" fillId="0" borderId="1" xfId="2" applyNumberFormat="1" applyFont="1" applyBorder="1"/>
    <xf numFmtId="0" fontId="0" fillId="0" borderId="0" xfId="0" applyFill="1" applyBorder="1"/>
    <xf numFmtId="165" fontId="0" fillId="0" borderId="0" xfId="0" applyNumberFormat="1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165" fontId="0" fillId="0" borderId="1" xfId="2" applyNumberFormat="1" applyFont="1" applyFill="1" applyBorder="1"/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/>
    <xf numFmtId="41" fontId="2" fillId="0" borderId="1" xfId="2" applyNumberFormat="1" applyFont="1" applyBorder="1"/>
    <xf numFmtId="165" fontId="2" fillId="0" borderId="1" xfId="2" applyNumberFormat="1" applyFont="1" applyBorder="1"/>
    <xf numFmtId="165" fontId="2" fillId="0" borderId="1" xfId="2" applyNumberFormat="1" applyFont="1" applyFill="1" applyBorder="1"/>
    <xf numFmtId="41" fontId="2" fillId="0" borderId="1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0" fontId="2" fillId="0" borderId="1" xfId="0" applyFont="1" applyFill="1" applyBorder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5" fontId="4" fillId="2" borderId="1" xfId="2" applyNumberFormat="1" applyFont="1" applyFill="1" applyBorder="1"/>
    <xf numFmtId="165" fontId="0" fillId="2" borderId="1" xfId="2" applyNumberFormat="1" applyFont="1" applyFill="1" applyBorder="1"/>
    <xf numFmtId="165" fontId="4" fillId="2" borderId="2" xfId="2" applyNumberFormat="1" applyFont="1" applyFill="1" applyBorder="1"/>
    <xf numFmtId="165" fontId="0" fillId="2" borderId="2" xfId="2" applyNumberFormat="1" applyFont="1" applyFill="1" applyBorder="1"/>
    <xf numFmtId="165" fontId="3" fillId="2" borderId="1" xfId="0" applyNumberFormat="1" applyFont="1" applyFill="1" applyBorder="1"/>
    <xf numFmtId="165" fontId="2" fillId="2" borderId="1" xfId="0" applyNumberFormat="1" applyFont="1" applyFill="1" applyBorder="1"/>
    <xf numFmtId="165" fontId="2" fillId="2" borderId="1" xfId="2" applyNumberFormat="1" applyFont="1" applyFill="1" applyBorder="1"/>
    <xf numFmtId="0" fontId="0" fillId="2" borderId="0" xfId="0" applyFill="1" applyBorder="1"/>
    <xf numFmtId="0" fontId="0" fillId="2" borderId="0" xfId="0" applyFill="1"/>
    <xf numFmtId="16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2" applyNumberFormat="1" applyFont="1"/>
    <xf numFmtId="10" fontId="0" fillId="0" borderId="0" xfId="1" applyNumberFormat="1" applyFont="1"/>
    <xf numFmtId="164" fontId="0" fillId="0" borderId="0" xfId="2" applyNumberFormat="1" applyFont="1"/>
    <xf numFmtId="10" fontId="0" fillId="0" borderId="0" xfId="0" applyNumberFormat="1"/>
    <xf numFmtId="43" fontId="0" fillId="0" borderId="0" xfId="0" applyNumberFormat="1"/>
    <xf numFmtId="165" fontId="2" fillId="3" borderId="0" xfId="0" applyNumberFormat="1" applyFont="1" applyFill="1"/>
    <xf numFmtId="165" fontId="0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0" fontId="0" fillId="4" borderId="1" xfId="0" applyFill="1" applyBorder="1"/>
    <xf numFmtId="165" fontId="0" fillId="4" borderId="1" xfId="2" applyNumberFormat="1" applyFont="1" applyFill="1" applyBorder="1"/>
    <xf numFmtId="0" fontId="0" fillId="4" borderId="2" xfId="0" applyFill="1" applyBorder="1"/>
    <xf numFmtId="165" fontId="0" fillId="4" borderId="2" xfId="2" applyNumberFormat="1" applyFont="1" applyFill="1" applyBorder="1"/>
    <xf numFmtId="41" fontId="0" fillId="4" borderId="1" xfId="2" applyNumberFormat="1" applyFont="1" applyFill="1" applyBorder="1"/>
    <xf numFmtId="41" fontId="0" fillId="4" borderId="2" xfId="2" applyNumberFormat="1" applyFont="1" applyFill="1" applyBorder="1"/>
    <xf numFmtId="165" fontId="0" fillId="2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/>
  </cellXfs>
  <cellStyles count="3">
    <cellStyle name="Comma 2" xfId="2" xr:uid="{BD429478-FF46-4C8A-BA77-678044FCE7D1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CTIVE%20APPLICATIONS\API_2020_COS\DLI%20Cost%20Update\DLI%20Cost%20Summary%202017-2019%20-%20Updated%20for%20COS(IRR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to 2019 Costs - Detail"/>
      <sheetName val="2017 to 2019 Costs - Summary"/>
      <sheetName val="Interest Calcs"/>
      <sheetName val="2017 to 2019 - Capex Accts"/>
      <sheetName val="Smart Meter Cost Check"/>
      <sheetName val="2019 Revenue Forecast"/>
      <sheetName val="SAP Output"/>
    </sheetNames>
    <sheetDataSet>
      <sheetData sheetId="0">
        <row r="13">
          <cell r="E13">
            <v>53674.1</v>
          </cell>
          <cell r="F13">
            <v>30000</v>
          </cell>
          <cell r="G13">
            <v>83674.100000000006</v>
          </cell>
          <cell r="H13">
            <v>89793.56</v>
          </cell>
          <cell r="I13">
            <v>80000</v>
          </cell>
        </row>
      </sheetData>
      <sheetData sheetId="1"/>
      <sheetData sheetId="2">
        <row r="7">
          <cell r="I7">
            <v>880.04029277777772</v>
          </cell>
          <cell r="R7">
            <v>6268.634781875</v>
          </cell>
          <cell r="AA7">
            <v>11887.109758499999</v>
          </cell>
          <cell r="AB7">
            <v>19035.784833152775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31E00-D054-4974-8430-0B2EF3369A40}">
  <dimension ref="B1:R45"/>
  <sheetViews>
    <sheetView showGridLines="0" tabSelected="1" topLeftCell="A16" workbookViewId="0">
      <selection activeCell="I46" sqref="I46"/>
    </sheetView>
  </sheetViews>
  <sheetFormatPr defaultRowHeight="15" x14ac:dyDescent="0.25"/>
  <cols>
    <col min="2" max="2" width="16.140625" customWidth="1"/>
    <col min="3" max="3" width="47.85546875" bestFit="1" customWidth="1"/>
    <col min="4" max="10" width="13.7109375" customWidth="1"/>
    <col min="11" max="11" width="12.28515625" customWidth="1"/>
    <col min="12" max="12" width="14.42578125" customWidth="1"/>
    <col min="13" max="18" width="12.7109375" customWidth="1"/>
  </cols>
  <sheetData>
    <row r="1" spans="2:18" x14ac:dyDescent="0.25">
      <c r="E1" s="60" t="s">
        <v>40</v>
      </c>
      <c r="F1" s="60"/>
      <c r="G1" s="60"/>
      <c r="L1" s="41"/>
    </row>
    <row r="2" spans="2:18" ht="30" x14ac:dyDescent="0.25">
      <c r="B2" s="2" t="s">
        <v>0</v>
      </c>
      <c r="C2" s="3" t="s">
        <v>1</v>
      </c>
      <c r="D2" s="4" t="s">
        <v>71</v>
      </c>
      <c r="E2" s="29" t="s">
        <v>2</v>
      </c>
      <c r="F2" s="29" t="s">
        <v>3</v>
      </c>
      <c r="G2" s="30" t="s">
        <v>4</v>
      </c>
      <c r="H2" s="4" t="s">
        <v>72</v>
      </c>
      <c r="I2" s="30" t="s">
        <v>70</v>
      </c>
      <c r="J2" s="4" t="s">
        <v>6</v>
      </c>
      <c r="K2" s="5" t="s">
        <v>7</v>
      </c>
      <c r="M2" s="6" t="s">
        <v>8</v>
      </c>
      <c r="N2" s="4" t="s">
        <v>72</v>
      </c>
      <c r="O2" s="6" t="s">
        <v>9</v>
      </c>
      <c r="P2" s="6" t="s">
        <v>10</v>
      </c>
      <c r="Q2" s="6" t="s">
        <v>11</v>
      </c>
      <c r="R2" s="6" t="s">
        <v>9</v>
      </c>
    </row>
    <row r="3" spans="2:18" x14ac:dyDescent="0.25">
      <c r="B3" s="7" t="s">
        <v>12</v>
      </c>
      <c r="C3" s="8" t="s">
        <v>13</v>
      </c>
      <c r="D3" s="9">
        <v>51998.559999999998</v>
      </c>
      <c r="E3" s="31">
        <v>40214.11</v>
      </c>
      <c r="F3" s="31">
        <v>40214</v>
      </c>
      <c r="G3" s="32">
        <v>80428.11</v>
      </c>
      <c r="H3" s="9">
        <v>52363.61</v>
      </c>
      <c r="I3" s="32">
        <v>8794</v>
      </c>
      <c r="J3" s="9">
        <v>20000</v>
      </c>
      <c r="K3" s="10">
        <f>SUM(D3,H3,J3)</f>
        <v>124362.17</v>
      </c>
      <c r="M3" s="11">
        <f>G3</f>
        <v>80428.11</v>
      </c>
      <c r="N3" s="11">
        <f>H3</f>
        <v>52363.61</v>
      </c>
      <c r="O3" s="11">
        <f>N3-M3</f>
        <v>-28064.5</v>
      </c>
      <c r="P3" s="11">
        <v>80428.11</v>
      </c>
      <c r="Q3" s="11">
        <f>J3</f>
        <v>20000</v>
      </c>
      <c r="R3" s="11">
        <f>Q3-P3</f>
        <v>-60428.11</v>
      </c>
    </row>
    <row r="4" spans="2:18" x14ac:dyDescent="0.25">
      <c r="B4" s="7"/>
      <c r="C4" s="8" t="s">
        <v>14</v>
      </c>
      <c r="D4" s="9">
        <v>54552</v>
      </c>
      <c r="E4" s="31">
        <v>18350.5</v>
      </c>
      <c r="F4" s="31">
        <v>18351</v>
      </c>
      <c r="G4" s="32">
        <v>36701.5</v>
      </c>
      <c r="H4" s="9">
        <v>39257</v>
      </c>
      <c r="I4" s="32">
        <v>34166</v>
      </c>
      <c r="J4" s="9">
        <v>55000</v>
      </c>
      <c r="K4" s="10">
        <f>SUM(D4,H4,J4)</f>
        <v>148809</v>
      </c>
      <c r="M4" s="11">
        <f>G4</f>
        <v>36701.5</v>
      </c>
      <c r="N4" s="11">
        <f>H4</f>
        <v>39257</v>
      </c>
      <c r="O4" s="11">
        <f t="shared" ref="O4:O20" si="0">N4-M4</f>
        <v>2555.5</v>
      </c>
      <c r="P4" s="11">
        <v>36701.5</v>
      </c>
      <c r="Q4" s="11">
        <f>J4</f>
        <v>55000</v>
      </c>
      <c r="R4" s="11">
        <f t="shared" ref="R4:R9" si="1">Q4-P4</f>
        <v>18298.5</v>
      </c>
    </row>
    <row r="5" spans="2:18" x14ac:dyDescent="0.25">
      <c r="B5" s="7"/>
      <c r="C5" s="8" t="s">
        <v>15</v>
      </c>
      <c r="D5" s="9">
        <v>16498.07</v>
      </c>
      <c r="E5" s="31">
        <v>528.5</v>
      </c>
      <c r="F5" s="31">
        <v>5000</v>
      </c>
      <c r="G5" s="32">
        <v>5528.5</v>
      </c>
      <c r="H5" s="9">
        <v>2749.67</v>
      </c>
      <c r="I5" s="32">
        <v>97</v>
      </c>
      <c r="J5" s="9">
        <v>1000</v>
      </c>
      <c r="K5" s="10">
        <f>SUM(D5,H5,J5)</f>
        <v>20247.739999999998</v>
      </c>
      <c r="M5" s="11">
        <f>G5</f>
        <v>5528.5</v>
      </c>
      <c r="N5" s="11">
        <f>H5</f>
        <v>2749.67</v>
      </c>
      <c r="O5" s="11">
        <f t="shared" si="0"/>
        <v>-2778.83</v>
      </c>
      <c r="P5" s="11">
        <v>5000</v>
      </c>
      <c r="Q5" s="11">
        <f>J5</f>
        <v>1000</v>
      </c>
      <c r="R5" s="11">
        <f t="shared" si="1"/>
        <v>-4000</v>
      </c>
    </row>
    <row r="6" spans="2:18" x14ac:dyDescent="0.25">
      <c r="B6" s="7"/>
      <c r="C6" s="8" t="s">
        <v>16</v>
      </c>
      <c r="D6" s="9">
        <v>22769.93</v>
      </c>
      <c r="E6" s="31">
        <v>4367</v>
      </c>
      <c r="F6" s="31">
        <v>4367</v>
      </c>
      <c r="G6" s="32">
        <v>8734</v>
      </c>
      <c r="H6" s="9">
        <v>5291</v>
      </c>
      <c r="I6" s="32">
        <v>961</v>
      </c>
      <c r="J6" s="9">
        <v>8500</v>
      </c>
      <c r="K6" s="10">
        <f>SUM(D6,H6,J6)</f>
        <v>36560.93</v>
      </c>
      <c r="M6" s="11">
        <f>G6</f>
        <v>8734</v>
      </c>
      <c r="N6" s="11">
        <f>H6</f>
        <v>5291</v>
      </c>
      <c r="O6" s="11">
        <f t="shared" si="0"/>
        <v>-3443</v>
      </c>
      <c r="P6" s="11">
        <v>8734</v>
      </c>
      <c r="Q6" s="11">
        <f>J6</f>
        <v>8500</v>
      </c>
      <c r="R6" s="11">
        <f t="shared" si="1"/>
        <v>-234</v>
      </c>
    </row>
    <row r="7" spans="2:18" x14ac:dyDescent="0.25">
      <c r="B7" s="7"/>
      <c r="C7" s="8" t="s">
        <v>17</v>
      </c>
      <c r="D7" s="9">
        <v>7013.75</v>
      </c>
      <c r="E7" s="31">
        <v>2126</v>
      </c>
      <c r="F7" s="31">
        <v>2126</v>
      </c>
      <c r="G7" s="32">
        <v>4252</v>
      </c>
      <c r="H7" s="9">
        <v>3434</v>
      </c>
      <c r="I7" s="32">
        <v>0</v>
      </c>
      <c r="J7" s="9">
        <v>3434</v>
      </c>
      <c r="K7" s="10">
        <f>SUM(D7,H7,J7)</f>
        <v>13881.75</v>
      </c>
      <c r="M7" s="11">
        <f>G7</f>
        <v>4252</v>
      </c>
      <c r="N7" s="11">
        <f>H7</f>
        <v>3434</v>
      </c>
      <c r="O7" s="11">
        <f t="shared" si="0"/>
        <v>-818</v>
      </c>
      <c r="P7" s="11">
        <v>4252</v>
      </c>
      <c r="Q7" s="11">
        <f>J7</f>
        <v>3434</v>
      </c>
      <c r="R7" s="11">
        <f t="shared" si="1"/>
        <v>-818</v>
      </c>
    </row>
    <row r="8" spans="2:18" x14ac:dyDescent="0.25">
      <c r="B8" s="7"/>
      <c r="C8" s="8" t="s">
        <v>18</v>
      </c>
      <c r="D8" s="9">
        <v>0</v>
      </c>
      <c r="E8" s="31">
        <v>0</v>
      </c>
      <c r="F8" s="31">
        <v>6500</v>
      </c>
      <c r="G8" s="32">
        <v>6500</v>
      </c>
      <c r="H8" s="9">
        <v>2443.8200000000002</v>
      </c>
      <c r="I8" s="32"/>
      <c r="J8" s="9">
        <v>10000</v>
      </c>
      <c r="K8" s="10">
        <f>SUM(D8,H8,J8)</f>
        <v>12443.82</v>
      </c>
      <c r="M8" s="11">
        <f>G8</f>
        <v>6500</v>
      </c>
      <c r="N8" s="11">
        <f>H8</f>
        <v>2443.8200000000002</v>
      </c>
      <c r="O8" s="11">
        <f t="shared" si="0"/>
        <v>-4056.18</v>
      </c>
      <c r="P8" s="11">
        <v>10000</v>
      </c>
      <c r="Q8" s="11">
        <f>J8</f>
        <v>10000</v>
      </c>
      <c r="R8" s="11">
        <f t="shared" si="1"/>
        <v>0</v>
      </c>
    </row>
    <row r="9" spans="2:18" x14ac:dyDescent="0.25">
      <c r="B9" s="7"/>
      <c r="C9" s="8" t="s">
        <v>19</v>
      </c>
      <c r="D9" s="9">
        <v>8062.38</v>
      </c>
      <c r="E9" s="31">
        <v>-28435.21</v>
      </c>
      <c r="F9" s="31">
        <v>-28435.21</v>
      </c>
      <c r="G9" s="32">
        <v>-56870.42</v>
      </c>
      <c r="H9" s="9">
        <v>-68174.789999999994</v>
      </c>
      <c r="I9" s="32">
        <v>-50471</v>
      </c>
      <c r="J9" s="9">
        <v>-120578.18208789677</v>
      </c>
      <c r="K9" s="10">
        <f>SUM(D9,H9,J9)</f>
        <v>-180690.59208789677</v>
      </c>
      <c r="L9" s="12"/>
      <c r="M9" s="11">
        <f>G9</f>
        <v>-56870.42</v>
      </c>
      <c r="N9" s="11">
        <f>H9</f>
        <v>-68174.789999999994</v>
      </c>
      <c r="O9" s="11">
        <f t="shared" si="0"/>
        <v>-11304.369999999995</v>
      </c>
      <c r="P9" s="11">
        <v>-126823.40533040625</v>
      </c>
      <c r="Q9" s="11">
        <f>J9</f>
        <v>-120578.18208789677</v>
      </c>
      <c r="R9" s="11">
        <f t="shared" si="1"/>
        <v>6245.2232425094844</v>
      </c>
    </row>
    <row r="10" spans="2:18" x14ac:dyDescent="0.25">
      <c r="B10" s="7"/>
      <c r="C10" s="52" t="s">
        <v>20</v>
      </c>
      <c r="D10" s="53">
        <f>SUM(D3:D9)</f>
        <v>160894.69</v>
      </c>
      <c r="E10" s="31">
        <f t="shared" ref="E10:J10" si="2">SUM(E3:E9)</f>
        <v>37150.9</v>
      </c>
      <c r="F10" s="31">
        <f t="shared" si="2"/>
        <v>48122.79</v>
      </c>
      <c r="G10" s="32">
        <f t="shared" si="2"/>
        <v>85273.689999999988</v>
      </c>
      <c r="H10" s="53">
        <f t="shared" si="2"/>
        <v>37364.310000000012</v>
      </c>
      <c r="I10" s="32">
        <f t="shared" si="2"/>
        <v>-6453</v>
      </c>
      <c r="J10" s="53">
        <f t="shared" si="2"/>
        <v>-22644.18208789677</v>
      </c>
      <c r="K10" s="53">
        <f>SUM(D10,H10,J10)</f>
        <v>175614.81791210323</v>
      </c>
      <c r="L10" s="13"/>
      <c r="M10" s="56">
        <f t="shared" ref="M10:R10" si="3">SUM(M3:M9)</f>
        <v>85273.689999999988</v>
      </c>
      <c r="N10" s="56">
        <f t="shared" si="3"/>
        <v>37364.310000000012</v>
      </c>
      <c r="O10" s="56">
        <f t="shared" si="3"/>
        <v>-47909.38</v>
      </c>
      <c r="P10" s="56">
        <f t="shared" si="3"/>
        <v>18292.204669593732</v>
      </c>
      <c r="Q10" s="56">
        <f t="shared" si="3"/>
        <v>-22644.18208789677</v>
      </c>
      <c r="R10" s="56">
        <f t="shared" si="3"/>
        <v>-40936.386757490516</v>
      </c>
    </row>
    <row r="11" spans="2:18" x14ac:dyDescent="0.25">
      <c r="B11" s="14" t="s">
        <v>21</v>
      </c>
      <c r="C11" s="8" t="s">
        <v>22</v>
      </c>
      <c r="D11" s="9">
        <v>149108.13</v>
      </c>
      <c r="E11" s="31">
        <v>14138.08</v>
      </c>
      <c r="F11" s="31">
        <v>110000</v>
      </c>
      <c r="G11" s="32">
        <v>124138.08</v>
      </c>
      <c r="H11" s="9">
        <v>20508.95</v>
      </c>
      <c r="I11" s="32">
        <v>20177</v>
      </c>
      <c r="J11" s="9">
        <v>170000</v>
      </c>
      <c r="K11" s="10">
        <f>SUM(D11,H11,J11)</f>
        <v>339617.08</v>
      </c>
      <c r="L11" s="12"/>
      <c r="M11" s="11">
        <f>G11</f>
        <v>124138.08</v>
      </c>
      <c r="N11" s="11">
        <f>H11</f>
        <v>20508.95</v>
      </c>
      <c r="O11" s="11">
        <f t="shared" si="0"/>
        <v>-103629.13</v>
      </c>
      <c r="P11" s="11">
        <v>252000</v>
      </c>
      <c r="Q11" s="11">
        <f>J11</f>
        <v>170000</v>
      </c>
      <c r="R11" s="11">
        <f t="shared" ref="R11:R13" si="4">Q11-P11</f>
        <v>-82000</v>
      </c>
    </row>
    <row r="12" spans="2:18" x14ac:dyDescent="0.25">
      <c r="B12" s="14"/>
      <c r="C12" s="8" t="s">
        <v>23</v>
      </c>
      <c r="D12" s="9">
        <v>0</v>
      </c>
      <c r="E12" s="31">
        <v>0</v>
      </c>
      <c r="F12" s="31">
        <v>118140</v>
      </c>
      <c r="G12" s="32">
        <v>118140</v>
      </c>
      <c r="H12" s="9">
        <v>78841.210000000006</v>
      </c>
      <c r="I12" s="32">
        <v>11048</v>
      </c>
      <c r="J12" s="9">
        <v>30000</v>
      </c>
      <c r="K12" s="10">
        <f>SUM(D12,H12,J12)</f>
        <v>108841.21</v>
      </c>
      <c r="L12" s="12"/>
      <c r="M12" s="11">
        <f>G12</f>
        <v>118140</v>
      </c>
      <c r="N12" s="11">
        <f>H12</f>
        <v>78841.210000000006</v>
      </c>
      <c r="O12" s="11">
        <f t="shared" si="0"/>
        <v>-39298.789999999994</v>
      </c>
      <c r="P12" s="11">
        <v>0</v>
      </c>
      <c r="Q12" s="11">
        <f>J12</f>
        <v>30000</v>
      </c>
      <c r="R12" s="11">
        <f t="shared" si="4"/>
        <v>30000</v>
      </c>
    </row>
    <row r="13" spans="2:18" x14ac:dyDescent="0.25">
      <c r="B13" s="14"/>
      <c r="C13" s="15" t="s">
        <v>24</v>
      </c>
      <c r="D13" s="9">
        <v>0</v>
      </c>
      <c r="E13" s="31">
        <v>0</v>
      </c>
      <c r="F13" s="31">
        <v>33859.379999999997</v>
      </c>
      <c r="G13" s="32">
        <v>33859.379999999997</v>
      </c>
      <c r="H13" s="9">
        <v>4762.97</v>
      </c>
      <c r="I13" s="32"/>
      <c r="J13" s="9">
        <v>0</v>
      </c>
      <c r="K13" s="10">
        <f>SUM(D13,H13,J13)</f>
        <v>4762.97</v>
      </c>
      <c r="L13" s="12"/>
      <c r="M13" s="11">
        <f>G13</f>
        <v>33859.379999999997</v>
      </c>
      <c r="N13" s="11">
        <f>H13</f>
        <v>4762.97</v>
      </c>
      <c r="O13" s="11">
        <f t="shared" si="0"/>
        <v>-29096.409999999996</v>
      </c>
      <c r="P13" s="11">
        <v>250000</v>
      </c>
      <c r="Q13" s="11">
        <f>J13</f>
        <v>0</v>
      </c>
      <c r="R13" s="11">
        <f t="shared" si="4"/>
        <v>-250000</v>
      </c>
    </row>
    <row r="14" spans="2:18" x14ac:dyDescent="0.25">
      <c r="B14" s="14"/>
      <c r="C14" s="52" t="s">
        <v>25</v>
      </c>
      <c r="D14" s="53">
        <f>SUM(D11:D13)</f>
        <v>149108.13</v>
      </c>
      <c r="E14" s="31">
        <f t="shared" ref="E14:J14" si="5">SUM(E11:E13)</f>
        <v>14138.08</v>
      </c>
      <c r="F14" s="31">
        <f t="shared" si="5"/>
        <v>261999.38</v>
      </c>
      <c r="G14" s="32">
        <f t="shared" si="5"/>
        <v>276137.46000000002</v>
      </c>
      <c r="H14" s="53">
        <f t="shared" si="5"/>
        <v>104113.13</v>
      </c>
      <c r="I14" s="32">
        <f t="shared" si="5"/>
        <v>31225</v>
      </c>
      <c r="J14" s="53">
        <f t="shared" si="5"/>
        <v>200000</v>
      </c>
      <c r="K14" s="53">
        <f>SUM(D14,H14,J14)</f>
        <v>453221.26</v>
      </c>
      <c r="L14" s="13"/>
      <c r="M14" s="56">
        <f t="shared" ref="M14:R14" si="6">SUM(M11:M13)</f>
        <v>276137.46000000002</v>
      </c>
      <c r="N14" s="56">
        <f t="shared" si="6"/>
        <v>104113.13</v>
      </c>
      <c r="O14" s="56">
        <f t="shared" si="6"/>
        <v>-172024.33</v>
      </c>
      <c r="P14" s="56">
        <f t="shared" si="6"/>
        <v>502000</v>
      </c>
      <c r="Q14" s="56">
        <f t="shared" si="6"/>
        <v>200000</v>
      </c>
      <c r="R14" s="56">
        <f t="shared" si="6"/>
        <v>-302000</v>
      </c>
    </row>
    <row r="15" spans="2:18" x14ac:dyDescent="0.25">
      <c r="B15" s="14" t="s">
        <v>26</v>
      </c>
      <c r="C15" s="8" t="s">
        <v>27</v>
      </c>
      <c r="D15" s="9">
        <v>51085.55</v>
      </c>
      <c r="E15" s="31">
        <v>3663.64</v>
      </c>
      <c r="F15" s="31">
        <v>5000</v>
      </c>
      <c r="G15" s="32">
        <v>8663.64</v>
      </c>
      <c r="H15" s="9">
        <v>16470.61</v>
      </c>
      <c r="I15" s="32"/>
      <c r="J15" s="9">
        <v>0</v>
      </c>
      <c r="K15" s="10">
        <v>67556.160000000003</v>
      </c>
      <c r="L15" s="12"/>
      <c r="M15" s="11">
        <f>G15</f>
        <v>8663.64</v>
      </c>
      <c r="N15" s="11">
        <f>H15</f>
        <v>16470.61</v>
      </c>
      <c r="O15" s="11">
        <f t="shared" si="0"/>
        <v>7806.9700000000012</v>
      </c>
      <c r="P15" s="11">
        <v>0</v>
      </c>
      <c r="Q15" s="11">
        <f>J15</f>
        <v>0</v>
      </c>
      <c r="R15" s="11">
        <f t="shared" ref="R15:R20" si="7">Q15-P15</f>
        <v>0</v>
      </c>
    </row>
    <row r="16" spans="2:18" x14ac:dyDescent="0.25">
      <c r="B16" s="14"/>
      <c r="C16" s="8" t="s">
        <v>28</v>
      </c>
      <c r="D16" s="9">
        <v>63065.279999999999</v>
      </c>
      <c r="E16" s="31">
        <v>53196.33</v>
      </c>
      <c r="F16" s="31">
        <v>10000</v>
      </c>
      <c r="G16" s="32">
        <v>63196.33</v>
      </c>
      <c r="H16" s="9">
        <v>54498.61</v>
      </c>
      <c r="I16" s="32">
        <v>1300</v>
      </c>
      <c r="J16" s="9">
        <v>1300</v>
      </c>
      <c r="K16" s="10">
        <v>118863.89</v>
      </c>
      <c r="L16" s="12"/>
      <c r="M16" s="11">
        <f>G16</f>
        <v>63196.33</v>
      </c>
      <c r="N16" s="11">
        <f>H16</f>
        <v>54498.61</v>
      </c>
      <c r="O16" s="11">
        <f t="shared" si="0"/>
        <v>-8697.7200000000012</v>
      </c>
      <c r="P16" s="11">
        <v>0</v>
      </c>
      <c r="Q16" s="11">
        <f>J16</f>
        <v>1300</v>
      </c>
      <c r="R16" s="11">
        <f t="shared" si="7"/>
        <v>1300</v>
      </c>
    </row>
    <row r="17" spans="2:18" x14ac:dyDescent="0.25">
      <c r="B17" s="14"/>
      <c r="C17" s="8" t="s">
        <v>29</v>
      </c>
      <c r="D17" s="9">
        <v>19465.68</v>
      </c>
      <c r="E17" s="31">
        <v>14447.38</v>
      </c>
      <c r="F17" s="31">
        <v>0</v>
      </c>
      <c r="G17" s="32">
        <v>14447.38</v>
      </c>
      <c r="H17" s="16">
        <v>14931.580000000002</v>
      </c>
      <c r="I17" s="32"/>
      <c r="J17" s="9">
        <v>0</v>
      </c>
      <c r="K17" s="10">
        <v>34397.26</v>
      </c>
      <c r="L17" s="12"/>
      <c r="M17" s="11">
        <f>G17</f>
        <v>14447.38</v>
      </c>
      <c r="N17" s="11">
        <f>H17</f>
        <v>14931.580000000002</v>
      </c>
      <c r="O17" s="11">
        <f t="shared" si="0"/>
        <v>484.20000000000255</v>
      </c>
      <c r="P17" s="11">
        <v>0</v>
      </c>
      <c r="Q17" s="11">
        <f>J17</f>
        <v>0</v>
      </c>
      <c r="R17" s="11">
        <f t="shared" si="7"/>
        <v>0</v>
      </c>
    </row>
    <row r="18" spans="2:18" x14ac:dyDescent="0.25">
      <c r="B18" s="14"/>
      <c r="C18" s="8" t="s">
        <v>30</v>
      </c>
      <c r="D18" s="9">
        <v>0</v>
      </c>
      <c r="E18" s="31">
        <v>0</v>
      </c>
      <c r="F18" s="31">
        <v>67453.36</v>
      </c>
      <c r="G18" s="32">
        <v>67453.36</v>
      </c>
      <c r="H18" s="16">
        <v>69319.92</v>
      </c>
      <c r="I18" s="32">
        <v>5362</v>
      </c>
      <c r="J18" s="9">
        <v>5361.91</v>
      </c>
      <c r="K18" s="10">
        <v>74681.83</v>
      </c>
      <c r="L18" s="12"/>
      <c r="M18" s="11">
        <f>G18</f>
        <v>67453.36</v>
      </c>
      <c r="N18" s="11">
        <f>H18</f>
        <v>69319.92</v>
      </c>
      <c r="O18" s="11">
        <f t="shared" si="0"/>
        <v>1866.5599999999977</v>
      </c>
      <c r="P18" s="11">
        <v>0</v>
      </c>
      <c r="Q18" s="11">
        <f>J18</f>
        <v>5361.91</v>
      </c>
      <c r="R18" s="11">
        <f t="shared" si="7"/>
        <v>5361.91</v>
      </c>
    </row>
    <row r="19" spans="2:18" x14ac:dyDescent="0.25">
      <c r="B19" s="14"/>
      <c r="C19" s="8" t="s">
        <v>31</v>
      </c>
      <c r="D19" s="9">
        <v>0</v>
      </c>
      <c r="E19" s="31">
        <v>0</v>
      </c>
      <c r="F19" s="31">
        <v>15000</v>
      </c>
      <c r="G19" s="32">
        <v>15000</v>
      </c>
      <c r="H19" s="9">
        <v>0</v>
      </c>
      <c r="I19" s="32"/>
      <c r="J19" s="9">
        <v>0</v>
      </c>
      <c r="K19" s="10">
        <v>0</v>
      </c>
      <c r="L19" s="12"/>
      <c r="M19" s="11">
        <f>G19</f>
        <v>15000</v>
      </c>
      <c r="N19" s="11">
        <f>H19</f>
        <v>0</v>
      </c>
      <c r="O19" s="11">
        <f t="shared" si="0"/>
        <v>-15000</v>
      </c>
      <c r="P19" s="11">
        <v>0</v>
      </c>
      <c r="Q19" s="11">
        <f>J19</f>
        <v>0</v>
      </c>
      <c r="R19" s="11">
        <f t="shared" si="7"/>
        <v>0</v>
      </c>
    </row>
    <row r="20" spans="2:18" x14ac:dyDescent="0.25">
      <c r="B20" s="14"/>
      <c r="C20" s="8" t="s">
        <v>32</v>
      </c>
      <c r="D20" s="9">
        <v>0</v>
      </c>
      <c r="E20" s="31">
        <v>0</v>
      </c>
      <c r="F20" s="31">
        <v>0</v>
      </c>
      <c r="G20" s="32">
        <v>0</v>
      </c>
      <c r="H20" s="9">
        <v>0</v>
      </c>
      <c r="I20" s="32">
        <v>52989</v>
      </c>
      <c r="J20" s="9">
        <v>52989.14</v>
      </c>
      <c r="K20" s="10">
        <v>52989.14</v>
      </c>
      <c r="L20" s="12"/>
      <c r="M20" s="11">
        <f>G20</f>
        <v>0</v>
      </c>
      <c r="N20" s="11">
        <f>H20</f>
        <v>0</v>
      </c>
      <c r="O20" s="11">
        <f t="shared" si="0"/>
        <v>0</v>
      </c>
      <c r="P20" s="11">
        <v>80000</v>
      </c>
      <c r="Q20" s="11">
        <f>J20</f>
        <v>52989.14</v>
      </c>
      <c r="R20" s="11">
        <f t="shared" si="7"/>
        <v>-27010.86</v>
      </c>
    </row>
    <row r="21" spans="2:18" x14ac:dyDescent="0.25">
      <c r="B21" s="17"/>
      <c r="C21" s="54" t="s">
        <v>33</v>
      </c>
      <c r="D21" s="55">
        <f>SUM(D15:D20)</f>
        <v>133616.51</v>
      </c>
      <c r="E21" s="33">
        <f t="shared" ref="E21:J21" si="8">SUM(E15:E20)</f>
        <v>71307.350000000006</v>
      </c>
      <c r="F21" s="33">
        <f t="shared" si="8"/>
        <v>97453.36</v>
      </c>
      <c r="G21" s="34">
        <f t="shared" si="8"/>
        <v>168760.71000000002</v>
      </c>
      <c r="H21" s="55">
        <f t="shared" si="8"/>
        <v>155220.72</v>
      </c>
      <c r="I21" s="34">
        <f t="shared" si="8"/>
        <v>59651</v>
      </c>
      <c r="J21" s="55">
        <f t="shared" si="8"/>
        <v>59651.05</v>
      </c>
      <c r="K21" s="55">
        <f>SUM(D21,H21,J21)</f>
        <v>348488.27999999997</v>
      </c>
      <c r="L21" s="13"/>
      <c r="M21" s="57">
        <f>SUM(M15:M20)</f>
        <v>168760.71000000002</v>
      </c>
      <c r="N21" s="57">
        <f t="shared" ref="N21:R21" si="9">SUM(N15:N20)</f>
        <v>155220.72</v>
      </c>
      <c r="O21" s="57">
        <f t="shared" si="9"/>
        <v>-13539.99</v>
      </c>
      <c r="P21" s="57">
        <f t="shared" si="9"/>
        <v>80000</v>
      </c>
      <c r="Q21" s="57">
        <f t="shared" si="9"/>
        <v>59651.05</v>
      </c>
      <c r="R21" s="57">
        <f t="shared" si="9"/>
        <v>-20348.95</v>
      </c>
    </row>
    <row r="22" spans="2:18" x14ac:dyDescent="0.25">
      <c r="B22" s="18" t="s">
        <v>34</v>
      </c>
      <c r="C22" s="18"/>
      <c r="D22" s="19">
        <f t="shared" ref="D22:J22" si="10">D10+D14+D21</f>
        <v>443619.33</v>
      </c>
      <c r="E22" s="35">
        <f t="shared" si="10"/>
        <v>122596.33000000002</v>
      </c>
      <c r="F22" s="35">
        <f t="shared" si="10"/>
        <v>407575.52999999997</v>
      </c>
      <c r="G22" s="36">
        <f t="shared" si="10"/>
        <v>530171.8600000001</v>
      </c>
      <c r="H22" s="19">
        <f t="shared" si="10"/>
        <v>296698.16000000003</v>
      </c>
      <c r="I22" s="36">
        <f t="shared" si="10"/>
        <v>84423</v>
      </c>
      <c r="J22" s="19">
        <f t="shared" si="10"/>
        <v>237006.86791210325</v>
      </c>
      <c r="K22" s="19">
        <f>K10+K14+K21</f>
        <v>977324.35791210318</v>
      </c>
      <c r="M22" s="20">
        <f>M10+M14+M21</f>
        <v>530171.8600000001</v>
      </c>
      <c r="N22" s="20">
        <f t="shared" ref="N22:R22" si="11">N10+N14+N21</f>
        <v>296698.16000000003</v>
      </c>
      <c r="O22" s="20">
        <f t="shared" si="11"/>
        <v>-233473.69999999998</v>
      </c>
      <c r="P22" s="20">
        <f t="shared" si="11"/>
        <v>600292.20466959372</v>
      </c>
      <c r="Q22" s="20">
        <f t="shared" si="11"/>
        <v>237006.86791210325</v>
      </c>
      <c r="R22" s="20">
        <f t="shared" si="11"/>
        <v>-363285.33675749053</v>
      </c>
    </row>
    <row r="23" spans="2:18" x14ac:dyDescent="0.25">
      <c r="B23" s="18" t="s">
        <v>35</v>
      </c>
      <c r="C23" s="18"/>
      <c r="D23" s="21">
        <f>'[1]2017 to 2019 Costs - Detail'!D13</f>
        <v>0</v>
      </c>
      <c r="E23" s="37">
        <f>'[1]2017 to 2019 Costs - Detail'!E13</f>
        <v>53674.1</v>
      </c>
      <c r="F23" s="37">
        <f>'[1]2017 to 2019 Costs - Detail'!F13</f>
        <v>30000</v>
      </c>
      <c r="G23" s="37">
        <f>'[1]2017 to 2019 Costs - Detail'!G13</f>
        <v>83674.100000000006</v>
      </c>
      <c r="H23" s="22">
        <f>'[1]2017 to 2019 Costs - Detail'!H13</f>
        <v>89793.56</v>
      </c>
      <c r="I23" s="37">
        <v>59763</v>
      </c>
      <c r="J23" s="22">
        <f>'[1]2017 to 2019 Costs - Detail'!I13</f>
        <v>80000</v>
      </c>
      <c r="K23" s="19">
        <f>SUM(D23,H23,J23)</f>
        <v>169793.56</v>
      </c>
      <c r="M23" s="20">
        <v>83674.100000000006</v>
      </c>
      <c r="N23" s="19">
        <f>H23</f>
        <v>89793.56</v>
      </c>
      <c r="O23" s="20">
        <f t="shared" ref="O23" si="12">N23-M23</f>
        <v>6119.4599999999919</v>
      </c>
      <c r="P23" s="20">
        <v>85000</v>
      </c>
      <c r="Q23" s="20">
        <f>J23</f>
        <v>80000</v>
      </c>
      <c r="R23" s="20">
        <f t="shared" ref="R23" si="13">Q23-P23</f>
        <v>-5000</v>
      </c>
    </row>
    <row r="24" spans="2:18" x14ac:dyDescent="0.25">
      <c r="B24" s="18" t="s">
        <v>36</v>
      </c>
      <c r="C24" s="18"/>
      <c r="D24" s="19">
        <f>SUM(D22:D23)</f>
        <v>443619.33</v>
      </c>
      <c r="E24" s="36">
        <f t="shared" ref="E24:K24" si="14">SUM(E22:E23)</f>
        <v>176270.43000000002</v>
      </c>
      <c r="F24" s="36">
        <f t="shared" si="14"/>
        <v>437575.52999999997</v>
      </c>
      <c r="G24" s="36">
        <f t="shared" si="14"/>
        <v>613845.96000000008</v>
      </c>
      <c r="H24" s="19">
        <f t="shared" si="14"/>
        <v>386491.72000000003</v>
      </c>
      <c r="I24" s="36">
        <f t="shared" si="14"/>
        <v>144186</v>
      </c>
      <c r="J24" s="19">
        <f t="shared" si="14"/>
        <v>317006.86791210325</v>
      </c>
      <c r="K24" s="19">
        <f t="shared" si="14"/>
        <v>1147117.9179121032</v>
      </c>
      <c r="M24" s="23">
        <f>SUM(M22:M23)</f>
        <v>613845.96000000008</v>
      </c>
      <c r="N24" s="23">
        <f t="shared" ref="N24:R24" si="15">SUM(N22:N23)</f>
        <v>386491.72000000003</v>
      </c>
      <c r="O24" s="23">
        <f t="shared" si="15"/>
        <v>-227354.23999999999</v>
      </c>
      <c r="P24" s="23">
        <f t="shared" si="15"/>
        <v>685292.20466959372</v>
      </c>
      <c r="Q24" s="23">
        <f t="shared" si="15"/>
        <v>317006.86791210325</v>
      </c>
      <c r="R24" s="23">
        <f t="shared" si="15"/>
        <v>-368285.33675749053</v>
      </c>
    </row>
    <row r="25" spans="2:18" x14ac:dyDescent="0.25">
      <c r="B25" s="24"/>
      <c r="C25" s="24"/>
      <c r="D25" s="25"/>
      <c r="E25" s="38"/>
      <c r="F25" s="38"/>
      <c r="G25" s="38"/>
      <c r="H25" s="25"/>
      <c r="I25" s="38"/>
      <c r="J25" s="25"/>
    </row>
    <row r="26" spans="2:18" x14ac:dyDescent="0.25">
      <c r="E26" s="39"/>
      <c r="F26" s="39"/>
      <c r="G26" s="39"/>
      <c r="I26" s="39"/>
    </row>
    <row r="27" spans="2:18" ht="30" x14ac:dyDescent="0.25">
      <c r="C27" s="3" t="s">
        <v>1</v>
      </c>
      <c r="D27" s="4" t="s">
        <v>71</v>
      </c>
      <c r="E27" s="29" t="s">
        <v>2</v>
      </c>
      <c r="F27" s="29" t="s">
        <v>3</v>
      </c>
      <c r="G27" s="30" t="s">
        <v>4</v>
      </c>
      <c r="H27" s="4" t="s">
        <v>72</v>
      </c>
      <c r="I27" s="30" t="s">
        <v>70</v>
      </c>
      <c r="J27" s="4" t="s">
        <v>6</v>
      </c>
      <c r="K27" s="5" t="s">
        <v>7</v>
      </c>
      <c r="M27" s="6" t="s">
        <v>8</v>
      </c>
      <c r="N27" s="6" t="s">
        <v>5</v>
      </c>
      <c r="O27" s="6" t="s">
        <v>9</v>
      </c>
      <c r="P27" s="6" t="s">
        <v>10</v>
      </c>
      <c r="Q27" s="6" t="s">
        <v>11</v>
      </c>
      <c r="R27" s="6" t="s">
        <v>9</v>
      </c>
    </row>
    <row r="28" spans="2:18" x14ac:dyDescent="0.25">
      <c r="C28" s="8" t="s">
        <v>35</v>
      </c>
      <c r="D28" s="10">
        <f>D23</f>
        <v>0</v>
      </c>
      <c r="E28" s="40">
        <f t="shared" ref="E28:J28" si="16">E23</f>
        <v>53674.1</v>
      </c>
      <c r="F28" s="40">
        <f t="shared" si="16"/>
        <v>30000</v>
      </c>
      <c r="G28" s="40">
        <f t="shared" si="16"/>
        <v>83674.100000000006</v>
      </c>
      <c r="H28" s="10">
        <f t="shared" si="16"/>
        <v>89793.56</v>
      </c>
      <c r="I28" s="40">
        <f>I23</f>
        <v>59763</v>
      </c>
      <c r="J28" s="10">
        <f t="shared" si="16"/>
        <v>80000</v>
      </c>
      <c r="K28" s="10">
        <f>SUM(D28,H28,J28)</f>
        <v>169793.56</v>
      </c>
      <c r="L28" s="26"/>
      <c r="M28" s="11">
        <f>M23</f>
        <v>83674.100000000006</v>
      </c>
      <c r="N28" s="11">
        <f>N23</f>
        <v>89793.56</v>
      </c>
      <c r="O28" s="11">
        <f t="shared" ref="O28:O30" si="17">N28-M28</f>
        <v>6119.4599999999919</v>
      </c>
      <c r="P28" s="11">
        <f>P23</f>
        <v>85000</v>
      </c>
      <c r="Q28" s="11">
        <f>J23</f>
        <v>80000</v>
      </c>
      <c r="R28" s="11">
        <f t="shared" ref="R28:R30" si="18">Q28-P28</f>
        <v>-5000</v>
      </c>
    </row>
    <row r="29" spans="2:18" x14ac:dyDescent="0.25">
      <c r="C29" s="8" t="s">
        <v>37</v>
      </c>
      <c r="D29" s="9">
        <f>D21</f>
        <v>133616.51</v>
      </c>
      <c r="E29" s="32">
        <f t="shared" ref="E29:G29" si="19">E21</f>
        <v>71307.350000000006</v>
      </c>
      <c r="F29" s="32">
        <f t="shared" si="19"/>
        <v>97453.36</v>
      </c>
      <c r="G29" s="32">
        <f t="shared" si="19"/>
        <v>168760.71000000002</v>
      </c>
      <c r="H29" s="9">
        <f>H21</f>
        <v>155220.72</v>
      </c>
      <c r="I29" s="32">
        <f>I21</f>
        <v>59651</v>
      </c>
      <c r="J29" s="9">
        <f>J21</f>
        <v>59651.05</v>
      </c>
      <c r="K29" s="10">
        <f>SUM(D29,H29,J29)</f>
        <v>348488.27999999997</v>
      </c>
      <c r="M29" s="11">
        <v>71307.350000000006</v>
      </c>
      <c r="N29" s="11">
        <f>H29</f>
        <v>155220.72</v>
      </c>
      <c r="O29" s="11">
        <f t="shared" si="17"/>
        <v>83913.37</v>
      </c>
      <c r="P29" s="11">
        <v>97453.36</v>
      </c>
      <c r="Q29" s="11">
        <f>J29</f>
        <v>59651.05</v>
      </c>
      <c r="R29" s="11">
        <f t="shared" si="18"/>
        <v>-37802.31</v>
      </c>
    </row>
    <row r="30" spans="2:18" x14ac:dyDescent="0.25">
      <c r="C30" s="15" t="s">
        <v>38</v>
      </c>
      <c r="D30" s="9">
        <f>D10*0.5</f>
        <v>80447.345000000001</v>
      </c>
      <c r="E30" s="32"/>
      <c r="F30" s="32"/>
      <c r="G30" s="32"/>
      <c r="H30" s="9"/>
      <c r="I30" s="32"/>
      <c r="J30" s="9"/>
      <c r="K30" s="10">
        <f>SUM(D30,H30,J30)</f>
        <v>80447.345000000001</v>
      </c>
      <c r="M30" s="11">
        <v>0</v>
      </c>
      <c r="N30" s="11">
        <f>H30</f>
        <v>0</v>
      </c>
      <c r="O30" s="11">
        <f t="shared" si="17"/>
        <v>0</v>
      </c>
      <c r="P30" s="11">
        <v>0</v>
      </c>
      <c r="Q30" s="11">
        <f>J30</f>
        <v>0</v>
      </c>
      <c r="R30" s="11">
        <f t="shared" si="18"/>
        <v>0</v>
      </c>
    </row>
    <row r="31" spans="2:18" x14ac:dyDescent="0.25">
      <c r="C31" s="27" t="s">
        <v>68</v>
      </c>
      <c r="D31" s="19">
        <f>SUM(D28:D30)</f>
        <v>214063.85500000001</v>
      </c>
      <c r="E31" s="36">
        <f t="shared" ref="E31:J31" si="20">SUM(E28:E30)</f>
        <v>124981.45000000001</v>
      </c>
      <c r="F31" s="36">
        <f t="shared" si="20"/>
        <v>127453.36</v>
      </c>
      <c r="G31" s="36">
        <f t="shared" si="20"/>
        <v>252434.81000000003</v>
      </c>
      <c r="H31" s="19">
        <f t="shared" si="20"/>
        <v>245014.28</v>
      </c>
      <c r="I31" s="36">
        <f t="shared" si="20"/>
        <v>119414</v>
      </c>
      <c r="J31" s="19">
        <f t="shared" si="20"/>
        <v>139651.04999999999</v>
      </c>
      <c r="K31" s="19">
        <f>SUM(D31,H31,J31)</f>
        <v>598729.18500000006</v>
      </c>
      <c r="M31" s="11">
        <f>SUM(M28:M30)</f>
        <v>154981.45000000001</v>
      </c>
      <c r="N31" s="11">
        <f t="shared" ref="N31:R31" si="21">SUM(N28:N30)</f>
        <v>245014.28</v>
      </c>
      <c r="O31" s="11">
        <f t="shared" si="21"/>
        <v>90032.829999999987</v>
      </c>
      <c r="P31" s="11">
        <f t="shared" si="21"/>
        <v>182453.36</v>
      </c>
      <c r="Q31" s="11">
        <f t="shared" si="21"/>
        <v>139651.04999999999</v>
      </c>
      <c r="R31" s="11">
        <f t="shared" si="21"/>
        <v>-42802.31</v>
      </c>
    </row>
    <row r="32" spans="2:18" x14ac:dyDescent="0.25">
      <c r="C32" s="15" t="s">
        <v>39</v>
      </c>
      <c r="D32" s="9">
        <f>'[1]Interest Calcs'!I7</f>
        <v>880.04029277777772</v>
      </c>
      <c r="E32" s="32"/>
      <c r="F32" s="32"/>
      <c r="G32" s="32"/>
      <c r="H32" s="9">
        <f>'[1]Interest Calcs'!R7</f>
        <v>6268.634781875</v>
      </c>
      <c r="I32" s="32"/>
      <c r="J32" s="9">
        <f>'[1]Interest Calcs'!AA7</f>
        <v>11887.109758499999</v>
      </c>
      <c r="K32" s="9">
        <f>'[1]Interest Calcs'!AB7</f>
        <v>19035.784833152775</v>
      </c>
    </row>
    <row r="34" spans="3:11" x14ac:dyDescent="0.25">
      <c r="C34" s="28" t="s">
        <v>73</v>
      </c>
      <c r="K34" s="49">
        <f>K31+K32</f>
        <v>617764.96983315283</v>
      </c>
    </row>
    <row r="37" spans="3:11" ht="30" customHeight="1" x14ac:dyDescent="0.25">
      <c r="C37" s="8"/>
      <c r="D37" s="4" t="s">
        <v>71</v>
      </c>
      <c r="E37" s="61" t="s">
        <v>76</v>
      </c>
      <c r="F37" s="62"/>
      <c r="G37" s="63"/>
      <c r="H37" s="4" t="s">
        <v>72</v>
      </c>
      <c r="I37" s="30" t="s">
        <v>70</v>
      </c>
      <c r="J37" s="4" t="s">
        <v>6</v>
      </c>
      <c r="K37" s="5" t="s">
        <v>7</v>
      </c>
    </row>
    <row r="38" spans="3:11" x14ac:dyDescent="0.25">
      <c r="C38" s="8" t="s">
        <v>69</v>
      </c>
      <c r="D38" s="50">
        <f>D22</f>
        <v>443619.33</v>
      </c>
      <c r="E38" s="64"/>
      <c r="F38" s="65"/>
      <c r="G38" s="66"/>
      <c r="H38" s="50">
        <f>H22</f>
        <v>296698.16000000003</v>
      </c>
      <c r="I38" s="58">
        <f>I22</f>
        <v>84423</v>
      </c>
      <c r="J38" s="50">
        <f>J22</f>
        <v>237006.86791210325</v>
      </c>
      <c r="K38" s="19">
        <f>SUM(D38,H38,J38)</f>
        <v>977324.35791210318</v>
      </c>
    </row>
    <row r="39" spans="3:11" x14ac:dyDescent="0.25">
      <c r="C39" s="8" t="s">
        <v>75</v>
      </c>
      <c r="D39" s="51">
        <f>D23</f>
        <v>0</v>
      </c>
      <c r="E39" s="64"/>
      <c r="F39" s="65"/>
      <c r="G39" s="66"/>
      <c r="H39" s="50">
        <v>70824.100000000006</v>
      </c>
      <c r="I39" s="58">
        <v>70824.100000000006</v>
      </c>
      <c r="J39" s="50">
        <v>0</v>
      </c>
      <c r="K39" s="19">
        <f>SUM(D39,H39,J39)</f>
        <v>70824.100000000006</v>
      </c>
    </row>
    <row r="40" spans="3:11" x14ac:dyDescent="0.25">
      <c r="C40" s="3" t="s">
        <v>66</v>
      </c>
      <c r="D40" s="19">
        <f>D38+D39</f>
        <v>443619.33</v>
      </c>
      <c r="E40" s="64"/>
      <c r="F40" s="65"/>
      <c r="G40" s="66"/>
      <c r="H40" s="19">
        <f>H38+H39</f>
        <v>367522.26</v>
      </c>
      <c r="I40" s="36">
        <f>I38+I39</f>
        <v>155247.1</v>
      </c>
      <c r="J40" s="19">
        <f>J38+J39</f>
        <v>237006.86791210325</v>
      </c>
      <c r="K40" s="19">
        <f>SUM(D40,H40,J40)</f>
        <v>1048148.4579121033</v>
      </c>
    </row>
    <row r="41" spans="3:11" x14ac:dyDescent="0.25">
      <c r="C41" s="8"/>
      <c r="D41" s="10"/>
      <c r="E41" s="64"/>
      <c r="F41" s="65"/>
      <c r="G41" s="66"/>
      <c r="H41" s="50"/>
      <c r="I41" s="58"/>
      <c r="J41" s="50"/>
      <c r="K41" s="50"/>
    </row>
    <row r="42" spans="3:11" x14ac:dyDescent="0.25">
      <c r="C42" s="8" t="s">
        <v>74</v>
      </c>
      <c r="D42" s="10">
        <v>0</v>
      </c>
      <c r="E42" s="64"/>
      <c r="F42" s="65"/>
      <c r="G42" s="66"/>
      <c r="H42" s="50">
        <f>H28-H39</f>
        <v>18969.459999999992</v>
      </c>
      <c r="I42" s="58">
        <f>I23</f>
        <v>59763</v>
      </c>
      <c r="J42" s="50">
        <f>J23</f>
        <v>80000</v>
      </c>
      <c r="K42" s="19">
        <f>SUM(D42,H42,J42)</f>
        <v>98969.459999999992</v>
      </c>
    </row>
    <row r="43" spans="3:11" x14ac:dyDescent="0.25">
      <c r="C43" s="3" t="s">
        <v>67</v>
      </c>
      <c r="D43" s="19">
        <f>D42</f>
        <v>0</v>
      </c>
      <c r="E43" s="64"/>
      <c r="F43" s="65"/>
      <c r="G43" s="66"/>
      <c r="H43" s="51">
        <f>H42</f>
        <v>18969.459999999992</v>
      </c>
      <c r="I43" s="59">
        <f>I42</f>
        <v>59763</v>
      </c>
      <c r="J43" s="51">
        <f>J42</f>
        <v>80000</v>
      </c>
      <c r="K43" s="19">
        <f>SUM(D43,H43,J43)</f>
        <v>98969.459999999992</v>
      </c>
    </row>
    <row r="44" spans="3:11" x14ac:dyDescent="0.25">
      <c r="C44" s="8"/>
      <c r="D44" s="8"/>
      <c r="E44" s="64"/>
      <c r="F44" s="65"/>
      <c r="G44" s="66"/>
      <c r="H44" s="8"/>
      <c r="I44" s="70"/>
      <c r="J44" s="8"/>
      <c r="K44" s="8"/>
    </row>
    <row r="45" spans="3:11" x14ac:dyDescent="0.25">
      <c r="C45" s="3" t="s">
        <v>77</v>
      </c>
      <c r="D45" s="19">
        <f>D40+D43</f>
        <v>443619.33</v>
      </c>
      <c r="E45" s="67"/>
      <c r="F45" s="68"/>
      <c r="G45" s="69"/>
      <c r="H45" s="19">
        <f>H40+H43</f>
        <v>386491.72</v>
      </c>
      <c r="I45" s="36">
        <f>I40+I43</f>
        <v>215010.1</v>
      </c>
      <c r="J45" s="19">
        <f>J40+J43</f>
        <v>317006.86791210325</v>
      </c>
      <c r="K45" s="19">
        <f>K40+K43</f>
        <v>1147117.9179121032</v>
      </c>
    </row>
  </sheetData>
  <mergeCells count="8">
    <mergeCell ref="B24:C24"/>
    <mergeCell ref="E1:G1"/>
    <mergeCell ref="E37:G45"/>
    <mergeCell ref="B3:B10"/>
    <mergeCell ref="B11:B14"/>
    <mergeCell ref="B15:B21"/>
    <mergeCell ref="B22:C22"/>
    <mergeCell ref="B23:C23"/>
  </mergeCells>
  <pageMargins left="0.7" right="0.7" top="0.75" bottom="0.75" header="0.3" footer="0.3"/>
  <pageSetup paperSize="17" orientation="landscape" verticalDpi="90" r:id="rId1"/>
  <ignoredErrors>
    <ignoredError sqref="M10:O10 Q10:R10 M14:R14 O2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BC6-2C43-4E15-996E-1066C06D7081}">
  <dimension ref="A1:AB26"/>
  <sheetViews>
    <sheetView workbookViewId="0">
      <selection activeCell="I16" sqref="I16"/>
    </sheetView>
  </sheetViews>
  <sheetFormatPr defaultRowHeight="15" x14ac:dyDescent="0.25"/>
  <cols>
    <col min="1" max="1" width="37.7109375" bestFit="1" customWidth="1"/>
    <col min="2" max="10" width="12.7109375" customWidth="1"/>
    <col min="11" max="11" width="2.28515625" customWidth="1"/>
    <col min="12" max="19" width="12.7109375" customWidth="1"/>
    <col min="20" max="20" width="2.28515625" customWidth="1"/>
    <col min="21" max="28" width="12.7109375" customWidth="1"/>
  </cols>
  <sheetData>
    <row r="1" spans="1:28" x14ac:dyDescent="0.25">
      <c r="B1" s="1">
        <v>2017</v>
      </c>
      <c r="C1" s="1"/>
      <c r="D1" s="1"/>
      <c r="E1" s="1"/>
      <c r="F1" s="1"/>
      <c r="G1" s="1"/>
      <c r="H1" s="1"/>
      <c r="I1" s="1"/>
      <c r="J1" s="1"/>
      <c r="L1" s="1">
        <v>2018</v>
      </c>
      <c r="M1" s="1"/>
      <c r="N1" s="1"/>
      <c r="O1" s="1"/>
      <c r="P1" s="1"/>
      <c r="Q1" s="1"/>
      <c r="R1" s="1"/>
      <c r="S1" s="1"/>
      <c r="U1" s="1">
        <v>2019</v>
      </c>
      <c r="V1" s="1"/>
      <c r="W1" s="1"/>
      <c r="X1" s="1"/>
      <c r="Y1" s="1"/>
      <c r="Z1" s="1"/>
      <c r="AA1" s="1"/>
      <c r="AB1" s="1"/>
    </row>
    <row r="2" spans="1:28" s="42" customFormat="1" ht="30" x14ac:dyDescent="0.25">
      <c r="A2" s="42" t="s">
        <v>41</v>
      </c>
      <c r="B2" s="43" t="s">
        <v>42</v>
      </c>
      <c r="C2" s="43" t="s">
        <v>43</v>
      </c>
      <c r="D2" s="43" t="s">
        <v>44</v>
      </c>
      <c r="E2" s="43" t="s">
        <v>45</v>
      </c>
      <c r="F2" s="43" t="s">
        <v>46</v>
      </c>
      <c r="G2" s="43" t="s">
        <v>47</v>
      </c>
      <c r="H2" s="43" t="s">
        <v>48</v>
      </c>
      <c r="I2" s="43" t="s">
        <v>49</v>
      </c>
      <c r="J2" s="43" t="s">
        <v>50</v>
      </c>
      <c r="L2" s="43" t="s">
        <v>42</v>
      </c>
      <c r="M2" s="43" t="s">
        <v>43</v>
      </c>
      <c r="N2" s="43" t="s">
        <v>44</v>
      </c>
      <c r="O2" s="43" t="s">
        <v>45</v>
      </c>
      <c r="P2" s="43" t="s">
        <v>46</v>
      </c>
      <c r="Q2" s="43" t="s">
        <v>47</v>
      </c>
      <c r="R2" s="43" t="s">
        <v>49</v>
      </c>
      <c r="S2" s="43" t="s">
        <v>50</v>
      </c>
      <c r="U2" s="43" t="s">
        <v>42</v>
      </c>
      <c r="V2" s="43" t="s">
        <v>43</v>
      </c>
      <c r="W2" s="43" t="s">
        <v>44</v>
      </c>
      <c r="X2" s="43" t="s">
        <v>45</v>
      </c>
      <c r="Y2" s="43" t="s">
        <v>46</v>
      </c>
      <c r="Z2" s="43" t="s">
        <v>47</v>
      </c>
      <c r="AA2" s="43" t="s">
        <v>49</v>
      </c>
      <c r="AB2" s="43" t="s">
        <v>50</v>
      </c>
    </row>
    <row r="3" spans="1:28" x14ac:dyDescent="0.25">
      <c r="A3" t="s">
        <v>35</v>
      </c>
      <c r="B3" s="44">
        <v>0</v>
      </c>
      <c r="C3" s="44">
        <f>'2017 to 2019 DLI Costs'!D28</f>
        <v>0</v>
      </c>
      <c r="D3" s="44">
        <f>B3+C3</f>
        <v>0</v>
      </c>
      <c r="E3" s="44">
        <v>0</v>
      </c>
      <c r="F3" s="44">
        <f>(B3+D3)/2</f>
        <v>0</v>
      </c>
      <c r="G3" s="45">
        <f>AVERAGE(B16:B18)</f>
        <v>1.2333333333333333E-2</v>
      </c>
      <c r="H3" s="46">
        <f>8/12</f>
        <v>0.66666666666666663</v>
      </c>
      <c r="I3" s="44">
        <f>F3*G3*H3</f>
        <v>0</v>
      </c>
      <c r="J3" s="44">
        <f>E3+I3</f>
        <v>0</v>
      </c>
      <c r="L3" s="26">
        <f>D3</f>
        <v>0</v>
      </c>
      <c r="M3" s="26">
        <f>'2017 to 2019 DLI Costs'!H28</f>
        <v>89793.56</v>
      </c>
      <c r="N3" s="44">
        <f t="shared" ref="N3:N5" si="0">L3+M3</f>
        <v>89793.56</v>
      </c>
      <c r="O3" s="26">
        <f>J3</f>
        <v>0</v>
      </c>
      <c r="P3" s="44">
        <f t="shared" ref="P3:P5" si="1">(L3+N3)/2</f>
        <v>44896.78</v>
      </c>
      <c r="Q3" s="47">
        <f>AVERAGE(B19:B22)</f>
        <v>1.8624999999999999E-2</v>
      </c>
      <c r="R3" s="44">
        <f>P3*Q3</f>
        <v>836.20252749999997</v>
      </c>
      <c r="S3" s="26">
        <f>O3+R3</f>
        <v>836.20252749999997</v>
      </c>
      <c r="U3" s="26">
        <f>N3</f>
        <v>89793.56</v>
      </c>
      <c r="V3" s="44">
        <f>'2017 to 2019 DLI Costs'!J28</f>
        <v>80000</v>
      </c>
      <c r="W3" s="44">
        <f t="shared" ref="W3:W5" si="2">U3+V3</f>
        <v>169793.56</v>
      </c>
      <c r="X3" s="26">
        <f>S3</f>
        <v>836.20252749999997</v>
      </c>
      <c r="Y3" s="44">
        <f t="shared" ref="Y3:Y5" si="3">(U3+W3)/2</f>
        <v>129793.56</v>
      </c>
      <c r="Z3" s="47">
        <f>AVERAGE(B23:B26)</f>
        <v>2.2474999999999998E-2</v>
      </c>
      <c r="AA3" s="44">
        <f>Y3*Z3</f>
        <v>2917.1102609999998</v>
      </c>
      <c r="AB3" s="26">
        <f>X3+AA3</f>
        <v>3753.3127884999999</v>
      </c>
    </row>
    <row r="4" spans="1:28" x14ac:dyDescent="0.25">
      <c r="A4" t="s">
        <v>51</v>
      </c>
      <c r="B4" s="44">
        <v>0</v>
      </c>
      <c r="C4" s="44">
        <f>'2017 to 2019 DLI Costs'!D29</f>
        <v>133616.51</v>
      </c>
      <c r="D4" s="44">
        <f t="shared" ref="D4:D5" si="4">B4+C4</f>
        <v>133616.51</v>
      </c>
      <c r="E4" s="44">
        <v>0</v>
      </c>
      <c r="F4" s="44">
        <f t="shared" ref="F4:F5" si="5">(B4+D4)/2</f>
        <v>66808.255000000005</v>
      </c>
      <c r="G4" s="45">
        <f>G3</f>
        <v>1.2333333333333333E-2</v>
      </c>
      <c r="H4" s="46">
        <f>H3</f>
        <v>0.66666666666666663</v>
      </c>
      <c r="I4" s="44">
        <f t="shared" ref="I4:I5" si="6">F4*G4*H4</f>
        <v>549.31231888888885</v>
      </c>
      <c r="J4" s="44">
        <f t="shared" ref="J4:J5" si="7">E4+I4</f>
        <v>549.31231888888885</v>
      </c>
      <c r="L4" s="26">
        <f t="shared" ref="L4:L5" si="8">D4</f>
        <v>133616.51</v>
      </c>
      <c r="M4" s="26">
        <f>'2017 to 2019 DLI Costs'!H29</f>
        <v>155220.72</v>
      </c>
      <c r="N4" s="44">
        <f t="shared" si="0"/>
        <v>288837.23</v>
      </c>
      <c r="O4" s="26">
        <f t="shared" ref="O4:O5" si="9">J4</f>
        <v>549.31231888888885</v>
      </c>
      <c r="P4" s="44">
        <f t="shared" si="1"/>
        <v>211226.87</v>
      </c>
      <c r="Q4" s="47">
        <f>Q3</f>
        <v>1.8624999999999999E-2</v>
      </c>
      <c r="R4" s="44">
        <f t="shared" ref="R4:R5" si="10">P4*Q4</f>
        <v>3934.1004537499998</v>
      </c>
      <c r="S4" s="26">
        <f t="shared" ref="S4:S5" si="11">O4+R4</f>
        <v>4483.4127726388888</v>
      </c>
      <c r="U4" s="26">
        <f t="shared" ref="U4:U5" si="12">N4</f>
        <v>288837.23</v>
      </c>
      <c r="V4" s="44">
        <f>'2017 to 2019 DLI Costs'!J29</f>
        <v>59651.05</v>
      </c>
      <c r="W4" s="44">
        <f t="shared" si="2"/>
        <v>348488.27999999997</v>
      </c>
      <c r="X4" s="26">
        <f t="shared" ref="X4:X5" si="13">S4</f>
        <v>4483.4127726388888</v>
      </c>
      <c r="Y4" s="44">
        <f t="shared" si="3"/>
        <v>318662.755</v>
      </c>
      <c r="Z4" s="47">
        <f>Z3</f>
        <v>2.2474999999999998E-2</v>
      </c>
      <c r="AA4" s="44">
        <f t="shared" ref="AA4:AA5" si="14">Y4*Z4</f>
        <v>7161.9454186249995</v>
      </c>
      <c r="AB4" s="26">
        <f t="shared" ref="AB4:AB5" si="15">X4+AA4</f>
        <v>11645.358191263887</v>
      </c>
    </row>
    <row r="5" spans="1:28" x14ac:dyDescent="0.25">
      <c r="A5" t="s">
        <v>52</v>
      </c>
      <c r="B5" s="44">
        <v>0</v>
      </c>
      <c r="C5" s="44">
        <f>'2017 to 2019 DLI Costs'!D30</f>
        <v>80447.345000000001</v>
      </c>
      <c r="D5" s="44">
        <f t="shared" si="4"/>
        <v>80447.345000000001</v>
      </c>
      <c r="E5" s="44">
        <v>0</v>
      </c>
      <c r="F5" s="44">
        <f t="shared" si="5"/>
        <v>40223.672500000001</v>
      </c>
      <c r="G5" s="45">
        <f>G3</f>
        <v>1.2333333333333333E-2</v>
      </c>
      <c r="H5" s="46">
        <f>H3</f>
        <v>0.66666666666666663</v>
      </c>
      <c r="I5" s="44">
        <f t="shared" si="6"/>
        <v>330.72797388888887</v>
      </c>
      <c r="J5" s="44">
        <f t="shared" si="7"/>
        <v>330.72797388888887</v>
      </c>
      <c r="L5" s="26">
        <f t="shared" si="8"/>
        <v>80447.345000000001</v>
      </c>
      <c r="M5" s="26">
        <f>'2017 to 2019 DLI Costs'!G30</f>
        <v>0</v>
      </c>
      <c r="N5" s="44">
        <f t="shared" si="0"/>
        <v>80447.345000000001</v>
      </c>
      <c r="O5" s="26">
        <f t="shared" si="9"/>
        <v>330.72797388888887</v>
      </c>
      <c r="P5" s="44">
        <f t="shared" si="1"/>
        <v>80447.345000000001</v>
      </c>
      <c r="Q5" s="47">
        <f>Q3</f>
        <v>1.8624999999999999E-2</v>
      </c>
      <c r="R5" s="44">
        <f t="shared" si="10"/>
        <v>1498.3318006249999</v>
      </c>
      <c r="S5" s="26">
        <f t="shared" si="11"/>
        <v>1829.0597745138889</v>
      </c>
      <c r="U5" s="26">
        <f t="shared" si="12"/>
        <v>80447.345000000001</v>
      </c>
      <c r="V5" s="44">
        <f>'2017 to 2019 DLI Costs'!J30</f>
        <v>0</v>
      </c>
      <c r="W5" s="44">
        <f t="shared" si="2"/>
        <v>80447.345000000001</v>
      </c>
      <c r="X5" s="26">
        <f t="shared" si="13"/>
        <v>1829.0597745138889</v>
      </c>
      <c r="Y5" s="44">
        <f t="shared" si="3"/>
        <v>80447.345000000001</v>
      </c>
      <c r="Z5" s="47">
        <f>Z3</f>
        <v>2.2474999999999998E-2</v>
      </c>
      <c r="AA5" s="44">
        <f t="shared" si="14"/>
        <v>1808.054078875</v>
      </c>
      <c r="AB5" s="26">
        <f t="shared" si="15"/>
        <v>3637.1138533888889</v>
      </c>
    </row>
    <row r="7" spans="1:28" x14ac:dyDescent="0.25">
      <c r="A7" t="s">
        <v>53</v>
      </c>
      <c r="B7" s="44">
        <f>SUM(B3:B5)</f>
        <v>0</v>
      </c>
      <c r="C7" s="44">
        <f>SUM(C3:C5)</f>
        <v>214063.85500000001</v>
      </c>
      <c r="D7" s="44">
        <f t="shared" ref="D7:AB7" si="16">SUM(D3:D5)</f>
        <v>214063.85500000001</v>
      </c>
      <c r="E7" s="44">
        <f t="shared" si="16"/>
        <v>0</v>
      </c>
      <c r="F7" s="44">
        <f t="shared" si="16"/>
        <v>107031.92750000001</v>
      </c>
      <c r="G7" s="44"/>
      <c r="H7" s="44"/>
      <c r="I7" s="44">
        <f t="shared" si="16"/>
        <v>880.04029277777772</v>
      </c>
      <c r="J7" s="44">
        <f t="shared" si="16"/>
        <v>880.04029277777772</v>
      </c>
      <c r="L7" s="44">
        <f t="shared" si="16"/>
        <v>214063.85500000001</v>
      </c>
      <c r="M7" s="44">
        <f t="shared" si="16"/>
        <v>245014.28</v>
      </c>
      <c r="N7" s="44">
        <f t="shared" si="16"/>
        <v>459078.13500000001</v>
      </c>
      <c r="O7" s="44">
        <f t="shared" si="16"/>
        <v>880.04029277777772</v>
      </c>
      <c r="P7" s="44">
        <f t="shared" si="16"/>
        <v>336570.995</v>
      </c>
      <c r="R7" s="44">
        <f t="shared" si="16"/>
        <v>6268.634781875</v>
      </c>
      <c r="S7" s="44">
        <f t="shared" si="16"/>
        <v>7148.6750746527778</v>
      </c>
      <c r="U7" s="44">
        <f t="shared" si="16"/>
        <v>459078.13500000001</v>
      </c>
      <c r="V7" s="44">
        <f t="shared" si="16"/>
        <v>139651.04999999999</v>
      </c>
      <c r="W7" s="44">
        <f t="shared" si="16"/>
        <v>598729.18499999994</v>
      </c>
      <c r="X7" s="44">
        <f t="shared" si="16"/>
        <v>7148.6750746527778</v>
      </c>
      <c r="Y7" s="44">
        <f t="shared" si="16"/>
        <v>528903.66</v>
      </c>
      <c r="AA7" s="44">
        <f t="shared" si="16"/>
        <v>11887.109758499999</v>
      </c>
      <c r="AB7" s="44">
        <f t="shared" si="16"/>
        <v>19035.784833152775</v>
      </c>
    </row>
    <row r="8" spans="1:28" x14ac:dyDescent="0.25">
      <c r="B8" s="44"/>
      <c r="C8" s="44"/>
      <c r="D8" s="44"/>
      <c r="E8" s="44"/>
      <c r="X8" s="26"/>
    </row>
    <row r="9" spans="1:28" x14ac:dyDescent="0.25">
      <c r="A9" t="s">
        <v>54</v>
      </c>
      <c r="B9" s="44"/>
      <c r="C9" s="44">
        <f>C7-'2017 to 2019 DLI Costs'!D31</f>
        <v>0</v>
      </c>
      <c r="D9" s="44">
        <f>D7-C7-B7</f>
        <v>0</v>
      </c>
      <c r="E9" s="44"/>
      <c r="F9" s="26">
        <f>F7-(B7+D7)/2</f>
        <v>0</v>
      </c>
      <c r="J9" s="26">
        <f>J7-I7-E7</f>
        <v>0</v>
      </c>
      <c r="L9" s="26">
        <f>L7-D7</f>
        <v>0</v>
      </c>
      <c r="M9" s="26">
        <f>M7-'2017 to 2019 DLI Costs'!H31</f>
        <v>0</v>
      </c>
      <c r="N9" s="44">
        <f>N7-M7-L7</f>
        <v>0</v>
      </c>
      <c r="O9" s="26">
        <f>O7-J7</f>
        <v>0</v>
      </c>
      <c r="P9" s="26">
        <f>P7-(L7+N7)/2</f>
        <v>0</v>
      </c>
      <c r="R9" s="48">
        <f>R7-P7*Q3</f>
        <v>0</v>
      </c>
      <c r="S9" s="26">
        <f>S7-R7-J7</f>
        <v>0</v>
      </c>
      <c r="U9" s="26">
        <f>U7-N7</f>
        <v>0</v>
      </c>
      <c r="V9" s="26">
        <f>V7-'2017 to 2019 DLI Costs'!J31</f>
        <v>0</v>
      </c>
      <c r="W9" s="44">
        <f>W7-V7-U7</f>
        <v>0</v>
      </c>
      <c r="X9" s="26">
        <f>X7-S7</f>
        <v>0</v>
      </c>
      <c r="Y9" s="26">
        <f>Y7-(U7+W7)/2</f>
        <v>0</v>
      </c>
      <c r="AA9" s="48">
        <f>AA7-Y7*Z3</f>
        <v>0</v>
      </c>
      <c r="AB9" s="26">
        <f>AB7-AA7-S7</f>
        <v>0</v>
      </c>
    </row>
    <row r="16" spans="1:28" x14ac:dyDescent="0.25">
      <c r="A16" t="s">
        <v>55</v>
      </c>
      <c r="B16" s="47">
        <v>1.0999999999999999E-2</v>
      </c>
    </row>
    <row r="17" spans="1:2" x14ac:dyDescent="0.25">
      <c r="A17" t="s">
        <v>56</v>
      </c>
      <c r="B17" s="47">
        <v>1.0999999999999999E-2</v>
      </c>
    </row>
    <row r="18" spans="1:2" x14ac:dyDescent="0.25">
      <c r="A18" t="s">
        <v>57</v>
      </c>
      <c r="B18" s="47">
        <v>1.4999999999999999E-2</v>
      </c>
    </row>
    <row r="19" spans="1:2" x14ac:dyDescent="0.25">
      <c r="A19" t="s">
        <v>58</v>
      </c>
      <c r="B19" s="47">
        <v>1.4999999999999999E-2</v>
      </c>
    </row>
    <row r="20" spans="1:2" x14ac:dyDescent="0.25">
      <c r="A20" t="s">
        <v>59</v>
      </c>
      <c r="B20" s="47">
        <v>1.89E-2</v>
      </c>
    </row>
    <row r="21" spans="1:2" x14ac:dyDescent="0.25">
      <c r="A21" t="s">
        <v>60</v>
      </c>
      <c r="B21" s="47">
        <v>1.89E-2</v>
      </c>
    </row>
    <row r="22" spans="1:2" x14ac:dyDescent="0.25">
      <c r="A22" t="s">
        <v>61</v>
      </c>
      <c r="B22" s="47">
        <v>2.1700000000000001E-2</v>
      </c>
    </row>
    <row r="23" spans="1:2" x14ac:dyDescent="0.25">
      <c r="A23" t="s">
        <v>62</v>
      </c>
      <c r="B23" s="47">
        <v>2.4500000000000001E-2</v>
      </c>
    </row>
    <row r="24" spans="1:2" x14ac:dyDescent="0.25">
      <c r="A24" t="s">
        <v>63</v>
      </c>
      <c r="B24" s="47">
        <v>2.18E-2</v>
      </c>
    </row>
    <row r="25" spans="1:2" x14ac:dyDescent="0.25">
      <c r="A25" t="s">
        <v>64</v>
      </c>
      <c r="B25" s="47">
        <v>2.18E-2</v>
      </c>
    </row>
    <row r="26" spans="1:2" x14ac:dyDescent="0.25">
      <c r="A26" t="s">
        <v>65</v>
      </c>
      <c r="B26" s="47">
        <v>2.18E-2</v>
      </c>
    </row>
  </sheetData>
  <mergeCells count="3">
    <mergeCell ref="B1:J1"/>
    <mergeCell ref="L1:S1"/>
    <mergeCell ref="U1:AB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to 2019 DLI Costs</vt:lpstr>
      <vt:lpstr>Interest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Beharriell, Greg</cp:lastModifiedBy>
  <dcterms:created xsi:type="dcterms:W3CDTF">2019-08-09T13:27:36Z</dcterms:created>
  <dcterms:modified xsi:type="dcterms:W3CDTF">2019-08-09T16:05:36Z</dcterms:modified>
</cp:coreProperties>
</file>