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ommon\API_2020_CoS\Interrogatories\Response Templates\In Review\File Separately\"/>
    </mc:Choice>
  </mc:AlternateContent>
  <xr:revisionPtr revIDLastSave="0" documentId="13_ncr:1_{E0D0225D-6EC2-4E20-8424-34002461FDD8}" xr6:coauthVersionLast="36" xr6:coauthVersionMax="36" xr10:uidLastSave="{00000000-0000-0000-0000-000000000000}"/>
  <bookViews>
    <workbookView xWindow="0" yWindow="0" windowWidth="28800" windowHeight="11730" tabRatio="918" xr2:uid="{00000000-000D-0000-FFFF-FFFF00000000}"/>
  </bookViews>
  <sheets>
    <sheet name="Cover" sheetId="12" r:id="rId1"/>
    <sheet name="Rates" sheetId="3" r:id="rId2"/>
    <sheet name="Summary" sheetId="21" r:id="rId3"/>
    <sheet name="Residential_R1RPP_750" sheetId="2" r:id="rId4"/>
    <sheet name="Residential_R1RET_750" sheetId="40" r:id="rId5"/>
    <sheet name="Residential_R1RPP_10th_PCT" sheetId="36" r:id="rId6"/>
    <sheet name="Residential_R1GSRPP_2000" sheetId="37" r:id="rId7"/>
    <sheet name="Residential_R1GSRET_2000" sheetId="42" r:id="rId8"/>
    <sheet name="Residential - R2" sheetId="14" r:id="rId9"/>
    <sheet name="Residential - R2 Large" sheetId="45" r:id="rId10"/>
    <sheet name="Seasonal_RPP_750" sheetId="4" r:id="rId11"/>
    <sheet name="Seasonal_RET_750" sheetId="44" r:id="rId12"/>
    <sheet name="Seasonal_RPP_AVG" sheetId="38" r:id="rId13"/>
    <sheet name="Seasonal_RPP_10th_PCT" sheetId="39" r:id="rId14"/>
    <sheet name="Street Lighting Non-RPP" sheetId="10" r:id="rId15"/>
  </sheets>
  <externalReferences>
    <externalReference r:id="rId16"/>
  </externalReferences>
  <definedNames>
    <definedName name="EBNUMBER">'[1]LDC Info'!$E$16</definedName>
    <definedName name="_xlnm.Print_Area" localSheetId="8">'Residential - R2'!$A$1:$O$37</definedName>
    <definedName name="_xlnm.Print_Area" localSheetId="9">'Residential - R2 Large'!$A$1:$O$37</definedName>
    <definedName name="_xlnm.Print_Area" localSheetId="7">Residential_R1GSRET_2000!$A$1:$O$40</definedName>
    <definedName name="_xlnm.Print_Area" localSheetId="6">Residential_R1GSRPP_2000!$A$1:$O$41</definedName>
    <definedName name="_xlnm.Print_Area" localSheetId="4">Residential_R1RET_750!$A$1:$O$41</definedName>
    <definedName name="_xlnm.Print_Area" localSheetId="5">Residential_R1RPP_10th_PCT!$A$1:$O$42</definedName>
    <definedName name="_xlnm.Print_Area" localSheetId="3">Residential_R1RPP_750!$A$1:$O$42</definedName>
    <definedName name="_xlnm.Print_Area" localSheetId="11">Seasonal_RET_750!$A$1:$O$40</definedName>
    <definedName name="_xlnm.Print_Area" localSheetId="13">Seasonal_RPP_10th_PCT!$A$1:$O$41</definedName>
    <definedName name="_xlnm.Print_Area" localSheetId="10">Seasonal_RPP_750!$A$1:$O$41</definedName>
    <definedName name="_xlnm.Print_Area" localSheetId="12">Seasonal_RPP_AVG!$A$1:$O$41</definedName>
    <definedName name="_xlnm.Print_Area" localSheetId="14">'Street Lighting Non-RPP'!$A$1:$O$38</definedName>
    <definedName name="_xlnm.Print_Area" localSheetId="2">Summary!$A$1:$X$36</definedName>
  </definedNames>
  <calcPr calcId="191029"/>
</workbook>
</file>

<file path=xl/calcChain.xml><?xml version="1.0" encoding="utf-8"?>
<calcChain xmlns="http://schemas.openxmlformats.org/spreadsheetml/2006/main">
  <c r="J16" i="10" l="1"/>
  <c r="F16" i="10"/>
  <c r="B36" i="21" l="1"/>
  <c r="B35" i="21"/>
  <c r="B34" i="21"/>
  <c r="B33" i="21"/>
  <c r="B32" i="21"/>
  <c r="B31" i="21"/>
  <c r="B30" i="21"/>
  <c r="B29" i="21"/>
  <c r="B28" i="21"/>
  <c r="B27" i="21"/>
  <c r="B26" i="21"/>
  <c r="B25" i="21"/>
  <c r="J16" i="45"/>
  <c r="F16" i="45"/>
  <c r="F16" i="14"/>
  <c r="J16" i="14"/>
  <c r="D15" i="21" l="1"/>
  <c r="M15" i="21" s="1"/>
  <c r="C15" i="21"/>
  <c r="L15" i="21" s="1"/>
  <c r="K15" i="21"/>
  <c r="F37" i="45"/>
  <c r="G24" i="45" s="1"/>
  <c r="G25" i="45" s="1"/>
  <c r="J30" i="45"/>
  <c r="F30" i="45"/>
  <c r="J29" i="45"/>
  <c r="L29" i="45" s="1"/>
  <c r="F29" i="45"/>
  <c r="H29" i="45" s="1"/>
  <c r="J28" i="45"/>
  <c r="F28" i="45"/>
  <c r="J27" i="45"/>
  <c r="G27" i="45"/>
  <c r="G28" i="45" s="1"/>
  <c r="F27" i="45"/>
  <c r="J25" i="45"/>
  <c r="F25" i="45"/>
  <c r="J24" i="45"/>
  <c r="F24" i="45"/>
  <c r="L22" i="45"/>
  <c r="H22" i="45"/>
  <c r="K21" i="45"/>
  <c r="L21" i="45" s="1"/>
  <c r="G21" i="45"/>
  <c r="H21" i="45" s="1"/>
  <c r="O21" i="45" s="1"/>
  <c r="K20" i="45"/>
  <c r="L20" i="45" s="1"/>
  <c r="G20" i="45"/>
  <c r="H20" i="45" s="1"/>
  <c r="K19" i="45"/>
  <c r="J19" i="45"/>
  <c r="G19" i="45"/>
  <c r="F19" i="45"/>
  <c r="H19" i="45" s="1"/>
  <c r="O18" i="45"/>
  <c r="L18" i="45"/>
  <c r="N18" i="45" s="1"/>
  <c r="H18" i="45"/>
  <c r="K16" i="45"/>
  <c r="G16" i="45"/>
  <c r="H16" i="45" s="1"/>
  <c r="K15" i="45"/>
  <c r="G15" i="45"/>
  <c r="N22" i="45" l="1"/>
  <c r="C31" i="21"/>
  <c r="L19" i="45"/>
  <c r="H25" i="45"/>
  <c r="D31" i="21"/>
  <c r="H27" i="45"/>
  <c r="N19" i="45"/>
  <c r="O19" i="45" s="1"/>
  <c r="H24" i="45"/>
  <c r="L16" i="45"/>
  <c r="N16" i="45" s="1"/>
  <c r="O16" i="45" s="1"/>
  <c r="N21" i="45"/>
  <c r="G30" i="45"/>
  <c r="H30" i="45" s="1"/>
  <c r="H28" i="45"/>
  <c r="N20" i="45"/>
  <c r="O20" i="45" s="1"/>
  <c r="N29" i="45"/>
  <c r="O29" i="45" s="1"/>
  <c r="M11" i="21" l="1"/>
  <c r="M12" i="21"/>
  <c r="M13" i="21"/>
  <c r="L19" i="21"/>
  <c r="C11" i="21"/>
  <c r="L11" i="21" s="1"/>
  <c r="K11" i="21"/>
  <c r="C13" i="21"/>
  <c r="L13" i="21" s="1"/>
  <c r="K13" i="21"/>
  <c r="C19" i="21"/>
  <c r="C35" i="21" s="1"/>
  <c r="K19" i="21"/>
  <c r="M19" i="21"/>
  <c r="D27" i="21"/>
  <c r="D29" i="21"/>
  <c r="D35" i="21"/>
  <c r="D34" i="21"/>
  <c r="D33" i="21"/>
  <c r="D32" i="21"/>
  <c r="D28" i="21"/>
  <c r="D26" i="21"/>
  <c r="D25" i="21"/>
  <c r="K32" i="44"/>
  <c r="F32" i="44"/>
  <c r="G32" i="44"/>
  <c r="K22" i="44"/>
  <c r="G22" i="44"/>
  <c r="J22" i="44"/>
  <c r="F22" i="44"/>
  <c r="J20" i="4"/>
  <c r="F20" i="4"/>
  <c r="F40" i="44"/>
  <c r="G20" i="44" s="1"/>
  <c r="J36" i="44"/>
  <c r="J32" i="44"/>
  <c r="J31" i="44"/>
  <c r="L31" i="44" s="1"/>
  <c r="F31" i="44"/>
  <c r="H31" i="44" s="1"/>
  <c r="J30" i="44"/>
  <c r="F30" i="44"/>
  <c r="J29" i="44"/>
  <c r="F29" i="44"/>
  <c r="J27" i="44"/>
  <c r="F27" i="44"/>
  <c r="J26" i="44"/>
  <c r="F26" i="44"/>
  <c r="J24" i="44"/>
  <c r="L24" i="44" s="1"/>
  <c r="F24" i="44"/>
  <c r="H24" i="44" s="1"/>
  <c r="K23" i="44"/>
  <c r="L23" i="44" s="1"/>
  <c r="G23" i="44"/>
  <c r="H23" i="44" s="1"/>
  <c r="O23" i="44" s="1"/>
  <c r="K21" i="44"/>
  <c r="J21" i="44"/>
  <c r="G21" i="44"/>
  <c r="F21" i="44"/>
  <c r="J20" i="44"/>
  <c r="F20" i="44"/>
  <c r="K18" i="44"/>
  <c r="J18" i="44"/>
  <c r="L18" i="44" s="1"/>
  <c r="G18" i="44"/>
  <c r="F18" i="44"/>
  <c r="J17" i="44"/>
  <c r="L17" i="44" s="1"/>
  <c r="F17" i="44"/>
  <c r="H17" i="44" s="1"/>
  <c r="O17" i="44" s="1"/>
  <c r="K16" i="44"/>
  <c r="G16" i="44"/>
  <c r="F40" i="42"/>
  <c r="G26" i="42" s="1"/>
  <c r="G27" i="42" s="1"/>
  <c r="J36" i="42"/>
  <c r="J32" i="42"/>
  <c r="G32" i="42"/>
  <c r="H32" i="42" s="1"/>
  <c r="F32" i="42"/>
  <c r="J31" i="42"/>
  <c r="L31" i="42" s="1"/>
  <c r="F31" i="42"/>
  <c r="H31" i="42" s="1"/>
  <c r="J30" i="42"/>
  <c r="F30" i="42"/>
  <c r="J29" i="42"/>
  <c r="F29" i="42"/>
  <c r="J27" i="42"/>
  <c r="F27" i="42"/>
  <c r="J26" i="42"/>
  <c r="F26" i="42"/>
  <c r="J24" i="42"/>
  <c r="L24" i="42" s="1"/>
  <c r="F24" i="42"/>
  <c r="H24" i="42" s="1"/>
  <c r="K23" i="42"/>
  <c r="L23" i="42" s="1"/>
  <c r="G23" i="42"/>
  <c r="H23" i="42" s="1"/>
  <c r="K22" i="42"/>
  <c r="J22" i="42"/>
  <c r="G22" i="42"/>
  <c r="F22" i="42"/>
  <c r="B22" i="42"/>
  <c r="K21" i="42"/>
  <c r="J21" i="42"/>
  <c r="G21" i="42"/>
  <c r="H21" i="42" s="1"/>
  <c r="F21" i="42"/>
  <c r="B21" i="42"/>
  <c r="J20" i="42"/>
  <c r="F20" i="42"/>
  <c r="K18" i="42"/>
  <c r="J18" i="42"/>
  <c r="G18" i="42"/>
  <c r="H18" i="42" s="1"/>
  <c r="F18" i="42"/>
  <c r="J17" i="42"/>
  <c r="L17" i="42" s="1"/>
  <c r="F17" i="42"/>
  <c r="H17" i="42" s="1"/>
  <c r="O17" i="42" s="1"/>
  <c r="K16" i="42"/>
  <c r="G16" i="42"/>
  <c r="J33" i="40"/>
  <c r="G33" i="40"/>
  <c r="F33" i="40"/>
  <c r="K23" i="40"/>
  <c r="G23" i="40"/>
  <c r="J23" i="40"/>
  <c r="F23" i="40"/>
  <c r="B23" i="40"/>
  <c r="J21" i="40"/>
  <c r="F21" i="40"/>
  <c r="F41" i="40"/>
  <c r="G21" i="40" s="1"/>
  <c r="J37" i="40"/>
  <c r="J32" i="40"/>
  <c r="L32" i="40" s="1"/>
  <c r="F32" i="40"/>
  <c r="H32" i="40" s="1"/>
  <c r="J31" i="40"/>
  <c r="F31" i="40"/>
  <c r="J30" i="40"/>
  <c r="F30" i="40"/>
  <c r="J28" i="40"/>
  <c r="F28" i="40"/>
  <c r="J27" i="40"/>
  <c r="F27" i="40"/>
  <c r="J25" i="40"/>
  <c r="L25" i="40" s="1"/>
  <c r="F25" i="40"/>
  <c r="H25" i="40" s="1"/>
  <c r="K24" i="40"/>
  <c r="L24" i="40" s="1"/>
  <c r="G24" i="40"/>
  <c r="H24" i="40" s="1"/>
  <c r="K22" i="40"/>
  <c r="J22" i="40"/>
  <c r="G22" i="40"/>
  <c r="F22" i="40"/>
  <c r="B22" i="40"/>
  <c r="K19" i="40"/>
  <c r="J19" i="40"/>
  <c r="G19" i="40"/>
  <c r="F19" i="40"/>
  <c r="J18" i="40"/>
  <c r="L18" i="40" s="1"/>
  <c r="F18" i="40"/>
  <c r="H18" i="40" s="1"/>
  <c r="O18" i="40" s="1"/>
  <c r="B17" i="40"/>
  <c r="K16" i="40"/>
  <c r="G16" i="40"/>
  <c r="A53" i="3"/>
  <c r="C16" i="21"/>
  <c r="C32" i="21" s="1"/>
  <c r="F41" i="39"/>
  <c r="G25" i="39" s="1"/>
  <c r="J37" i="39"/>
  <c r="K33" i="39"/>
  <c r="G33" i="39"/>
  <c r="F33" i="39"/>
  <c r="G32" i="39"/>
  <c r="K32" i="39" s="1"/>
  <c r="F32" i="39"/>
  <c r="G31" i="39"/>
  <c r="K31" i="39" s="1"/>
  <c r="F31" i="39"/>
  <c r="F26" i="39"/>
  <c r="F25" i="39"/>
  <c r="K22" i="39"/>
  <c r="L22" i="39" s="1"/>
  <c r="G22" i="39"/>
  <c r="H22" i="39" s="1"/>
  <c r="K21" i="39"/>
  <c r="J21" i="39"/>
  <c r="G21" i="39"/>
  <c r="F21" i="39"/>
  <c r="K18" i="39"/>
  <c r="J18" i="39"/>
  <c r="L18" i="39" s="1"/>
  <c r="G18" i="39"/>
  <c r="F18" i="39"/>
  <c r="J17" i="39"/>
  <c r="L17" i="39" s="1"/>
  <c r="F17" i="39"/>
  <c r="H17" i="39" s="1"/>
  <c r="O17" i="39" s="1"/>
  <c r="K16" i="39"/>
  <c r="G16" i="39"/>
  <c r="C17" i="21"/>
  <c r="C33" i="21" s="1"/>
  <c r="F41" i="38"/>
  <c r="G25" i="38" s="1"/>
  <c r="G26" i="38" s="1"/>
  <c r="J37" i="38"/>
  <c r="G33" i="38"/>
  <c r="F33" i="38"/>
  <c r="G32" i="38"/>
  <c r="F32" i="38"/>
  <c r="G31" i="38"/>
  <c r="F31" i="38"/>
  <c r="F26" i="38"/>
  <c r="F25" i="38"/>
  <c r="K22" i="38"/>
  <c r="L22" i="38" s="1"/>
  <c r="G22" i="38"/>
  <c r="H22" i="38" s="1"/>
  <c r="O22" i="38" s="1"/>
  <c r="K21" i="38"/>
  <c r="J21" i="38"/>
  <c r="G21" i="38"/>
  <c r="F21" i="38"/>
  <c r="G20" i="38"/>
  <c r="K18" i="38"/>
  <c r="J18" i="38"/>
  <c r="G18" i="38"/>
  <c r="F18" i="38"/>
  <c r="J17" i="38"/>
  <c r="L17" i="38" s="1"/>
  <c r="F17" i="38"/>
  <c r="H17" i="38" s="1"/>
  <c r="O17" i="38" s="1"/>
  <c r="K16" i="38"/>
  <c r="G16" i="38"/>
  <c r="N23" i="44" l="1"/>
  <c r="H21" i="38"/>
  <c r="H22" i="40"/>
  <c r="H23" i="40"/>
  <c r="G20" i="42"/>
  <c r="H20" i="42" s="1"/>
  <c r="H18" i="39"/>
  <c r="N18" i="39" s="1"/>
  <c r="O18" i="39" s="1"/>
  <c r="L19" i="40"/>
  <c r="N17" i="42"/>
  <c r="L18" i="42"/>
  <c r="N18" i="42" s="1"/>
  <c r="O18" i="42" s="1"/>
  <c r="L21" i="42"/>
  <c r="N21" i="42" s="1"/>
  <c r="O21" i="42" s="1"/>
  <c r="L23" i="40"/>
  <c r="N23" i="40" s="1"/>
  <c r="O23" i="40" s="1"/>
  <c r="L22" i="42"/>
  <c r="C29" i="21"/>
  <c r="C27" i="21"/>
  <c r="L21" i="44"/>
  <c r="H21" i="44"/>
  <c r="H22" i="44"/>
  <c r="H20" i="44"/>
  <c r="L22" i="44"/>
  <c r="G26" i="44"/>
  <c r="H26" i="44" s="1"/>
  <c r="N31" i="44"/>
  <c r="O31" i="44" s="1"/>
  <c r="H18" i="44"/>
  <c r="N18" i="44" s="1"/>
  <c r="O18" i="44" s="1"/>
  <c r="N17" i="44"/>
  <c r="H32" i="44"/>
  <c r="N21" i="44"/>
  <c r="O21" i="44" s="1"/>
  <c r="N24" i="44"/>
  <c r="G27" i="44"/>
  <c r="L32" i="44"/>
  <c r="N31" i="42"/>
  <c r="O31" i="42" s="1"/>
  <c r="N24" i="42"/>
  <c r="H22" i="42"/>
  <c r="G30" i="42"/>
  <c r="H30" i="42" s="1"/>
  <c r="G29" i="42"/>
  <c r="H29" i="42" s="1"/>
  <c r="H27" i="42"/>
  <c r="N23" i="42"/>
  <c r="O23" i="42"/>
  <c r="H26" i="42"/>
  <c r="K32" i="42"/>
  <c r="L32" i="42" s="1"/>
  <c r="N32" i="42" s="1"/>
  <c r="O32" i="42" s="1"/>
  <c r="N25" i="40"/>
  <c r="N18" i="40"/>
  <c r="L22" i="40"/>
  <c r="G27" i="40"/>
  <c r="H27" i="40" s="1"/>
  <c r="N32" i="40"/>
  <c r="O32" i="40" s="1"/>
  <c r="H19" i="40"/>
  <c r="H33" i="40"/>
  <c r="H21" i="40"/>
  <c r="O24" i="40"/>
  <c r="N24" i="40"/>
  <c r="K33" i="40"/>
  <c r="L33" i="40" s="1"/>
  <c r="L21" i="39"/>
  <c r="L18" i="38"/>
  <c r="L21" i="38"/>
  <c r="N21" i="38" s="1"/>
  <c r="O21" i="38" s="1"/>
  <c r="H32" i="38"/>
  <c r="N17" i="39"/>
  <c r="H31" i="39"/>
  <c r="H32" i="39"/>
  <c r="H33" i="39"/>
  <c r="H25" i="39"/>
  <c r="H31" i="38"/>
  <c r="G20" i="39"/>
  <c r="H33" i="38"/>
  <c r="H21" i="39"/>
  <c r="H18" i="38"/>
  <c r="N17" i="38"/>
  <c r="N22" i="39"/>
  <c r="O22" i="39"/>
  <c r="G26" i="39"/>
  <c r="N22" i="38"/>
  <c r="G28" i="38"/>
  <c r="H26" i="38"/>
  <c r="G29" i="38"/>
  <c r="H25" i="38"/>
  <c r="K31" i="38"/>
  <c r="K32" i="38"/>
  <c r="K33" i="38"/>
  <c r="J17" i="4"/>
  <c r="L17" i="4" s="1"/>
  <c r="F17" i="4"/>
  <c r="H17" i="4" s="1"/>
  <c r="O17" i="4" s="1"/>
  <c r="A34" i="3"/>
  <c r="N17" i="4" l="1"/>
  <c r="N22" i="40"/>
  <c r="O22" i="40" s="1"/>
  <c r="N32" i="44"/>
  <c r="O32" i="44" s="1"/>
  <c r="N21" i="39"/>
  <c r="O21" i="39" s="1"/>
  <c r="N18" i="38"/>
  <c r="O18" i="38" s="1"/>
  <c r="N22" i="44"/>
  <c r="O22" i="44" s="1"/>
  <c r="G30" i="44"/>
  <c r="H30" i="44" s="1"/>
  <c r="G29" i="44"/>
  <c r="H29" i="44" s="1"/>
  <c r="H27" i="44"/>
  <c r="N22" i="42"/>
  <c r="O22" i="42" s="1"/>
  <c r="N33" i="40"/>
  <c r="O33" i="40" s="1"/>
  <c r="N19" i="40"/>
  <c r="O19" i="40" s="1"/>
  <c r="G28" i="40"/>
  <c r="H28" i="40"/>
  <c r="G31" i="40"/>
  <c r="H31" i="40" s="1"/>
  <c r="G30" i="40"/>
  <c r="H30" i="40" s="1"/>
  <c r="G28" i="39"/>
  <c r="H26" i="39"/>
  <c r="G29" i="39"/>
  <c r="C12" i="21"/>
  <c r="C28" i="21" s="1"/>
  <c r="F41" i="37"/>
  <c r="G25" i="37" s="1"/>
  <c r="G26" i="37" s="1"/>
  <c r="J37" i="37"/>
  <c r="G33" i="37"/>
  <c r="F33" i="37"/>
  <c r="G32" i="37"/>
  <c r="F32" i="37"/>
  <c r="G31" i="37"/>
  <c r="F31" i="37"/>
  <c r="F30" i="37"/>
  <c r="H30" i="37" s="1"/>
  <c r="F29" i="37"/>
  <c r="F28" i="37"/>
  <c r="J26" i="37"/>
  <c r="F26" i="37"/>
  <c r="J25" i="37"/>
  <c r="F25" i="37"/>
  <c r="F23" i="37"/>
  <c r="H23" i="37" s="1"/>
  <c r="K22" i="37"/>
  <c r="L22" i="37" s="1"/>
  <c r="G22" i="37"/>
  <c r="H22" i="37" s="1"/>
  <c r="K21" i="37"/>
  <c r="J21" i="37"/>
  <c r="G21" i="37"/>
  <c r="F21" i="37"/>
  <c r="B21" i="37"/>
  <c r="K18" i="37"/>
  <c r="J18" i="37"/>
  <c r="L18" i="37" s="1"/>
  <c r="G18" i="37"/>
  <c r="F18" i="37"/>
  <c r="J17" i="37"/>
  <c r="L17" i="37" s="1"/>
  <c r="F17" i="37"/>
  <c r="H17" i="37" s="1"/>
  <c r="O17" i="37" s="1"/>
  <c r="K16" i="37"/>
  <c r="G16" i="37"/>
  <c r="C9" i="21"/>
  <c r="C25" i="21" s="1"/>
  <c r="F42" i="36"/>
  <c r="G26" i="36" s="1"/>
  <c r="G27" i="36" s="1"/>
  <c r="J38" i="36"/>
  <c r="G34" i="36"/>
  <c r="F34" i="36"/>
  <c r="G33" i="36"/>
  <c r="F33" i="36"/>
  <c r="G32" i="36"/>
  <c r="F32" i="36"/>
  <c r="F31" i="36"/>
  <c r="H31" i="36" s="1"/>
  <c r="F30" i="36"/>
  <c r="F29" i="36"/>
  <c r="J27" i="36"/>
  <c r="F27" i="36"/>
  <c r="J26" i="36"/>
  <c r="F26" i="36"/>
  <c r="F24" i="36"/>
  <c r="H24" i="36" s="1"/>
  <c r="K23" i="36"/>
  <c r="L23" i="36" s="1"/>
  <c r="G23" i="36"/>
  <c r="H23" i="36" s="1"/>
  <c r="O23" i="36" s="1"/>
  <c r="K22" i="36"/>
  <c r="J22" i="36"/>
  <c r="G22" i="36"/>
  <c r="F22" i="36"/>
  <c r="B22" i="36"/>
  <c r="K19" i="36"/>
  <c r="J19" i="36"/>
  <c r="G19" i="36"/>
  <c r="F19" i="36"/>
  <c r="J18" i="36"/>
  <c r="L18" i="36" s="1"/>
  <c r="F18" i="36"/>
  <c r="H18" i="36" s="1"/>
  <c r="O18" i="36" s="1"/>
  <c r="B17" i="36"/>
  <c r="K16" i="36"/>
  <c r="G16" i="36"/>
  <c r="J19" i="2"/>
  <c r="F19" i="2"/>
  <c r="J18" i="2"/>
  <c r="L18" i="2" s="1"/>
  <c r="F18" i="2"/>
  <c r="H18" i="2" s="1"/>
  <c r="O18" i="2" s="1"/>
  <c r="H22" i="36" l="1"/>
  <c r="G21" i="36"/>
  <c r="L21" i="37"/>
  <c r="H19" i="36"/>
  <c r="H34" i="36"/>
  <c r="H18" i="37"/>
  <c r="N18" i="37" s="1"/>
  <c r="G20" i="37"/>
  <c r="N18" i="2"/>
  <c r="N18" i="36"/>
  <c r="H33" i="36"/>
  <c r="N17" i="37"/>
  <c r="H33" i="37"/>
  <c r="L22" i="36"/>
  <c r="N22" i="36" s="1"/>
  <c r="O22" i="36" s="1"/>
  <c r="H32" i="36"/>
  <c r="H32" i="37"/>
  <c r="L19" i="36"/>
  <c r="H31" i="37"/>
  <c r="H21" i="37"/>
  <c r="G29" i="37"/>
  <c r="H29" i="37" s="1"/>
  <c r="H26" i="37"/>
  <c r="G28" i="37"/>
  <c r="H28" i="37" s="1"/>
  <c r="N22" i="37"/>
  <c r="O22" i="37"/>
  <c r="H25" i="37"/>
  <c r="K31" i="37"/>
  <c r="K32" i="37"/>
  <c r="K33" i="37"/>
  <c r="N23" i="36"/>
  <c r="G30" i="36"/>
  <c r="H30" i="36" s="1"/>
  <c r="G29" i="36"/>
  <c r="H29" i="36" s="1"/>
  <c r="H27" i="36"/>
  <c r="H26" i="36"/>
  <c r="K32" i="36"/>
  <c r="K33" i="36"/>
  <c r="K34" i="36"/>
  <c r="N21" i="37" l="1"/>
  <c r="O21" i="37" s="1"/>
  <c r="N19" i="36"/>
  <c r="O19" i="36" s="1"/>
  <c r="O18" i="37"/>
  <c r="J18" i="4" l="1"/>
  <c r="F18" i="4"/>
  <c r="K10" i="21"/>
  <c r="M9" i="21"/>
  <c r="M10" i="21"/>
  <c r="M18" i="21"/>
  <c r="M17" i="21"/>
  <c r="M16" i="21"/>
  <c r="K12" i="21"/>
  <c r="K14" i="21"/>
  <c r="K18" i="21"/>
  <c r="K17" i="21"/>
  <c r="K16" i="21"/>
  <c r="K20" i="21"/>
  <c r="K9" i="21"/>
  <c r="F20" i="39" l="1"/>
  <c r="H20" i="39" s="1"/>
  <c r="F20" i="38"/>
  <c r="H20" i="38" s="1"/>
  <c r="F21" i="36"/>
  <c r="H21" i="36" s="1"/>
  <c r="F20" i="37"/>
  <c r="H20" i="37" s="1"/>
  <c r="F16" i="44"/>
  <c r="H16" i="44" s="1"/>
  <c r="F15" i="44"/>
  <c r="H15" i="44" s="1"/>
  <c r="H19" i="44" l="1"/>
  <c r="H25" i="44" s="1"/>
  <c r="H28" i="44" s="1"/>
  <c r="H34" i="44" s="1"/>
  <c r="F15" i="38"/>
  <c r="H15" i="38" s="1"/>
  <c r="F15" i="39"/>
  <c r="H15" i="39" s="1"/>
  <c r="F16" i="39"/>
  <c r="H16" i="39" s="1"/>
  <c r="F16" i="38"/>
  <c r="H16" i="38" s="1"/>
  <c r="K14" i="10"/>
  <c r="F19" i="21" l="1"/>
  <c r="H19" i="39"/>
  <c r="H36" i="44"/>
  <c r="H35" i="44"/>
  <c r="H19" i="38"/>
  <c r="J34" i="10"/>
  <c r="J37" i="4"/>
  <c r="H37" i="44" l="1"/>
  <c r="F35" i="21" s="1"/>
  <c r="F16" i="21"/>
  <c r="F17" i="21"/>
  <c r="J37" i="45"/>
  <c r="J38" i="2"/>
  <c r="G32" i="4"/>
  <c r="G31" i="4"/>
  <c r="G33" i="2"/>
  <c r="G32" i="2"/>
  <c r="K27" i="45" l="1"/>
  <c r="K24" i="45"/>
  <c r="J40" i="44"/>
  <c r="J40" i="42"/>
  <c r="J41" i="40"/>
  <c r="J41" i="38"/>
  <c r="J41" i="39"/>
  <c r="J42" i="36"/>
  <c r="J41" i="37"/>
  <c r="B17" i="2"/>
  <c r="K25" i="45" l="1"/>
  <c r="L25" i="45" s="1"/>
  <c r="N25" i="45" s="1"/>
  <c r="O25" i="45" s="1"/>
  <c r="L24" i="45"/>
  <c r="N24" i="45" s="1"/>
  <c r="O24" i="45" s="1"/>
  <c r="L27" i="45"/>
  <c r="K28" i="45"/>
  <c r="K21" i="40"/>
  <c r="L21" i="40" s="1"/>
  <c r="N21" i="40" s="1"/>
  <c r="O21" i="40" s="1"/>
  <c r="K27" i="40"/>
  <c r="K26" i="42"/>
  <c r="K20" i="42"/>
  <c r="L20" i="42" s="1"/>
  <c r="N20" i="42" s="1"/>
  <c r="O20" i="42" s="1"/>
  <c r="K26" i="44"/>
  <c r="K20" i="44"/>
  <c r="L20" i="44" s="1"/>
  <c r="N20" i="44" s="1"/>
  <c r="O20" i="44" s="1"/>
  <c r="K20" i="39"/>
  <c r="K25" i="39"/>
  <c r="K20" i="38"/>
  <c r="K25" i="38"/>
  <c r="K20" i="37"/>
  <c r="K25" i="37"/>
  <c r="K26" i="36"/>
  <c r="K21" i="36"/>
  <c r="F15" i="45"/>
  <c r="H15" i="45" s="1"/>
  <c r="F14" i="45"/>
  <c r="H14" i="45" s="1"/>
  <c r="J15" i="45"/>
  <c r="L15" i="45" s="1"/>
  <c r="J14" i="45"/>
  <c r="L14" i="45" s="1"/>
  <c r="A44" i="3"/>
  <c r="A30" i="3"/>
  <c r="A45" i="3" s="1"/>
  <c r="A58" i="3" s="1"/>
  <c r="A29" i="3"/>
  <c r="A43" i="3" s="1"/>
  <c r="A57" i="3" s="1"/>
  <c r="A27" i="3"/>
  <c r="A26" i="3"/>
  <c r="A21" i="3"/>
  <c r="A20" i="3"/>
  <c r="A28" i="3"/>
  <c r="A42" i="3" s="1"/>
  <c r="A56" i="3" s="1"/>
  <c r="A23" i="3"/>
  <c r="A37" i="3" s="1"/>
  <c r="A22" i="3"/>
  <c r="A51" i="3" l="1"/>
  <c r="B22" i="44"/>
  <c r="A36" i="3"/>
  <c r="B21" i="44" s="1"/>
  <c r="B19" i="45"/>
  <c r="N15" i="45"/>
  <c r="O15" i="45" s="1"/>
  <c r="K30" i="45"/>
  <c r="L30" i="45" s="1"/>
  <c r="N30" i="45" s="1"/>
  <c r="O30" i="45" s="1"/>
  <c r="L28" i="45"/>
  <c r="N28" i="45" s="1"/>
  <c r="O28" i="45" s="1"/>
  <c r="N27" i="45"/>
  <c r="O27" i="45" s="1"/>
  <c r="H17" i="45"/>
  <c r="N14" i="45"/>
  <c r="O15" i="21" s="1"/>
  <c r="P15" i="21" s="1"/>
  <c r="L17" i="45"/>
  <c r="J15" i="37"/>
  <c r="L15" i="37" s="1"/>
  <c r="J15" i="42"/>
  <c r="L15" i="42" s="1"/>
  <c r="F15" i="37"/>
  <c r="H15" i="37" s="1"/>
  <c r="F15" i="42"/>
  <c r="H15" i="42" s="1"/>
  <c r="J16" i="37"/>
  <c r="L16" i="37" s="1"/>
  <c r="J16" i="42"/>
  <c r="L16" i="42" s="1"/>
  <c r="K27" i="42"/>
  <c r="L26" i="42"/>
  <c r="N26" i="42" s="1"/>
  <c r="O26" i="42" s="1"/>
  <c r="L27" i="40"/>
  <c r="N27" i="40" s="1"/>
  <c r="O27" i="40" s="1"/>
  <c r="K28" i="40"/>
  <c r="F15" i="36"/>
  <c r="H15" i="36" s="1"/>
  <c r="F15" i="40"/>
  <c r="H15" i="40" s="1"/>
  <c r="F16" i="36"/>
  <c r="H16" i="36" s="1"/>
  <c r="F16" i="40"/>
  <c r="H16" i="40" s="1"/>
  <c r="F16" i="37"/>
  <c r="H16" i="37" s="1"/>
  <c r="F16" i="42"/>
  <c r="H16" i="42" s="1"/>
  <c r="K27" i="44"/>
  <c r="L26" i="44"/>
  <c r="N26" i="44" s="1"/>
  <c r="O26" i="44" s="1"/>
  <c r="F23" i="39"/>
  <c r="H23" i="39" s="1"/>
  <c r="F23" i="38"/>
  <c r="H23" i="38" s="1"/>
  <c r="J33" i="39"/>
  <c r="L33" i="39" s="1"/>
  <c r="N33" i="39" s="1"/>
  <c r="O33" i="39" s="1"/>
  <c r="J33" i="38"/>
  <c r="L33" i="38" s="1"/>
  <c r="N33" i="38" s="1"/>
  <c r="O33" i="38" s="1"/>
  <c r="J34" i="36"/>
  <c r="L34" i="36" s="1"/>
  <c r="N34" i="36" s="1"/>
  <c r="O34" i="36" s="1"/>
  <c r="J33" i="37"/>
  <c r="L33" i="37" s="1"/>
  <c r="N33" i="37" s="1"/>
  <c r="O33" i="37" s="1"/>
  <c r="F30" i="39"/>
  <c r="H30" i="39" s="1"/>
  <c r="F30" i="38"/>
  <c r="H30" i="38" s="1"/>
  <c r="B21" i="39"/>
  <c r="B21" i="38"/>
  <c r="F28" i="39"/>
  <c r="H28" i="39" s="1"/>
  <c r="F28" i="38"/>
  <c r="H28" i="38" s="1"/>
  <c r="J25" i="39"/>
  <c r="L25" i="39" s="1"/>
  <c r="N25" i="39" s="1"/>
  <c r="O25" i="39" s="1"/>
  <c r="J25" i="38"/>
  <c r="L25" i="38" s="1"/>
  <c r="N25" i="38" s="1"/>
  <c r="O25" i="38" s="1"/>
  <c r="J31" i="38"/>
  <c r="L31" i="38" s="1"/>
  <c r="N31" i="38" s="1"/>
  <c r="O31" i="38" s="1"/>
  <c r="J31" i="39"/>
  <c r="L31" i="39" s="1"/>
  <c r="N31" i="39" s="1"/>
  <c r="O31" i="39" s="1"/>
  <c r="J32" i="36"/>
  <c r="L32" i="36" s="1"/>
  <c r="N32" i="36" s="1"/>
  <c r="O32" i="36" s="1"/>
  <c r="J31" i="37"/>
  <c r="L31" i="37" s="1"/>
  <c r="N31" i="37" s="1"/>
  <c r="O31" i="37" s="1"/>
  <c r="F29" i="39"/>
  <c r="H29" i="39" s="1"/>
  <c r="F29" i="38"/>
  <c r="H29" i="38" s="1"/>
  <c r="J26" i="39"/>
  <c r="J26" i="38"/>
  <c r="J32" i="39"/>
  <c r="L32" i="39" s="1"/>
  <c r="N32" i="39" s="1"/>
  <c r="O32" i="39" s="1"/>
  <c r="J32" i="38"/>
  <c r="L32" i="38" s="1"/>
  <c r="N32" i="38" s="1"/>
  <c r="O32" i="38" s="1"/>
  <c r="J32" i="37"/>
  <c r="L32" i="37" s="1"/>
  <c r="N32" i="37" s="1"/>
  <c r="O32" i="37" s="1"/>
  <c r="J33" i="36"/>
  <c r="L33" i="36" s="1"/>
  <c r="N33" i="36" s="1"/>
  <c r="O33" i="36" s="1"/>
  <c r="K26" i="39"/>
  <c r="K26" i="38"/>
  <c r="K27" i="36"/>
  <c r="L26" i="36"/>
  <c r="N26" i="36" s="1"/>
  <c r="O26" i="36" s="1"/>
  <c r="J24" i="36"/>
  <c r="L24" i="36" s="1"/>
  <c r="N24" i="36" s="1"/>
  <c r="J23" i="37"/>
  <c r="L23" i="37" s="1"/>
  <c r="N23" i="37" s="1"/>
  <c r="K26" i="37"/>
  <c r="L25" i="37"/>
  <c r="N25" i="37" s="1"/>
  <c r="O25" i="37" s="1"/>
  <c r="J29" i="36"/>
  <c r="J28" i="37"/>
  <c r="J30" i="36"/>
  <c r="J29" i="37"/>
  <c r="J31" i="36"/>
  <c r="L31" i="36" s="1"/>
  <c r="N31" i="36" s="1"/>
  <c r="O31" i="36" s="1"/>
  <c r="J30" i="37"/>
  <c r="L30" i="37" s="1"/>
  <c r="N30" i="37" s="1"/>
  <c r="O30" i="37" s="1"/>
  <c r="H19" i="37"/>
  <c r="A50" i="3"/>
  <c r="B21" i="4"/>
  <c r="F21" i="2"/>
  <c r="F22" i="2"/>
  <c r="H24" i="39" l="1"/>
  <c r="H27" i="39" s="1"/>
  <c r="H35" i="39" s="1"/>
  <c r="H24" i="38"/>
  <c r="H27" i="38" s="1"/>
  <c r="H35" i="38" s="1"/>
  <c r="L19" i="37"/>
  <c r="G12" i="21" s="1"/>
  <c r="H17" i="36"/>
  <c r="N16" i="37"/>
  <c r="O16" i="37" s="1"/>
  <c r="N15" i="37"/>
  <c r="O15" i="37" s="1"/>
  <c r="O14" i="45"/>
  <c r="G15" i="21"/>
  <c r="N17" i="45"/>
  <c r="L23" i="45"/>
  <c r="F15" i="21"/>
  <c r="H23" i="45"/>
  <c r="K30" i="42"/>
  <c r="L30" i="42" s="1"/>
  <c r="N30" i="42" s="1"/>
  <c r="O30" i="42" s="1"/>
  <c r="K29" i="42"/>
  <c r="L29" i="42" s="1"/>
  <c r="L27" i="42"/>
  <c r="N27" i="42" s="1"/>
  <c r="O27" i="42" s="1"/>
  <c r="H17" i="40"/>
  <c r="H20" i="40" s="1"/>
  <c r="H19" i="42"/>
  <c r="K31" i="40"/>
  <c r="L31" i="40" s="1"/>
  <c r="N31" i="40" s="1"/>
  <c r="O31" i="40" s="1"/>
  <c r="K30" i="40"/>
  <c r="L30" i="40" s="1"/>
  <c r="L28" i="40"/>
  <c r="N28" i="40" s="1"/>
  <c r="O28" i="40" s="1"/>
  <c r="N16" i="42"/>
  <c r="O16" i="42" s="1"/>
  <c r="N15" i="42"/>
  <c r="L19" i="42"/>
  <c r="K30" i="44"/>
  <c r="L30" i="44" s="1"/>
  <c r="N30" i="44" s="1"/>
  <c r="O30" i="44" s="1"/>
  <c r="L27" i="44"/>
  <c r="N27" i="44" s="1"/>
  <c r="O27" i="44" s="1"/>
  <c r="K29" i="44"/>
  <c r="L29" i="44" s="1"/>
  <c r="J20" i="39"/>
  <c r="L20" i="39" s="1"/>
  <c r="N20" i="39" s="1"/>
  <c r="O20" i="39" s="1"/>
  <c r="J20" i="38"/>
  <c r="L20" i="38" s="1"/>
  <c r="N20" i="38" s="1"/>
  <c r="O20" i="38" s="1"/>
  <c r="J21" i="36"/>
  <c r="L21" i="36" s="1"/>
  <c r="N21" i="36" s="1"/>
  <c r="O21" i="36" s="1"/>
  <c r="J20" i="37"/>
  <c r="L20" i="37" s="1"/>
  <c r="N20" i="37" s="1"/>
  <c r="O20" i="37" s="1"/>
  <c r="J23" i="39"/>
  <c r="L23" i="39" s="1"/>
  <c r="N23" i="39" s="1"/>
  <c r="J23" i="38"/>
  <c r="L23" i="38" s="1"/>
  <c r="N23" i="38" s="1"/>
  <c r="J28" i="39"/>
  <c r="J28" i="38"/>
  <c r="J30" i="39"/>
  <c r="L30" i="39" s="1"/>
  <c r="N30" i="39" s="1"/>
  <c r="O30" i="39" s="1"/>
  <c r="J30" i="38"/>
  <c r="L30" i="38" s="1"/>
  <c r="N30" i="38" s="1"/>
  <c r="O30" i="38" s="1"/>
  <c r="J29" i="39"/>
  <c r="J29" i="38"/>
  <c r="K29" i="38"/>
  <c r="L29" i="38" s="1"/>
  <c r="N29" i="38" s="1"/>
  <c r="O29" i="38" s="1"/>
  <c r="K28" i="38"/>
  <c r="L28" i="38" s="1"/>
  <c r="L26" i="38"/>
  <c r="N26" i="38" s="1"/>
  <c r="O26" i="38" s="1"/>
  <c r="K29" i="39"/>
  <c r="K28" i="39"/>
  <c r="L26" i="39"/>
  <c r="N26" i="39" s="1"/>
  <c r="O26" i="39" s="1"/>
  <c r="N19" i="37"/>
  <c r="F12" i="21"/>
  <c r="H24" i="37"/>
  <c r="H27" i="37" s="1"/>
  <c r="L27" i="36"/>
  <c r="N27" i="36" s="1"/>
  <c r="O27" i="36" s="1"/>
  <c r="K30" i="36"/>
  <c r="L30" i="36" s="1"/>
  <c r="N30" i="36" s="1"/>
  <c r="O30" i="36" s="1"/>
  <c r="K29" i="36"/>
  <c r="L29" i="36" s="1"/>
  <c r="K29" i="37"/>
  <c r="L29" i="37" s="1"/>
  <c r="N29" i="37" s="1"/>
  <c r="O29" i="37" s="1"/>
  <c r="K28" i="37"/>
  <c r="L28" i="37" s="1"/>
  <c r="L26" i="37"/>
  <c r="N26" i="37" s="1"/>
  <c r="O26" i="37" s="1"/>
  <c r="H20" i="36"/>
  <c r="J21" i="2"/>
  <c r="H22" i="10"/>
  <c r="L22" i="10"/>
  <c r="K20" i="10"/>
  <c r="K19" i="10"/>
  <c r="G20" i="10"/>
  <c r="G19" i="10"/>
  <c r="L16" i="21"/>
  <c r="L17" i="21"/>
  <c r="L9" i="21"/>
  <c r="G20" i="14"/>
  <c r="K20" i="14"/>
  <c r="N22" i="10" l="1"/>
  <c r="L28" i="39"/>
  <c r="O12" i="21"/>
  <c r="P12" i="21" s="1"/>
  <c r="H15" i="21"/>
  <c r="I15" i="21" s="1"/>
  <c r="N23" i="45"/>
  <c r="S15" i="21" s="1"/>
  <c r="L26" i="45"/>
  <c r="O17" i="45"/>
  <c r="R15" i="21" s="1"/>
  <c r="Q15" i="21"/>
  <c r="H26" i="45"/>
  <c r="F11" i="21"/>
  <c r="H26" i="40"/>
  <c r="O19" i="37"/>
  <c r="R12" i="21" s="1"/>
  <c r="Q12" i="21"/>
  <c r="L25" i="42"/>
  <c r="G13" i="21"/>
  <c r="N19" i="42"/>
  <c r="N30" i="40"/>
  <c r="O30" i="40" s="1"/>
  <c r="N29" i="42"/>
  <c r="O29" i="42" s="1"/>
  <c r="F13" i="21"/>
  <c r="H25" i="42"/>
  <c r="N29" i="44"/>
  <c r="O29" i="44" s="1"/>
  <c r="O15" i="42"/>
  <c r="O13" i="21"/>
  <c r="P13" i="21" s="1"/>
  <c r="L29" i="39"/>
  <c r="N29" i="39" s="1"/>
  <c r="O29" i="39" s="1"/>
  <c r="H36" i="39"/>
  <c r="H37" i="39"/>
  <c r="H37" i="38"/>
  <c r="H36" i="38"/>
  <c r="L24" i="37"/>
  <c r="N24" i="37" s="1"/>
  <c r="N28" i="38"/>
  <c r="O28" i="38" s="1"/>
  <c r="N28" i="39"/>
  <c r="O28" i="39" s="1"/>
  <c r="F9" i="21"/>
  <c r="H25" i="36"/>
  <c r="H28" i="36" s="1"/>
  <c r="H35" i="37"/>
  <c r="N28" i="37"/>
  <c r="O28" i="37" s="1"/>
  <c r="N29" i="36"/>
  <c r="O29" i="36" s="1"/>
  <c r="O23" i="45" l="1"/>
  <c r="T15" i="21" s="1"/>
  <c r="L27" i="37"/>
  <c r="N27" i="37" s="1"/>
  <c r="H38" i="39"/>
  <c r="F32" i="21" s="1"/>
  <c r="H32" i="45"/>
  <c r="N26" i="45"/>
  <c r="U15" i="21" s="1"/>
  <c r="L32" i="45"/>
  <c r="O24" i="37"/>
  <c r="T12" i="21" s="1"/>
  <c r="S12" i="21"/>
  <c r="O19" i="42"/>
  <c r="R13" i="21" s="1"/>
  <c r="Q13" i="21"/>
  <c r="H13" i="21"/>
  <c r="I13" i="21" s="1"/>
  <c r="H29" i="40"/>
  <c r="H35" i="40" s="1"/>
  <c r="O27" i="37"/>
  <c r="V12" i="21" s="1"/>
  <c r="U12" i="21"/>
  <c r="H28" i="42"/>
  <c r="H34" i="42" s="1"/>
  <c r="N25" i="42"/>
  <c r="S13" i="21" s="1"/>
  <c r="L28" i="42"/>
  <c r="H38" i="38"/>
  <c r="F33" i="21" s="1"/>
  <c r="H36" i="36"/>
  <c r="L35" i="37"/>
  <c r="H37" i="37"/>
  <c r="H36" i="37"/>
  <c r="L33" i="45" l="1"/>
  <c r="L34" i="45" s="1"/>
  <c r="O26" i="45"/>
  <c r="V15" i="21" s="1"/>
  <c r="N32" i="45"/>
  <c r="O32" i="45" s="1"/>
  <c r="H33" i="45"/>
  <c r="H34" i="45" s="1"/>
  <c r="H36" i="42"/>
  <c r="H35" i="42"/>
  <c r="N28" i="42"/>
  <c r="L34" i="42"/>
  <c r="H37" i="40"/>
  <c r="H36" i="40"/>
  <c r="H38" i="40" s="1"/>
  <c r="O25" i="42"/>
  <c r="T13" i="21" s="1"/>
  <c r="H38" i="37"/>
  <c r="F28" i="21" s="1"/>
  <c r="L36" i="37"/>
  <c r="N36" i="37" s="1"/>
  <c r="O36" i="37" s="1"/>
  <c r="L37" i="37"/>
  <c r="N37" i="37" s="1"/>
  <c r="O37" i="37" s="1"/>
  <c r="N35" i="37"/>
  <c r="O35" i="37" s="1"/>
  <c r="H38" i="36"/>
  <c r="H37" i="36"/>
  <c r="H37" i="42" l="1"/>
  <c r="F29" i="21" s="1"/>
  <c r="F31" i="21"/>
  <c r="G31" i="21"/>
  <c r="N34" i="45"/>
  <c r="W15" i="21" s="1"/>
  <c r="N33" i="45"/>
  <c r="O33" i="45" s="1"/>
  <c r="F27" i="21"/>
  <c r="O28" i="42"/>
  <c r="V13" i="21" s="1"/>
  <c r="U13" i="21"/>
  <c r="L36" i="42"/>
  <c r="N36" i="42" s="1"/>
  <c r="O36" i="42" s="1"/>
  <c r="L35" i="42"/>
  <c r="N35" i="42" s="1"/>
  <c r="O35" i="42" s="1"/>
  <c r="N34" i="42"/>
  <c r="O34" i="42" s="1"/>
  <c r="H39" i="36"/>
  <c r="L38" i="37"/>
  <c r="H31" i="21" l="1"/>
  <c r="O34" i="45"/>
  <c r="X15" i="21" s="1"/>
  <c r="I31" i="21"/>
  <c r="L37" i="42"/>
  <c r="G28" i="21"/>
  <c r="N38" i="37"/>
  <c r="F25" i="21"/>
  <c r="L12" i="21"/>
  <c r="O38" i="37" l="1"/>
  <c r="X12" i="21" s="1"/>
  <c r="W12" i="21"/>
  <c r="G29" i="21"/>
  <c r="H29" i="21" s="1"/>
  <c r="I29" i="21" s="1"/>
  <c r="N37" i="42"/>
  <c r="D20" i="21"/>
  <c r="C20" i="21"/>
  <c r="C18" i="21"/>
  <c r="D14" i="21"/>
  <c r="C14" i="21"/>
  <c r="C10" i="21"/>
  <c r="O37" i="42" l="1"/>
  <c r="X13" i="21" s="1"/>
  <c r="W13" i="21"/>
  <c r="M14" i="21"/>
  <c r="D30" i="21"/>
  <c r="L18" i="21"/>
  <c r="C34" i="21"/>
  <c r="L10" i="21"/>
  <c r="C26" i="21"/>
  <c r="L20" i="21"/>
  <c r="C36" i="21"/>
  <c r="L14" i="21"/>
  <c r="C30" i="21"/>
  <c r="M20" i="21"/>
  <c r="D36" i="21"/>
  <c r="H12" i="21"/>
  <c r="J20" i="10"/>
  <c r="J19" i="10"/>
  <c r="F20" i="10"/>
  <c r="F19" i="10"/>
  <c r="B20" i="10"/>
  <c r="B19" i="10"/>
  <c r="J21" i="4"/>
  <c r="F21" i="4"/>
  <c r="J20" i="14"/>
  <c r="J19" i="14"/>
  <c r="F20" i="14"/>
  <c r="F19" i="14"/>
  <c r="B20" i="14"/>
  <c r="B19" i="14"/>
  <c r="J22" i="2"/>
  <c r="B22" i="2"/>
  <c r="I12" i="21" l="1"/>
  <c r="H28" i="21" l="1"/>
  <c r="I28" i="21" s="1"/>
  <c r="K16" i="10" l="1"/>
  <c r="G16" i="10"/>
  <c r="J37" i="14"/>
  <c r="F37" i="14"/>
  <c r="J30" i="14"/>
  <c r="F30" i="14"/>
  <c r="J29" i="14"/>
  <c r="L29" i="14" s="1"/>
  <c r="F29" i="14"/>
  <c r="H29" i="14" s="1"/>
  <c r="J28" i="14"/>
  <c r="F28" i="14"/>
  <c r="J27" i="14"/>
  <c r="F27" i="14"/>
  <c r="J25" i="14"/>
  <c r="F25" i="14"/>
  <c r="J24" i="14"/>
  <c r="F24" i="14"/>
  <c r="L22" i="14"/>
  <c r="H22" i="14"/>
  <c r="K21" i="14"/>
  <c r="L21" i="14" s="1"/>
  <c r="G21" i="14"/>
  <c r="H21" i="14" s="1"/>
  <c r="O21" i="14" s="1"/>
  <c r="L20" i="14"/>
  <c r="H20" i="14"/>
  <c r="K19" i="14"/>
  <c r="L19" i="14" s="1"/>
  <c r="G19" i="14"/>
  <c r="H19" i="14" s="1"/>
  <c r="K16" i="14"/>
  <c r="G16" i="14"/>
  <c r="K15" i="14"/>
  <c r="J15" i="14"/>
  <c r="G15" i="14"/>
  <c r="F15" i="14"/>
  <c r="J14" i="14"/>
  <c r="L14" i="14" s="1"/>
  <c r="F14" i="14"/>
  <c r="H14" i="14" s="1"/>
  <c r="N22" i="14" l="1"/>
  <c r="L16" i="14"/>
  <c r="N19" i="14"/>
  <c r="O19" i="14" s="1"/>
  <c r="N20" i="14"/>
  <c r="O20" i="14" s="1"/>
  <c r="N21" i="14"/>
  <c r="H16" i="14"/>
  <c r="H15" i="14"/>
  <c r="N29" i="14"/>
  <c r="O29" i="14" s="1"/>
  <c r="L18" i="14"/>
  <c r="G27" i="14"/>
  <c r="G24" i="14"/>
  <c r="N14" i="14"/>
  <c r="L15" i="14"/>
  <c r="H18" i="14"/>
  <c r="K24" i="14"/>
  <c r="K27" i="14"/>
  <c r="O14" i="14" l="1"/>
  <c r="N16" i="14"/>
  <c r="O16" i="14" s="1"/>
  <c r="L27" i="14"/>
  <c r="K28" i="14"/>
  <c r="G25" i="14"/>
  <c r="H25" i="14" s="1"/>
  <c r="H24" i="14"/>
  <c r="L24" i="14"/>
  <c r="K25" i="14"/>
  <c r="L25" i="14" s="1"/>
  <c r="N15" i="14"/>
  <c r="O15" i="14" s="1"/>
  <c r="L17" i="14"/>
  <c r="G28" i="14"/>
  <c r="H27" i="14"/>
  <c r="H17" i="14"/>
  <c r="N18" i="14"/>
  <c r="O18" i="14" s="1"/>
  <c r="O14" i="21" l="1"/>
  <c r="P14" i="21" s="1"/>
  <c r="L28" i="14"/>
  <c r="K30" i="14"/>
  <c r="L30" i="14" s="1"/>
  <c r="H28" i="14"/>
  <c r="N28" i="14" s="1"/>
  <c r="O28" i="14" s="1"/>
  <c r="G30" i="14"/>
  <c r="H30" i="14" s="1"/>
  <c r="F14" i="21"/>
  <c r="H23" i="14"/>
  <c r="G14" i="21"/>
  <c r="L23" i="14"/>
  <c r="N25" i="14"/>
  <c r="O25" i="14" s="1"/>
  <c r="N24" i="14"/>
  <c r="O24" i="14" s="1"/>
  <c r="N17" i="14"/>
  <c r="N27" i="14"/>
  <c r="O27" i="14" s="1"/>
  <c r="J29" i="10"/>
  <c r="L29" i="10" s="1"/>
  <c r="F29" i="10"/>
  <c r="H29" i="10" s="1"/>
  <c r="J28" i="10"/>
  <c r="F28" i="10"/>
  <c r="J27" i="10"/>
  <c r="F27" i="10"/>
  <c r="J25" i="10"/>
  <c r="J24" i="10"/>
  <c r="F25" i="10"/>
  <c r="F24" i="10"/>
  <c r="K15" i="10"/>
  <c r="G15" i="10"/>
  <c r="F15" i="10"/>
  <c r="F14" i="10"/>
  <c r="H14" i="10" s="1"/>
  <c r="J38" i="10"/>
  <c r="K18" i="10" s="1"/>
  <c r="F38" i="10"/>
  <c r="G27" i="10" s="1"/>
  <c r="K30" i="10"/>
  <c r="J30" i="10"/>
  <c r="G30" i="10"/>
  <c r="F30" i="10"/>
  <c r="J18" i="10"/>
  <c r="F18" i="10"/>
  <c r="L21" i="10"/>
  <c r="H21" i="10"/>
  <c r="O21" i="10" s="1"/>
  <c r="L20" i="10"/>
  <c r="H20" i="10"/>
  <c r="L19" i="10"/>
  <c r="H19" i="10"/>
  <c r="L16" i="10"/>
  <c r="H16" i="10"/>
  <c r="O17" i="14" l="1"/>
  <c r="R14" i="21" s="1"/>
  <c r="Q14" i="21"/>
  <c r="N30" i="14"/>
  <c r="O30" i="14" s="1"/>
  <c r="N20" i="10"/>
  <c r="O20" i="10" s="1"/>
  <c r="N16" i="10"/>
  <c r="O16" i="10" s="1"/>
  <c r="L26" i="14"/>
  <c r="N23" i="14"/>
  <c r="H26" i="14"/>
  <c r="G24" i="10"/>
  <c r="H24" i="10" s="1"/>
  <c r="G18" i="10"/>
  <c r="H18" i="10" s="1"/>
  <c r="H30" i="10"/>
  <c r="L30" i="10"/>
  <c r="N29" i="10"/>
  <c r="O29" i="10" s="1"/>
  <c r="H27" i="10"/>
  <c r="N19" i="10"/>
  <c r="O19" i="10" s="1"/>
  <c r="N21" i="10"/>
  <c r="H15" i="10"/>
  <c r="K27" i="10"/>
  <c r="K24" i="10"/>
  <c r="L18" i="10"/>
  <c r="G28" i="10"/>
  <c r="H28" i="10" s="1"/>
  <c r="O23" i="14" l="1"/>
  <c r="T14" i="21" s="1"/>
  <c r="S14" i="21"/>
  <c r="H14" i="21"/>
  <c r="N26" i="14"/>
  <c r="L32" i="14"/>
  <c r="H32" i="14"/>
  <c r="G25" i="10"/>
  <c r="H25" i="10" s="1"/>
  <c r="N18" i="10"/>
  <c r="O18" i="10" s="1"/>
  <c r="N30" i="10"/>
  <c r="O30" i="10" s="1"/>
  <c r="L24" i="10"/>
  <c r="N24" i="10" s="1"/>
  <c r="O24" i="10" s="1"/>
  <c r="K25" i="10"/>
  <c r="L25" i="10" s="1"/>
  <c r="L27" i="10"/>
  <c r="K28" i="10"/>
  <c r="L28" i="10" s="1"/>
  <c r="N28" i="10" s="1"/>
  <c r="O28" i="10" s="1"/>
  <c r="H17" i="10"/>
  <c r="O26" i="14" l="1"/>
  <c r="V14" i="21" s="1"/>
  <c r="U14" i="21"/>
  <c r="F20" i="21"/>
  <c r="H23" i="10"/>
  <c r="I14" i="21"/>
  <c r="N32" i="14"/>
  <c r="O32" i="14" s="1"/>
  <c r="L33" i="14"/>
  <c r="L34" i="14" s="1"/>
  <c r="G30" i="21" s="1"/>
  <c r="H33" i="14"/>
  <c r="N25" i="10"/>
  <c r="O25" i="10" s="1"/>
  <c r="N27" i="10"/>
  <c r="O27" i="10" s="1"/>
  <c r="H34" i="14" l="1"/>
  <c r="F30" i="21" s="1"/>
  <c r="N33" i="14"/>
  <c r="O33" i="14" s="1"/>
  <c r="H26" i="10"/>
  <c r="N34" i="14" l="1"/>
  <c r="H30" i="21"/>
  <c r="I30" i="21" s="1"/>
  <c r="H32" i="10"/>
  <c r="O34" i="14" l="1"/>
  <c r="X14" i="21" s="1"/>
  <c r="W14" i="21"/>
  <c r="H34" i="10"/>
  <c r="H33" i="10"/>
  <c r="H35" i="10" l="1"/>
  <c r="F36" i="21" s="1"/>
  <c r="J30" i="4" l="1"/>
  <c r="L30" i="4" s="1"/>
  <c r="F30" i="4"/>
  <c r="H30" i="4" s="1"/>
  <c r="J29" i="4"/>
  <c r="J28" i="4"/>
  <c r="F29" i="4"/>
  <c r="F28" i="4"/>
  <c r="J26" i="4"/>
  <c r="J25" i="4"/>
  <c r="F25" i="4"/>
  <c r="F26" i="4"/>
  <c r="J23" i="4"/>
  <c r="L23" i="4" s="1"/>
  <c r="F23" i="4"/>
  <c r="H23" i="4" s="1"/>
  <c r="F16" i="4"/>
  <c r="F15" i="4"/>
  <c r="H15" i="4" s="1"/>
  <c r="J41" i="4"/>
  <c r="K25" i="4" s="1"/>
  <c r="F41" i="4"/>
  <c r="G25" i="4" s="1"/>
  <c r="J33" i="4"/>
  <c r="G33" i="4"/>
  <c r="K33" i="4" s="1"/>
  <c r="F33" i="4"/>
  <c r="J32" i="4"/>
  <c r="K32" i="4"/>
  <c r="F32" i="4"/>
  <c r="J31" i="4"/>
  <c r="K31" i="4"/>
  <c r="F31" i="4"/>
  <c r="K22" i="4"/>
  <c r="L22" i="4" s="1"/>
  <c r="G22" i="4"/>
  <c r="H22" i="4" s="1"/>
  <c r="O22" i="4" s="1"/>
  <c r="K21" i="4"/>
  <c r="L21" i="4" s="1"/>
  <c r="G21" i="4"/>
  <c r="H21" i="4" s="1"/>
  <c r="K18" i="4"/>
  <c r="G18" i="4"/>
  <c r="K16" i="4"/>
  <c r="G16" i="4"/>
  <c r="J34" i="2"/>
  <c r="F34" i="2"/>
  <c r="L31" i="4" l="1"/>
  <c r="H16" i="4"/>
  <c r="H18" i="4"/>
  <c r="K20" i="4"/>
  <c r="L33" i="4"/>
  <c r="L18" i="4"/>
  <c r="H25" i="4"/>
  <c r="N30" i="4"/>
  <c r="O30" i="4" s="1"/>
  <c r="L32" i="4"/>
  <c r="G20" i="4"/>
  <c r="N23" i="4"/>
  <c r="N21" i="4"/>
  <c r="O21" i="4" s="1"/>
  <c r="N22" i="4"/>
  <c r="L25" i="4"/>
  <c r="K26" i="4"/>
  <c r="H31" i="4"/>
  <c r="H32" i="4"/>
  <c r="H33" i="4"/>
  <c r="G26" i="4"/>
  <c r="F32" i="2"/>
  <c r="F33" i="2"/>
  <c r="J32" i="2"/>
  <c r="J33" i="2"/>
  <c r="J31" i="2"/>
  <c r="F31" i="2"/>
  <c r="J30" i="2"/>
  <c r="F30" i="2"/>
  <c r="J29" i="2"/>
  <c r="F29" i="2"/>
  <c r="J27" i="2"/>
  <c r="J26" i="2"/>
  <c r="F27" i="2"/>
  <c r="F26" i="2"/>
  <c r="J42" i="2"/>
  <c r="F42" i="2"/>
  <c r="F16" i="2"/>
  <c r="F15" i="2"/>
  <c r="J24" i="2"/>
  <c r="F24" i="2"/>
  <c r="N31" i="4" l="1"/>
  <c r="O31" i="4" s="1"/>
  <c r="N18" i="4"/>
  <c r="O18" i="4" s="1"/>
  <c r="H20" i="4"/>
  <c r="N25" i="4"/>
  <c r="O25" i="4" s="1"/>
  <c r="L20" i="4"/>
  <c r="H19" i="4"/>
  <c r="L26" i="4"/>
  <c r="K29" i="4"/>
  <c r="L29" i="4" s="1"/>
  <c r="K28" i="4"/>
  <c r="L28" i="4" s="1"/>
  <c r="N33" i="4"/>
  <c r="O33" i="4" s="1"/>
  <c r="H26" i="4"/>
  <c r="G29" i="4"/>
  <c r="H29" i="4" s="1"/>
  <c r="G28" i="4"/>
  <c r="H28" i="4" s="1"/>
  <c r="N32" i="4"/>
  <c r="O32" i="4" s="1"/>
  <c r="G34" i="2"/>
  <c r="K34" i="2" s="1"/>
  <c r="L34" i="2" s="1"/>
  <c r="K33" i="2"/>
  <c r="L33" i="2" s="1"/>
  <c r="K32" i="2"/>
  <c r="L32" i="2" s="1"/>
  <c r="L31" i="2"/>
  <c r="H31" i="2"/>
  <c r="K26" i="2"/>
  <c r="K27" i="2" s="1"/>
  <c r="G26" i="2"/>
  <c r="G27" i="2" s="1"/>
  <c r="L24" i="2"/>
  <c r="H24" i="2"/>
  <c r="K21" i="2"/>
  <c r="G21" i="2"/>
  <c r="K23" i="2"/>
  <c r="L23" i="2" s="1"/>
  <c r="G23" i="2"/>
  <c r="H23" i="2" s="1"/>
  <c r="O23" i="2" s="1"/>
  <c r="K22" i="2"/>
  <c r="L22" i="2" s="1"/>
  <c r="G22" i="2"/>
  <c r="H22" i="2" s="1"/>
  <c r="K19" i="2"/>
  <c r="L19" i="2" s="1"/>
  <c r="G19" i="2"/>
  <c r="H19" i="2" s="1"/>
  <c r="K16" i="2"/>
  <c r="G16" i="2"/>
  <c r="H16" i="2" s="1"/>
  <c r="H15" i="2"/>
  <c r="F18" i="21" l="1"/>
  <c r="H24" i="4"/>
  <c r="H17" i="2"/>
  <c r="N20" i="4"/>
  <c r="O20" i="4" s="1"/>
  <c r="N19" i="2"/>
  <c r="O19" i="2" s="1"/>
  <c r="N31" i="2"/>
  <c r="O31" i="2" s="1"/>
  <c r="N26" i="4"/>
  <c r="O26" i="4" s="1"/>
  <c r="N28" i="4"/>
  <c r="O28" i="4" s="1"/>
  <c r="N29" i="4"/>
  <c r="O29" i="4" s="1"/>
  <c r="H34" i="2"/>
  <c r="N34" i="2" s="1"/>
  <c r="O34" i="2" s="1"/>
  <c r="L26" i="2"/>
  <c r="H32" i="2"/>
  <c r="N32" i="2" s="1"/>
  <c r="H33" i="2"/>
  <c r="N33" i="2" s="1"/>
  <c r="N22" i="2"/>
  <c r="O22" i="2" s="1"/>
  <c r="H26" i="2"/>
  <c r="H21" i="2"/>
  <c r="N24" i="2"/>
  <c r="L21" i="2"/>
  <c r="G30" i="2"/>
  <c r="H30" i="2" s="1"/>
  <c r="G29" i="2"/>
  <c r="H29" i="2" s="1"/>
  <c r="H27" i="2"/>
  <c r="K29" i="2"/>
  <c r="L29" i="2" s="1"/>
  <c r="L27" i="2"/>
  <c r="K30" i="2"/>
  <c r="L30" i="2" s="1"/>
  <c r="N23" i="2"/>
  <c r="H20" i="2" l="1"/>
  <c r="F10" i="21" s="1"/>
  <c r="N30" i="2"/>
  <c r="O30" i="2" s="1"/>
  <c r="H27" i="4"/>
  <c r="N26" i="2"/>
  <c r="O26" i="2" s="1"/>
  <c r="N21" i="2"/>
  <c r="O21" i="2" s="1"/>
  <c r="O33" i="2"/>
  <c r="O32" i="2"/>
  <c r="N29" i="2"/>
  <c r="O29" i="2" s="1"/>
  <c r="N27" i="2"/>
  <c r="O27" i="2" s="1"/>
  <c r="H25" i="2" l="1"/>
  <c r="H28" i="2" s="1"/>
  <c r="H35" i="4"/>
  <c r="H36" i="4" l="1"/>
  <c r="H37" i="4"/>
  <c r="H36" i="2"/>
  <c r="H38" i="4" l="1"/>
  <c r="F34" i="21" s="1"/>
  <c r="H38" i="2"/>
  <c r="H37" i="2"/>
  <c r="H39" i="2" l="1"/>
  <c r="F26" i="21" s="1"/>
  <c r="J16" i="36" l="1"/>
  <c r="L16" i="36" s="1"/>
  <c r="N16" i="36" s="1"/>
  <c r="O16" i="36" s="1"/>
  <c r="J16" i="40"/>
  <c r="L16" i="40" s="1"/>
  <c r="N16" i="40" s="1"/>
  <c r="O16" i="40" s="1"/>
  <c r="J15" i="36"/>
  <c r="L15" i="36" s="1"/>
  <c r="J15" i="40"/>
  <c r="L15" i="40" s="1"/>
  <c r="J15" i="2"/>
  <c r="L15" i="2" s="1"/>
  <c r="J16" i="2"/>
  <c r="L16" i="2" s="1"/>
  <c r="N16" i="2" s="1"/>
  <c r="O16" i="2" s="1"/>
  <c r="L17" i="36" l="1"/>
  <c r="N17" i="36" s="1"/>
  <c r="O17" i="36" s="1"/>
  <c r="N15" i="36"/>
  <c r="O15" i="36" s="1"/>
  <c r="N15" i="40"/>
  <c r="L17" i="40"/>
  <c r="O9" i="21"/>
  <c r="P9" i="21" s="1"/>
  <c r="L17" i="2"/>
  <c r="N15" i="2"/>
  <c r="L20" i="36" l="1"/>
  <c r="G9" i="21" s="1"/>
  <c r="H9" i="21" s="1"/>
  <c r="L20" i="40"/>
  <c r="N17" i="40"/>
  <c r="O17" i="40" s="1"/>
  <c r="O15" i="2"/>
  <c r="O15" i="40"/>
  <c r="L20" i="2"/>
  <c r="L25" i="2" s="1"/>
  <c r="N17" i="2"/>
  <c r="O17" i="2" s="1"/>
  <c r="N20" i="36" l="1"/>
  <c r="L25" i="36"/>
  <c r="O11" i="21"/>
  <c r="P11" i="21" s="1"/>
  <c r="N20" i="2"/>
  <c r="Q10" i="21" s="1"/>
  <c r="G10" i="21"/>
  <c r="H10" i="21" s="1"/>
  <c r="L26" i="40"/>
  <c r="G11" i="21"/>
  <c r="H11" i="21" s="1"/>
  <c r="I11" i="21" s="1"/>
  <c r="N20" i="40"/>
  <c r="O10" i="21"/>
  <c r="P10" i="21" s="1"/>
  <c r="I9" i="21"/>
  <c r="I10" i="21"/>
  <c r="N25" i="2"/>
  <c r="L28" i="2"/>
  <c r="O20" i="36" l="1"/>
  <c r="R9" i="21" s="1"/>
  <c r="Q9" i="21"/>
  <c r="N25" i="36"/>
  <c r="L28" i="36"/>
  <c r="O20" i="2"/>
  <c r="R10" i="21" s="1"/>
  <c r="O25" i="2"/>
  <c r="T10" i="21" s="1"/>
  <c r="S10" i="21"/>
  <c r="O20" i="40"/>
  <c r="R11" i="21" s="1"/>
  <c r="Q11" i="21"/>
  <c r="L29" i="40"/>
  <c r="N26" i="40"/>
  <c r="N28" i="2"/>
  <c r="L36" i="2"/>
  <c r="N28" i="36" l="1"/>
  <c r="L36" i="36"/>
  <c r="S9" i="21"/>
  <c r="O25" i="36"/>
  <c r="T9" i="21" s="1"/>
  <c r="O28" i="2"/>
  <c r="V10" i="21" s="1"/>
  <c r="U10" i="21"/>
  <c r="S11" i="21"/>
  <c r="O26" i="40"/>
  <c r="T11" i="21" s="1"/>
  <c r="N29" i="40"/>
  <c r="L35" i="40"/>
  <c r="N36" i="2"/>
  <c r="O36" i="2" s="1"/>
  <c r="L38" i="2"/>
  <c r="N38" i="2" s="1"/>
  <c r="O38" i="2" s="1"/>
  <c r="L37" i="2"/>
  <c r="N37" i="2" s="1"/>
  <c r="O37" i="2" s="1"/>
  <c r="N36" i="36" l="1"/>
  <c r="O36" i="36" s="1"/>
  <c r="L38" i="36"/>
  <c r="N38" i="36" s="1"/>
  <c r="O38" i="36" s="1"/>
  <c r="L37" i="36"/>
  <c r="O28" i="36"/>
  <c r="V9" i="21" s="1"/>
  <c r="U9" i="21"/>
  <c r="L37" i="40"/>
  <c r="N37" i="40" s="1"/>
  <c r="O37" i="40" s="1"/>
  <c r="L36" i="40"/>
  <c r="N36" i="40" s="1"/>
  <c r="O36" i="40" s="1"/>
  <c r="N35" i="40"/>
  <c r="O35" i="40" s="1"/>
  <c r="O29" i="40"/>
  <c r="V11" i="21" s="1"/>
  <c r="U11" i="21"/>
  <c r="L39" i="2"/>
  <c r="G26" i="21" s="1"/>
  <c r="H26" i="21" s="1"/>
  <c r="I26" i="21" s="1"/>
  <c r="N37" i="36" l="1"/>
  <c r="O37" i="36" s="1"/>
  <c r="L39" i="36"/>
  <c r="L38" i="40"/>
  <c r="N39" i="2"/>
  <c r="N39" i="36" l="1"/>
  <c r="G25" i="21"/>
  <c r="H25" i="21" s="1"/>
  <c r="I25" i="21" s="1"/>
  <c r="O39" i="2"/>
  <c r="X10" i="21" s="1"/>
  <c r="W10" i="21"/>
  <c r="G27" i="21"/>
  <c r="H27" i="21" s="1"/>
  <c r="I27" i="21" s="1"/>
  <c r="N38" i="40"/>
  <c r="J15" i="44"/>
  <c r="L15" i="44" s="1"/>
  <c r="O39" i="36" l="1"/>
  <c r="X9" i="21" s="1"/>
  <c r="W9" i="21"/>
  <c r="O38" i="40"/>
  <c r="X11" i="21" s="1"/>
  <c r="W11" i="21"/>
  <c r="N15" i="44"/>
  <c r="J15" i="39"/>
  <c r="L15" i="39" s="1"/>
  <c r="J15" i="38"/>
  <c r="L15" i="38" s="1"/>
  <c r="J15" i="4"/>
  <c r="L15" i="4" s="1"/>
  <c r="O15" i="44" l="1"/>
  <c r="N15" i="38"/>
  <c r="N15" i="39"/>
  <c r="J16" i="44"/>
  <c r="L16" i="44" s="1"/>
  <c r="N15" i="4"/>
  <c r="O15" i="39" l="1"/>
  <c r="O15" i="38"/>
  <c r="O15" i="4"/>
  <c r="N16" i="44"/>
  <c r="L19" i="44"/>
  <c r="J16" i="39"/>
  <c r="L16" i="39" s="1"/>
  <c r="J16" i="38"/>
  <c r="L16" i="38" s="1"/>
  <c r="J16" i="4"/>
  <c r="L16" i="4" s="1"/>
  <c r="L25" i="44" l="1"/>
  <c r="G19" i="21"/>
  <c r="H19" i="21" s="1"/>
  <c r="I19" i="21" s="1"/>
  <c r="N19" i="44"/>
  <c r="O16" i="44"/>
  <c r="O19" i="21"/>
  <c r="P19" i="21" s="1"/>
  <c r="N16" i="38"/>
  <c r="L19" i="38"/>
  <c r="L24" i="38" s="1"/>
  <c r="N16" i="39"/>
  <c r="L19" i="39"/>
  <c r="L24" i="39" s="1"/>
  <c r="N16" i="4"/>
  <c r="L19" i="4"/>
  <c r="L24" i="4" s="1"/>
  <c r="O16" i="39" l="1"/>
  <c r="O16" i="21"/>
  <c r="P16" i="21" s="1"/>
  <c r="O19" i="44"/>
  <c r="R19" i="21" s="1"/>
  <c r="Q19" i="21"/>
  <c r="O16" i="4"/>
  <c r="O18" i="21"/>
  <c r="P18" i="21" s="1"/>
  <c r="O16" i="38"/>
  <c r="O17" i="21"/>
  <c r="P17" i="21" s="1"/>
  <c r="N25" i="44"/>
  <c r="L28" i="44"/>
  <c r="G16" i="21"/>
  <c r="H16" i="21" s="1"/>
  <c r="N19" i="39"/>
  <c r="G17" i="21"/>
  <c r="H17" i="21" s="1"/>
  <c r="N19" i="38"/>
  <c r="N19" i="4"/>
  <c r="G18" i="21"/>
  <c r="H18" i="21" s="1"/>
  <c r="O19" i="39" l="1"/>
  <c r="R16" i="21" s="1"/>
  <c r="Q16" i="21"/>
  <c r="O19" i="4"/>
  <c r="R18" i="21" s="1"/>
  <c r="Q18" i="21"/>
  <c r="O19" i="38"/>
  <c r="R17" i="21" s="1"/>
  <c r="Q17" i="21"/>
  <c r="N28" i="44"/>
  <c r="L34" i="44"/>
  <c r="O25" i="44"/>
  <c r="T19" i="21" s="1"/>
  <c r="S19" i="21"/>
  <c r="L27" i="39"/>
  <c r="N24" i="39"/>
  <c r="N24" i="38"/>
  <c r="L27" i="38"/>
  <c r="I17" i="21"/>
  <c r="I16" i="21"/>
  <c r="I18" i="21"/>
  <c r="L27" i="4"/>
  <c r="N24" i="4"/>
  <c r="L36" i="44" l="1"/>
  <c r="N36" i="44" s="1"/>
  <c r="O36" i="44" s="1"/>
  <c r="N34" i="44"/>
  <c r="O34" i="44" s="1"/>
  <c r="L35" i="44"/>
  <c r="N35" i="44" s="1"/>
  <c r="O35" i="44" s="1"/>
  <c r="O24" i="4"/>
  <c r="T18" i="21" s="1"/>
  <c r="S18" i="21"/>
  <c r="O28" i="44"/>
  <c r="V19" i="21" s="1"/>
  <c r="U19" i="21"/>
  <c r="O24" i="39"/>
  <c r="T16" i="21" s="1"/>
  <c r="S16" i="21"/>
  <c r="O24" i="38"/>
  <c r="T17" i="21" s="1"/>
  <c r="S17" i="21"/>
  <c r="N27" i="38"/>
  <c r="L35" i="38"/>
  <c r="N27" i="39"/>
  <c r="L35" i="39"/>
  <c r="L35" i="4"/>
  <c r="N27" i="4"/>
  <c r="L37" i="44" l="1"/>
  <c r="O27" i="4"/>
  <c r="V18" i="21" s="1"/>
  <c r="U18" i="21"/>
  <c r="O27" i="39"/>
  <c r="V16" i="21" s="1"/>
  <c r="U16" i="21"/>
  <c r="O27" i="38"/>
  <c r="V17" i="21" s="1"/>
  <c r="U17" i="21"/>
  <c r="L37" i="38"/>
  <c r="N37" i="38" s="1"/>
  <c r="O37" i="38" s="1"/>
  <c r="N35" i="38"/>
  <c r="O35" i="38" s="1"/>
  <c r="L36" i="38"/>
  <c r="N36" i="38" s="1"/>
  <c r="O36" i="38" s="1"/>
  <c r="L37" i="39"/>
  <c r="N37" i="39" s="1"/>
  <c r="O37" i="39" s="1"/>
  <c r="L36" i="39"/>
  <c r="N36" i="39" s="1"/>
  <c r="O36" i="39" s="1"/>
  <c r="N35" i="39"/>
  <c r="O35" i="39" s="1"/>
  <c r="L36" i="4"/>
  <c r="N36" i="4" s="1"/>
  <c r="O36" i="4" s="1"/>
  <c r="L37" i="4"/>
  <c r="N37" i="4" s="1"/>
  <c r="O37" i="4" s="1"/>
  <c r="N35" i="4"/>
  <c r="O35" i="4" s="1"/>
  <c r="G35" i="21" l="1"/>
  <c r="H35" i="21" s="1"/>
  <c r="I35" i="21" s="1"/>
  <c r="N37" i="44"/>
  <c r="L38" i="39"/>
  <c r="L38" i="38"/>
  <c r="L38" i="4"/>
  <c r="G34" i="21" s="1"/>
  <c r="H34" i="21" s="1"/>
  <c r="I34" i="21" s="1"/>
  <c r="O37" i="44" l="1"/>
  <c r="X19" i="21" s="1"/>
  <c r="W19" i="21"/>
  <c r="N38" i="38"/>
  <c r="G33" i="21"/>
  <c r="H33" i="21" s="1"/>
  <c r="I33" i="21" s="1"/>
  <c r="N38" i="39"/>
  <c r="G32" i="21"/>
  <c r="H32" i="21" s="1"/>
  <c r="I32" i="21" s="1"/>
  <c r="N38" i="4"/>
  <c r="O38" i="4" l="1"/>
  <c r="X18" i="21" s="1"/>
  <c r="W18" i="21"/>
  <c r="O38" i="38"/>
  <c r="X17" i="21" s="1"/>
  <c r="W17" i="21"/>
  <c r="O38" i="39"/>
  <c r="X16" i="21" s="1"/>
  <c r="W16" i="21"/>
  <c r="J14" i="10" l="1"/>
  <c r="L14" i="10" s="1"/>
  <c r="N14" i="10" l="1"/>
  <c r="O14" i="10" l="1"/>
  <c r="J15" i="10"/>
  <c r="L15" i="10" s="1"/>
  <c r="N15" i="10" l="1"/>
  <c r="L17" i="10"/>
  <c r="L23" i="10" s="1"/>
  <c r="O15" i="10" l="1"/>
  <c r="O20" i="21"/>
  <c r="P20" i="21" s="1"/>
  <c r="G20" i="21"/>
  <c r="H20" i="21" s="1"/>
  <c r="N17" i="10"/>
  <c r="O17" i="10" l="1"/>
  <c r="R20" i="21" s="1"/>
  <c r="Q20" i="21"/>
  <c r="I20" i="21"/>
  <c r="N23" i="10"/>
  <c r="L26" i="10"/>
  <c r="O23" i="10" l="1"/>
  <c r="T20" i="21" s="1"/>
  <c r="S20" i="21"/>
  <c r="L32" i="10"/>
  <c r="N26" i="10"/>
  <c r="O26" i="10" l="1"/>
  <c r="V20" i="21" s="1"/>
  <c r="U20" i="21"/>
  <c r="L33" i="10"/>
  <c r="N33" i="10" s="1"/>
  <c r="O33" i="10" s="1"/>
  <c r="L34" i="10"/>
  <c r="N34" i="10" s="1"/>
  <c r="O34" i="10" s="1"/>
  <c r="N32" i="10"/>
  <c r="O32" i="10" s="1"/>
  <c r="L35" i="10" l="1"/>
  <c r="N35" i="10" s="1"/>
  <c r="O35" i="10" l="1"/>
  <c r="X20" i="21" s="1"/>
  <c r="W20" i="21"/>
  <c r="G36" i="21"/>
  <c r="H36" i="21" s="1"/>
  <c r="I36" i="21" s="1"/>
</calcChain>
</file>

<file path=xl/sharedStrings.xml><?xml version="1.0" encoding="utf-8"?>
<sst xmlns="http://schemas.openxmlformats.org/spreadsheetml/2006/main" count="950" uniqueCount="133">
  <si>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</si>
  <si>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</si>
  <si>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</si>
  <si>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</si>
  <si>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</si>
  <si>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</si>
  <si>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</si>
  <si>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</si>
  <si>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</si>
  <si>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</si>
  <si>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</si>
  <si>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</si>
  <si>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</si>
  <si>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</si>
  <si>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</si>
  <si>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</si>
  <si>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</si>
  <si>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</si>
  <si>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</si>
  <si>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</si>
  <si>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</si>
  <si>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</si>
  <si>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</si>
  <si>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</si>
  <si>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</si>
  <si>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</si>
  <si>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</si>
  <si>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</si>
  <si>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</si>
  <si>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</si>
  <si>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TOU - Off Peak</t>
  </si>
  <si>
    <t>TOU - Mid Peak</t>
  </si>
  <si>
    <t>TOU - On Peak</t>
  </si>
  <si>
    <t>Total Bill on TOU (before Taxes)</t>
  </si>
  <si>
    <t>HST</t>
  </si>
  <si>
    <t>Loss Factor (%)</t>
  </si>
  <si>
    <t>Note that cells with the highlighted color shown to the left indicate quantities that are loss adjusted.</t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</si>
  <si>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</si>
  <si>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</si>
  <si>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</si>
  <si>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</si>
  <si>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</si>
  <si>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</si>
  <si>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</si>
  <si>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</si>
  <si>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Rural Rate Protection Charge</t>
  </si>
  <si>
    <t>Standard Supply Service - Administrative Charge (if applicable)</t>
  </si>
  <si>
    <t>Residential - R2</t>
  </si>
  <si>
    <t>$/kW</t>
  </si>
  <si>
    <t>Seasonal</t>
  </si>
  <si>
    <t>Street Lighting</t>
  </si>
  <si>
    <t>Loss Factor</t>
  </si>
  <si>
    <t>Total Loss Factor</t>
  </si>
  <si>
    <t>%</t>
  </si>
  <si>
    <t>Monthly</t>
  </si>
  <si>
    <t>per kWh</t>
  </si>
  <si>
    <t>UOM</t>
  </si>
  <si>
    <t>Billing Demand</t>
  </si>
  <si>
    <t>kW</t>
  </si>
  <si>
    <t>per kW</t>
  </si>
  <si>
    <t>Energy Price Non - RPP</t>
  </si>
  <si>
    <t>Cost of Power (Non-RPP)</t>
  </si>
  <si>
    <t>Street Lighting (Non - RPP)</t>
  </si>
  <si>
    <t>Algoma Power Inc.</t>
  </si>
  <si>
    <t>Total Bill  (before Taxes)</t>
  </si>
  <si>
    <t>Residential - R1 [RPP]</t>
  </si>
  <si>
    <t>Seasonal [RPP]</t>
  </si>
  <si>
    <t>Customer Classification and Billing Type</t>
  </si>
  <si>
    <t>Energy</t>
  </si>
  <si>
    <t>Demand</t>
  </si>
  <si>
    <t>kWh</t>
  </si>
  <si>
    <t>Current</t>
  </si>
  <si>
    <t>Per Application</t>
  </si>
  <si>
    <t>Change</t>
  </si>
  <si>
    <t>Total Bill</t>
  </si>
  <si>
    <t>Distribution Volumetric Rate - General Service</t>
  </si>
  <si>
    <t>Monthly Service Charge - General Service</t>
  </si>
  <si>
    <t>Total Bill (including HST)</t>
  </si>
  <si>
    <t>2020 Cost of Service Rate Application</t>
  </si>
  <si>
    <t>EB-2019-0019</t>
  </si>
  <si>
    <t>GA Rate Riders</t>
  </si>
  <si>
    <t>Wholesale Market Service Rate (Incl CBR)</t>
  </si>
  <si>
    <t>Rate Rider for the Disposition of Account 1574 - effective until June 30, 2019</t>
  </si>
  <si>
    <t>DRP Adjustment</t>
  </si>
  <si>
    <t>8% Rebate</t>
  </si>
  <si>
    <t>Monthly Distribution Charge (Sub-Total A)</t>
  </si>
  <si>
    <t>Residential - R1(i) (RPP)</t>
  </si>
  <si>
    <t>Residential - R1(ii) (RPP)</t>
  </si>
  <si>
    <t>Residential - R2 (non-RPP)</t>
  </si>
  <si>
    <t>Seasonal (RPP)</t>
  </si>
  <si>
    <t>Street Lighting (non-RPP)</t>
  </si>
  <si>
    <t>From OEB Bill Impact Model</t>
  </si>
  <si>
    <t>Weighted-Averages Energy Price RPP-TOU</t>
  </si>
  <si>
    <t>A</t>
  </si>
  <si>
    <t>Total</t>
  </si>
  <si>
    <t>B</t>
  </si>
  <si>
    <t>C</t>
  </si>
  <si>
    <t>Residential - R1(i) (Retailer)</t>
  </si>
  <si>
    <t>Residential - R1(ii) (Retailer)</t>
  </si>
  <si>
    <t>Seasonal (Retailer)</t>
  </si>
  <si>
    <t>Fixed Rate Riders</t>
  </si>
  <si>
    <t>Residential - R2 [NON-RPP - Other]</t>
  </si>
  <si>
    <t>Volumetric Rate Riders</t>
  </si>
  <si>
    <t>Total Fixed Rate Riders</t>
  </si>
  <si>
    <t>Rate Rider for Group 2 Accounts</t>
  </si>
  <si>
    <t>Residential - R1 [Non-RPP - Retailer]</t>
  </si>
  <si>
    <t>non-TOU</t>
  </si>
  <si>
    <t>Non-RPP Average Price</t>
  </si>
  <si>
    <t>Residential - R1 (General Service) [RPP]</t>
  </si>
  <si>
    <t>Residential - R1 (General Service) [Non-RPP - Retailer]</t>
  </si>
  <si>
    <t>Seasonal [Non-RPP - Retailer]</t>
  </si>
  <si>
    <t>Distribution Charge and Total Bill Impacts
Algoma Power Inc.  2020</t>
  </si>
  <si>
    <t>Sub-Total</t>
  </si>
  <si>
    <t>Base Distribution</t>
  </si>
  <si>
    <t>GA Rate Riders - N/A - Class A</t>
  </si>
  <si>
    <t>Residential - R2 [NON-RPP - Other] - Class A</t>
  </si>
  <si>
    <t>Rate Rider for the Disposition of Account 1575 &amp; 1576 - effective until December 31, 2019;
Rate Rider for Disposition of LRAMVA - effective Jan 1, 2020 until December 31, 2024</t>
  </si>
  <si>
    <t>Residential - R2 (Class A)</t>
  </si>
  <si>
    <t>Bill Impact Model (Non-OEB)</t>
  </si>
  <si>
    <t>8.2.6 (Table 4)</t>
  </si>
  <si>
    <t>Application Reference</t>
  </si>
  <si>
    <t>8.3.13</t>
  </si>
  <si>
    <t>8.3.3</t>
  </si>
  <si>
    <t>8.3.10</t>
  </si>
  <si>
    <t>8.3.5</t>
  </si>
  <si>
    <t>8.3.9</t>
  </si>
  <si>
    <t>8.3.4</t>
  </si>
  <si>
    <t>8.3.1</t>
  </si>
  <si>
    <t>9.7.2</t>
  </si>
  <si>
    <t>Total Deferral/Variance Account Rate Riders (Group 1, excl GA)</t>
  </si>
  <si>
    <t>9.11.3</t>
  </si>
  <si>
    <t>IRR - 8-Staff-67</t>
  </si>
  <si>
    <t>**NOTE - Bill impacts updated for Seasonal rate class only in response to 8-Staff-67.  Updates do not reflect responses to other IRRs.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</si>
</sst>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(* #,##0.0000_);_(* \(#,##0.0000\);_(* &quot;-&quot;??_);_(@_)"/>
    <numFmt numFmtId="169" formatCode="0.0%"/>
    <numFmt numFmtId="170" formatCode="_-&quot;$&quot;* #,##0.00000_-;\-&quot;$&quot;* #,##0.00000_-;_-&quot;$&quot;* &quot;-&quot;??_-;_-@_-"/>
    <numFmt numFmtId="171" formatCode="0.0000"/>
    <numFmt numFmtId="172" formatCode="_(* #,##0_);_(* \(#,##0\);_(* &quot;-&quot;??_);_(@_)"/>
    <numFmt numFmtId="173" formatCode="_-* #,##0.0000_-;\-* #,##0.0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29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5" fillId="0" borderId="0" xfId="0" applyFont="1" applyProtection="1"/>
    <xf numFmtId="0" fontId="2" fillId="0" borderId="0" xfId="0" applyFont="1" applyProtection="1"/>
    <xf numFmtId="166" fontId="2" fillId="2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9" xfId="0" quotePrefix="1" applyFont="1" applyBorder="1" applyAlignment="1" applyProtection="1">
      <alignment horizontal="center"/>
    </xf>
    <xf numFmtId="0" fontId="2" fillId="0" borderId="10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0" fontId="0" fillId="0" borderId="8" xfId="0" applyFill="1" applyBorder="1" applyAlignment="1" applyProtection="1">
      <alignment vertical="center"/>
    </xf>
    <xf numFmtId="164" fontId="0" fillId="0" borderId="6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164" fontId="0" fillId="0" borderId="8" xfId="0" applyNumberFormat="1" applyBorder="1" applyAlignment="1" applyProtection="1">
      <alignment vertical="center"/>
    </xf>
    <xf numFmtId="10" fontId="0" fillId="0" borderId="6" xfId="3" applyNumberFormat="1" applyFont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top"/>
      <protection locked="0"/>
    </xf>
    <xf numFmtId="0" fontId="0" fillId="4" borderId="3" xfId="0" applyFill="1" applyBorder="1" applyAlignment="1" applyProtection="1">
      <alignment vertical="top"/>
    </xf>
    <xf numFmtId="0" fontId="0" fillId="4" borderId="3" xfId="0" applyFill="1" applyBorder="1" applyAlignment="1" applyProtection="1">
      <alignment vertical="top"/>
      <protection locked="0"/>
    </xf>
    <xf numFmtId="167" fontId="0" fillId="4" borderId="1" xfId="2" applyNumberFormat="1" applyFont="1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center"/>
      <protection locked="0"/>
    </xf>
    <xf numFmtId="164" fontId="0" fillId="4" borderId="4" xfId="2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164" fontId="2" fillId="4" borderId="1" xfId="0" applyNumberFormat="1" applyFont="1" applyFill="1" applyBorder="1" applyAlignment="1" applyProtection="1">
      <alignment vertical="center"/>
    </xf>
    <xf numFmtId="10" fontId="2" fillId="4" borderId="4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0" fillId="0" borderId="11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5" fillId="0" borderId="0" xfId="0" applyFont="1" applyAlignment="1" applyProtection="1">
      <alignment vertical="top"/>
    </xf>
    <xf numFmtId="167" fontId="0" fillId="5" borderId="8" xfId="2" applyNumberFormat="1" applyFont="1" applyFill="1" applyBorder="1" applyAlignment="1" applyProtection="1">
      <alignment vertical="top"/>
      <protection locked="0"/>
    </xf>
    <xf numFmtId="0" fontId="0" fillId="6" borderId="8" xfId="0" applyFill="1" applyBorder="1" applyAlignment="1" applyProtection="1">
      <alignment vertical="center"/>
    </xf>
    <xf numFmtId="167" fontId="0" fillId="5" borderId="8" xfId="2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ill="1" applyBorder="1" applyProtection="1"/>
    <xf numFmtId="0" fontId="0" fillId="4" borderId="1" xfId="0" applyFill="1" applyBorder="1" applyProtection="1"/>
    <xf numFmtId="0" fontId="0" fillId="4" borderId="1" xfId="0" applyFill="1" applyBorder="1" applyAlignment="1" applyProtection="1">
      <alignment vertical="center"/>
    </xf>
    <xf numFmtId="164" fontId="2" fillId="4" borderId="4" xfId="0" applyNumberFormat="1" applyFont="1" applyFill="1" applyBorder="1" applyAlignment="1" applyProtection="1">
      <alignment vertical="center"/>
    </xf>
    <xf numFmtId="0" fontId="0" fillId="4" borderId="4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8" xfId="0" applyNumberFormat="1" applyFill="1" applyBorder="1" applyAlignment="1" applyProtection="1">
      <alignment vertical="center"/>
    </xf>
    <xf numFmtId="1" fontId="0" fillId="6" borderId="6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4" borderId="1" xfId="0" applyFill="1" applyBorder="1" applyAlignment="1" applyProtection="1">
      <alignment vertical="top"/>
    </xf>
    <xf numFmtId="0" fontId="2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4" fontId="1" fillId="0" borderId="6" xfId="2" applyBorder="1" applyAlignment="1" applyProtection="1">
      <alignment vertical="center"/>
    </xf>
    <xf numFmtId="10" fontId="1" fillId="0" borderId="6" xfId="3" applyNumberFormat="1" applyBorder="1" applyAlignment="1" applyProtection="1">
      <alignment vertical="center"/>
    </xf>
    <xf numFmtId="167" fontId="1" fillId="0" borderId="8" xfId="2" applyNumberFormat="1" applyFill="1" applyBorder="1" applyAlignment="1" applyProtection="1">
      <alignment vertical="top"/>
      <protection locked="0"/>
    </xf>
    <xf numFmtId="1" fontId="5" fillId="5" borderId="8" xfId="0" applyNumberFormat="1" applyFont="1" applyFill="1" applyBorder="1" applyAlignment="1" applyProtection="1">
      <alignment vertical="center"/>
    </xf>
    <xf numFmtId="164" fontId="0" fillId="0" borderId="0" xfId="0" applyNumberFormat="1" applyProtection="1"/>
    <xf numFmtId="0" fontId="5" fillId="0" borderId="0" xfId="4" applyProtection="1"/>
    <xf numFmtId="0" fontId="5" fillId="7" borderId="12" xfId="0" applyFont="1" applyFill="1" applyBorder="1" applyProtection="1"/>
    <xf numFmtId="0" fontId="0" fillId="7" borderId="13" xfId="0" applyFill="1" applyBorder="1" applyAlignment="1" applyProtection="1">
      <alignment vertical="top"/>
    </xf>
    <xf numFmtId="0" fontId="0" fillId="7" borderId="13" xfId="0" applyFill="1" applyBorder="1" applyAlignment="1" applyProtection="1">
      <alignment vertical="top"/>
      <protection locked="0"/>
    </xf>
    <xf numFmtId="167" fontId="1" fillId="7" borderId="14" xfId="2" applyNumberFormat="1" applyFill="1" applyBorder="1" applyAlignment="1" applyProtection="1">
      <alignment vertical="top"/>
      <protection locked="0"/>
    </xf>
    <xf numFmtId="0" fontId="0" fillId="7" borderId="15" xfId="0" applyFill="1" applyBorder="1" applyAlignment="1" applyProtection="1">
      <alignment vertical="center"/>
      <protection locked="0"/>
    </xf>
    <xf numFmtId="164" fontId="1" fillId="7" borderId="13" xfId="2" applyFill="1" applyBorder="1" applyAlignment="1" applyProtection="1">
      <alignment vertical="center"/>
    </xf>
    <xf numFmtId="0" fontId="0" fillId="7" borderId="13" xfId="0" applyFill="1" applyBorder="1" applyAlignment="1" applyProtection="1">
      <alignment vertical="center"/>
    </xf>
    <xf numFmtId="0" fontId="0" fillId="7" borderId="14" xfId="0" applyFill="1" applyBorder="1" applyAlignment="1" applyProtection="1">
      <alignment vertical="center"/>
      <protection locked="0"/>
    </xf>
    <xf numFmtId="164" fontId="0" fillId="7" borderId="14" xfId="0" applyNumberFormat="1" applyFill="1" applyBorder="1" applyAlignment="1" applyProtection="1">
      <alignment vertical="center"/>
    </xf>
    <xf numFmtId="10" fontId="1" fillId="7" borderId="16" xfId="3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8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164" fontId="2" fillId="0" borderId="11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9" fontId="2" fillId="0" borderId="8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4" fontId="2" fillId="0" borderId="8" xfId="0" applyNumberFormat="1" applyFont="1" applyFill="1" applyBorder="1" applyAlignment="1" applyProtection="1">
      <alignment vertical="center"/>
    </xf>
    <xf numFmtId="10" fontId="2" fillId="0" borderId="6" xfId="3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top" indent="1"/>
    </xf>
    <xf numFmtId="9" fontId="0" fillId="0" borderId="8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164" fontId="5" fillId="0" borderId="11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9" fontId="5" fillId="0" borderId="8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64" fontId="5" fillId="0" borderId="8" xfId="0" applyNumberFormat="1" applyFont="1" applyFill="1" applyBorder="1" applyAlignment="1" applyProtection="1">
      <alignment vertical="center"/>
    </xf>
    <xf numFmtId="10" fontId="5" fillId="0" borderId="6" xfId="3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5" fillId="7" borderId="12" xfId="4" applyFont="1" applyFill="1" applyBorder="1" applyProtection="1"/>
    <xf numFmtId="0" fontId="5" fillId="7" borderId="13" xfId="4" applyFill="1" applyBorder="1" applyAlignment="1" applyProtection="1">
      <alignment vertical="top"/>
    </xf>
    <xf numFmtId="0" fontId="5" fillId="7" borderId="13" xfId="4" applyFill="1" applyBorder="1" applyAlignment="1" applyProtection="1">
      <alignment vertical="top"/>
      <protection locked="0"/>
    </xf>
    <xf numFmtId="0" fontId="5" fillId="7" borderId="15" xfId="4" applyFill="1" applyBorder="1" applyAlignment="1" applyProtection="1">
      <alignment vertical="center"/>
      <protection locked="0"/>
    </xf>
    <xf numFmtId="0" fontId="5" fillId="7" borderId="13" xfId="4" applyFill="1" applyBorder="1" applyAlignment="1" applyProtection="1">
      <alignment vertical="center"/>
    </xf>
    <xf numFmtId="0" fontId="5" fillId="7" borderId="14" xfId="4" applyFill="1" applyBorder="1" applyAlignment="1" applyProtection="1">
      <alignment vertical="center"/>
      <protection locked="0"/>
    </xf>
    <xf numFmtId="164" fontId="5" fillId="7" borderId="14" xfId="4" applyNumberFormat="1" applyFill="1" applyBorder="1" applyAlignment="1" applyProtection="1">
      <alignment vertical="center"/>
    </xf>
    <xf numFmtId="10" fontId="1" fillId="2" borderId="1" xfId="3" applyNumberFormat="1" applyFill="1" applyBorder="1" applyProtection="1">
      <protection locked="0"/>
    </xf>
    <xf numFmtId="0" fontId="0" fillId="6" borderId="0" xfId="0" applyFill="1" applyProtection="1"/>
    <xf numFmtId="164" fontId="2" fillId="0" borderId="19" xfId="0" applyNumberFormat="1" applyFont="1" applyFill="1" applyBorder="1" applyAlignment="1" applyProtection="1">
      <alignment vertical="center"/>
    </xf>
    <xf numFmtId="0" fontId="7" fillId="0" borderId="0" xfId="0" applyFont="1" applyProtection="1"/>
    <xf numFmtId="166" fontId="0" fillId="0" borderId="8" xfId="0" applyNumberFormat="1" applyFill="1" applyBorder="1" applyAlignment="1" applyProtection="1">
      <alignment vertical="center"/>
    </xf>
    <xf numFmtId="170" fontId="0" fillId="5" borderId="8" xfId="2" applyNumberFormat="1" applyFont="1" applyFill="1" applyBorder="1" applyAlignment="1" applyProtection="1">
      <alignment vertical="top"/>
      <protection locked="0"/>
    </xf>
    <xf numFmtId="170" fontId="1" fillId="0" borderId="8" xfId="2" applyNumberFormat="1" applyFill="1" applyBorder="1" applyAlignment="1" applyProtection="1">
      <alignment vertical="top"/>
      <protection locked="0"/>
    </xf>
    <xf numFmtId="170" fontId="0" fillId="5" borderId="8" xfId="2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5" fillId="0" borderId="0" xfId="0" applyFont="1" applyBorder="1"/>
    <xf numFmtId="0" fontId="8" fillId="0" borderId="0" xfId="0" applyFont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8" fontId="10" fillId="0" borderId="0" xfId="1" applyNumberFormat="1" applyFont="1" applyFill="1" applyBorder="1"/>
    <xf numFmtId="0" fontId="9" fillId="0" borderId="0" xfId="0" applyFont="1" applyBorder="1" applyAlignment="1">
      <alignment horizontal="center"/>
    </xf>
    <xf numFmtId="171" fontId="0" fillId="0" borderId="0" xfId="0" applyNumberFormat="1" applyBorder="1"/>
    <xf numFmtId="0" fontId="7" fillId="0" borderId="0" xfId="0" applyFont="1" applyAlignment="1" applyProtection="1">
      <alignment vertical="top"/>
    </xf>
    <xf numFmtId="0" fontId="7" fillId="0" borderId="8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center"/>
    </xf>
    <xf numFmtId="164" fontId="2" fillId="0" borderId="6" xfId="0" applyNumberFormat="1" applyFont="1" applyFill="1" applyBorder="1" applyAlignment="1" applyProtection="1">
      <alignment vertical="center"/>
    </xf>
    <xf numFmtId="164" fontId="7" fillId="0" borderId="0" xfId="0" applyNumberFormat="1" applyFont="1" applyProtection="1"/>
    <xf numFmtId="0" fontId="7" fillId="0" borderId="9" xfId="0" applyFont="1" applyFill="1" applyBorder="1" applyAlignment="1" applyProtection="1">
      <alignment vertical="top"/>
    </xf>
    <xf numFmtId="0" fontId="7" fillId="0" borderId="17" xfId="0" applyFont="1" applyFill="1" applyBorder="1" applyAlignment="1" applyProtection="1">
      <alignment vertical="center"/>
    </xf>
    <xf numFmtId="164" fontId="2" fillId="0" borderId="18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164" fontId="2" fillId="0" borderId="9" xfId="0" applyNumberFormat="1" applyFont="1" applyFill="1" applyBorder="1" applyAlignment="1" applyProtection="1">
      <alignment vertical="center"/>
    </xf>
    <xf numFmtId="10" fontId="2" fillId="0" borderId="10" xfId="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vertical="top" wrapText="1"/>
    </xf>
    <xf numFmtId="164" fontId="2" fillId="0" borderId="38" xfId="0" applyNumberFormat="1" applyFont="1" applyFill="1" applyBorder="1" applyAlignment="1" applyProtection="1">
      <alignment vertical="center"/>
    </xf>
    <xf numFmtId="10" fontId="10" fillId="0" borderId="0" xfId="3" applyNumberFormat="1" applyFont="1" applyFill="1" applyBorder="1"/>
    <xf numFmtId="0" fontId="0" fillId="0" borderId="0" xfId="0" applyBorder="1" applyAlignment="1" applyProtection="1">
      <alignment vertical="center"/>
    </xf>
    <xf numFmtId="167" fontId="0" fillId="0" borderId="8" xfId="2" applyNumberFormat="1" applyFont="1" applyFill="1" applyBorder="1" applyAlignment="1" applyProtection="1">
      <alignment vertical="top"/>
      <protection locked="0"/>
    </xf>
    <xf numFmtId="167" fontId="0" fillId="0" borderId="8" xfId="2" applyNumberFormat="1" applyFont="1" applyFill="1" applyBorder="1" applyAlignment="1" applyProtection="1">
      <alignment vertical="center"/>
      <protection locked="0"/>
    </xf>
    <xf numFmtId="167" fontId="1" fillId="0" borderId="8" xfId="2" applyNumberFormat="1" applyFill="1" applyBorder="1" applyAlignment="1" applyProtection="1">
      <alignment vertical="center"/>
      <protection locked="0"/>
    </xf>
    <xf numFmtId="170" fontId="0" fillId="0" borderId="8" xfId="2" applyNumberFormat="1" applyFont="1" applyFill="1" applyBorder="1" applyAlignment="1" applyProtection="1">
      <alignment vertical="center"/>
      <protection locked="0"/>
    </xf>
    <xf numFmtId="170" fontId="0" fillId="0" borderId="8" xfId="2" applyNumberFormat="1" applyFont="1" applyFill="1" applyBorder="1" applyAlignment="1" applyProtection="1">
      <alignment vertical="top"/>
      <protection locked="0"/>
    </xf>
    <xf numFmtId="0" fontId="12" fillId="0" borderId="0" xfId="0" applyFont="1"/>
    <xf numFmtId="0" fontId="13" fillId="0" borderId="19" xfId="4" applyFont="1" applyBorder="1" applyAlignment="1">
      <alignment horizontal="center"/>
    </xf>
    <xf numFmtId="0" fontId="13" fillId="4" borderId="22" xfId="4" applyFont="1" applyFill="1" applyBorder="1"/>
    <xf numFmtId="0" fontId="13" fillId="0" borderId="8" xfId="4" applyFont="1" applyBorder="1" applyAlignment="1">
      <alignment horizontal="center"/>
    </xf>
    <xf numFmtId="0" fontId="13" fillId="4" borderId="0" xfId="4" applyFont="1" applyFill="1" applyBorder="1"/>
    <xf numFmtId="0" fontId="15" fillId="4" borderId="0" xfId="4" applyFont="1" applyFill="1" applyBorder="1"/>
    <xf numFmtId="0" fontId="13" fillId="0" borderId="27" xfId="4" applyFont="1" applyBorder="1"/>
    <xf numFmtId="0" fontId="13" fillId="0" borderId="9" xfId="4" applyFont="1" applyBorder="1"/>
    <xf numFmtId="0" fontId="13" fillId="4" borderId="17" xfId="4" applyFont="1" applyFill="1" applyBorder="1"/>
    <xf numFmtId="0" fontId="13" fillId="0" borderId="1" xfId="4" applyFont="1" applyBorder="1" applyAlignment="1">
      <alignment horizontal="center"/>
    </xf>
    <xf numFmtId="0" fontId="13" fillId="0" borderId="26" xfId="4" applyFont="1" applyBorder="1" applyAlignment="1">
      <alignment horizontal="center"/>
    </xf>
    <xf numFmtId="0" fontId="15" fillId="0" borderId="28" xfId="4" applyFont="1" applyBorder="1"/>
    <xf numFmtId="172" fontId="15" fillId="0" borderId="1" xfId="1" applyNumberFormat="1" applyFont="1" applyBorder="1"/>
    <xf numFmtId="164" fontId="15" fillId="0" borderId="1" xfId="4" applyNumberFormat="1" applyFont="1" applyBorder="1"/>
    <xf numFmtId="169" fontId="15" fillId="0" borderId="26" xfId="4" applyNumberFormat="1" applyFont="1" applyBorder="1" applyAlignment="1">
      <alignment horizontal="center"/>
    </xf>
    <xf numFmtId="169" fontId="15" fillId="0" borderId="1" xfId="4" applyNumberFormat="1" applyFont="1" applyBorder="1" applyAlignment="1">
      <alignment horizontal="center"/>
    </xf>
    <xf numFmtId="164" fontId="15" fillId="0" borderId="1" xfId="4" applyNumberFormat="1" applyFont="1" applyFill="1" applyBorder="1"/>
    <xf numFmtId="0" fontId="15" fillId="0" borderId="1" xfId="4" applyFont="1" applyFill="1" applyBorder="1"/>
    <xf numFmtId="172" fontId="15" fillId="0" borderId="1" xfId="1" applyNumberFormat="1" applyFont="1" applyFill="1" applyBorder="1"/>
    <xf numFmtId="0" fontId="15" fillId="0" borderId="33" xfId="4" applyFont="1" applyBorder="1"/>
    <xf numFmtId="172" fontId="15" fillId="0" borderId="31" xfId="1" applyNumberFormat="1" applyFont="1" applyBorder="1"/>
    <xf numFmtId="0" fontId="15" fillId="4" borderId="20" xfId="4" applyFont="1" applyFill="1" applyBorder="1"/>
    <xf numFmtId="164" fontId="15" fillId="0" borderId="31" xfId="4" applyNumberFormat="1" applyFont="1" applyBorder="1"/>
    <xf numFmtId="169" fontId="15" fillId="0" borderId="31" xfId="4" applyNumberFormat="1" applyFont="1" applyBorder="1" applyAlignment="1">
      <alignment horizontal="center"/>
    </xf>
    <xf numFmtId="169" fontId="15" fillId="0" borderId="32" xfId="4" applyNumberFormat="1" applyFont="1" applyBorder="1" applyAlignment="1">
      <alignment horizontal="center"/>
    </xf>
    <xf numFmtId="0" fontId="15" fillId="4" borderId="29" xfId="4" applyFont="1" applyFill="1" applyBorder="1"/>
    <xf numFmtId="172" fontId="15" fillId="4" borderId="0" xfId="1" applyNumberFormat="1" applyFont="1" applyFill="1" applyBorder="1"/>
    <xf numFmtId="164" fontId="15" fillId="4" borderId="0" xfId="4" applyNumberFormat="1" applyFont="1" applyFill="1" applyBorder="1"/>
    <xf numFmtId="169" fontId="15" fillId="4" borderId="30" xfId="4" applyNumberFormat="1" applyFont="1" applyFill="1" applyBorder="1" applyAlignment="1">
      <alignment horizontal="center"/>
    </xf>
    <xf numFmtId="172" fontId="15" fillId="0" borderId="5" xfId="1" applyNumberFormat="1" applyFont="1" applyBorder="1"/>
    <xf numFmtId="164" fontId="15" fillId="0" borderId="5" xfId="4" applyNumberFormat="1" applyFont="1" applyBorder="1"/>
    <xf numFmtId="0" fontId="15" fillId="0" borderId="37" xfId="4" applyFont="1" applyBorder="1"/>
    <xf numFmtId="172" fontId="15" fillId="0" borderId="31" xfId="1" applyNumberFormat="1" applyFont="1" applyFill="1" applyBorder="1"/>
    <xf numFmtId="165" fontId="10" fillId="0" borderId="0" xfId="1" applyNumberFormat="1" applyFont="1" applyFill="1" applyBorder="1"/>
    <xf numFmtId="0" fontId="0" fillId="0" borderId="29" xfId="0" applyBorder="1"/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173" fontId="10" fillId="0" borderId="0" xfId="1" applyNumberFormat="1" applyFont="1" applyFill="1" applyBorder="1"/>
    <xf numFmtId="165" fontId="10" fillId="0" borderId="0" xfId="1" applyFont="1" applyFill="1" applyBorder="1"/>
    <xf numFmtId="169" fontId="10" fillId="0" borderId="0" xfId="3" applyNumberFormat="1" applyFont="1" applyFill="1" applyBorder="1"/>
    <xf numFmtId="169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171" fontId="10" fillId="0" borderId="0" xfId="0" applyNumberFormat="1" applyFont="1" applyFill="1" applyBorder="1"/>
    <xf numFmtId="0" fontId="9" fillId="0" borderId="0" xfId="0" applyFont="1" applyFill="1" applyBorder="1"/>
    <xf numFmtId="0" fontId="0" fillId="0" borderId="0" xfId="0" applyFill="1" applyBorder="1"/>
    <xf numFmtId="164" fontId="15" fillId="8" borderId="1" xfId="4" applyNumberFormat="1" applyFont="1" applyFill="1" applyBorder="1"/>
    <xf numFmtId="169" fontId="15" fillId="8" borderId="26" xfId="4" applyNumberFormat="1" applyFont="1" applyFill="1" applyBorder="1" applyAlignment="1">
      <alignment horizontal="center"/>
    </xf>
    <xf numFmtId="164" fontId="15" fillId="8" borderId="5" xfId="4" applyNumberFormat="1" applyFont="1" applyFill="1" applyBorder="1"/>
    <xf numFmtId="0" fontId="12" fillId="8" borderId="0" xfId="0" applyFont="1" applyFill="1"/>
    <xf numFmtId="15" fontId="8" fillId="0" borderId="0" xfId="0" quotePrefix="1" applyNumberFormat="1" applyFont="1" applyAlignment="1">
      <alignment horizontal="center"/>
    </xf>
    <xf numFmtId="1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20" xfId="4" applyFont="1" applyBorder="1" applyAlignment="1">
      <alignment horizontal="center" vertical="center" wrapText="1"/>
    </xf>
    <xf numFmtId="0" fontId="13" fillId="0" borderId="21" xfId="4" applyFont="1" applyBorder="1" applyAlignment="1">
      <alignment horizontal="center" wrapText="1"/>
    </xf>
    <xf numFmtId="0" fontId="13" fillId="0" borderId="25" xfId="4" applyFont="1" applyBorder="1" applyAlignment="1">
      <alignment horizontal="center" wrapText="1"/>
    </xf>
    <xf numFmtId="0" fontId="14" fillId="0" borderId="23" xfId="4" applyFont="1" applyBorder="1" applyAlignment="1">
      <alignment horizontal="center" vertical="center"/>
    </xf>
    <xf numFmtId="0" fontId="14" fillId="0" borderId="24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26" xfId="4" applyFont="1" applyBorder="1" applyAlignment="1">
      <alignment horizontal="center" vertical="center"/>
    </xf>
    <xf numFmtId="0" fontId="14" fillId="0" borderId="34" xfId="4" applyFont="1" applyBorder="1" applyAlignment="1">
      <alignment horizontal="center" vertical="center"/>
    </xf>
    <xf numFmtId="0" fontId="14" fillId="0" borderId="35" xfId="4" applyFont="1" applyBorder="1" applyAlignment="1">
      <alignment horizontal="center" vertical="center"/>
    </xf>
    <xf numFmtId="0" fontId="14" fillId="0" borderId="36" xfId="4" applyFont="1" applyBorder="1" applyAlignment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0" fillId="0" borderId="9" xfId="0" applyBorder="1" applyAlignment="1">
      <alignment wrapText="1"/>
    </xf>
    <xf numFmtId="0" fontId="2" fillId="0" borderId="6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4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\Departments\API%202015%20REG%20COS\Chap_2_App\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2:H20"/>
  <sheetViews>
    <sheetView showGridLines="0" tabSelected="1" zoomScaleNormal="100" workbookViewId="0">
      <selection activeCell="B21" sqref="B21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202" t="s">
        <v>63</v>
      </c>
      <c r="C12" s="202"/>
      <c r="D12" s="202"/>
      <c r="E12" s="202"/>
      <c r="F12" s="202"/>
      <c r="G12" s="202"/>
      <c r="H12" s="202"/>
    </row>
    <row r="13" spans="2:8" ht="23.25" x14ac:dyDescent="0.35">
      <c r="B13" s="202" t="s">
        <v>78</v>
      </c>
      <c r="C13" s="202"/>
      <c r="D13" s="202"/>
      <c r="E13" s="202"/>
      <c r="F13" s="202"/>
      <c r="G13" s="202"/>
      <c r="H13" s="202"/>
    </row>
    <row r="14" spans="2:8" ht="23.25" x14ac:dyDescent="0.35">
      <c r="B14" s="202"/>
      <c r="C14" s="202"/>
      <c r="D14" s="202"/>
      <c r="E14" s="202"/>
      <c r="F14" s="202"/>
      <c r="G14" s="202"/>
      <c r="H14" s="202"/>
    </row>
    <row r="15" spans="2:8" ht="23.25" x14ac:dyDescent="0.35">
      <c r="B15" s="116"/>
    </row>
    <row r="16" spans="2:8" ht="23.25" x14ac:dyDescent="0.35">
      <c r="B16" s="202" t="s">
        <v>118</v>
      </c>
      <c r="C16" s="202"/>
      <c r="D16" s="202"/>
      <c r="E16" s="202"/>
      <c r="F16" s="202"/>
      <c r="G16" s="202"/>
      <c r="H16" s="202"/>
    </row>
    <row r="17" spans="2:8" ht="23.25" x14ac:dyDescent="0.35">
      <c r="B17" s="203" t="s">
        <v>131</v>
      </c>
      <c r="C17" s="203"/>
      <c r="D17" s="203"/>
      <c r="E17" s="203"/>
      <c r="F17" s="203"/>
      <c r="G17" s="203"/>
      <c r="H17" s="203"/>
    </row>
    <row r="18" spans="2:8" ht="23.25" x14ac:dyDescent="0.35">
      <c r="B18" s="202" t="s">
        <v>79</v>
      </c>
      <c r="C18" s="202"/>
      <c r="D18" s="202"/>
      <c r="E18" s="202"/>
      <c r="F18" s="202"/>
      <c r="G18" s="202"/>
      <c r="H18" s="202"/>
    </row>
    <row r="19" spans="2:8" ht="23.25" x14ac:dyDescent="0.35">
      <c r="B19" s="116"/>
    </row>
    <row r="20" spans="2:8" ht="23.25" x14ac:dyDescent="0.35">
      <c r="B20" s="200">
        <v>43691</v>
      </c>
      <c r="C20" s="201"/>
      <c r="D20" s="201"/>
      <c r="E20" s="201"/>
      <c r="F20" s="201"/>
      <c r="G20" s="201"/>
      <c r="H20" s="201"/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S39"/>
  <sheetViews>
    <sheetView showGridLines="0" topLeftCell="A13" zoomScaleNormal="100" workbookViewId="0">
      <selection activeCell="G20" sqref="G20"/>
    </sheetView>
  </sheetViews>
  <sheetFormatPr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10.5703125" style="1" bestFit="1" customWidth="1"/>
    <col min="8" max="8" width="12.5703125" style="1" bestFit="1" customWidth="1"/>
    <col min="9" max="9" width="2.85546875" style="1" customWidth="1"/>
    <col min="10" max="10" width="12.140625" style="1" customWidth="1"/>
    <col min="11" max="11" width="10.5703125" style="1" bestFit="1" customWidth="1"/>
    <col min="12" max="12" width="12.57031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115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2500000</v>
      </c>
      <c r="G9" s="7" t="s">
        <v>6</v>
      </c>
      <c r="I9" s="228" t="s">
        <v>57</v>
      </c>
      <c r="J9" s="228"/>
      <c r="K9" s="8">
        <v>5000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5" t="s">
        <v>7</v>
      </c>
      <c r="G11" s="226"/>
      <c r="H11" s="227"/>
      <c r="J11" s="225" t="s">
        <v>8</v>
      </c>
      <c r="K11" s="226"/>
      <c r="L11" s="227"/>
      <c r="N11" s="225" t="s">
        <v>9</v>
      </c>
      <c r="O11" s="227"/>
    </row>
    <row r="12" spans="2:16" x14ac:dyDescent="0.25">
      <c r="B12" s="6"/>
      <c r="D12" s="217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9" t="s">
        <v>14</v>
      </c>
      <c r="O12" s="221" t="s">
        <v>15</v>
      </c>
    </row>
    <row r="13" spans="2:16" x14ac:dyDescent="0.25">
      <c r="B13" s="6"/>
      <c r="D13" s="218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20"/>
      <c r="O13" s="222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Rates!D20</f>
        <v>659.94</v>
      </c>
      <c r="G14" s="19">
        <v>1</v>
      </c>
      <c r="H14" s="20">
        <f>G14*F14</f>
        <v>659.94</v>
      </c>
      <c r="I14" s="21"/>
      <c r="J14" s="140">
        <f>Rates!F20</f>
        <v>674.59</v>
      </c>
      <c r="K14" s="22">
        <v>1</v>
      </c>
      <c r="L14" s="20">
        <f>K14*J14</f>
        <v>674.59</v>
      </c>
      <c r="M14" s="21"/>
      <c r="N14" s="23">
        <f>L14-H14</f>
        <v>14.649999999999977</v>
      </c>
      <c r="O14" s="24">
        <f>IF((H14)=0,"",(N14/H14))</f>
        <v>2.2198987786768459E-2</v>
      </c>
    </row>
    <row r="15" spans="2:16" x14ac:dyDescent="0.25">
      <c r="B15" s="16" t="s">
        <v>18</v>
      </c>
      <c r="C15" s="16"/>
      <c r="D15" s="17" t="s">
        <v>59</v>
      </c>
      <c r="E15" s="18"/>
      <c r="F15" s="139">
        <f>Rates!D21</f>
        <v>3.4194</v>
      </c>
      <c r="G15" s="19">
        <f>$K$9</f>
        <v>5000</v>
      </c>
      <c r="H15" s="20">
        <f t="shared" ref="H15:H16" si="0">G15*F15</f>
        <v>17097</v>
      </c>
      <c r="I15" s="21"/>
      <c r="J15" s="140">
        <f>Rates!F21</f>
        <v>3.4952999999999999</v>
      </c>
      <c r="K15" s="19">
        <f>$K$9</f>
        <v>5000</v>
      </c>
      <c r="L15" s="20">
        <f t="shared" ref="L15:L16" si="1">K15*J15</f>
        <v>17476.5</v>
      </c>
      <c r="M15" s="21"/>
      <c r="N15" s="23">
        <f t="shared" ref="N15:N17" si="2">L15-H15</f>
        <v>379.5</v>
      </c>
      <c r="O15" s="24">
        <f t="shared" ref="O15:O17" si="3">IF((H15)=0,"",(N15/H15))</f>
        <v>2.2196876645025444E-2</v>
      </c>
    </row>
    <row r="16" spans="2:16" x14ac:dyDescent="0.25">
      <c r="B16" s="134" t="s">
        <v>102</v>
      </c>
      <c r="C16" s="16"/>
      <c r="D16" s="49" t="s">
        <v>59</v>
      </c>
      <c r="E16" s="18"/>
      <c r="F16" s="140">
        <f>Rates!D24+Rates!D25</f>
        <v>-0.80100000000000005</v>
      </c>
      <c r="G16" s="19">
        <f t="shared" ref="G16:G21" si="4">$K$9</f>
        <v>5000</v>
      </c>
      <c r="H16" s="20">
        <f t="shared" si="0"/>
        <v>-4005</v>
      </c>
      <c r="I16" s="21"/>
      <c r="J16" s="140">
        <f>Rates!F24+Rates!F25</f>
        <v>-5.5099999999999996E-2</v>
      </c>
      <c r="K16" s="19">
        <f t="shared" ref="K16:K21" si="5">$K$9</f>
        <v>5000</v>
      </c>
      <c r="L16" s="20">
        <f t="shared" si="1"/>
        <v>-275.5</v>
      </c>
      <c r="M16" s="21"/>
      <c r="N16" s="23">
        <f t="shared" si="2"/>
        <v>3729.5</v>
      </c>
      <c r="O16" s="24">
        <f t="shared" si="3"/>
        <v>-0.93121098626716603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13751.939999999999</v>
      </c>
      <c r="I17" s="31"/>
      <c r="J17" s="32"/>
      <c r="K17" s="33"/>
      <c r="L17" s="30">
        <f>SUM(L14:L16)</f>
        <v>17875.59</v>
      </c>
      <c r="M17" s="31"/>
      <c r="N17" s="34">
        <f t="shared" si="2"/>
        <v>4123.6500000000015</v>
      </c>
      <c r="O17" s="35">
        <f t="shared" si="3"/>
        <v>0.29985951073084977</v>
      </c>
    </row>
    <row r="18" spans="2:19" x14ac:dyDescent="0.25">
      <c r="B18" s="39" t="s">
        <v>21</v>
      </c>
      <c r="C18" s="16"/>
      <c r="D18" s="17" t="s">
        <v>55</v>
      </c>
      <c r="E18" s="18"/>
      <c r="F18" s="107">
        <v>0</v>
      </c>
      <c r="G18" s="41">
        <v>0</v>
      </c>
      <c r="H18" s="20">
        <f>G18*F18</f>
        <v>0</v>
      </c>
      <c r="I18" s="21"/>
      <c r="J18" s="109">
        <v>0</v>
      </c>
      <c r="K18" s="41">
        <v>0</v>
      </c>
      <c r="L18" s="20">
        <f>K18*J18</f>
        <v>0</v>
      </c>
      <c r="M18" s="21"/>
      <c r="N18" s="23">
        <f>L18-H18</f>
        <v>0</v>
      </c>
      <c r="O18" s="24" t="str">
        <f>IF((H18)=0,"",(N18/H18))</f>
        <v/>
      </c>
    </row>
    <row r="19" spans="2:19" x14ac:dyDescent="0.25">
      <c r="B19" s="135" t="str">
        <f>Rates!A22</f>
        <v>Total Deferral/Variance Account Rate Riders (Group 1, excl GA)</v>
      </c>
      <c r="C19" s="16"/>
      <c r="D19" s="17" t="s">
        <v>59</v>
      </c>
      <c r="E19" s="18"/>
      <c r="F19" s="140">
        <f>Rates!D22</f>
        <v>-0.48799999999999999</v>
      </c>
      <c r="G19" s="19">
        <f t="shared" si="4"/>
        <v>5000</v>
      </c>
      <c r="H19" s="20">
        <f t="shared" ref="H19:H20" si="6">G19*F19</f>
        <v>-2440</v>
      </c>
      <c r="I19" s="37"/>
      <c r="J19" s="140">
        <f>Rates!F22</f>
        <v>-0.56359999999999999</v>
      </c>
      <c r="K19" s="19">
        <f t="shared" si="5"/>
        <v>5000</v>
      </c>
      <c r="L19" s="20">
        <f t="shared" ref="L19:L20" si="7">K19*J19</f>
        <v>-2818</v>
      </c>
      <c r="M19" s="38"/>
      <c r="N19" s="23">
        <f t="shared" ref="N19:N20" si="8">L19-H19</f>
        <v>-378</v>
      </c>
      <c r="O19" s="24">
        <f t="shared" ref="O19:O20" si="9">IF((H19)=0,"",(N19/H19))</f>
        <v>0.15491803278688523</v>
      </c>
    </row>
    <row r="20" spans="2:19" x14ac:dyDescent="0.25">
      <c r="B20" s="135" t="s">
        <v>114</v>
      </c>
      <c r="C20" s="16"/>
      <c r="D20" s="17" t="s">
        <v>55</v>
      </c>
      <c r="E20" s="18"/>
      <c r="F20" s="140">
        <v>0</v>
      </c>
      <c r="G20" s="19">
        <f>F9</f>
        <v>2500000</v>
      </c>
      <c r="H20" s="20">
        <f t="shared" si="6"/>
        <v>0</v>
      </c>
      <c r="I20" s="37"/>
      <c r="J20" s="140">
        <v>0</v>
      </c>
      <c r="K20" s="19">
        <f>F9</f>
        <v>2500000</v>
      </c>
      <c r="L20" s="20">
        <f t="shared" si="7"/>
        <v>0</v>
      </c>
      <c r="M20" s="38"/>
      <c r="N20" s="23">
        <f t="shared" si="8"/>
        <v>0</v>
      </c>
      <c r="O20" s="24" t="str">
        <f t="shared" si="9"/>
        <v/>
      </c>
    </row>
    <row r="21" spans="2:19" x14ac:dyDescent="0.25">
      <c r="B21" s="39" t="s">
        <v>20</v>
      </c>
      <c r="C21" s="16"/>
      <c r="D21" s="17"/>
      <c r="E21" s="18"/>
      <c r="F21" s="139"/>
      <c r="G21" s="19">
        <f t="shared" si="4"/>
        <v>5000</v>
      </c>
      <c r="H21" s="20">
        <f>G21*F21</f>
        <v>0</v>
      </c>
      <c r="I21" s="21"/>
      <c r="J21" s="140"/>
      <c r="K21" s="19">
        <f t="shared" si="5"/>
        <v>5000</v>
      </c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11311.939999999999</v>
      </c>
      <c r="I23" s="31"/>
      <c r="J23" s="46"/>
      <c r="K23" s="48"/>
      <c r="L23" s="47">
        <f>SUM(L18:L22)+L17</f>
        <v>15057.59</v>
      </c>
      <c r="M23" s="31"/>
      <c r="N23" s="34">
        <f t="shared" ref="N23:N34" si="10">L23-H23</f>
        <v>3745.6500000000015</v>
      </c>
      <c r="O23" s="35">
        <f t="shared" ref="O23:O34" si="11">IF((H23)=0,"",(N23/H23))</f>
        <v>0.33112357385205382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Rates!D26</f>
        <v>2.5066000000000002</v>
      </c>
      <c r="G24" s="51">
        <f>K9*(1+F37)</f>
        <v>5458.4999999999991</v>
      </c>
      <c r="H24" s="20">
        <f>G24*F24</f>
        <v>13682.276099999999</v>
      </c>
      <c r="I24" s="21"/>
      <c r="J24" s="140">
        <f>Rates!F26</f>
        <v>2.9916999999999998</v>
      </c>
      <c r="K24" s="52">
        <f>K9*(1+J37)</f>
        <v>5414.5</v>
      </c>
      <c r="L24" s="20">
        <f>K24*J24</f>
        <v>16198.559649999999</v>
      </c>
      <c r="M24" s="21"/>
      <c r="N24" s="23">
        <f t="shared" si="10"/>
        <v>2516.2835500000001</v>
      </c>
      <c r="O24" s="24">
        <f t="shared" si="11"/>
        <v>0.18390825704796296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Rates!D27</f>
        <v>2.2787000000000002</v>
      </c>
      <c r="G25" s="51">
        <f>G24</f>
        <v>5458.4999999999991</v>
      </c>
      <c r="H25" s="20">
        <f>G25*F25</f>
        <v>12438.283949999999</v>
      </c>
      <c r="I25" s="21"/>
      <c r="J25" s="140">
        <f>Rates!F27</f>
        <v>2.5323000000000002</v>
      </c>
      <c r="K25" s="52">
        <f>K24</f>
        <v>5414.5</v>
      </c>
      <c r="L25" s="20">
        <f>K25*J25</f>
        <v>13711.138350000001</v>
      </c>
      <c r="M25" s="21"/>
      <c r="N25" s="23">
        <f t="shared" si="10"/>
        <v>1272.854400000002</v>
      </c>
      <c r="O25" s="24">
        <f t="shared" si="11"/>
        <v>0.10233360205609408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37432.500049999995</v>
      </c>
      <c r="I26" s="55"/>
      <c r="J26" s="56"/>
      <c r="K26" s="57"/>
      <c r="L26" s="47">
        <f>SUM(L23:L25)</f>
        <v>44967.288</v>
      </c>
      <c r="M26" s="55"/>
      <c r="N26" s="34">
        <f t="shared" si="10"/>
        <v>7534.7879500000054</v>
      </c>
      <c r="O26" s="35">
        <f t="shared" si="11"/>
        <v>0.20129000039899836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Rates!D28</f>
        <v>3.3999999999999998E-3</v>
      </c>
      <c r="G27" s="51">
        <f>F9*(1+F37)</f>
        <v>2729249.9999999995</v>
      </c>
      <c r="H27" s="59">
        <f t="shared" ref="H27:H30" si="12">G27*F27</f>
        <v>9279.4499999999971</v>
      </c>
      <c r="I27" s="21"/>
      <c r="J27" s="141">
        <f>Rates!F28</f>
        <v>3.3999999999999998E-3</v>
      </c>
      <c r="K27" s="52">
        <f>F9*(1+J37)</f>
        <v>2707250</v>
      </c>
      <c r="L27" s="59">
        <f t="shared" ref="L27:L30" si="13">K27*J27</f>
        <v>9204.65</v>
      </c>
      <c r="M27" s="21"/>
      <c r="N27" s="23">
        <f t="shared" si="10"/>
        <v>-74.799999999997453</v>
      </c>
      <c r="O27" s="60">
        <f t="shared" si="11"/>
        <v>-8.0608225703029251E-3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Rates!D29</f>
        <v>5.0000000000000001E-4</v>
      </c>
      <c r="G28" s="51">
        <f>G27</f>
        <v>2729249.9999999995</v>
      </c>
      <c r="H28" s="59">
        <f t="shared" si="12"/>
        <v>1364.6249999999998</v>
      </c>
      <c r="I28" s="21"/>
      <c r="J28" s="141">
        <f>Rates!F29</f>
        <v>5.0000000000000001E-4</v>
      </c>
      <c r="K28" s="52">
        <f>K27</f>
        <v>2707250</v>
      </c>
      <c r="L28" s="59">
        <f t="shared" si="13"/>
        <v>1353.625</v>
      </c>
      <c r="M28" s="21"/>
      <c r="N28" s="23">
        <f t="shared" si="10"/>
        <v>-10.999999999999773</v>
      </c>
      <c r="O28" s="60">
        <f t="shared" si="11"/>
        <v>-8.060822570303031E-3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Rates!D30</f>
        <v>0.25</v>
      </c>
      <c r="G29" s="19">
        <v>1</v>
      </c>
      <c r="H29" s="59">
        <f t="shared" si="12"/>
        <v>0.25</v>
      </c>
      <c r="I29" s="21"/>
      <c r="J29" s="141">
        <f>Rates!F30</f>
        <v>0.25</v>
      </c>
      <c r="K29" s="22">
        <v>1</v>
      </c>
      <c r="L29" s="59">
        <f t="shared" si="13"/>
        <v>0.25</v>
      </c>
      <c r="M29" s="21"/>
      <c r="N29" s="23">
        <f t="shared" si="10"/>
        <v>0</v>
      </c>
      <c r="O29" s="60">
        <f t="shared" si="11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108">
        <f>Rates!D69</f>
        <v>0.1101</v>
      </c>
      <c r="G30" s="62">
        <f>G28</f>
        <v>2729249.9999999995</v>
      </c>
      <c r="H30" s="59">
        <f t="shared" si="12"/>
        <v>300490.42499999993</v>
      </c>
      <c r="I30" s="21"/>
      <c r="J30" s="108">
        <f>Rates!F69</f>
        <v>0.1101</v>
      </c>
      <c r="K30" s="62">
        <f>K28</f>
        <v>2707250</v>
      </c>
      <c r="L30" s="59">
        <f t="shared" si="13"/>
        <v>298068.22500000003</v>
      </c>
      <c r="M30" s="21"/>
      <c r="N30" s="23">
        <f t="shared" si="10"/>
        <v>-2422.1999999998952</v>
      </c>
      <c r="O30" s="60">
        <f t="shared" si="11"/>
        <v>-8.0608225703028506E-3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348567.25004999992</v>
      </c>
      <c r="I32" s="79"/>
      <c r="J32" s="80"/>
      <c r="K32" s="80"/>
      <c r="L32" s="104">
        <f>SUM(L27:L30,L26)</f>
        <v>353594.03800000006</v>
      </c>
      <c r="M32" s="81"/>
      <c r="N32" s="82">
        <f t="shared" ref="N32" si="14">L32-H32</f>
        <v>5026.7879500001436</v>
      </c>
      <c r="O32" s="83">
        <f t="shared" ref="O32" si="15">IF((H32)=0,"",(N32/H32))</f>
        <v>1.442128584736254E-2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45313.742506499992</v>
      </c>
      <c r="I33" s="88"/>
      <c r="J33" s="89">
        <v>0.13</v>
      </c>
      <c r="K33" s="88"/>
      <c r="L33" s="90">
        <f>L32*J33</f>
        <v>45967.224940000007</v>
      </c>
      <c r="M33" s="91"/>
      <c r="N33" s="92">
        <f t="shared" si="10"/>
        <v>653.48243350001576</v>
      </c>
      <c r="O33" s="93">
        <f t="shared" si="11"/>
        <v>1.4421285847362476E-2</v>
      </c>
      <c r="S33" s="63"/>
    </row>
    <row r="34" spans="1:19" s="105" customFormat="1" ht="15.75" thickBot="1" x14ac:dyDescent="0.3">
      <c r="B34" s="94" t="s">
        <v>77</v>
      </c>
      <c r="C34" s="122"/>
      <c r="D34" s="122"/>
      <c r="E34" s="122"/>
      <c r="F34" s="123"/>
      <c r="G34" s="124"/>
      <c r="H34" s="78">
        <f>H32+H33</f>
        <v>393880.9925564999</v>
      </c>
      <c r="I34" s="79"/>
      <c r="J34" s="79"/>
      <c r="K34" s="79"/>
      <c r="L34" s="125">
        <f>L32+L33</f>
        <v>399561.26294000004</v>
      </c>
      <c r="M34" s="81"/>
      <c r="N34" s="82">
        <f t="shared" si="10"/>
        <v>5680.2703835001448</v>
      </c>
      <c r="O34" s="83">
        <f t="shared" si="11"/>
        <v>1.4421285847362497E-2</v>
      </c>
      <c r="S34" s="126"/>
    </row>
    <row r="35" spans="1:19" s="64" customFormat="1" ht="15.75" thickBot="1" x14ac:dyDescent="0.25">
      <c r="B35" s="95"/>
      <c r="C35" s="96"/>
      <c r="D35" s="97"/>
      <c r="E35" s="96"/>
      <c r="F35" s="68"/>
      <c r="G35" s="98"/>
      <c r="H35" s="70"/>
      <c r="I35" s="99"/>
      <c r="J35" s="68"/>
      <c r="K35" s="100"/>
      <c r="L35" s="70"/>
      <c r="M35" s="99"/>
      <c r="N35" s="101"/>
      <c r="O35" s="74"/>
    </row>
    <row r="36" spans="1:19" x14ac:dyDescent="0.25">
      <c r="L36" s="63"/>
    </row>
    <row r="37" spans="1:19" x14ac:dyDescent="0.25">
      <c r="B37" s="7" t="s">
        <v>35</v>
      </c>
      <c r="F37" s="102">
        <f>Rates!D61</f>
        <v>9.1700000000000004E-2</v>
      </c>
      <c r="J37" s="102">
        <f>Rates!F61</f>
        <v>8.2899999999999974E-2</v>
      </c>
    </row>
    <row r="39" spans="1:19" x14ac:dyDescent="0.25">
      <c r="A39" s="103"/>
      <c r="B39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prompt="Select Charge Unit - monthly, per kWh, per kW" sqref="D24:D25 D35 D27:D31 D18:D22 D14:D16" xr:uid="{00000000-0002-0000-0900-000000000000}">
      <formula1>"Monthly, per kWh, per kW"</formula1>
    </dataValidation>
    <dataValidation type="list" allowBlank="1" showInputMessage="1" showErrorMessage="1" sqref="E24:E25 E35 E27:E31 E18:E22 E14:E16" xr:uid="{00000000-0002-0000-0900-000001000000}">
      <formula1>#REF!</formula1>
    </dataValidation>
  </dataValidations>
  <pageMargins left="0.7" right="0.7" top="0.75" bottom="0.75" header="0.3" footer="0.3"/>
  <pageSetup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00"/>
    <pageSetUpPr fitToPage="1"/>
  </sheetPr>
  <dimension ref="A1:S43"/>
  <sheetViews>
    <sheetView showGridLines="0" topLeftCell="A7" zoomScaleNormal="100" workbookViewId="0">
      <selection activeCell="J18" sqref="J18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66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5" t="s">
        <v>7</v>
      </c>
      <c r="G12" s="226"/>
      <c r="H12" s="227"/>
      <c r="J12" s="225" t="s">
        <v>8</v>
      </c>
      <c r="K12" s="226"/>
      <c r="L12" s="227"/>
      <c r="N12" s="225" t="s">
        <v>9</v>
      </c>
      <c r="O12" s="227"/>
    </row>
    <row r="13" spans="2:16" x14ac:dyDescent="0.25">
      <c r="B13" s="6"/>
      <c r="D13" s="217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9" t="s">
        <v>14</v>
      </c>
      <c r="O13" s="221" t="s">
        <v>15</v>
      </c>
    </row>
    <row r="14" spans="2:16" x14ac:dyDescent="0.25">
      <c r="B14" s="6"/>
      <c r="D14" s="218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20"/>
      <c r="O14" s="222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63.83</v>
      </c>
      <c r="K15" s="22">
        <v>1</v>
      </c>
      <c r="L15" s="20">
        <f>K15*J15</f>
        <v>63.83</v>
      </c>
      <c r="M15" s="21"/>
      <c r="N15" s="23">
        <f>L15-H15</f>
        <v>9.0799999999999983</v>
      </c>
      <c r="O15" s="24">
        <f>IF((H15)=0,"",(N15/H15))</f>
        <v>0.16584474885844747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750</v>
      </c>
      <c r="H16" s="20">
        <f t="shared" ref="H16:H18" si="0">G16*F16</f>
        <v>112.05</v>
      </c>
      <c r="I16" s="21"/>
      <c r="J16" s="140">
        <f>Rates!F35</f>
        <v>0.1371</v>
      </c>
      <c r="K16" s="19">
        <f>$F$10</f>
        <v>750</v>
      </c>
      <c r="L16" s="20">
        <f t="shared" ref="L16:L18" si="1">K16*J16</f>
        <v>102.825</v>
      </c>
      <c r="M16" s="21"/>
      <c r="N16" s="23">
        <f t="shared" ref="N16:N19" si="2">L16-H16</f>
        <v>-9.2249999999999943</v>
      </c>
      <c r="O16" s="24">
        <f t="shared" ref="O16:O19" si="3">IF((H16)=0,"",(N16/H16))</f>
        <v>-8.232931726907626E-2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-0.02</v>
      </c>
      <c r="K17" s="19">
        <v>1</v>
      </c>
      <c r="L17" s="20">
        <f t="shared" si="1"/>
        <v>-0.02</v>
      </c>
      <c r="M17" s="21"/>
      <c r="N17" s="23">
        <f t="shared" si="2"/>
        <v>-0.02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750</v>
      </c>
      <c r="H18" s="20">
        <f t="shared" si="0"/>
        <v>21.6</v>
      </c>
      <c r="I18" s="21"/>
      <c r="J18" s="140">
        <f>Rates!F38+Rates!F39</f>
        <v>3.32E-2</v>
      </c>
      <c r="K18" s="19">
        <f t="shared" ref="K18" si="5">$F$10</f>
        <v>750</v>
      </c>
      <c r="L18" s="20">
        <f t="shared" si="1"/>
        <v>24.9</v>
      </c>
      <c r="M18" s="21"/>
      <c r="N18" s="23">
        <f t="shared" si="2"/>
        <v>3.2999999999999972</v>
      </c>
      <c r="O18" s="24">
        <f t="shared" si="3"/>
        <v>0.15277777777777762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188.4</v>
      </c>
      <c r="I19" s="31"/>
      <c r="J19" s="32"/>
      <c r="K19" s="33"/>
      <c r="L19" s="30">
        <f>SUM(L15:L18)</f>
        <v>191.535</v>
      </c>
      <c r="M19" s="31"/>
      <c r="N19" s="34">
        <f t="shared" si="2"/>
        <v>3.1349999999999909</v>
      </c>
      <c r="O19" s="35">
        <f t="shared" si="3"/>
        <v>1.6640127388534983E-2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Rates!D69</f>
        <v>0.1101</v>
      </c>
      <c r="G20" s="41">
        <f>$F$10*(1+$F$41)-$F$10</f>
        <v>68.774999999999864</v>
      </c>
      <c r="H20" s="20">
        <f>G20*F20</f>
        <v>7.5721274999999855</v>
      </c>
      <c r="I20" s="21"/>
      <c r="J20" s="140">
        <f>Rates!F69</f>
        <v>0.1101</v>
      </c>
      <c r="K20" s="41">
        <f>$F$10*(1+$J$41)-$F$10</f>
        <v>62.174999999999955</v>
      </c>
      <c r="L20" s="20">
        <f>K20*J20</f>
        <v>6.8454674999999954</v>
      </c>
      <c r="M20" s="21"/>
      <c r="N20" s="23">
        <f>L20-H20</f>
        <v>-0.72665999999999009</v>
      </c>
      <c r="O20" s="24">
        <f>IF((H20)=0,"",(N20/H20))</f>
        <v>-9.596510359869026E-2</v>
      </c>
    </row>
    <row r="21" spans="2:19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750</v>
      </c>
      <c r="H21" s="20">
        <f t="shared" ref="H21" si="7">G21*F21</f>
        <v>-0.89999999999999991</v>
      </c>
      <c r="I21" s="37"/>
      <c r="J21" s="140">
        <f>Rates!F36</f>
        <v>-1.1999999999999999E-3</v>
      </c>
      <c r="K21" s="19">
        <f t="shared" ref="K21:K22" si="8">$F$10</f>
        <v>750</v>
      </c>
      <c r="L21" s="20">
        <f t="shared" ref="L21" si="9">K21*J21</f>
        <v>-0.89999999999999991</v>
      </c>
      <c r="M21" s="38"/>
      <c r="N21" s="23">
        <f t="shared" ref="N21" si="10">L21-H21</f>
        <v>0</v>
      </c>
      <c r="O21" s="24">
        <f t="shared" ref="O21" si="11">IF((H21)=0,"",(N21/H21))</f>
        <v>0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750</v>
      </c>
      <c r="H22" s="20">
        <f>G22*F22</f>
        <v>0</v>
      </c>
      <c r="I22" s="21"/>
      <c r="J22" s="140"/>
      <c r="K22" s="19">
        <f t="shared" si="8"/>
        <v>750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195.64212749999999</v>
      </c>
      <c r="I24" s="31"/>
      <c r="J24" s="46"/>
      <c r="K24" s="48"/>
      <c r="L24" s="47">
        <f>SUM(L20:L23)+L19</f>
        <v>198.0504675</v>
      </c>
      <c r="M24" s="31"/>
      <c r="N24" s="34">
        <f t="shared" ref="N24:N38" si="12">L24-H24</f>
        <v>2.4083400000000097</v>
      </c>
      <c r="O24" s="35">
        <f t="shared" ref="O24:O38" si="13">IF((H24)=0,"",(N24/H24))</f>
        <v>1.2309925427487543E-2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818.77499999999986</v>
      </c>
      <c r="H25" s="20">
        <f>G25*F25</f>
        <v>5.4039149999999987</v>
      </c>
      <c r="I25" s="21"/>
      <c r="J25" s="140">
        <f>Rates!F40</f>
        <v>7.9000000000000008E-3</v>
      </c>
      <c r="K25" s="52">
        <f>F10*(1+J41)</f>
        <v>812.17499999999995</v>
      </c>
      <c r="L25" s="20">
        <f>K25*J25</f>
        <v>6.4161825000000006</v>
      </c>
      <c r="M25" s="21"/>
      <c r="N25" s="23">
        <f t="shared" si="12"/>
        <v>1.0122675000000019</v>
      </c>
      <c r="O25" s="24">
        <f t="shared" si="13"/>
        <v>0.18732113662039504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818.77499999999986</v>
      </c>
      <c r="H26" s="20">
        <f>G26*F26</f>
        <v>4.9126499999999993</v>
      </c>
      <c r="I26" s="21"/>
      <c r="J26" s="140">
        <f>Rates!F41</f>
        <v>6.7000000000000002E-3</v>
      </c>
      <c r="K26" s="52">
        <f>K25</f>
        <v>812.17499999999995</v>
      </c>
      <c r="L26" s="20">
        <f>K26*J26</f>
        <v>5.4415724999999995</v>
      </c>
      <c r="M26" s="21"/>
      <c r="N26" s="23">
        <f t="shared" si="12"/>
        <v>0.52892250000000018</v>
      </c>
      <c r="O26" s="24">
        <f t="shared" si="13"/>
        <v>0.10766541479649482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205.95869249999998</v>
      </c>
      <c r="I27" s="55"/>
      <c r="J27" s="56"/>
      <c r="K27" s="57"/>
      <c r="L27" s="47">
        <f>SUM(L24:L26)</f>
        <v>209.90822249999999</v>
      </c>
      <c r="M27" s="55"/>
      <c r="N27" s="34">
        <f t="shared" si="12"/>
        <v>3.94953000000001</v>
      </c>
      <c r="O27" s="35">
        <f t="shared" si="13"/>
        <v>1.9176320999415988E-2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818.77499999999986</v>
      </c>
      <c r="H28" s="59">
        <f t="shared" ref="H28:H33" si="14">G28*F28</f>
        <v>2.7838349999999994</v>
      </c>
      <c r="I28" s="21"/>
      <c r="J28" s="141">
        <f>Rates!F42</f>
        <v>3.3999999999999998E-3</v>
      </c>
      <c r="K28" s="52">
        <f>K26</f>
        <v>812.17499999999995</v>
      </c>
      <c r="L28" s="59">
        <f t="shared" ref="L28:L33" si="15">K28*J28</f>
        <v>2.7613949999999998</v>
      </c>
      <c r="M28" s="21"/>
      <c r="N28" s="23">
        <f t="shared" si="12"/>
        <v>-2.2439999999999571E-2</v>
      </c>
      <c r="O28" s="60">
        <f t="shared" si="13"/>
        <v>-8.0608225703030448E-3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818.77499999999986</v>
      </c>
      <c r="H29" s="59">
        <f t="shared" si="14"/>
        <v>0.40938749999999996</v>
      </c>
      <c r="I29" s="21"/>
      <c r="J29" s="141">
        <f>Rates!F43</f>
        <v>5.0000000000000001E-4</v>
      </c>
      <c r="K29" s="52">
        <f>K26</f>
        <v>812.17499999999995</v>
      </c>
      <c r="L29" s="59">
        <f t="shared" si="15"/>
        <v>0.40608749999999999</v>
      </c>
      <c r="M29" s="21"/>
      <c r="N29" s="23">
        <f t="shared" si="12"/>
        <v>-3.2999999999999696E-3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487.5</v>
      </c>
      <c r="H31" s="59">
        <f t="shared" si="14"/>
        <v>31.6875</v>
      </c>
      <c r="I31" s="21"/>
      <c r="J31" s="61">
        <f>Rates!F64</f>
        <v>6.5000000000000002E-2</v>
      </c>
      <c r="K31" s="62">
        <f>G31</f>
        <v>487.5</v>
      </c>
      <c r="L31" s="59">
        <f t="shared" si="15"/>
        <v>31.6875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127.50000000000001</v>
      </c>
      <c r="H32" s="59">
        <f t="shared" si="14"/>
        <v>11.985000000000001</v>
      </c>
      <c r="I32" s="21"/>
      <c r="J32" s="61">
        <f>Rates!F65</f>
        <v>9.4E-2</v>
      </c>
      <c r="K32" s="62">
        <f>G32</f>
        <v>127.50000000000001</v>
      </c>
      <c r="L32" s="59">
        <f t="shared" si="15"/>
        <v>11.985000000000001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135</v>
      </c>
      <c r="H33" s="59">
        <f t="shared" si="14"/>
        <v>18.09</v>
      </c>
      <c r="I33" s="21"/>
      <c r="J33" s="61">
        <f>Rates!F66</f>
        <v>0.13400000000000001</v>
      </c>
      <c r="K33" s="62">
        <f>G33</f>
        <v>135</v>
      </c>
      <c r="L33" s="59">
        <f t="shared" si="15"/>
        <v>18.09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271.16441499999996</v>
      </c>
      <c r="I35" s="79"/>
      <c r="J35" s="80"/>
      <c r="K35" s="80"/>
      <c r="L35" s="104">
        <f>SUM(L28:L33,L27)</f>
        <v>275.08820500000002</v>
      </c>
      <c r="M35" s="81"/>
      <c r="N35" s="82">
        <f t="shared" ref="N35" si="16">L35-H35</f>
        <v>3.9237900000000536</v>
      </c>
      <c r="O35" s="83">
        <f t="shared" ref="O35" si="17">IF((H35)=0,"",(N35/H35))</f>
        <v>1.4470150886133249E-2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35.251373949999994</v>
      </c>
      <c r="I36" s="88"/>
      <c r="J36" s="89">
        <v>0.13</v>
      </c>
      <c r="K36" s="88"/>
      <c r="L36" s="92">
        <f>L35*J36</f>
        <v>35.761466650000003</v>
      </c>
      <c r="M36" s="91"/>
      <c r="N36" s="92">
        <f t="shared" si="12"/>
        <v>0.51009270000000839</v>
      </c>
      <c r="O36" s="93">
        <f t="shared" si="13"/>
        <v>1.4470150886133289E-2</v>
      </c>
      <c r="S36" s="63"/>
    </row>
    <row r="37" spans="1:19" x14ac:dyDescent="0.25">
      <c r="B37" s="84" t="s">
        <v>84</v>
      </c>
      <c r="C37" s="16"/>
      <c r="D37" s="16"/>
      <c r="E37" s="16"/>
      <c r="F37" s="85">
        <v>0.08</v>
      </c>
      <c r="G37" s="86"/>
      <c r="H37" s="87">
        <f>H35*-F37</f>
        <v>-21.693153199999998</v>
      </c>
      <c r="I37" s="88"/>
      <c r="J37" s="89">
        <f>F37</f>
        <v>0.08</v>
      </c>
      <c r="K37" s="88"/>
      <c r="L37" s="92">
        <f>L35*-J37</f>
        <v>-22.007056400000003</v>
      </c>
      <c r="M37" s="91"/>
      <c r="N37" s="92">
        <f t="shared" si="12"/>
        <v>-0.31390320000000571</v>
      </c>
      <c r="O37" s="93">
        <f t="shared" si="13"/>
        <v>1.4470150886133314E-2</v>
      </c>
      <c r="S37" s="63"/>
    </row>
    <row r="38" spans="1:19" s="105" customFormat="1" ht="15.75" thickBot="1" x14ac:dyDescent="0.3">
      <c r="B38" s="94" t="s">
        <v>77</v>
      </c>
      <c r="C38" s="122"/>
      <c r="D38" s="122"/>
      <c r="E38" s="122"/>
      <c r="F38" s="123"/>
      <c r="G38" s="124"/>
      <c r="H38" s="129">
        <f>SUM(H35:H37)</f>
        <v>284.72263574999999</v>
      </c>
      <c r="I38" s="79"/>
      <c r="J38" s="79"/>
      <c r="K38" s="79"/>
      <c r="L38" s="136">
        <f>SUM(L35:L37)</f>
        <v>288.84261524999999</v>
      </c>
      <c r="M38" s="81"/>
      <c r="N38" s="82">
        <f t="shared" si="12"/>
        <v>4.1199794999999995</v>
      </c>
      <c r="O38" s="83">
        <f t="shared" si="13"/>
        <v>1.4470150886133048E-2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disablePrompts="1" count="3">
    <dataValidation type="list" allowBlank="1" showInputMessage="1" showErrorMessage="1" sqref="E25:E26 E39 E28:E34 E15:E18 E20:E23" xr:uid="{00000000-0002-0000-0A00-000000000000}">
      <formula1>#REF!</formula1>
    </dataValidation>
    <dataValidation type="list" allowBlank="1" showInputMessage="1" showErrorMessage="1" prompt="Select Charge Unit - monthly, per kWh, per kW" sqref="D25:D26 D39 D28:D34 D15:D18 D20:D23" xr:uid="{00000000-0002-0000-0A00-000001000000}">
      <formula1>"Monthly, per kWh, per kW"</formula1>
    </dataValidation>
    <dataValidation type="list" allowBlank="1" showInputMessage="1" showErrorMessage="1" sqref="D8" xr:uid="{00000000-0002-0000-0A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3300"/>
    <pageSetUpPr fitToPage="1"/>
  </sheetPr>
  <dimension ref="A1:S42"/>
  <sheetViews>
    <sheetView showGridLines="0" topLeftCell="A10" zoomScaleNormal="100" workbookViewId="0">
      <selection activeCell="J22" sqref="J22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110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5" t="s">
        <v>7</v>
      </c>
      <c r="G12" s="226"/>
      <c r="H12" s="227"/>
      <c r="J12" s="225" t="s">
        <v>8</v>
      </c>
      <c r="K12" s="226"/>
      <c r="L12" s="227"/>
      <c r="N12" s="225" t="s">
        <v>9</v>
      </c>
      <c r="O12" s="227"/>
    </row>
    <row r="13" spans="2:16" x14ac:dyDescent="0.25">
      <c r="B13" s="6"/>
      <c r="D13" s="217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9" t="s">
        <v>14</v>
      </c>
      <c r="O13" s="221" t="s">
        <v>15</v>
      </c>
    </row>
    <row r="14" spans="2:16" x14ac:dyDescent="0.25">
      <c r="B14" s="6"/>
      <c r="D14" s="218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20"/>
      <c r="O14" s="222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63.83</v>
      </c>
      <c r="K15" s="22">
        <v>1</v>
      </c>
      <c r="L15" s="20">
        <f>K15*J15</f>
        <v>63.83</v>
      </c>
      <c r="M15" s="21"/>
      <c r="N15" s="23">
        <f>L15-H15</f>
        <v>9.0799999999999983</v>
      </c>
      <c r="O15" s="24">
        <f>IF((H15)=0,"",(N15/H15))</f>
        <v>0.16584474885844747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750</v>
      </c>
      <c r="H16" s="20">
        <f t="shared" ref="H16:H18" si="0">G16*F16</f>
        <v>112.05</v>
      </c>
      <c r="I16" s="21"/>
      <c r="J16" s="140">
        <f>Rates!F35</f>
        <v>0.1371</v>
      </c>
      <c r="K16" s="19">
        <f>$F$10</f>
        <v>750</v>
      </c>
      <c r="L16" s="20">
        <f t="shared" ref="L16:L18" si="1">K16*J16</f>
        <v>102.825</v>
      </c>
      <c r="M16" s="21"/>
      <c r="N16" s="23">
        <f t="shared" ref="N16:N19" si="2">L16-H16</f>
        <v>-9.2249999999999943</v>
      </c>
      <c r="O16" s="24">
        <f t="shared" ref="O16:O19" si="3">IF((H16)=0,"",(N16/H16))</f>
        <v>-8.232931726907626E-2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-0.02</v>
      </c>
      <c r="K17" s="19">
        <v>1</v>
      </c>
      <c r="L17" s="20">
        <f t="shared" si="1"/>
        <v>-0.02</v>
      </c>
      <c r="M17" s="21"/>
      <c r="N17" s="23">
        <f t="shared" si="2"/>
        <v>-0.02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750</v>
      </c>
      <c r="H18" s="20">
        <f t="shared" si="0"/>
        <v>21.6</v>
      </c>
      <c r="I18" s="21"/>
      <c r="J18" s="140">
        <f>Rates!F38+Rates!F39</f>
        <v>3.32E-2</v>
      </c>
      <c r="K18" s="19">
        <f t="shared" ref="K18" si="5">$F$10</f>
        <v>750</v>
      </c>
      <c r="L18" s="20">
        <f t="shared" si="1"/>
        <v>24.9</v>
      </c>
      <c r="M18" s="21"/>
      <c r="N18" s="23">
        <f t="shared" si="2"/>
        <v>3.2999999999999972</v>
      </c>
      <c r="O18" s="24">
        <f t="shared" si="3"/>
        <v>0.15277777777777762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188.4</v>
      </c>
      <c r="I19" s="31"/>
      <c r="J19" s="32"/>
      <c r="K19" s="33"/>
      <c r="L19" s="30">
        <f>SUM(L15:L18)</f>
        <v>191.535</v>
      </c>
      <c r="M19" s="31"/>
      <c r="N19" s="34">
        <f t="shared" si="2"/>
        <v>3.1349999999999909</v>
      </c>
      <c r="O19" s="35">
        <f t="shared" si="3"/>
        <v>1.6640127388534983E-2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$F$10*(1+$F$40)-$F$10</f>
        <v>68.774999999999864</v>
      </c>
      <c r="H20" s="20">
        <f>G20*F20</f>
        <v>5.6636212499999896</v>
      </c>
      <c r="I20" s="21"/>
      <c r="J20" s="140">
        <f>Rates!F67</f>
        <v>8.2350000000000007E-2</v>
      </c>
      <c r="K20" s="41">
        <f>$F$10*(1+$J$40)-$F$10</f>
        <v>62.174999999999955</v>
      </c>
      <c r="L20" s="20">
        <f>K20*J20</f>
        <v>5.1201112499999963</v>
      </c>
      <c r="M20" s="21"/>
      <c r="N20" s="23">
        <f>L20-H20</f>
        <v>-0.54350999999999328</v>
      </c>
      <c r="O20" s="24">
        <f>IF((H20)=0,"",(N20/H20))</f>
        <v>-9.5965103598690371E-2</v>
      </c>
    </row>
    <row r="21" spans="2:19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3" si="6">$F$10</f>
        <v>750</v>
      </c>
      <c r="H21" s="20">
        <f t="shared" ref="H21" si="7">G21*F21</f>
        <v>-0.89999999999999991</v>
      </c>
      <c r="I21" s="37"/>
      <c r="J21" s="140">
        <f>Rates!F36</f>
        <v>-1.1999999999999999E-3</v>
      </c>
      <c r="K21" s="19">
        <f t="shared" ref="K21:K23" si="8">$F$10</f>
        <v>750</v>
      </c>
      <c r="L21" s="20">
        <f t="shared" ref="L21" si="9">K21*J21</f>
        <v>-0.89999999999999991</v>
      </c>
      <c r="M21" s="38"/>
      <c r="N21" s="23">
        <f t="shared" ref="N21" si="10">L21-H21</f>
        <v>0</v>
      </c>
      <c r="O21" s="24">
        <f t="shared" ref="O21" si="11">IF((H21)=0,"",(N21/H21))</f>
        <v>0</v>
      </c>
    </row>
    <row r="22" spans="2:19" x14ac:dyDescent="0.25">
      <c r="B22" s="135" t="str">
        <f>Rates!A37</f>
        <v>GA Rate Riders</v>
      </c>
      <c r="C22" s="16"/>
      <c r="D22" s="17" t="s">
        <v>55</v>
      </c>
      <c r="E22" s="18"/>
      <c r="F22" s="140">
        <f>Rates!D37</f>
        <v>-7.7999999999999996E-3</v>
      </c>
      <c r="G22" s="19">
        <f t="shared" si="6"/>
        <v>750</v>
      </c>
      <c r="H22" s="20">
        <f t="shared" ref="H22" si="12">G22*F22</f>
        <v>-5.85</v>
      </c>
      <c r="I22" s="138"/>
      <c r="J22" s="140">
        <f>Rates!F37</f>
        <v>-5.21E-2</v>
      </c>
      <c r="K22" s="19">
        <f t="shared" si="8"/>
        <v>750</v>
      </c>
      <c r="L22" s="20">
        <f t="shared" ref="L22" si="13">K22*J22</f>
        <v>-39.075000000000003</v>
      </c>
      <c r="M22" s="38"/>
      <c r="N22" s="23">
        <f t="shared" ref="N22" si="14">L22-H22</f>
        <v>-33.225000000000001</v>
      </c>
      <c r="O22" s="24">
        <f t="shared" ref="O22" si="15">IF((H22)=0,"",(N22/H22))</f>
        <v>5.6794871794871797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750</v>
      </c>
      <c r="H23" s="20">
        <f>G23*F23</f>
        <v>0</v>
      </c>
      <c r="I23" s="21"/>
      <c r="J23" s="140"/>
      <c r="K23" s="19">
        <f t="shared" si="8"/>
        <v>750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Rates!D44</f>
        <v>0.56999999999999995</v>
      </c>
      <c r="G24" s="19">
        <v>1</v>
      </c>
      <c r="H24" s="20">
        <f>G24*F24</f>
        <v>0.56999999999999995</v>
      </c>
      <c r="I24" s="21"/>
      <c r="J24" s="139">
        <f>Rates!F44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SUM(H20:H24)+H19</f>
        <v>187.88362125</v>
      </c>
      <c r="I25" s="31"/>
      <c r="J25" s="46"/>
      <c r="K25" s="48"/>
      <c r="L25" s="47">
        <f>SUM(L20:L24)+L19</f>
        <v>157.25011124999997</v>
      </c>
      <c r="M25" s="31"/>
      <c r="N25" s="34">
        <f t="shared" ref="N25:N37" si="16">L25-H25</f>
        <v>-30.63351000000003</v>
      </c>
      <c r="O25" s="35">
        <f t="shared" ref="O25:O37" si="17">IF((H25)=0,"",(N25/H25))</f>
        <v>-0.16304513291895065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Rates!D40</f>
        <v>6.6E-3</v>
      </c>
      <c r="G26" s="51">
        <f>F10*(1+F40)</f>
        <v>818.77499999999986</v>
      </c>
      <c r="H26" s="20">
        <f>G26*F26</f>
        <v>5.4039149999999987</v>
      </c>
      <c r="I26" s="21"/>
      <c r="J26" s="140">
        <f>Rates!F40</f>
        <v>7.9000000000000008E-3</v>
      </c>
      <c r="K26" s="52">
        <f>F10*(1+J40)</f>
        <v>812.17499999999995</v>
      </c>
      <c r="L26" s="20">
        <f>K26*J26</f>
        <v>6.4161825000000006</v>
      </c>
      <c r="M26" s="21"/>
      <c r="N26" s="23">
        <f t="shared" si="16"/>
        <v>1.0122675000000019</v>
      </c>
      <c r="O26" s="24">
        <f t="shared" si="17"/>
        <v>0.18732113662039504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Rates!D41</f>
        <v>6.0000000000000001E-3</v>
      </c>
      <c r="G27" s="51">
        <f>G26</f>
        <v>818.77499999999986</v>
      </c>
      <c r="H27" s="20">
        <f>G27*F27</f>
        <v>4.9126499999999993</v>
      </c>
      <c r="I27" s="21"/>
      <c r="J27" s="140">
        <f>Rates!F41</f>
        <v>6.7000000000000002E-3</v>
      </c>
      <c r="K27" s="52">
        <f>K26</f>
        <v>812.17499999999995</v>
      </c>
      <c r="L27" s="20">
        <f>K27*J27</f>
        <v>5.4415724999999995</v>
      </c>
      <c r="M27" s="21"/>
      <c r="N27" s="23">
        <f t="shared" si="16"/>
        <v>0.52892250000000018</v>
      </c>
      <c r="O27" s="24">
        <f t="shared" si="17"/>
        <v>0.10766541479649482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198.20018625</v>
      </c>
      <c r="I28" s="55"/>
      <c r="J28" s="56"/>
      <c r="K28" s="57"/>
      <c r="L28" s="47">
        <f>SUM(L25:L27)</f>
        <v>169.10786624999997</v>
      </c>
      <c r="M28" s="55"/>
      <c r="N28" s="34">
        <f t="shared" si="16"/>
        <v>-29.092320000000029</v>
      </c>
      <c r="O28" s="35">
        <f t="shared" si="17"/>
        <v>-0.14678250586154548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Rates!D42</f>
        <v>3.3999999999999998E-3</v>
      </c>
      <c r="G29" s="51">
        <f>G27</f>
        <v>818.77499999999986</v>
      </c>
      <c r="H29" s="59">
        <f t="shared" ref="H29:H32" si="18">G29*F29</f>
        <v>2.7838349999999994</v>
      </c>
      <c r="I29" s="21"/>
      <c r="J29" s="141">
        <f>Rates!F42</f>
        <v>3.3999999999999998E-3</v>
      </c>
      <c r="K29" s="52">
        <f>K27</f>
        <v>812.17499999999995</v>
      </c>
      <c r="L29" s="59">
        <f t="shared" ref="L29:L32" si="19">K29*J29</f>
        <v>2.7613949999999998</v>
      </c>
      <c r="M29" s="21"/>
      <c r="N29" s="23">
        <f t="shared" si="16"/>
        <v>-2.2439999999999571E-2</v>
      </c>
      <c r="O29" s="60">
        <f t="shared" si="17"/>
        <v>-8.0608225703030448E-3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Rates!D43</f>
        <v>5.0000000000000001E-4</v>
      </c>
      <c r="G30" s="51">
        <f>G27</f>
        <v>818.77499999999986</v>
      </c>
      <c r="H30" s="59">
        <f t="shared" si="18"/>
        <v>0.40938749999999996</v>
      </c>
      <c r="I30" s="21"/>
      <c r="J30" s="141">
        <f>Rates!F43</f>
        <v>5.0000000000000001E-4</v>
      </c>
      <c r="K30" s="52">
        <f>K27</f>
        <v>812.17499999999995</v>
      </c>
      <c r="L30" s="59">
        <f t="shared" si="19"/>
        <v>0.40608749999999999</v>
      </c>
      <c r="M30" s="21"/>
      <c r="N30" s="23">
        <f t="shared" si="16"/>
        <v>-3.2999999999999696E-3</v>
      </c>
      <c r="O30" s="60">
        <f t="shared" si="17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Rates!D45</f>
        <v>0.25</v>
      </c>
      <c r="G31" s="19">
        <v>1</v>
      </c>
      <c r="H31" s="59">
        <f t="shared" si="18"/>
        <v>0.25</v>
      </c>
      <c r="I31" s="21"/>
      <c r="J31" s="141">
        <f>Rates!F45</f>
        <v>0.25</v>
      </c>
      <c r="K31" s="22">
        <v>1</v>
      </c>
      <c r="L31" s="59">
        <f t="shared" si="19"/>
        <v>0.25</v>
      </c>
      <c r="M31" s="21"/>
      <c r="N31" s="23">
        <f t="shared" si="16"/>
        <v>0</v>
      </c>
      <c r="O31" s="60">
        <f t="shared" si="17"/>
        <v>0</v>
      </c>
    </row>
    <row r="32" spans="2:19" ht="15.75" thickBot="1" x14ac:dyDescent="0.3">
      <c r="B32" s="39" t="s">
        <v>107</v>
      </c>
      <c r="C32" s="16"/>
      <c r="D32" s="17" t="s">
        <v>55</v>
      </c>
      <c r="E32" s="18"/>
      <c r="F32" s="61">
        <f>Rates!D69</f>
        <v>0.1101</v>
      </c>
      <c r="G32" s="62">
        <f>$F$10</f>
        <v>750</v>
      </c>
      <c r="H32" s="59">
        <f t="shared" si="18"/>
        <v>82.575000000000003</v>
      </c>
      <c r="I32" s="21"/>
      <c r="J32" s="61">
        <f>Rates!F64</f>
        <v>6.5000000000000002E-2</v>
      </c>
      <c r="K32" s="62">
        <f>Rates!F69</f>
        <v>0.1101</v>
      </c>
      <c r="L32" s="59">
        <f t="shared" si="19"/>
        <v>7.1565000000000005E-3</v>
      </c>
      <c r="M32" s="21"/>
      <c r="N32" s="23">
        <f t="shared" si="16"/>
        <v>-82.567843500000009</v>
      </c>
      <c r="O32" s="60">
        <f t="shared" si="17"/>
        <v>-0.99991333333333343</v>
      </c>
      <c r="S32" s="63"/>
    </row>
    <row r="33" spans="1:19" ht="15.75" thickBot="1" x14ac:dyDescent="0.3">
      <c r="B33" s="65"/>
      <c r="C33" s="66"/>
      <c r="D33" s="67"/>
      <c r="E33" s="66"/>
      <c r="F33" s="68"/>
      <c r="G33" s="69"/>
      <c r="H33" s="70"/>
      <c r="I33" s="71"/>
      <c r="J33" s="68"/>
      <c r="K33" s="72"/>
      <c r="L33" s="70"/>
      <c r="M33" s="71"/>
      <c r="N33" s="73"/>
      <c r="O33" s="74"/>
    </row>
    <row r="34" spans="1:19" x14ac:dyDescent="0.25">
      <c r="B34" s="75" t="s">
        <v>33</v>
      </c>
      <c r="C34" s="16"/>
      <c r="D34" s="16"/>
      <c r="E34" s="16"/>
      <c r="F34" s="76"/>
      <c r="G34" s="77"/>
      <c r="H34" s="78">
        <f>SUM(H29:H32,H28)</f>
        <v>284.21840874999998</v>
      </c>
      <c r="I34" s="79"/>
      <c r="J34" s="80"/>
      <c r="K34" s="80"/>
      <c r="L34" s="104">
        <f>SUM(L29:L32,L28)</f>
        <v>172.53250524999999</v>
      </c>
      <c r="M34" s="81"/>
      <c r="N34" s="82">
        <f t="shared" ref="N34" si="20">L34-H34</f>
        <v>-111.68590349999999</v>
      </c>
      <c r="O34" s="83">
        <f t="shared" ref="O34" si="21">IF((H34)=0,"",(N34/H34))</f>
        <v>-0.39295802123162088</v>
      </c>
      <c r="S34" s="63"/>
    </row>
    <row r="35" spans="1:19" x14ac:dyDescent="0.25">
      <c r="B35" s="84" t="s">
        <v>34</v>
      </c>
      <c r="C35" s="16"/>
      <c r="D35" s="16"/>
      <c r="E35" s="16"/>
      <c r="F35" s="85">
        <v>0.13</v>
      </c>
      <c r="G35" s="86"/>
      <c r="H35" s="87">
        <f>H34*F35</f>
        <v>36.948393137499998</v>
      </c>
      <c r="I35" s="88"/>
      <c r="J35" s="89">
        <v>0.13</v>
      </c>
      <c r="K35" s="88"/>
      <c r="L35" s="92">
        <f>L34*J35</f>
        <v>22.4292256825</v>
      </c>
      <c r="M35" s="91"/>
      <c r="N35" s="92">
        <f t="shared" si="16"/>
        <v>-14.519167454999998</v>
      </c>
      <c r="O35" s="93">
        <f t="shared" si="17"/>
        <v>-0.39295802123162082</v>
      </c>
      <c r="S35" s="63"/>
    </row>
    <row r="36" spans="1:19" x14ac:dyDescent="0.25">
      <c r="B36" s="84" t="s">
        <v>84</v>
      </c>
      <c r="C36" s="16"/>
      <c r="D36" s="16"/>
      <c r="E36" s="16"/>
      <c r="F36" s="85">
        <v>0.08</v>
      </c>
      <c r="G36" s="86"/>
      <c r="H36" s="87">
        <f>H34*-F36</f>
        <v>-22.737472699999998</v>
      </c>
      <c r="I36" s="88"/>
      <c r="J36" s="89">
        <f>F36</f>
        <v>0.08</v>
      </c>
      <c r="K36" s="88"/>
      <c r="L36" s="92">
        <f>L34*-J36</f>
        <v>-13.802600419999999</v>
      </c>
      <c r="M36" s="91"/>
      <c r="N36" s="92">
        <f t="shared" si="16"/>
        <v>8.9348722799999987</v>
      </c>
      <c r="O36" s="93">
        <f t="shared" si="17"/>
        <v>-0.39295802123162088</v>
      </c>
      <c r="S36" s="63"/>
    </row>
    <row r="37" spans="1:19" s="105" customFormat="1" ht="15.75" thickBot="1" x14ac:dyDescent="0.3">
      <c r="B37" s="94" t="s">
        <v>77</v>
      </c>
      <c r="C37" s="122"/>
      <c r="D37" s="122"/>
      <c r="E37" s="122"/>
      <c r="F37" s="123"/>
      <c r="G37" s="124"/>
      <c r="H37" s="129">
        <f>SUM(H34:H36)</f>
        <v>298.42932918749995</v>
      </c>
      <c r="I37" s="79"/>
      <c r="J37" s="79"/>
      <c r="K37" s="79"/>
      <c r="L37" s="136">
        <f>SUM(L34:L36)</f>
        <v>181.15913051249998</v>
      </c>
      <c r="M37" s="81"/>
      <c r="N37" s="82">
        <f t="shared" si="16"/>
        <v>-117.27019867499996</v>
      </c>
      <c r="O37" s="83">
        <f t="shared" si="17"/>
        <v>-0.39295802123162082</v>
      </c>
      <c r="S37" s="126"/>
    </row>
    <row r="38" spans="1:19" ht="15.75" thickBot="1" x14ac:dyDescent="0.3">
      <c r="B38" s="65"/>
      <c r="C38" s="66"/>
      <c r="D38" s="67"/>
      <c r="E38" s="66"/>
      <c r="F38" s="68"/>
      <c r="G38" s="69"/>
      <c r="H38" s="70"/>
      <c r="I38" s="71"/>
      <c r="J38" s="68"/>
      <c r="K38" s="72"/>
      <c r="L38" s="70"/>
      <c r="M38" s="71"/>
      <c r="N38" s="73"/>
      <c r="O38" s="74"/>
      <c r="S38" s="63"/>
    </row>
    <row r="39" spans="1:19" x14ac:dyDescent="0.25">
      <c r="L39" s="63"/>
    </row>
    <row r="40" spans="1:19" x14ac:dyDescent="0.25">
      <c r="B40" s="7" t="s">
        <v>35</v>
      </c>
      <c r="F40" s="102">
        <f>Rates!D61</f>
        <v>9.1700000000000004E-2</v>
      </c>
      <c r="J40" s="102">
        <f>Rates!F61</f>
        <v>8.2899999999999974E-2</v>
      </c>
    </row>
    <row r="42" spans="1:19" x14ac:dyDescent="0.25">
      <c r="A42" s="103"/>
      <c r="B42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B00-000000000000}">
      <formula1>"TOU, non-TOU"</formula1>
    </dataValidation>
    <dataValidation type="list" allowBlank="1" showInputMessage="1" showErrorMessage="1" prompt="Select Charge Unit - monthly, per kWh, per kW" sqref="D26:D27 D38 D15:D18 D20:D24 D29:D33" xr:uid="{00000000-0002-0000-0B00-000001000000}">
      <formula1>"Monthly, per kWh, per kW"</formula1>
    </dataValidation>
    <dataValidation type="list" allowBlank="1" showInputMessage="1" showErrorMessage="1" sqref="E26:E27 E38 E15:E18 E20:E24 E29:E33" xr:uid="{00000000-0002-0000-0B00-000002000000}">
      <formula1>#REF!</formula1>
    </dataValidation>
  </dataValidations>
  <pageMargins left="0.7" right="0.7" top="0.75" bottom="0.75" header="0.3" footer="0.3"/>
  <pageSetup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3300"/>
    <pageSetUpPr fitToPage="1"/>
  </sheetPr>
  <dimension ref="A1:S43"/>
  <sheetViews>
    <sheetView showGridLines="0" topLeftCell="A7" zoomScaleNormal="100" workbookViewId="0">
      <selection activeCell="L25" sqref="L25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66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153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5" t="s">
        <v>7</v>
      </c>
      <c r="G12" s="226"/>
      <c r="H12" s="227"/>
      <c r="J12" s="225" t="s">
        <v>8</v>
      </c>
      <c r="K12" s="226"/>
      <c r="L12" s="227"/>
      <c r="N12" s="225" t="s">
        <v>9</v>
      </c>
      <c r="O12" s="227"/>
    </row>
    <row r="13" spans="2:16" x14ac:dyDescent="0.25">
      <c r="B13" s="6"/>
      <c r="D13" s="217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9" t="s">
        <v>14</v>
      </c>
      <c r="O13" s="221" t="s">
        <v>15</v>
      </c>
    </row>
    <row r="14" spans="2:16" x14ac:dyDescent="0.25">
      <c r="B14" s="6"/>
      <c r="D14" s="218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20"/>
      <c r="O14" s="222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63.83</v>
      </c>
      <c r="K15" s="22">
        <v>1</v>
      </c>
      <c r="L15" s="20">
        <f>K15*J15</f>
        <v>63.83</v>
      </c>
      <c r="M15" s="21"/>
      <c r="N15" s="23">
        <f>L15-H15</f>
        <v>9.0799999999999983</v>
      </c>
      <c r="O15" s="24">
        <f>IF((H15)=0,"",(N15/H15))</f>
        <v>0.16584474885844747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153</v>
      </c>
      <c r="H16" s="20">
        <f t="shared" ref="H16:H18" si="0">G16*F16</f>
        <v>22.8582</v>
      </c>
      <c r="I16" s="21"/>
      <c r="J16" s="140">
        <f>Rates!F35</f>
        <v>0.1371</v>
      </c>
      <c r="K16" s="19">
        <f>$F$10</f>
        <v>153</v>
      </c>
      <c r="L16" s="20">
        <f t="shared" ref="L16:L18" si="1">K16*J16</f>
        <v>20.976299999999998</v>
      </c>
      <c r="M16" s="21"/>
      <c r="N16" s="23">
        <f t="shared" ref="N16:N19" si="2">L16-H16</f>
        <v>-1.8819000000000017</v>
      </c>
      <c r="O16" s="24">
        <f t="shared" ref="O16:O19" si="3">IF((H16)=0,"",(N16/H16))</f>
        <v>-8.2329317269076385E-2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-0.02</v>
      </c>
      <c r="K17" s="19">
        <v>1</v>
      </c>
      <c r="L17" s="20">
        <f t="shared" si="1"/>
        <v>-0.02</v>
      </c>
      <c r="M17" s="21"/>
      <c r="N17" s="23">
        <f t="shared" si="2"/>
        <v>-0.02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153</v>
      </c>
      <c r="H18" s="20">
        <f t="shared" si="0"/>
        <v>4.4064000000000005</v>
      </c>
      <c r="I18" s="21"/>
      <c r="J18" s="140">
        <f>Rates!F38+Rates!F39</f>
        <v>3.32E-2</v>
      </c>
      <c r="K18" s="19">
        <f t="shared" ref="K18" si="5">$F$10</f>
        <v>153</v>
      </c>
      <c r="L18" s="20">
        <f t="shared" si="1"/>
        <v>5.0796000000000001</v>
      </c>
      <c r="M18" s="21"/>
      <c r="N18" s="23">
        <f t="shared" si="2"/>
        <v>0.67319999999999958</v>
      </c>
      <c r="O18" s="24">
        <f t="shared" si="3"/>
        <v>0.15277777777777765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82.014600000000002</v>
      </c>
      <c r="I19" s="31"/>
      <c r="J19" s="32"/>
      <c r="K19" s="33"/>
      <c r="L19" s="30">
        <f>SUM(L15:L18)</f>
        <v>89.865899999999996</v>
      </c>
      <c r="M19" s="31"/>
      <c r="N19" s="34">
        <f t="shared" si="2"/>
        <v>7.8512999999999948</v>
      </c>
      <c r="O19" s="35">
        <f t="shared" si="3"/>
        <v>9.5730516273931657E-2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$F$10*(1+$F$41)-$F$10</f>
        <v>14.030099999999976</v>
      </c>
      <c r="H20" s="20">
        <f>G20*F20</f>
        <v>1.1553787349999982</v>
      </c>
      <c r="I20" s="21"/>
      <c r="J20" s="42">
        <f>Rates!F67</f>
        <v>8.2350000000000007E-2</v>
      </c>
      <c r="K20" s="41">
        <f>$F$10*(1+$J$41)-$F$10</f>
        <v>12.683699999999988</v>
      </c>
      <c r="L20" s="20">
        <f>K20*J20</f>
        <v>1.0445026949999991</v>
      </c>
      <c r="M20" s="21"/>
      <c r="N20" s="23">
        <f>L20-H20</f>
        <v>-0.11087603999999907</v>
      </c>
      <c r="O20" s="24">
        <f>IF((H20)=0,"",(N20/H20))</f>
        <v>-9.5965103598690718E-2</v>
      </c>
    </row>
    <row r="21" spans="2:19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153</v>
      </c>
      <c r="H21" s="20">
        <f t="shared" ref="H21" si="7">G21*F21</f>
        <v>-0.18359999999999999</v>
      </c>
      <c r="I21" s="37"/>
      <c r="J21" s="140">
        <f>Rates!F36</f>
        <v>-1.1999999999999999E-3</v>
      </c>
      <c r="K21" s="19">
        <f t="shared" ref="K21:K22" si="8">$F$10</f>
        <v>153</v>
      </c>
      <c r="L21" s="20">
        <f t="shared" ref="L21" si="9">K21*J21</f>
        <v>-0.18359999999999999</v>
      </c>
      <c r="M21" s="38"/>
      <c r="N21" s="23">
        <f t="shared" ref="N21" si="10">L21-H21</f>
        <v>0</v>
      </c>
      <c r="O21" s="24">
        <f t="shared" ref="O21" si="11">IF((H21)=0,"",(N21/H21))</f>
        <v>0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153</v>
      </c>
      <c r="H22" s="20">
        <f>G22*F22</f>
        <v>0</v>
      </c>
      <c r="I22" s="21"/>
      <c r="J22" s="140"/>
      <c r="K22" s="19">
        <f t="shared" si="8"/>
        <v>153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83.556378734999996</v>
      </c>
      <c r="I24" s="31"/>
      <c r="J24" s="46"/>
      <c r="K24" s="48"/>
      <c r="L24" s="47">
        <f>SUM(L20:L23)+L19</f>
        <v>91.296802694999997</v>
      </c>
      <c r="M24" s="31"/>
      <c r="N24" s="34">
        <f t="shared" ref="N24:N38" si="12">L24-H24</f>
        <v>7.7404239600000011</v>
      </c>
      <c r="O24" s="35">
        <f t="shared" ref="O24:O38" si="13">IF((H24)=0,"",(N24/H24))</f>
        <v>9.2637140062625786E-2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167.03009999999998</v>
      </c>
      <c r="H25" s="20">
        <f>G25*F25</f>
        <v>1.1023986599999998</v>
      </c>
      <c r="I25" s="21"/>
      <c r="J25" s="140">
        <f>Rates!F40</f>
        <v>7.9000000000000008E-3</v>
      </c>
      <c r="K25" s="52">
        <f>F10*(1+J41)</f>
        <v>165.68369999999999</v>
      </c>
      <c r="L25" s="20">
        <f>K25*J25</f>
        <v>1.30890123</v>
      </c>
      <c r="M25" s="21"/>
      <c r="N25" s="23">
        <f t="shared" si="12"/>
        <v>0.20650257000000027</v>
      </c>
      <c r="O25" s="24">
        <f t="shared" si="13"/>
        <v>0.18732113662039496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167.03009999999998</v>
      </c>
      <c r="H26" s="20">
        <f>G26*F26</f>
        <v>1.0021806</v>
      </c>
      <c r="I26" s="21"/>
      <c r="J26" s="140">
        <f>Rates!F41</f>
        <v>6.7000000000000002E-3</v>
      </c>
      <c r="K26" s="52">
        <f>K25</f>
        <v>165.68369999999999</v>
      </c>
      <c r="L26" s="20">
        <f>K26*J26</f>
        <v>1.11008079</v>
      </c>
      <c r="M26" s="21"/>
      <c r="N26" s="23">
        <f t="shared" si="12"/>
        <v>0.10790019000000006</v>
      </c>
      <c r="O26" s="24">
        <f t="shared" si="13"/>
        <v>0.10766541479649483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85.660957995000004</v>
      </c>
      <c r="I27" s="55"/>
      <c r="J27" s="56"/>
      <c r="K27" s="57"/>
      <c r="L27" s="47">
        <f>SUM(L24:L26)</f>
        <v>93.715784714999998</v>
      </c>
      <c r="M27" s="55"/>
      <c r="N27" s="34">
        <f t="shared" si="12"/>
        <v>8.0548267199999941</v>
      </c>
      <c r="O27" s="35">
        <f t="shared" si="13"/>
        <v>9.4031480718090393E-2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167.03009999999998</v>
      </c>
      <c r="H28" s="59">
        <f t="shared" ref="H28:H33" si="14">G28*F28</f>
        <v>0.56790233999999984</v>
      </c>
      <c r="I28" s="21"/>
      <c r="J28" s="141">
        <f>Rates!F42</f>
        <v>3.3999999999999998E-3</v>
      </c>
      <c r="K28" s="52">
        <f>K26</f>
        <v>165.68369999999999</v>
      </c>
      <c r="L28" s="59">
        <f t="shared" ref="L28:L33" si="15">K28*J28</f>
        <v>0.56332457999999996</v>
      </c>
      <c r="M28" s="21"/>
      <c r="N28" s="23">
        <f t="shared" si="12"/>
        <v>-4.5777599999998753E-3</v>
      </c>
      <c r="O28" s="60">
        <f t="shared" si="13"/>
        <v>-8.0608225703029789E-3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167.03009999999998</v>
      </c>
      <c r="H29" s="59">
        <f t="shared" si="14"/>
        <v>8.3515049999999993E-2</v>
      </c>
      <c r="I29" s="21"/>
      <c r="J29" s="141">
        <f>Rates!F43</f>
        <v>5.0000000000000001E-4</v>
      </c>
      <c r="K29" s="52">
        <f>K26</f>
        <v>165.68369999999999</v>
      </c>
      <c r="L29" s="59">
        <f t="shared" si="15"/>
        <v>8.2841849999999995E-2</v>
      </c>
      <c r="M29" s="21"/>
      <c r="N29" s="23">
        <f t="shared" si="12"/>
        <v>-6.731999999999988E-4</v>
      </c>
      <c r="O29" s="60">
        <f t="shared" si="13"/>
        <v>-8.0608225703031836E-3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99.45</v>
      </c>
      <c r="H31" s="59">
        <f t="shared" si="14"/>
        <v>6.4642500000000007</v>
      </c>
      <c r="I31" s="21"/>
      <c r="J31" s="61">
        <f>Rates!F64</f>
        <v>6.5000000000000002E-2</v>
      </c>
      <c r="K31" s="62">
        <f>G31</f>
        <v>99.45</v>
      </c>
      <c r="L31" s="59">
        <f t="shared" si="15"/>
        <v>6.4642500000000007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26.01</v>
      </c>
      <c r="H32" s="59">
        <f t="shared" si="14"/>
        <v>2.4449400000000003</v>
      </c>
      <c r="I32" s="21"/>
      <c r="J32" s="61">
        <f>Rates!F65</f>
        <v>9.4E-2</v>
      </c>
      <c r="K32" s="62">
        <f>G32</f>
        <v>26.01</v>
      </c>
      <c r="L32" s="59">
        <f t="shared" si="15"/>
        <v>2.4449400000000003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27.54</v>
      </c>
      <c r="H33" s="59">
        <f t="shared" si="14"/>
        <v>3.6903600000000001</v>
      </c>
      <c r="I33" s="21"/>
      <c r="J33" s="61">
        <f>Rates!F66</f>
        <v>0.13400000000000001</v>
      </c>
      <c r="K33" s="62">
        <f>G33</f>
        <v>27.54</v>
      </c>
      <c r="L33" s="59">
        <f t="shared" si="15"/>
        <v>3.6903600000000001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99.161925385000004</v>
      </c>
      <c r="I35" s="79"/>
      <c r="J35" s="80"/>
      <c r="K35" s="80"/>
      <c r="L35" s="104">
        <f>SUM(L28:L33,L27)</f>
        <v>107.211501145</v>
      </c>
      <c r="M35" s="81"/>
      <c r="N35" s="82">
        <f t="shared" ref="N35" si="16">L35-H35</f>
        <v>8.0495757599999962</v>
      </c>
      <c r="O35" s="83">
        <f t="shared" ref="O35" si="17">IF((H35)=0,"",(N35/H35))</f>
        <v>8.1176073666855572E-2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12.891050300050001</v>
      </c>
      <c r="I36" s="88"/>
      <c r="J36" s="89">
        <v>0.13</v>
      </c>
      <c r="K36" s="88"/>
      <c r="L36" s="92">
        <f>L35*J36</f>
        <v>13.937495148850001</v>
      </c>
      <c r="M36" s="91"/>
      <c r="N36" s="92">
        <f t="shared" si="12"/>
        <v>1.0464448488000002</v>
      </c>
      <c r="O36" s="93">
        <f t="shared" si="13"/>
        <v>8.1176073666855628E-2</v>
      </c>
      <c r="S36" s="63"/>
    </row>
    <row r="37" spans="1:19" x14ac:dyDescent="0.25">
      <c r="B37" s="84" t="s">
        <v>84</v>
      </c>
      <c r="C37" s="16"/>
      <c r="D37" s="16"/>
      <c r="E37" s="16"/>
      <c r="F37" s="85">
        <v>0.08</v>
      </c>
      <c r="G37" s="86"/>
      <c r="H37" s="87">
        <f>H35*-F37</f>
        <v>-7.9329540308000004</v>
      </c>
      <c r="I37" s="88"/>
      <c r="J37" s="89">
        <f>F37</f>
        <v>0.08</v>
      </c>
      <c r="K37" s="88"/>
      <c r="L37" s="92">
        <f>L35*-J37</f>
        <v>-8.5769200915999999</v>
      </c>
      <c r="M37" s="91"/>
      <c r="N37" s="92">
        <f t="shared" si="12"/>
        <v>-0.64396606079999952</v>
      </c>
      <c r="O37" s="93">
        <f t="shared" si="13"/>
        <v>8.1176073666855558E-2</v>
      </c>
      <c r="S37" s="63"/>
    </row>
    <row r="38" spans="1:19" s="105" customFormat="1" ht="15.75" thickBot="1" x14ac:dyDescent="0.3">
      <c r="B38" s="94" t="s">
        <v>77</v>
      </c>
      <c r="C38" s="122"/>
      <c r="D38" s="122"/>
      <c r="E38" s="122"/>
      <c r="F38" s="123"/>
      <c r="G38" s="124"/>
      <c r="H38" s="129">
        <f>SUM(H35:H37)</f>
        <v>104.12002165425</v>
      </c>
      <c r="I38" s="79"/>
      <c r="J38" s="79"/>
      <c r="K38" s="79"/>
      <c r="L38" s="136">
        <f>SUM(L35:L37)</f>
        <v>112.57207620225</v>
      </c>
      <c r="M38" s="81"/>
      <c r="N38" s="82">
        <f t="shared" si="12"/>
        <v>8.4520545480000067</v>
      </c>
      <c r="O38" s="83">
        <f t="shared" si="13"/>
        <v>8.1176073666855683E-2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C00-000000000000}">
      <formula1>"TOU, non-TOU"</formula1>
    </dataValidation>
    <dataValidation type="list" allowBlank="1" showInputMessage="1" showErrorMessage="1" prompt="Select Charge Unit - monthly, per kWh, per kW" sqref="D25:D26 D39 D28:D34 D15:D18 D20:D23" xr:uid="{00000000-0002-0000-0C00-000001000000}">
      <formula1>"Monthly, per kWh, per kW"</formula1>
    </dataValidation>
    <dataValidation type="list" allowBlank="1" showInputMessage="1" showErrorMessage="1" sqref="E25:E26 E39 E28:E34 E15:E18 E20:E23" xr:uid="{00000000-0002-0000-0C00-000002000000}">
      <formula1>#REF!</formula1>
    </dataValidation>
  </dataValidations>
  <pageMargins left="0.7" right="0.7" top="0.75" bottom="0.75" header="0.3" footer="0.3"/>
  <pageSetup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3300"/>
    <pageSetUpPr fitToPage="1"/>
  </sheetPr>
  <dimension ref="A1:S43"/>
  <sheetViews>
    <sheetView showGridLines="0" topLeftCell="A7" zoomScaleNormal="100" workbookViewId="0">
      <selection activeCell="H46" sqref="H46"/>
    </sheetView>
  </sheetViews>
  <sheetFormatPr defaultRowHeight="15" x14ac:dyDescent="0.25"/>
  <cols>
    <col min="1" max="1" width="2.140625" style="1" customWidth="1"/>
    <col min="2" max="2" width="40.425781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9.7109375" style="1" customWidth="1"/>
    <col min="9" max="9" width="2.85546875" style="1" customWidth="1"/>
    <col min="10" max="10" width="12.140625" style="1" customWidth="1"/>
    <col min="11" max="11" width="8.5703125" style="1" customWidth="1"/>
    <col min="12" max="12" width="9.85546875" style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66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5" t="s">
        <v>7</v>
      </c>
      <c r="G12" s="226"/>
      <c r="H12" s="227"/>
      <c r="J12" s="225" t="s">
        <v>8</v>
      </c>
      <c r="K12" s="226"/>
      <c r="L12" s="227"/>
      <c r="N12" s="225" t="s">
        <v>9</v>
      </c>
      <c r="O12" s="227"/>
    </row>
    <row r="13" spans="2:16" x14ac:dyDescent="0.25">
      <c r="B13" s="6"/>
      <c r="D13" s="217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9" t="s">
        <v>14</v>
      </c>
      <c r="O13" s="221" t="s">
        <v>15</v>
      </c>
    </row>
    <row r="14" spans="2:16" x14ac:dyDescent="0.25">
      <c r="B14" s="6"/>
      <c r="D14" s="218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20"/>
      <c r="O14" s="222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Rates!D33</f>
        <v>54.75</v>
      </c>
      <c r="G15" s="19">
        <v>1</v>
      </c>
      <c r="H15" s="20">
        <f>G15*F15</f>
        <v>54.75</v>
      </c>
      <c r="I15" s="21"/>
      <c r="J15" s="140">
        <f>Rates!F33</f>
        <v>63.83</v>
      </c>
      <c r="K15" s="22">
        <v>1</v>
      </c>
      <c r="L15" s="20">
        <f>K15*J15</f>
        <v>63.83</v>
      </c>
      <c r="M15" s="21"/>
      <c r="N15" s="23">
        <f>L15-H15</f>
        <v>9.0799999999999983</v>
      </c>
      <c r="O15" s="24">
        <f>IF((H15)=0,"",(N15/H15))</f>
        <v>0.16584474885844747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Rates!D35</f>
        <v>0.14940000000000001</v>
      </c>
      <c r="G16" s="19">
        <f>$F$10</f>
        <v>50</v>
      </c>
      <c r="H16" s="20">
        <f t="shared" ref="H16:H18" si="0">G16*F16</f>
        <v>7.4700000000000006</v>
      </c>
      <c r="I16" s="21"/>
      <c r="J16" s="140">
        <f>Rates!F35</f>
        <v>0.1371</v>
      </c>
      <c r="K16" s="19">
        <f>$F$10</f>
        <v>50</v>
      </c>
      <c r="L16" s="20">
        <f t="shared" ref="L16:L18" si="1">K16*J16</f>
        <v>6.8550000000000004</v>
      </c>
      <c r="M16" s="21"/>
      <c r="N16" s="23">
        <f t="shared" ref="N16:N19" si="2">L16-H16</f>
        <v>-0.61500000000000021</v>
      </c>
      <c r="O16" s="24">
        <f t="shared" ref="O16:O19" si="3">IF((H16)=0,"",(N16/H16))</f>
        <v>-8.232931726907633E-2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Rates!D34</f>
        <v>0</v>
      </c>
      <c r="G17" s="19">
        <v>1</v>
      </c>
      <c r="H17" s="20">
        <f t="shared" si="0"/>
        <v>0</v>
      </c>
      <c r="I17" s="21"/>
      <c r="J17" s="140">
        <f>Rates!F34</f>
        <v>-0.02</v>
      </c>
      <c r="K17" s="19">
        <v>1</v>
      </c>
      <c r="L17" s="20">
        <f t="shared" si="1"/>
        <v>-0.02</v>
      </c>
      <c r="M17" s="21"/>
      <c r="N17" s="23">
        <f t="shared" si="2"/>
        <v>-0.02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Rates!D38+Rates!D39</f>
        <v>2.8800000000000003E-2</v>
      </c>
      <c r="G18" s="19">
        <f t="shared" ref="G18" si="4">$F$10</f>
        <v>50</v>
      </c>
      <c r="H18" s="20">
        <f t="shared" si="0"/>
        <v>1.4400000000000002</v>
      </c>
      <c r="I18" s="21"/>
      <c r="J18" s="140">
        <f>Rates!F38+Rates!F39</f>
        <v>3.32E-2</v>
      </c>
      <c r="K18" s="19">
        <f t="shared" ref="K18" si="5">$F$10</f>
        <v>50</v>
      </c>
      <c r="L18" s="20">
        <f t="shared" si="1"/>
        <v>1.66</v>
      </c>
      <c r="M18" s="21"/>
      <c r="N18" s="23">
        <f t="shared" si="2"/>
        <v>0.21999999999999975</v>
      </c>
      <c r="O18" s="24">
        <f t="shared" si="3"/>
        <v>0.1527777777777776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63.66</v>
      </c>
      <c r="I19" s="31"/>
      <c r="J19" s="32"/>
      <c r="K19" s="33"/>
      <c r="L19" s="30">
        <f>SUM(L15:L18)</f>
        <v>72.325000000000003</v>
      </c>
      <c r="M19" s="31"/>
      <c r="N19" s="34">
        <f t="shared" si="2"/>
        <v>8.6650000000000063</v>
      </c>
      <c r="O19" s="35">
        <f t="shared" si="3"/>
        <v>0.13611372918630232</v>
      </c>
    </row>
    <row r="20" spans="2:19" x14ac:dyDescent="0.25">
      <c r="B20" s="39" t="s">
        <v>21</v>
      </c>
      <c r="C20" s="16"/>
      <c r="D20" s="17" t="s">
        <v>55</v>
      </c>
      <c r="E20" s="18"/>
      <c r="F20" s="139">
        <f>Rates!D67</f>
        <v>8.2350000000000007E-2</v>
      </c>
      <c r="G20" s="41">
        <f>$F$10*(1+$F$41)-$F$10</f>
        <v>4.5849999999999937</v>
      </c>
      <c r="H20" s="20">
        <f>G20*F20</f>
        <v>0.37757474999999951</v>
      </c>
      <c r="I20" s="21"/>
      <c r="J20" s="140">
        <f>Rates!F67</f>
        <v>8.2350000000000007E-2</v>
      </c>
      <c r="K20" s="41">
        <f>$F$10*(1+$J$41)-$F$10</f>
        <v>4.144999999999996</v>
      </c>
      <c r="L20" s="20">
        <f>K20*J20</f>
        <v>0.34134074999999969</v>
      </c>
      <c r="M20" s="21"/>
      <c r="N20" s="23">
        <f>L20-H20</f>
        <v>-3.6233999999999822E-2</v>
      </c>
      <c r="O20" s="24">
        <f>IF((H20)=0,"",(N20/H20))</f>
        <v>-9.5965103598691037E-2</v>
      </c>
    </row>
    <row r="21" spans="2:19" x14ac:dyDescent="0.25">
      <c r="B21" s="135" t="str">
        <f>Rates!A36</f>
        <v>Total Deferral/Variance Account Rate Riders (Group 1, excl GA)</v>
      </c>
      <c r="C21" s="16"/>
      <c r="D21" s="17" t="s">
        <v>55</v>
      </c>
      <c r="E21" s="18"/>
      <c r="F21" s="140">
        <f>Rates!D36</f>
        <v>-1.1999999999999999E-3</v>
      </c>
      <c r="G21" s="19">
        <f t="shared" ref="G21:G22" si="6">$F$10</f>
        <v>50</v>
      </c>
      <c r="H21" s="20">
        <f t="shared" ref="H21" si="7">G21*F21</f>
        <v>-0.06</v>
      </c>
      <c r="I21" s="37"/>
      <c r="J21" s="140">
        <f>Rates!F36</f>
        <v>-1.1999999999999999E-3</v>
      </c>
      <c r="K21" s="19">
        <f t="shared" ref="K21:K22" si="8">$F$10</f>
        <v>50</v>
      </c>
      <c r="L21" s="20">
        <f t="shared" ref="L21" si="9">K21*J21</f>
        <v>-0.06</v>
      </c>
      <c r="M21" s="38"/>
      <c r="N21" s="23">
        <f t="shared" ref="N21" si="10">L21-H21</f>
        <v>0</v>
      </c>
      <c r="O21" s="24">
        <f t="shared" ref="O21" si="11">IF((H21)=0,"",(N21/H21))</f>
        <v>0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50</v>
      </c>
      <c r="H22" s="20">
        <f>G22*F22</f>
        <v>0</v>
      </c>
      <c r="I22" s="21"/>
      <c r="J22" s="140"/>
      <c r="K22" s="19">
        <f t="shared" si="8"/>
        <v>50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Rates!D44</f>
        <v>0.56999999999999995</v>
      </c>
      <c r="G23" s="19">
        <v>1</v>
      </c>
      <c r="H23" s="20">
        <f>G23*F23</f>
        <v>0.56999999999999995</v>
      </c>
      <c r="I23" s="21"/>
      <c r="J23" s="139">
        <f>Rates!F44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64.547574749999995</v>
      </c>
      <c r="I24" s="31"/>
      <c r="J24" s="46"/>
      <c r="K24" s="48"/>
      <c r="L24" s="47">
        <f>SUM(L20:L23)+L19</f>
        <v>73.176340750000008</v>
      </c>
      <c r="M24" s="31"/>
      <c r="N24" s="34">
        <f t="shared" ref="N24:N38" si="12">L24-H24</f>
        <v>8.628766000000013</v>
      </c>
      <c r="O24" s="35">
        <f t="shared" ref="O24:O38" si="13">IF((H24)=0,"",(N24/H24))</f>
        <v>0.1336807158660909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Rates!D40</f>
        <v>6.6E-3</v>
      </c>
      <c r="G25" s="51">
        <f>F10*(1+F41)</f>
        <v>54.584999999999994</v>
      </c>
      <c r="H25" s="20">
        <f>G25*F25</f>
        <v>0.36026099999999994</v>
      </c>
      <c r="I25" s="21"/>
      <c r="J25" s="140">
        <f>Rates!F40</f>
        <v>7.9000000000000008E-3</v>
      </c>
      <c r="K25" s="52">
        <f>F10*(1+J41)</f>
        <v>54.144999999999996</v>
      </c>
      <c r="L25" s="20">
        <f>K25*J25</f>
        <v>0.4277455</v>
      </c>
      <c r="M25" s="21"/>
      <c r="N25" s="23">
        <f t="shared" si="12"/>
        <v>6.7484500000000058E-2</v>
      </c>
      <c r="O25" s="24">
        <f t="shared" si="13"/>
        <v>0.18732113662039485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Rates!D41</f>
        <v>6.0000000000000001E-3</v>
      </c>
      <c r="G26" s="51">
        <f>G25</f>
        <v>54.584999999999994</v>
      </c>
      <c r="H26" s="20">
        <f>G26*F26</f>
        <v>0.32750999999999997</v>
      </c>
      <c r="I26" s="21"/>
      <c r="J26" s="140">
        <f>Rates!F41</f>
        <v>6.7000000000000002E-3</v>
      </c>
      <c r="K26" s="52">
        <f>K25</f>
        <v>54.144999999999996</v>
      </c>
      <c r="L26" s="20">
        <f>K26*J26</f>
        <v>0.36277149999999997</v>
      </c>
      <c r="M26" s="21"/>
      <c r="N26" s="23">
        <f t="shared" si="12"/>
        <v>3.5261500000000001E-2</v>
      </c>
      <c r="O26" s="24">
        <f t="shared" si="13"/>
        <v>0.10766541479649477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65.235345749999993</v>
      </c>
      <c r="I27" s="55"/>
      <c r="J27" s="56"/>
      <c r="K27" s="57"/>
      <c r="L27" s="47">
        <f>SUM(L24:L26)</f>
        <v>73.966857750000003</v>
      </c>
      <c r="M27" s="55"/>
      <c r="N27" s="34">
        <f t="shared" si="12"/>
        <v>8.7315120000000093</v>
      </c>
      <c r="O27" s="35">
        <f t="shared" si="13"/>
        <v>0.13384633590295658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Rates!D42</f>
        <v>3.3999999999999998E-3</v>
      </c>
      <c r="G28" s="51">
        <f>G26</f>
        <v>54.584999999999994</v>
      </c>
      <c r="H28" s="59">
        <f t="shared" ref="H28:H33" si="14">G28*F28</f>
        <v>0.18558899999999998</v>
      </c>
      <c r="I28" s="21"/>
      <c r="J28" s="141">
        <f>Rates!F42</f>
        <v>3.3999999999999998E-3</v>
      </c>
      <c r="K28" s="52">
        <f>K26</f>
        <v>54.144999999999996</v>
      </c>
      <c r="L28" s="59">
        <f t="shared" ref="L28:L33" si="15">K28*J28</f>
        <v>0.18409299999999998</v>
      </c>
      <c r="M28" s="21"/>
      <c r="N28" s="23">
        <f t="shared" si="12"/>
        <v>-1.4959999999999973E-3</v>
      </c>
      <c r="O28" s="60">
        <f t="shared" si="13"/>
        <v>-8.0608225703031836E-3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Rates!D43</f>
        <v>5.0000000000000001E-4</v>
      </c>
      <c r="G29" s="51">
        <f>G26</f>
        <v>54.584999999999994</v>
      </c>
      <c r="H29" s="59">
        <f t="shared" si="14"/>
        <v>2.7292499999999997E-2</v>
      </c>
      <c r="I29" s="21"/>
      <c r="J29" s="141">
        <f>Rates!F43</f>
        <v>5.0000000000000001E-4</v>
      </c>
      <c r="K29" s="52">
        <f>K26</f>
        <v>54.144999999999996</v>
      </c>
      <c r="L29" s="59">
        <f t="shared" si="15"/>
        <v>2.7072499999999999E-2</v>
      </c>
      <c r="M29" s="21"/>
      <c r="N29" s="23">
        <f t="shared" si="12"/>
        <v>-2.1999999999999797E-4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Rates!D45</f>
        <v>0.25</v>
      </c>
      <c r="G30" s="19">
        <v>1</v>
      </c>
      <c r="H30" s="59">
        <f t="shared" si="14"/>
        <v>0.25</v>
      </c>
      <c r="I30" s="21"/>
      <c r="J30" s="141">
        <f>Rates!F45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32.5</v>
      </c>
      <c r="H31" s="59">
        <f t="shared" si="14"/>
        <v>2.1125000000000003</v>
      </c>
      <c r="I31" s="21"/>
      <c r="J31" s="61">
        <f>Rates!F64</f>
        <v>6.5000000000000002E-2</v>
      </c>
      <c r="K31" s="62">
        <f>G31</f>
        <v>32.5</v>
      </c>
      <c r="L31" s="59">
        <f t="shared" si="15"/>
        <v>2.1125000000000003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8.5</v>
      </c>
      <c r="H32" s="59">
        <f t="shared" si="14"/>
        <v>0.79900000000000004</v>
      </c>
      <c r="I32" s="21"/>
      <c r="J32" s="61">
        <f>Rates!F65</f>
        <v>9.4E-2</v>
      </c>
      <c r="K32" s="62">
        <f>G32</f>
        <v>8.5</v>
      </c>
      <c r="L32" s="59">
        <f t="shared" si="15"/>
        <v>0.79900000000000004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9</v>
      </c>
      <c r="H33" s="59">
        <f t="shared" si="14"/>
        <v>1.206</v>
      </c>
      <c r="I33" s="21"/>
      <c r="J33" s="61">
        <f>Rates!F66</f>
        <v>0.13400000000000001</v>
      </c>
      <c r="K33" s="62">
        <f>G33</f>
        <v>9</v>
      </c>
      <c r="L33" s="59">
        <f t="shared" si="15"/>
        <v>1.206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69.815727249999995</v>
      </c>
      <c r="I35" s="79"/>
      <c r="J35" s="80"/>
      <c r="K35" s="80"/>
      <c r="L35" s="104">
        <f>SUM(L28:L33,L27)</f>
        <v>78.545523250000002</v>
      </c>
      <c r="M35" s="81"/>
      <c r="N35" s="82">
        <f t="shared" ref="N35" si="16">L35-H35</f>
        <v>8.7297960000000074</v>
      </c>
      <c r="O35" s="83">
        <f t="shared" ref="O35" si="17">IF((H35)=0,"",(N35/H35))</f>
        <v>0.12504053662206904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9.0760445425</v>
      </c>
      <c r="I36" s="88"/>
      <c r="J36" s="89">
        <v>0.13</v>
      </c>
      <c r="K36" s="88"/>
      <c r="L36" s="92">
        <f>L35*J36</f>
        <v>10.210918022500001</v>
      </c>
      <c r="M36" s="91"/>
      <c r="N36" s="92">
        <f t="shared" si="12"/>
        <v>1.1348734800000013</v>
      </c>
      <c r="O36" s="93">
        <f t="shared" si="13"/>
        <v>0.12504053662206907</v>
      </c>
      <c r="S36" s="63"/>
    </row>
    <row r="37" spans="1:19" x14ac:dyDescent="0.25">
      <c r="B37" s="84" t="s">
        <v>84</v>
      </c>
      <c r="C37" s="16"/>
      <c r="D37" s="16"/>
      <c r="E37" s="16"/>
      <c r="F37" s="85">
        <v>0.08</v>
      </c>
      <c r="G37" s="86"/>
      <c r="H37" s="87">
        <f>H35*-F37</f>
        <v>-5.5852581799999994</v>
      </c>
      <c r="I37" s="88"/>
      <c r="J37" s="89">
        <f>F37</f>
        <v>0.08</v>
      </c>
      <c r="K37" s="88"/>
      <c r="L37" s="92">
        <f>L35*-J37</f>
        <v>-6.2836418600000004</v>
      </c>
      <c r="M37" s="91"/>
      <c r="N37" s="92">
        <f t="shared" si="12"/>
        <v>-0.69838368000000095</v>
      </c>
      <c r="O37" s="93">
        <f t="shared" si="13"/>
        <v>0.1250405366220691</v>
      </c>
      <c r="S37" s="63"/>
    </row>
    <row r="38" spans="1:19" s="105" customFormat="1" ht="15.75" thickBot="1" x14ac:dyDescent="0.3">
      <c r="B38" s="94" t="s">
        <v>77</v>
      </c>
      <c r="C38" s="122"/>
      <c r="D38" s="122"/>
      <c r="E38" s="122"/>
      <c r="F38" s="123"/>
      <c r="G38" s="124"/>
      <c r="H38" s="129">
        <f>SUM(H35:H37)</f>
        <v>73.306513612499998</v>
      </c>
      <c r="I38" s="79"/>
      <c r="J38" s="79"/>
      <c r="K38" s="79"/>
      <c r="L38" s="136">
        <f>SUM(L35:L37)</f>
        <v>82.472799412499995</v>
      </c>
      <c r="M38" s="81"/>
      <c r="N38" s="82">
        <f t="shared" si="12"/>
        <v>9.1662857999999972</v>
      </c>
      <c r="O38" s="83">
        <f t="shared" si="13"/>
        <v>0.12504053662206888</v>
      </c>
      <c r="S38" s="126"/>
    </row>
    <row r="39" spans="1:19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63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E25:E26 E39 E28:E34 E15:E18 E20:E23" xr:uid="{00000000-0002-0000-0D00-000000000000}">
      <formula1>#REF!</formula1>
    </dataValidation>
    <dataValidation type="list" allowBlank="1" showInputMessage="1" showErrorMessage="1" prompt="Select Charge Unit - monthly, per kWh, per kW" sqref="D25:D26 D39 D28:D34 D15:D18 D20:D23" xr:uid="{00000000-0002-0000-0D00-000001000000}">
      <formula1>"Monthly, per kWh, per kW"</formula1>
    </dataValidation>
    <dataValidation type="list" allowBlank="1" showInputMessage="1" showErrorMessage="1" sqref="D8" xr:uid="{00000000-0002-0000-0D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39997558519241921"/>
    <pageSetUpPr fitToPage="1"/>
  </sheetPr>
  <dimension ref="A1:S40"/>
  <sheetViews>
    <sheetView showGridLines="0" zoomScaleNormal="100" workbookViewId="0">
      <selection activeCell="K14" sqref="K14"/>
    </sheetView>
  </sheetViews>
  <sheetFormatPr defaultRowHeight="15" x14ac:dyDescent="0.25"/>
  <cols>
    <col min="1" max="1" width="2.140625" style="1" customWidth="1"/>
    <col min="2" max="2" width="40.710937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62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3307.9728564539728</v>
      </c>
      <c r="G9" s="7" t="s">
        <v>6</v>
      </c>
      <c r="I9" s="228" t="s">
        <v>57</v>
      </c>
      <c r="J9" s="228"/>
      <c r="K9" s="8">
        <v>9.1944444444444446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5" t="s">
        <v>7</v>
      </c>
      <c r="G11" s="226"/>
      <c r="H11" s="227"/>
      <c r="J11" s="225" t="s">
        <v>8</v>
      </c>
      <c r="K11" s="226"/>
      <c r="L11" s="227"/>
      <c r="N11" s="225" t="s">
        <v>9</v>
      </c>
      <c r="O11" s="227"/>
    </row>
    <row r="12" spans="2:16" x14ac:dyDescent="0.25">
      <c r="B12" s="6"/>
      <c r="D12" s="217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9" t="s">
        <v>14</v>
      </c>
      <c r="O12" s="221" t="s">
        <v>15</v>
      </c>
    </row>
    <row r="13" spans="2:16" x14ac:dyDescent="0.25">
      <c r="B13" s="6"/>
      <c r="D13" s="218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20"/>
      <c r="O13" s="222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Rates!D48</f>
        <v>2.0499999999999998</v>
      </c>
      <c r="G14" s="19">
        <v>74</v>
      </c>
      <c r="H14" s="20">
        <f>G14*F14</f>
        <v>151.69999999999999</v>
      </c>
      <c r="I14" s="21"/>
      <c r="J14" s="140">
        <f>Rates!F48</f>
        <v>1.37</v>
      </c>
      <c r="K14" s="22">
        <f>G14</f>
        <v>74</v>
      </c>
      <c r="L14" s="20">
        <f>K14*J14</f>
        <v>101.38000000000001</v>
      </c>
      <c r="M14" s="21"/>
      <c r="N14" s="23">
        <f>L14-H14</f>
        <v>-50.319999999999979</v>
      </c>
      <c r="O14" s="24">
        <f>IF((H14)=0,"",(N14/H14))</f>
        <v>-0.33170731707317064</v>
      </c>
    </row>
    <row r="15" spans="2:16" x14ac:dyDescent="0.25">
      <c r="B15" s="16" t="s">
        <v>18</v>
      </c>
      <c r="C15" s="16"/>
      <c r="D15" s="17" t="s">
        <v>55</v>
      </c>
      <c r="E15" s="18"/>
      <c r="F15" s="139">
        <f>Rates!D49</f>
        <v>0.33100000000000002</v>
      </c>
      <c r="G15" s="106">
        <f>$F$9</f>
        <v>3307.9728564539728</v>
      </c>
      <c r="H15" s="20">
        <f t="shared" ref="H15:H16" si="0">G15*F15</f>
        <v>1094.9390154862651</v>
      </c>
      <c r="I15" s="21"/>
      <c r="J15" s="140">
        <f>Rates!F49</f>
        <v>0.32790000000000002</v>
      </c>
      <c r="K15" s="106">
        <f>$F$9</f>
        <v>3307.9728564539728</v>
      </c>
      <c r="L15" s="20">
        <f t="shared" ref="L15:L16" si="1">K15*J15</f>
        <v>1084.6842996312578</v>
      </c>
      <c r="M15" s="21"/>
      <c r="N15" s="23">
        <f t="shared" ref="N15:N17" si="2">L15-H15</f>
        <v>-10.254715855007362</v>
      </c>
      <c r="O15" s="24">
        <f t="shared" ref="O15:O17" si="3">IF((H15)=0,"",(N15/H15))</f>
        <v>-9.3655589123867473E-3</v>
      </c>
    </row>
    <row r="16" spans="2:16" x14ac:dyDescent="0.25">
      <c r="B16" s="134" t="s">
        <v>102</v>
      </c>
      <c r="C16" s="16"/>
      <c r="D16" s="49" t="s">
        <v>55</v>
      </c>
      <c r="E16" s="18"/>
      <c r="F16" s="140">
        <f>Rates!D52+Rates!D53</f>
        <v>-1.9E-3</v>
      </c>
      <c r="G16" s="106">
        <f>$F$9</f>
        <v>3307.9728564539728</v>
      </c>
      <c r="H16" s="20">
        <f t="shared" si="0"/>
        <v>-6.2851484272625484</v>
      </c>
      <c r="I16" s="21"/>
      <c r="J16" s="140">
        <f>Rates!F52+Rates!F53</f>
        <v>4.6699999999999998E-2</v>
      </c>
      <c r="K16" s="106">
        <f>$F$9</f>
        <v>3307.9728564539728</v>
      </c>
      <c r="L16" s="20">
        <f t="shared" si="1"/>
        <v>154.48233239640052</v>
      </c>
      <c r="M16" s="21"/>
      <c r="N16" s="23">
        <f t="shared" si="2"/>
        <v>160.76748082366308</v>
      </c>
      <c r="O16" s="24">
        <f t="shared" si="3"/>
        <v>-25.578947368421051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1240.3538670590026</v>
      </c>
      <c r="I17" s="31"/>
      <c r="J17" s="32"/>
      <c r="K17" s="33"/>
      <c r="L17" s="30">
        <f>SUM(L14:L16)</f>
        <v>1340.5466320276585</v>
      </c>
      <c r="M17" s="31"/>
      <c r="N17" s="34">
        <f t="shared" si="2"/>
        <v>100.19276496865587</v>
      </c>
      <c r="O17" s="35">
        <f t="shared" si="3"/>
        <v>8.0777564878499131E-2</v>
      </c>
    </row>
    <row r="18" spans="2:19" x14ac:dyDescent="0.25">
      <c r="B18" s="39" t="s">
        <v>21</v>
      </c>
      <c r="C18" s="16"/>
      <c r="D18" s="17" t="s">
        <v>55</v>
      </c>
      <c r="E18" s="18"/>
      <c r="F18" s="143">
        <f>Rates!D69</f>
        <v>0.1101</v>
      </c>
      <c r="G18" s="41">
        <f>$F$9*(1+$F$38)-$F$9</f>
        <v>303.34111093682895</v>
      </c>
      <c r="H18" s="20">
        <f>G18*F18</f>
        <v>33.397856314144867</v>
      </c>
      <c r="I18" s="21"/>
      <c r="J18" s="142">
        <f>Rates!F69</f>
        <v>0.1101</v>
      </c>
      <c r="K18" s="41">
        <f>$F$9*(1+$J$38)-$F$9</f>
        <v>274.23094980003407</v>
      </c>
      <c r="L18" s="20">
        <f>K18*J18</f>
        <v>30.192827572983752</v>
      </c>
      <c r="M18" s="21"/>
      <c r="N18" s="23">
        <f>L18-H18</f>
        <v>-3.2050287411611151</v>
      </c>
      <c r="O18" s="24">
        <f>IF((H18)=0,"",(N18/H18))</f>
        <v>-9.5965103598691204E-2</v>
      </c>
    </row>
    <row r="19" spans="2:19" x14ac:dyDescent="0.25">
      <c r="B19" s="135" t="str">
        <f>Rates!A50</f>
        <v>Total Deferral/Variance Account Rate Riders (Group 1, excl GA)</v>
      </c>
      <c r="C19" s="16"/>
      <c r="D19" s="17" t="s">
        <v>55</v>
      </c>
      <c r="E19" s="18"/>
      <c r="F19" s="139">
        <f>Rates!D50</f>
        <v>-1.1000000000000001E-3</v>
      </c>
      <c r="G19" s="106">
        <f>F9</f>
        <v>3307.9728564539728</v>
      </c>
      <c r="H19" s="20">
        <f t="shared" ref="H19:H20" si="4">G19*F19</f>
        <v>-3.6387701420993701</v>
      </c>
      <c r="I19" s="37"/>
      <c r="J19" s="140">
        <f>Rates!F50</f>
        <v>-2.5999999999999999E-3</v>
      </c>
      <c r="K19" s="106">
        <f>F9</f>
        <v>3307.9728564539728</v>
      </c>
      <c r="L19" s="20">
        <f t="shared" ref="L19:L20" si="5">K19*J19</f>
        <v>-8.6007294267803296</v>
      </c>
      <c r="M19" s="38"/>
      <c r="N19" s="23">
        <f t="shared" ref="N19:N20" si="6">L19-H19</f>
        <v>-4.9619592846809599</v>
      </c>
      <c r="O19" s="24">
        <f t="shared" ref="O19:O20" si="7">IF((H19)=0,"",(N19/H19))</f>
        <v>1.3636363636363638</v>
      </c>
    </row>
    <row r="20" spans="2:19" x14ac:dyDescent="0.25">
      <c r="B20" s="135" t="str">
        <f>Rates!A51</f>
        <v>GA Rate Riders</v>
      </c>
      <c r="C20" s="16"/>
      <c r="D20" s="17" t="s">
        <v>55</v>
      </c>
      <c r="E20" s="18"/>
      <c r="F20" s="139">
        <f>Rates!D51</f>
        <v>-7.7999999999999996E-3</v>
      </c>
      <c r="G20" s="106">
        <f>F9</f>
        <v>3307.9728564539728</v>
      </c>
      <c r="H20" s="20">
        <f t="shared" si="4"/>
        <v>-25.802188280340985</v>
      </c>
      <c r="I20" s="37"/>
      <c r="J20" s="140">
        <f>Rates!F51</f>
        <v>-5.21E-2</v>
      </c>
      <c r="K20" s="106">
        <f>F9</f>
        <v>3307.9728564539728</v>
      </c>
      <c r="L20" s="20">
        <f t="shared" si="5"/>
        <v>-172.34538582125199</v>
      </c>
      <c r="M20" s="38"/>
      <c r="N20" s="23">
        <f t="shared" si="6"/>
        <v>-146.54319754091102</v>
      </c>
      <c r="O20" s="24">
        <f t="shared" si="7"/>
        <v>5.6794871794871815</v>
      </c>
    </row>
    <row r="21" spans="2:19" x14ac:dyDescent="0.25">
      <c r="B21" s="39" t="s">
        <v>20</v>
      </c>
      <c r="C21" s="16"/>
      <c r="D21" s="17"/>
      <c r="E21" s="18"/>
      <c r="F21" s="139"/>
      <c r="G21" s="19"/>
      <c r="H21" s="20">
        <f>G21*F21</f>
        <v>0</v>
      </c>
      <c r="I21" s="21"/>
      <c r="J21" s="140"/>
      <c r="K21" s="19"/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1244.3107649507072</v>
      </c>
      <c r="I23" s="31"/>
      <c r="J23" s="46"/>
      <c r="K23" s="48"/>
      <c r="L23" s="47">
        <f>SUM(L18:L22)+L17</f>
        <v>1189.7933443526099</v>
      </c>
      <c r="M23" s="31"/>
      <c r="N23" s="34">
        <f t="shared" ref="N23:N35" si="8">L23-H23</f>
        <v>-54.51742059809726</v>
      </c>
      <c r="O23" s="35">
        <f t="shared" ref="O23:O35" si="9">IF((H23)=0,"",(N23/H23))</f>
        <v>-4.3813348026653889E-2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Rates!D54</f>
        <v>1.8149999999999999</v>
      </c>
      <c r="G24" s="51">
        <f>K9*(1+F38)</f>
        <v>10.037574999999999</v>
      </c>
      <c r="H24" s="20">
        <f>G24*F24</f>
        <v>18.218198624999996</v>
      </c>
      <c r="I24" s="21"/>
      <c r="J24" s="140">
        <f>Rates!F54</f>
        <v>2.1663000000000001</v>
      </c>
      <c r="K24" s="52">
        <f>K9*(1+J38)</f>
        <v>9.9566638888888885</v>
      </c>
      <c r="L24" s="20">
        <f>K24*J24</f>
        <v>21.569120982499999</v>
      </c>
      <c r="M24" s="21"/>
      <c r="N24" s="23">
        <f t="shared" si="8"/>
        <v>3.3509223575000036</v>
      </c>
      <c r="O24" s="24">
        <f t="shared" si="9"/>
        <v>0.18393269425121356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Rates!D55</f>
        <v>1.6437999999999999</v>
      </c>
      <c r="G25" s="51">
        <f>G24</f>
        <v>10.037574999999999</v>
      </c>
      <c r="H25" s="20">
        <f>G25*F25</f>
        <v>16.499765784999997</v>
      </c>
      <c r="I25" s="21"/>
      <c r="J25" s="140">
        <f>Rates!F55</f>
        <v>1.8267</v>
      </c>
      <c r="K25" s="52">
        <f>K24</f>
        <v>9.9566638888888885</v>
      </c>
      <c r="L25" s="20">
        <f>K25*J25</f>
        <v>18.187837925833332</v>
      </c>
      <c r="M25" s="21"/>
      <c r="N25" s="23">
        <f t="shared" si="8"/>
        <v>1.6880721408333343</v>
      </c>
      <c r="O25" s="24">
        <f t="shared" si="9"/>
        <v>0.10230885473343915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1279.0287293607071</v>
      </c>
      <c r="I26" s="55"/>
      <c r="J26" s="56"/>
      <c r="K26" s="57"/>
      <c r="L26" s="47">
        <f>SUM(L23:L25)</f>
        <v>1229.5503032609431</v>
      </c>
      <c r="M26" s="55"/>
      <c r="N26" s="34">
        <f t="shared" si="8"/>
        <v>-49.478426099763965</v>
      </c>
      <c r="O26" s="35">
        <f t="shared" si="9"/>
        <v>-3.8684374294308939E-2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Rates!D56</f>
        <v>3.3999999999999998E-3</v>
      </c>
      <c r="G27" s="51">
        <f>F9*(1+F38)</f>
        <v>3611.3139673908017</v>
      </c>
      <c r="H27" s="59">
        <f t="shared" ref="H27:H30" si="10">G27*F27</f>
        <v>12.278467489128726</v>
      </c>
      <c r="I27" s="21"/>
      <c r="J27" s="141">
        <f>Rates!F56</f>
        <v>3.3999999999999998E-3</v>
      </c>
      <c r="K27" s="52">
        <f>F9*(1+J38)</f>
        <v>3582.2038062540068</v>
      </c>
      <c r="L27" s="59">
        <f t="shared" ref="L27:L30" si="11">K27*J27</f>
        <v>12.179492941263623</v>
      </c>
      <c r="M27" s="21"/>
      <c r="N27" s="23">
        <f t="shared" si="8"/>
        <v>-9.8974547865102735E-2</v>
      </c>
      <c r="O27" s="60">
        <f t="shared" si="9"/>
        <v>-8.0608225703031871E-3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Rates!D57</f>
        <v>5.0000000000000001E-4</v>
      </c>
      <c r="G28" s="51">
        <f>G27</f>
        <v>3611.3139673908017</v>
      </c>
      <c r="H28" s="59">
        <f t="shared" si="10"/>
        <v>1.8056569836954008</v>
      </c>
      <c r="I28" s="21"/>
      <c r="J28" s="141">
        <f>Rates!F57</f>
        <v>5.0000000000000001E-4</v>
      </c>
      <c r="K28" s="52">
        <f>K27</f>
        <v>3582.2038062540068</v>
      </c>
      <c r="L28" s="59">
        <f t="shared" si="11"/>
        <v>1.7911019031270035</v>
      </c>
      <c r="M28" s="21"/>
      <c r="N28" s="23">
        <f t="shared" si="8"/>
        <v>-1.4555080568397383E-2</v>
      </c>
      <c r="O28" s="60">
        <f t="shared" si="9"/>
        <v>-8.0608225703031437E-3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Rates!D58</f>
        <v>0.25</v>
      </c>
      <c r="G29" s="19">
        <v>1</v>
      </c>
      <c r="H29" s="59">
        <f t="shared" si="10"/>
        <v>0.25</v>
      </c>
      <c r="I29" s="21"/>
      <c r="J29" s="141">
        <f>Rates!F58</f>
        <v>0.25</v>
      </c>
      <c r="K29" s="22">
        <v>1</v>
      </c>
      <c r="L29" s="59">
        <f t="shared" si="11"/>
        <v>0.25</v>
      </c>
      <c r="M29" s="21"/>
      <c r="N29" s="23">
        <f t="shared" si="8"/>
        <v>0</v>
      </c>
      <c r="O29" s="60">
        <f t="shared" si="9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61">
        <f>Rates!D69</f>
        <v>0.1101</v>
      </c>
      <c r="G30" s="62">
        <f>$F$9</f>
        <v>3307.9728564539728</v>
      </c>
      <c r="H30" s="59">
        <f t="shared" si="10"/>
        <v>364.2078114955824</v>
      </c>
      <c r="I30" s="21"/>
      <c r="J30" s="61">
        <f>Rates!F69</f>
        <v>0.1101</v>
      </c>
      <c r="K30" s="62">
        <f>F9</f>
        <v>3307.9728564539728</v>
      </c>
      <c r="L30" s="59">
        <f t="shared" si="11"/>
        <v>364.2078114955824</v>
      </c>
      <c r="M30" s="21"/>
      <c r="N30" s="23">
        <f t="shared" si="8"/>
        <v>0</v>
      </c>
      <c r="O30" s="60">
        <f t="shared" si="9"/>
        <v>0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1657.5706653291136</v>
      </c>
      <c r="I32" s="79"/>
      <c r="J32" s="80"/>
      <c r="K32" s="80"/>
      <c r="L32" s="104">
        <f>SUM(L27:L30,L26)</f>
        <v>1607.9787096009161</v>
      </c>
      <c r="M32" s="81"/>
      <c r="N32" s="82">
        <f t="shared" ref="N32" si="12">L32-H32</f>
        <v>-49.59195572819749</v>
      </c>
      <c r="O32" s="83">
        <f t="shared" ref="O32" si="13">IF((H32)=0,"",(N32/H32))</f>
        <v>-2.9918456428734471E-2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215.48418649278477</v>
      </c>
      <c r="I33" s="88"/>
      <c r="J33" s="89">
        <v>0.13</v>
      </c>
      <c r="K33" s="88"/>
      <c r="L33" s="92">
        <f>L32*J33</f>
        <v>209.0372322481191</v>
      </c>
      <c r="M33" s="91"/>
      <c r="N33" s="92">
        <f t="shared" si="8"/>
        <v>-6.446954244665676</v>
      </c>
      <c r="O33" s="93">
        <f t="shared" si="9"/>
        <v>-2.9918456428734478E-2</v>
      </c>
      <c r="S33" s="63"/>
    </row>
    <row r="34" spans="1:19" x14ac:dyDescent="0.25">
      <c r="B34" s="84" t="s">
        <v>84</v>
      </c>
      <c r="C34" s="16"/>
      <c r="D34" s="16"/>
      <c r="E34" s="16"/>
      <c r="F34" s="85">
        <v>0.08</v>
      </c>
      <c r="G34" s="86"/>
      <c r="H34" s="87">
        <f>H32*-F34</f>
        <v>-132.60565322632908</v>
      </c>
      <c r="I34" s="88"/>
      <c r="J34" s="89">
        <f>F34</f>
        <v>0.08</v>
      </c>
      <c r="K34" s="88"/>
      <c r="L34" s="92">
        <f>L32*-J34</f>
        <v>-128.6382967680733</v>
      </c>
      <c r="M34" s="91"/>
      <c r="N34" s="92">
        <f t="shared" ref="N34" si="14">L34-H34</f>
        <v>3.9673564582557788</v>
      </c>
      <c r="O34" s="93">
        <f t="shared" ref="O34" si="15">IF((H34)=0,"",(N34/H34))</f>
        <v>-2.9918456428734315E-2</v>
      </c>
      <c r="S34" s="63"/>
    </row>
    <row r="35" spans="1:19" s="105" customFormat="1" ht="15.75" thickBot="1" x14ac:dyDescent="0.3">
      <c r="B35" s="94" t="s">
        <v>77</v>
      </c>
      <c r="C35" s="122"/>
      <c r="D35" s="122"/>
      <c r="E35" s="122"/>
      <c r="F35" s="123"/>
      <c r="G35" s="124"/>
      <c r="H35" s="129">
        <f>SUM(H32:H34)</f>
        <v>1740.4491985955692</v>
      </c>
      <c r="I35" s="79"/>
      <c r="J35" s="79"/>
      <c r="K35" s="79"/>
      <c r="L35" s="136">
        <f>SUM(L32:L34)</f>
        <v>1688.3776450809619</v>
      </c>
      <c r="M35" s="81"/>
      <c r="N35" s="82">
        <f t="shared" si="8"/>
        <v>-52.071553514607331</v>
      </c>
      <c r="O35" s="83">
        <f t="shared" si="9"/>
        <v>-2.991845642873445E-2</v>
      </c>
      <c r="S35" s="126"/>
    </row>
    <row r="36" spans="1:19" s="64" customFormat="1" ht="15.75" thickBot="1" x14ac:dyDescent="0.25">
      <c r="B36" s="95"/>
      <c r="C36" s="96"/>
      <c r="D36" s="97"/>
      <c r="E36" s="96"/>
      <c r="F36" s="68"/>
      <c r="G36" s="98"/>
      <c r="H36" s="70"/>
      <c r="I36" s="99"/>
      <c r="J36" s="68"/>
      <c r="K36" s="100"/>
      <c r="L36" s="70"/>
      <c r="M36" s="99"/>
      <c r="N36" s="101"/>
      <c r="O36" s="74"/>
    </row>
    <row r="37" spans="1:19" x14ac:dyDescent="0.25">
      <c r="L37" s="63"/>
    </row>
    <row r="38" spans="1:19" x14ac:dyDescent="0.25">
      <c r="B38" s="7" t="s">
        <v>35</v>
      </c>
      <c r="F38" s="102">
        <f>Rates!D61</f>
        <v>9.1700000000000004E-2</v>
      </c>
      <c r="J38" s="102">
        <f>Rates!F61</f>
        <v>8.2899999999999974E-2</v>
      </c>
    </row>
    <row r="40" spans="1:19" x14ac:dyDescent="0.25">
      <c r="A40" s="103"/>
      <c r="B40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disablePrompts="1" count="2">
    <dataValidation type="list" allowBlank="1" showInputMessage="1" showErrorMessage="1" prompt="Select Charge Unit - monthly, per kWh, per kW" sqref="D24:D25 D36 D14:D16 D27:D31 D18:D22" xr:uid="{00000000-0002-0000-0E00-000000000000}">
      <formula1>"Monthly, per kWh, per kW"</formula1>
    </dataValidation>
    <dataValidation type="list" allowBlank="1" showInputMessage="1" showErrorMessage="1" sqref="E24:E25 E36 E14:E16 E27:E31 E18:E22" xr:uid="{00000000-0002-0000-0E00-000001000000}">
      <formula1>#REF!</formula1>
    </dataValidation>
  </dataValidation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3"/>
  <sheetViews>
    <sheetView zoomScaleNormal="100" workbookViewId="0">
      <selection activeCell="I3" sqref="I3"/>
    </sheetView>
  </sheetViews>
  <sheetFormatPr defaultRowHeight="15" x14ac:dyDescent="0.25"/>
  <cols>
    <col min="1" max="1" width="91.85546875" style="113" bestFit="1" customWidth="1"/>
    <col min="2" max="2" width="6.7109375" style="112" customWidth="1"/>
    <col min="3" max="3" width="1.7109375" style="112" customWidth="1"/>
    <col min="4" max="4" width="11.28515625" style="195" bestFit="1" customWidth="1"/>
    <col min="5" max="5" width="1.85546875" style="195" customWidth="1"/>
    <col min="6" max="6" width="10.85546875" style="195" customWidth="1"/>
    <col min="7" max="7" width="1.7109375" style="112" customWidth="1"/>
    <col min="8" max="8" width="16" style="112" customWidth="1"/>
    <col min="9" max="16384" width="9.140625" style="113"/>
  </cols>
  <sheetData>
    <row r="1" spans="1:8" ht="38.25" x14ac:dyDescent="0.25">
      <c r="A1" s="110" t="s">
        <v>37</v>
      </c>
      <c r="B1" s="111" t="s">
        <v>56</v>
      </c>
      <c r="C1" s="111"/>
      <c r="D1" s="183" t="s">
        <v>38</v>
      </c>
      <c r="E1" s="184"/>
      <c r="F1" s="183" t="s">
        <v>39</v>
      </c>
      <c r="G1" s="180"/>
      <c r="H1" s="181" t="s">
        <v>120</v>
      </c>
    </row>
    <row r="2" spans="1:8" x14ac:dyDescent="0.25">
      <c r="A2" s="110" t="s">
        <v>40</v>
      </c>
      <c r="C2" s="114"/>
      <c r="D2" s="185"/>
      <c r="E2" s="186"/>
      <c r="F2" s="185"/>
    </row>
    <row r="3" spans="1:8" x14ac:dyDescent="0.25">
      <c r="A3" s="117" t="s">
        <v>17</v>
      </c>
      <c r="B3" s="118" t="s">
        <v>41</v>
      </c>
      <c r="C3" s="118"/>
      <c r="D3" s="177">
        <v>42.23</v>
      </c>
      <c r="E3" s="137"/>
      <c r="F3" s="177">
        <v>47.17</v>
      </c>
      <c r="H3" s="112" t="s">
        <v>119</v>
      </c>
    </row>
    <row r="4" spans="1:8" x14ac:dyDescent="0.25">
      <c r="A4" s="117" t="s">
        <v>76</v>
      </c>
      <c r="B4" s="118" t="s">
        <v>41</v>
      </c>
      <c r="C4" s="118"/>
      <c r="D4" s="177">
        <v>25.64</v>
      </c>
      <c r="E4" s="137"/>
      <c r="F4" s="177">
        <v>26.21</v>
      </c>
      <c r="H4" s="112" t="s">
        <v>119</v>
      </c>
    </row>
    <row r="5" spans="1:8" x14ac:dyDescent="0.25">
      <c r="A5" s="117" t="s">
        <v>83</v>
      </c>
      <c r="B5" s="118" t="s">
        <v>41</v>
      </c>
      <c r="C5" s="118"/>
      <c r="D5" s="177">
        <v>36.86</v>
      </c>
      <c r="E5" s="137"/>
      <c r="F5" s="177">
        <v>37.295075487235792</v>
      </c>
      <c r="H5" s="112" t="s">
        <v>121</v>
      </c>
    </row>
    <row r="6" spans="1:8" x14ac:dyDescent="0.25">
      <c r="A6" s="117" t="s">
        <v>103</v>
      </c>
      <c r="B6" s="118" t="s">
        <v>41</v>
      </c>
      <c r="C6" s="118"/>
      <c r="D6" s="177">
        <v>0</v>
      </c>
      <c r="E6" s="137"/>
      <c r="F6" s="177">
        <v>-0.13</v>
      </c>
      <c r="H6" s="112" t="s">
        <v>128</v>
      </c>
    </row>
    <row r="7" spans="1:8" x14ac:dyDescent="0.25">
      <c r="A7" s="117" t="s">
        <v>18</v>
      </c>
      <c r="B7" s="118" t="s">
        <v>42</v>
      </c>
      <c r="C7" s="118"/>
      <c r="D7" s="119">
        <v>1.72E-2</v>
      </c>
      <c r="E7" s="137"/>
      <c r="F7" s="187">
        <v>1.26E-2</v>
      </c>
      <c r="H7" s="112" t="s">
        <v>119</v>
      </c>
    </row>
    <row r="8" spans="1:8" x14ac:dyDescent="0.25">
      <c r="A8" s="117" t="s">
        <v>75</v>
      </c>
      <c r="B8" s="118" t="s">
        <v>42</v>
      </c>
      <c r="C8" s="118"/>
      <c r="D8" s="119">
        <v>3.61E-2</v>
      </c>
      <c r="E8" s="137"/>
      <c r="F8" s="187">
        <v>3.6900000000000002E-2</v>
      </c>
      <c r="H8" s="112" t="s">
        <v>119</v>
      </c>
    </row>
    <row r="9" spans="1:8" x14ac:dyDescent="0.25">
      <c r="A9" s="115" t="s">
        <v>129</v>
      </c>
      <c r="B9" s="118" t="s">
        <v>42</v>
      </c>
      <c r="C9" s="118"/>
      <c r="D9" s="119">
        <v>-1.1000000000000001E-3</v>
      </c>
      <c r="E9" s="137"/>
      <c r="F9" s="119">
        <v>-1E-3</v>
      </c>
      <c r="H9" s="112" t="s">
        <v>128</v>
      </c>
    </row>
    <row r="10" spans="1:8" x14ac:dyDescent="0.25">
      <c r="A10" s="115" t="s">
        <v>80</v>
      </c>
      <c r="B10" s="118" t="s">
        <v>42</v>
      </c>
      <c r="C10" s="118"/>
      <c r="D10" s="119">
        <v>-7.7999999999999996E-3</v>
      </c>
      <c r="E10" s="137"/>
      <c r="F10" s="119">
        <v>-5.21E-2</v>
      </c>
      <c r="H10" s="112" t="s">
        <v>128</v>
      </c>
    </row>
    <row r="11" spans="1:8" ht="26.25" x14ac:dyDescent="0.25">
      <c r="A11" s="179" t="s">
        <v>116</v>
      </c>
      <c r="B11" s="118" t="s">
        <v>42</v>
      </c>
      <c r="C11" s="118"/>
      <c r="D11" s="119">
        <v>-1.9E-3</v>
      </c>
      <c r="E11" s="188"/>
      <c r="F11" s="119">
        <v>8.0000000000000004E-4</v>
      </c>
      <c r="H11" s="112" t="s">
        <v>128</v>
      </c>
    </row>
    <row r="12" spans="1:8" x14ac:dyDescent="0.25">
      <c r="A12" s="117" t="s">
        <v>43</v>
      </c>
      <c r="B12" s="118" t="s">
        <v>42</v>
      </c>
      <c r="C12" s="118"/>
      <c r="D12" s="119">
        <v>6.6E-3</v>
      </c>
      <c r="E12" s="189"/>
      <c r="F12" s="119">
        <v>7.9000000000000008E-3</v>
      </c>
      <c r="H12" s="112" t="s">
        <v>127</v>
      </c>
    </row>
    <row r="13" spans="1:8" x14ac:dyDescent="0.25">
      <c r="A13" s="117" t="s">
        <v>44</v>
      </c>
      <c r="B13" s="118" t="s">
        <v>42</v>
      </c>
      <c r="C13" s="118"/>
      <c r="D13" s="119">
        <v>6.0000000000000001E-3</v>
      </c>
      <c r="E13" s="190"/>
      <c r="F13" s="119">
        <v>6.7000000000000002E-3</v>
      </c>
      <c r="H13" s="112" t="s">
        <v>127</v>
      </c>
    </row>
    <row r="14" spans="1:8" x14ac:dyDescent="0.25">
      <c r="A14" s="117" t="s">
        <v>81</v>
      </c>
      <c r="B14" s="118" t="s">
        <v>42</v>
      </c>
      <c r="C14" s="118"/>
      <c r="D14" s="119">
        <v>3.3999999999999998E-3</v>
      </c>
      <c r="E14" s="188"/>
      <c r="F14" s="119">
        <v>3.3999999999999998E-3</v>
      </c>
      <c r="H14" s="112" t="s">
        <v>122</v>
      </c>
    </row>
    <row r="15" spans="1:8" x14ac:dyDescent="0.25">
      <c r="A15" s="117" t="s">
        <v>45</v>
      </c>
      <c r="B15" s="118" t="s">
        <v>42</v>
      </c>
      <c r="C15" s="118"/>
      <c r="D15" s="119">
        <v>5.0000000000000001E-4</v>
      </c>
      <c r="E15" s="119"/>
      <c r="F15" s="119">
        <v>5.0000000000000001E-4</v>
      </c>
      <c r="H15" s="112" t="s">
        <v>126</v>
      </c>
    </row>
    <row r="16" spans="1:8" x14ac:dyDescent="0.25">
      <c r="A16" s="117" t="s">
        <v>22</v>
      </c>
      <c r="B16" s="118" t="s">
        <v>41</v>
      </c>
      <c r="C16" s="118"/>
      <c r="D16" s="188">
        <v>0.56999999999999995</v>
      </c>
      <c r="E16" s="119"/>
      <c r="F16" s="188">
        <v>0.56999999999999995</v>
      </c>
      <c r="H16" s="112" t="s">
        <v>125</v>
      </c>
    </row>
    <row r="17" spans="1:8" x14ac:dyDescent="0.25">
      <c r="A17" s="115" t="s">
        <v>46</v>
      </c>
      <c r="B17" s="118" t="s">
        <v>41</v>
      </c>
      <c r="C17" s="118"/>
      <c r="D17" s="188">
        <v>0.25</v>
      </c>
      <c r="E17" s="188"/>
      <c r="F17" s="188">
        <v>0.25</v>
      </c>
      <c r="H17" s="112" t="s">
        <v>124</v>
      </c>
    </row>
    <row r="18" spans="1:8" x14ac:dyDescent="0.25">
      <c r="B18" s="118"/>
      <c r="C18" s="118"/>
      <c r="D18" s="191"/>
      <c r="E18" s="191"/>
      <c r="F18" s="191"/>
    </row>
    <row r="19" spans="1:8" x14ac:dyDescent="0.25">
      <c r="A19" s="110" t="s">
        <v>47</v>
      </c>
      <c r="B19" s="118"/>
      <c r="C19" s="118"/>
      <c r="D19" s="191"/>
      <c r="E19" s="191"/>
      <c r="F19" s="191"/>
    </row>
    <row r="20" spans="1:8" x14ac:dyDescent="0.25">
      <c r="A20" s="117" t="str">
        <f>A3</f>
        <v>Monthly Service Charge</v>
      </c>
      <c r="B20" s="118" t="s">
        <v>41</v>
      </c>
      <c r="C20" s="118"/>
      <c r="D20" s="177">
        <v>659.94</v>
      </c>
      <c r="E20" s="137"/>
      <c r="F20" s="177">
        <v>674.59</v>
      </c>
      <c r="H20" s="112" t="s">
        <v>119</v>
      </c>
    </row>
    <row r="21" spans="1:8" x14ac:dyDescent="0.25">
      <c r="A21" s="117" t="str">
        <f>A7</f>
        <v>Distribution Volumetric Rate</v>
      </c>
      <c r="B21" s="118" t="s">
        <v>48</v>
      </c>
      <c r="C21" s="118"/>
      <c r="D21" s="119">
        <v>3.4194</v>
      </c>
      <c r="E21" s="137"/>
      <c r="F21" s="119">
        <v>3.4952999999999999</v>
      </c>
      <c r="H21" s="112" t="s">
        <v>119</v>
      </c>
    </row>
    <row r="22" spans="1:8" x14ac:dyDescent="0.25">
      <c r="A22" s="115" t="str">
        <f>A9</f>
        <v>Total Deferral/Variance Account Rate Riders (Group 1, excl GA)</v>
      </c>
      <c r="B22" s="118" t="s">
        <v>48</v>
      </c>
      <c r="C22" s="118"/>
      <c r="D22" s="119">
        <v>-0.48799999999999999</v>
      </c>
      <c r="E22" s="137"/>
      <c r="F22" s="119">
        <v>-0.56359999999999999</v>
      </c>
      <c r="H22" s="112" t="s">
        <v>128</v>
      </c>
    </row>
    <row r="23" spans="1:8" x14ac:dyDescent="0.25">
      <c r="A23" s="115" t="str">
        <f>A10</f>
        <v>GA Rate Riders</v>
      </c>
      <c r="B23" s="118" t="s">
        <v>42</v>
      </c>
      <c r="C23" s="118"/>
      <c r="D23" s="119">
        <v>-7.7999999999999996E-3</v>
      </c>
      <c r="E23" s="137"/>
      <c r="F23" s="119">
        <v>-5.21E-2</v>
      </c>
      <c r="H23" s="112" t="s">
        <v>128</v>
      </c>
    </row>
    <row r="24" spans="1:8" ht="26.25" x14ac:dyDescent="0.25">
      <c r="A24" s="179" t="s">
        <v>116</v>
      </c>
      <c r="B24" s="118" t="s">
        <v>48</v>
      </c>
      <c r="C24" s="118"/>
      <c r="D24" s="119">
        <v>-0.80100000000000005</v>
      </c>
      <c r="E24" s="188"/>
      <c r="F24" s="119">
        <v>3.0000000000000001E-3</v>
      </c>
      <c r="H24" s="112" t="s">
        <v>128</v>
      </c>
    </row>
    <row r="25" spans="1:8" x14ac:dyDescent="0.25">
      <c r="A25" s="115" t="s">
        <v>104</v>
      </c>
      <c r="B25" s="118" t="s">
        <v>48</v>
      </c>
      <c r="C25" s="118"/>
      <c r="D25" s="119">
        <v>0</v>
      </c>
      <c r="E25" s="188"/>
      <c r="F25" s="119">
        <v>-5.8099999999999999E-2</v>
      </c>
      <c r="H25" s="112" t="s">
        <v>128</v>
      </c>
    </row>
    <row r="26" spans="1:8" x14ac:dyDescent="0.25">
      <c r="A26" s="117" t="str">
        <f>A12</f>
        <v>Retail Transmission Rate - Network Service Rate</v>
      </c>
      <c r="B26" s="118" t="s">
        <v>48</v>
      </c>
      <c r="C26" s="118"/>
      <c r="D26" s="119">
        <v>2.5066000000000002</v>
      </c>
      <c r="E26" s="189"/>
      <c r="F26" s="119">
        <v>2.9916999999999998</v>
      </c>
      <c r="H26" s="112" t="s">
        <v>127</v>
      </c>
    </row>
    <row r="27" spans="1:8" x14ac:dyDescent="0.25">
      <c r="A27" s="117" t="str">
        <f>A13</f>
        <v>Retail Transmission Rate - Line and Transformation Connection Service Rate</v>
      </c>
      <c r="B27" s="118" t="s">
        <v>48</v>
      </c>
      <c r="C27" s="118"/>
      <c r="D27" s="119">
        <v>2.2787000000000002</v>
      </c>
      <c r="E27" s="190"/>
      <c r="F27" s="119">
        <v>2.5323000000000002</v>
      </c>
      <c r="H27" s="112" t="s">
        <v>127</v>
      </c>
    </row>
    <row r="28" spans="1:8" x14ac:dyDescent="0.25">
      <c r="A28" s="117" t="str">
        <f>A14</f>
        <v>Wholesale Market Service Rate (Incl CBR)</v>
      </c>
      <c r="B28" s="118" t="s">
        <v>42</v>
      </c>
      <c r="C28" s="118"/>
      <c r="D28" s="119">
        <v>3.3999999999999998E-3</v>
      </c>
      <c r="E28" s="188"/>
      <c r="F28" s="119">
        <v>3.3999999999999998E-3</v>
      </c>
      <c r="H28" s="112" t="s">
        <v>122</v>
      </c>
    </row>
    <row r="29" spans="1:8" x14ac:dyDescent="0.25">
      <c r="A29" s="117" t="str">
        <f>A15</f>
        <v>Rural Rate Protection Charge</v>
      </c>
      <c r="B29" s="118" t="s">
        <v>42</v>
      </c>
      <c r="C29" s="118"/>
      <c r="D29" s="119">
        <v>5.0000000000000001E-4</v>
      </c>
      <c r="E29" s="119"/>
      <c r="F29" s="119">
        <v>5.0000000000000001E-4</v>
      </c>
      <c r="H29" s="112" t="s">
        <v>126</v>
      </c>
    </row>
    <row r="30" spans="1:8" x14ac:dyDescent="0.25">
      <c r="A30" s="115" t="str">
        <f>A17</f>
        <v>Standard Supply Service - Administrative Charge (if applicable)</v>
      </c>
      <c r="B30" s="118" t="s">
        <v>41</v>
      </c>
      <c r="C30" s="118"/>
      <c r="D30" s="188">
        <v>0.25</v>
      </c>
      <c r="E30" s="188"/>
      <c r="F30" s="188">
        <v>0.25</v>
      </c>
      <c r="H30" s="112" t="s">
        <v>124</v>
      </c>
    </row>
    <row r="31" spans="1:8" x14ac:dyDescent="0.25">
      <c r="B31" s="118"/>
      <c r="C31" s="118"/>
      <c r="D31" s="191"/>
      <c r="E31" s="191"/>
      <c r="F31" s="191"/>
    </row>
    <row r="32" spans="1:8" x14ac:dyDescent="0.25">
      <c r="A32" s="110" t="s">
        <v>49</v>
      </c>
      <c r="B32" s="118"/>
      <c r="C32" s="118"/>
      <c r="D32" s="191"/>
      <c r="E32" s="191"/>
      <c r="F32" s="191"/>
    </row>
    <row r="33" spans="1:15" x14ac:dyDescent="0.25">
      <c r="A33" s="117" t="s">
        <v>17</v>
      </c>
      <c r="B33" s="118" t="s">
        <v>41</v>
      </c>
      <c r="C33" s="118"/>
      <c r="D33" s="188">
        <v>54.75</v>
      </c>
      <c r="E33" s="137"/>
      <c r="F33" s="188">
        <v>63.83</v>
      </c>
      <c r="H33" s="112" t="s">
        <v>119</v>
      </c>
    </row>
    <row r="34" spans="1:15" x14ac:dyDescent="0.25">
      <c r="A34" s="117" t="str">
        <f>A6</f>
        <v>Total Fixed Rate Riders</v>
      </c>
      <c r="B34" s="118" t="s">
        <v>41</v>
      </c>
      <c r="C34" s="118"/>
      <c r="D34" s="188">
        <v>0</v>
      </c>
      <c r="E34" s="137"/>
      <c r="F34" s="188">
        <v>-0.02</v>
      </c>
      <c r="H34" s="112" t="s">
        <v>128</v>
      </c>
    </row>
    <row r="35" spans="1:15" x14ac:dyDescent="0.25">
      <c r="A35" s="117" t="s">
        <v>18</v>
      </c>
      <c r="B35" s="118" t="s">
        <v>42</v>
      </c>
      <c r="C35" s="118"/>
      <c r="D35" s="119">
        <v>0.14940000000000001</v>
      </c>
      <c r="E35" s="137"/>
      <c r="F35" s="119">
        <v>0.1371</v>
      </c>
    </row>
    <row r="36" spans="1:15" x14ac:dyDescent="0.25">
      <c r="A36" s="115" t="str">
        <f>A22</f>
        <v>Total Deferral/Variance Account Rate Riders (Group 1, excl GA)</v>
      </c>
      <c r="B36" s="118" t="s">
        <v>42</v>
      </c>
      <c r="C36" s="118"/>
      <c r="D36" s="119">
        <v>-1.1999999999999999E-3</v>
      </c>
      <c r="E36" s="137"/>
      <c r="F36" s="119">
        <v>-1.1999999999999999E-3</v>
      </c>
      <c r="H36" s="112" t="s">
        <v>128</v>
      </c>
    </row>
    <row r="37" spans="1:15" x14ac:dyDescent="0.25">
      <c r="A37" s="115" t="str">
        <f>A23</f>
        <v>GA Rate Riders</v>
      </c>
      <c r="B37" s="118" t="s">
        <v>42</v>
      </c>
      <c r="C37" s="118"/>
      <c r="D37" s="119">
        <v>-7.7999999999999996E-3</v>
      </c>
      <c r="E37" s="137"/>
      <c r="F37" s="119">
        <v>-5.21E-2</v>
      </c>
      <c r="H37" s="112" t="s">
        <v>128</v>
      </c>
    </row>
    <row r="38" spans="1:15" x14ac:dyDescent="0.25">
      <c r="A38" s="115" t="s">
        <v>82</v>
      </c>
      <c r="B38" s="118" t="s">
        <v>42</v>
      </c>
      <c r="C38" s="118"/>
      <c r="D38" s="119">
        <v>3.0700000000000002E-2</v>
      </c>
      <c r="E38" s="188"/>
      <c r="F38" s="119">
        <v>3.0700000000000002E-2</v>
      </c>
      <c r="H38" s="112" t="s">
        <v>130</v>
      </c>
    </row>
    <row r="39" spans="1:15" ht="26.25" x14ac:dyDescent="0.25">
      <c r="A39" s="179" t="s">
        <v>116</v>
      </c>
      <c r="B39" s="118" t="s">
        <v>42</v>
      </c>
      <c r="C39" s="118"/>
      <c r="D39" s="119">
        <v>-1.9E-3</v>
      </c>
      <c r="E39" s="188"/>
      <c r="F39" s="119">
        <v>2.5000000000000001E-3</v>
      </c>
      <c r="H39" s="112" t="s">
        <v>128</v>
      </c>
    </row>
    <row r="40" spans="1:15" x14ac:dyDescent="0.25">
      <c r="A40" s="117" t="s">
        <v>43</v>
      </c>
      <c r="B40" s="118" t="s">
        <v>42</v>
      </c>
      <c r="C40" s="118"/>
      <c r="D40" s="119">
        <v>6.6E-3</v>
      </c>
      <c r="E40" s="189"/>
      <c r="F40" s="119">
        <v>7.9000000000000008E-3</v>
      </c>
      <c r="H40" s="112" t="s">
        <v>127</v>
      </c>
    </row>
    <row r="41" spans="1:15" x14ac:dyDescent="0.25">
      <c r="A41" s="117" t="s">
        <v>44</v>
      </c>
      <c r="B41" s="118" t="s">
        <v>42</v>
      </c>
      <c r="C41" s="118"/>
      <c r="D41" s="119">
        <v>6.0000000000000001E-3</v>
      </c>
      <c r="E41" s="190"/>
      <c r="F41" s="119">
        <v>6.7000000000000002E-3</v>
      </c>
      <c r="H41" s="112" t="s">
        <v>127</v>
      </c>
    </row>
    <row r="42" spans="1:15" x14ac:dyDescent="0.25">
      <c r="A42" s="117" t="str">
        <f>A28</f>
        <v>Wholesale Market Service Rate (Incl CBR)</v>
      </c>
      <c r="B42" s="118" t="s">
        <v>42</v>
      </c>
      <c r="C42" s="118"/>
      <c r="D42" s="119">
        <v>3.3999999999999998E-3</v>
      </c>
      <c r="E42" s="188"/>
      <c r="F42" s="119">
        <v>3.3999999999999998E-3</v>
      </c>
      <c r="H42" s="112" t="s">
        <v>122</v>
      </c>
    </row>
    <row r="43" spans="1:15" x14ac:dyDescent="0.25">
      <c r="A43" s="117" t="str">
        <f>A29</f>
        <v>Rural Rate Protection Charge</v>
      </c>
      <c r="B43" s="118" t="s">
        <v>42</v>
      </c>
      <c r="C43" s="118"/>
      <c r="D43" s="119">
        <v>5.0000000000000001E-4</v>
      </c>
      <c r="E43" s="119"/>
      <c r="F43" s="119">
        <v>5.0000000000000001E-4</v>
      </c>
      <c r="H43" s="112" t="s">
        <v>126</v>
      </c>
    </row>
    <row r="44" spans="1:15" x14ac:dyDescent="0.25">
      <c r="A44" s="117" t="str">
        <f>A16</f>
        <v>Smart Meter Entity Charge</v>
      </c>
      <c r="B44" s="118" t="s">
        <v>41</v>
      </c>
      <c r="C44" s="118"/>
      <c r="D44" s="188">
        <v>0.56999999999999995</v>
      </c>
      <c r="E44" s="119"/>
      <c r="F44" s="188">
        <v>0.56999999999999995</v>
      </c>
      <c r="H44" s="112" t="s">
        <v>125</v>
      </c>
    </row>
    <row r="45" spans="1:15" x14ac:dyDescent="0.25">
      <c r="A45" s="115" t="str">
        <f>A30</f>
        <v>Standard Supply Service - Administrative Charge (if applicable)</v>
      </c>
      <c r="B45" s="118" t="s">
        <v>41</v>
      </c>
      <c r="C45" s="118"/>
      <c r="D45" s="188">
        <v>0.25</v>
      </c>
      <c r="E45" s="188"/>
      <c r="F45" s="188">
        <v>0.25</v>
      </c>
      <c r="H45" s="112" t="s">
        <v>124</v>
      </c>
    </row>
    <row r="46" spans="1:15" x14ac:dyDescent="0.25">
      <c r="B46" s="118"/>
      <c r="C46" s="118"/>
      <c r="D46" s="191"/>
      <c r="E46" s="191"/>
      <c r="F46" s="191"/>
    </row>
    <row r="47" spans="1:15" x14ac:dyDescent="0.25">
      <c r="A47" s="110" t="s">
        <v>50</v>
      </c>
      <c r="B47" s="118"/>
      <c r="C47" s="118"/>
      <c r="D47" s="192"/>
      <c r="E47" s="191"/>
      <c r="F47" s="192"/>
    </row>
    <row r="48" spans="1:15" x14ac:dyDescent="0.25">
      <c r="A48" s="117" t="s">
        <v>17</v>
      </c>
      <c r="B48" s="118" t="s">
        <v>41</v>
      </c>
      <c r="C48" s="118"/>
      <c r="D48" s="188">
        <v>2.0499999999999998</v>
      </c>
      <c r="E48" s="137"/>
      <c r="F48" s="188">
        <v>1.37</v>
      </c>
      <c r="H48" s="112" t="s">
        <v>119</v>
      </c>
      <c r="O48" s="121"/>
    </row>
    <row r="49" spans="1:8" x14ac:dyDescent="0.25">
      <c r="A49" s="117" t="s">
        <v>18</v>
      </c>
      <c r="B49" s="118" t="s">
        <v>42</v>
      </c>
      <c r="C49" s="118"/>
      <c r="D49" s="119">
        <v>0.33100000000000002</v>
      </c>
      <c r="E49" s="137"/>
      <c r="F49" s="119">
        <v>0.32790000000000002</v>
      </c>
      <c r="H49" s="112" t="s">
        <v>119</v>
      </c>
    </row>
    <row r="50" spans="1:8" x14ac:dyDescent="0.25">
      <c r="A50" s="115" t="str">
        <f>A36</f>
        <v>Total Deferral/Variance Account Rate Riders (Group 1, excl GA)</v>
      </c>
      <c r="B50" s="118" t="s">
        <v>42</v>
      </c>
      <c r="C50" s="118"/>
      <c r="D50" s="119">
        <v>-1.1000000000000001E-3</v>
      </c>
      <c r="E50" s="137"/>
      <c r="F50" s="119">
        <v>-2.5999999999999999E-3</v>
      </c>
      <c r="H50" s="112" t="s">
        <v>128</v>
      </c>
    </row>
    <row r="51" spans="1:8" x14ac:dyDescent="0.25">
      <c r="A51" s="115" t="str">
        <f>A37</f>
        <v>GA Rate Riders</v>
      </c>
      <c r="B51" s="118" t="s">
        <v>42</v>
      </c>
      <c r="C51" s="118"/>
      <c r="D51" s="119">
        <v>-7.7999999999999996E-3</v>
      </c>
      <c r="E51" s="137"/>
      <c r="F51" s="119">
        <v>-5.21E-2</v>
      </c>
      <c r="H51" s="112" t="s">
        <v>128</v>
      </c>
    </row>
    <row r="52" spans="1:8" ht="26.25" x14ac:dyDescent="0.25">
      <c r="A52" s="179" t="s">
        <v>116</v>
      </c>
      <c r="B52" s="118" t="s">
        <v>42</v>
      </c>
      <c r="C52" s="118"/>
      <c r="D52" s="119">
        <v>-1.9E-3</v>
      </c>
      <c r="E52" s="188"/>
      <c r="F52" s="119">
        <v>4.6800000000000001E-2</v>
      </c>
      <c r="H52" s="112" t="s">
        <v>128</v>
      </c>
    </row>
    <row r="53" spans="1:8" x14ac:dyDescent="0.25">
      <c r="A53" s="115" t="str">
        <f>A25</f>
        <v>Rate Rider for Group 2 Accounts</v>
      </c>
      <c r="B53" s="118" t="s">
        <v>42</v>
      </c>
      <c r="C53" s="118"/>
      <c r="D53" s="119">
        <v>0</v>
      </c>
      <c r="E53" s="188"/>
      <c r="F53" s="119">
        <v>-1E-4</v>
      </c>
      <c r="H53" s="112" t="s">
        <v>128</v>
      </c>
    </row>
    <row r="54" spans="1:8" x14ac:dyDescent="0.25">
      <c r="A54" s="117" t="s">
        <v>43</v>
      </c>
      <c r="B54" s="118" t="s">
        <v>48</v>
      </c>
      <c r="C54" s="118"/>
      <c r="D54" s="119">
        <v>1.8149999999999999</v>
      </c>
      <c r="E54" s="189"/>
      <c r="F54" s="119">
        <v>2.1663000000000001</v>
      </c>
      <c r="H54" s="112" t="s">
        <v>127</v>
      </c>
    </row>
    <row r="55" spans="1:8" x14ac:dyDescent="0.25">
      <c r="A55" s="117" t="s">
        <v>44</v>
      </c>
      <c r="B55" s="118" t="s">
        <v>48</v>
      </c>
      <c r="C55" s="118"/>
      <c r="D55" s="119">
        <v>1.6437999999999999</v>
      </c>
      <c r="E55" s="190"/>
      <c r="F55" s="119">
        <v>1.8267</v>
      </c>
      <c r="H55" s="112" t="s">
        <v>127</v>
      </c>
    </row>
    <row r="56" spans="1:8" x14ac:dyDescent="0.25">
      <c r="A56" s="117" t="str">
        <f>A42</f>
        <v>Wholesale Market Service Rate (Incl CBR)</v>
      </c>
      <c r="B56" s="118" t="s">
        <v>42</v>
      </c>
      <c r="C56" s="118"/>
      <c r="D56" s="119">
        <v>3.3999999999999998E-3</v>
      </c>
      <c r="E56" s="188"/>
      <c r="F56" s="119">
        <v>3.3999999999999998E-3</v>
      </c>
      <c r="H56" s="112" t="s">
        <v>122</v>
      </c>
    </row>
    <row r="57" spans="1:8" x14ac:dyDescent="0.25">
      <c r="A57" s="117" t="str">
        <f>A43</f>
        <v>Rural Rate Protection Charge</v>
      </c>
      <c r="B57" s="118" t="s">
        <v>42</v>
      </c>
      <c r="C57" s="118"/>
      <c r="D57" s="119">
        <v>5.0000000000000001E-4</v>
      </c>
      <c r="E57" s="119"/>
      <c r="F57" s="119">
        <v>5.0000000000000001E-4</v>
      </c>
      <c r="H57" s="112" t="s">
        <v>126</v>
      </c>
    </row>
    <row r="58" spans="1:8" x14ac:dyDescent="0.25">
      <c r="A58" s="115" t="str">
        <f>A45</f>
        <v>Standard Supply Service - Administrative Charge (if applicable)</v>
      </c>
      <c r="B58" s="118" t="s">
        <v>41</v>
      </c>
      <c r="C58" s="118"/>
      <c r="D58" s="188">
        <v>0.25</v>
      </c>
      <c r="E58" s="188"/>
      <c r="F58" s="188">
        <v>0.25</v>
      </c>
      <c r="H58" s="112" t="s">
        <v>124</v>
      </c>
    </row>
    <row r="59" spans="1:8" x14ac:dyDescent="0.25">
      <c r="B59" s="118"/>
      <c r="C59" s="118"/>
      <c r="D59" s="191"/>
      <c r="E59" s="191"/>
      <c r="F59" s="191"/>
    </row>
    <row r="60" spans="1:8" x14ac:dyDescent="0.25">
      <c r="A60" s="110" t="s">
        <v>51</v>
      </c>
      <c r="B60" s="118"/>
      <c r="C60" s="118"/>
      <c r="D60" s="191"/>
      <c r="E60" s="188"/>
      <c r="F60" s="191"/>
    </row>
    <row r="61" spans="1:8" x14ac:dyDescent="0.25">
      <c r="A61" s="113" t="s">
        <v>52</v>
      </c>
      <c r="B61" s="118" t="s">
        <v>53</v>
      </c>
      <c r="C61" s="118"/>
      <c r="D61" s="119">
        <v>9.1700000000000004E-2</v>
      </c>
      <c r="E61" s="191"/>
      <c r="F61" s="119">
        <v>8.2899999999999974E-2</v>
      </c>
      <c r="H61" s="112" t="s">
        <v>123</v>
      </c>
    </row>
    <row r="62" spans="1:8" x14ac:dyDescent="0.25">
      <c r="B62" s="118"/>
      <c r="C62" s="118"/>
      <c r="D62" s="191"/>
      <c r="E62" s="191"/>
      <c r="F62" s="191"/>
    </row>
    <row r="63" spans="1:8" x14ac:dyDescent="0.25">
      <c r="A63" s="110" t="s">
        <v>4</v>
      </c>
      <c r="B63" s="118"/>
      <c r="C63" s="118"/>
      <c r="D63" s="191"/>
      <c r="E63" s="191"/>
      <c r="F63" s="191"/>
    </row>
    <row r="64" spans="1:8" x14ac:dyDescent="0.25">
      <c r="A64" s="113" t="s">
        <v>30</v>
      </c>
      <c r="B64" s="118" t="s">
        <v>42</v>
      </c>
      <c r="C64" s="118"/>
      <c r="D64" s="193">
        <v>6.5000000000000002E-2</v>
      </c>
      <c r="E64" s="191"/>
      <c r="F64" s="193">
        <v>6.5000000000000002E-2</v>
      </c>
      <c r="H64" s="204" t="s">
        <v>91</v>
      </c>
    </row>
    <row r="65" spans="1:8" x14ac:dyDescent="0.25">
      <c r="A65" s="113" t="s">
        <v>31</v>
      </c>
      <c r="B65" s="118" t="s">
        <v>42</v>
      </c>
      <c r="C65" s="118"/>
      <c r="D65" s="193">
        <v>9.4E-2</v>
      </c>
      <c r="E65" s="191"/>
      <c r="F65" s="193">
        <v>9.4E-2</v>
      </c>
      <c r="H65" s="204"/>
    </row>
    <row r="66" spans="1:8" x14ac:dyDescent="0.25">
      <c r="A66" s="113" t="s">
        <v>32</v>
      </c>
      <c r="B66" s="118" t="s">
        <v>42</v>
      </c>
      <c r="C66" s="118"/>
      <c r="D66" s="193">
        <v>0.13400000000000001</v>
      </c>
      <c r="E66" s="191"/>
      <c r="F66" s="193">
        <v>0.13400000000000001</v>
      </c>
      <c r="H66" s="204"/>
    </row>
    <row r="67" spans="1:8" x14ac:dyDescent="0.25">
      <c r="A67" s="113" t="s">
        <v>92</v>
      </c>
      <c r="B67" s="118" t="s">
        <v>42</v>
      </c>
      <c r="C67" s="118"/>
      <c r="D67" s="193">
        <v>8.2350000000000007E-2</v>
      </c>
      <c r="E67" s="191"/>
      <c r="F67" s="193">
        <v>8.2350000000000007E-2</v>
      </c>
      <c r="H67" s="204"/>
    </row>
    <row r="68" spans="1:8" x14ac:dyDescent="0.25">
      <c r="B68" s="118"/>
      <c r="C68" s="118"/>
      <c r="D68" s="191"/>
      <c r="E68" s="191"/>
      <c r="F68" s="191"/>
    </row>
    <row r="69" spans="1:8" ht="30" x14ac:dyDescent="0.25">
      <c r="A69" s="113" t="s">
        <v>60</v>
      </c>
      <c r="B69" s="118" t="s">
        <v>42</v>
      </c>
      <c r="C69" s="118"/>
      <c r="D69" s="193">
        <v>0.1101</v>
      </c>
      <c r="E69" s="191"/>
      <c r="F69" s="193">
        <v>0.1101</v>
      </c>
      <c r="H69" s="182" t="s">
        <v>91</v>
      </c>
    </row>
    <row r="70" spans="1:8" x14ac:dyDescent="0.25">
      <c r="B70" s="118"/>
      <c r="C70" s="118"/>
      <c r="D70" s="191"/>
      <c r="E70" s="191"/>
      <c r="F70" s="191"/>
    </row>
    <row r="71" spans="1:8" x14ac:dyDescent="0.25">
      <c r="B71" s="120"/>
      <c r="C71" s="120"/>
      <c r="D71" s="194"/>
      <c r="E71" s="194"/>
      <c r="F71" s="194"/>
    </row>
    <row r="72" spans="1:8" x14ac:dyDescent="0.25">
      <c r="B72" s="120"/>
      <c r="C72" s="120"/>
      <c r="D72" s="194"/>
      <c r="E72" s="194"/>
      <c r="F72" s="194"/>
    </row>
    <row r="73" spans="1:8" x14ac:dyDescent="0.25">
      <c r="B73" s="120"/>
      <c r="C73" s="120"/>
      <c r="D73" s="194"/>
      <c r="E73" s="194"/>
      <c r="F73" s="194"/>
    </row>
  </sheetData>
  <mergeCells count="1">
    <mergeCell ref="H64:H67"/>
  </mergeCells>
  <pageMargins left="0.7" right="0.7" top="0.75" bottom="0.75" header="0.3" footer="0.3"/>
  <pageSetup scale="64" fitToHeight="0" orientation="portrait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Y36"/>
  <sheetViews>
    <sheetView showGridLines="0" topLeftCell="B1" zoomScale="90" zoomScaleNormal="90" workbookViewId="0">
      <selection activeCell="L31" sqref="L31"/>
    </sheetView>
  </sheetViews>
  <sheetFormatPr defaultRowHeight="15" x14ac:dyDescent="0.25"/>
  <cols>
    <col min="1" max="1" width="4.140625" customWidth="1"/>
    <col min="2" max="2" width="27.85546875" customWidth="1"/>
    <col min="3" max="3" width="11.85546875" customWidth="1"/>
    <col min="4" max="4" width="11.140625" customWidth="1"/>
    <col min="5" max="5" width="2.140625" customWidth="1"/>
    <col min="6" max="6" width="14" bestFit="1" customWidth="1"/>
    <col min="7" max="7" width="15.140625" bestFit="1" customWidth="1"/>
    <col min="8" max="8" width="14" bestFit="1" customWidth="1"/>
    <col min="9" max="9" width="10.7109375" customWidth="1"/>
    <col min="11" max="11" width="27.85546875" customWidth="1"/>
    <col min="12" max="12" width="11.85546875" customWidth="1"/>
    <col min="13" max="13" width="11.140625" customWidth="1"/>
    <col min="14" max="14" width="2.140625" customWidth="1"/>
    <col min="15" max="16" width="10.7109375" customWidth="1"/>
    <col min="17" max="17" width="11.5703125" bestFit="1" customWidth="1"/>
    <col min="18" max="18" width="10.7109375" customWidth="1"/>
    <col min="19" max="19" width="12.7109375" customWidth="1"/>
    <col min="20" max="20" width="10.7109375" customWidth="1"/>
    <col min="21" max="21" width="12.7109375" customWidth="1"/>
    <col min="22" max="22" width="10.7109375" customWidth="1"/>
    <col min="23" max="23" width="14" customWidth="1"/>
    <col min="24" max="24" width="10.7109375" customWidth="1"/>
  </cols>
  <sheetData>
    <row r="3" spans="2:25" ht="16.5" x14ac:dyDescent="0.3">
      <c r="B3" s="205" t="s">
        <v>111</v>
      </c>
      <c r="C3" s="205"/>
      <c r="D3" s="205"/>
      <c r="E3" s="205"/>
      <c r="F3" s="205"/>
      <c r="G3" s="205"/>
      <c r="H3" s="205"/>
      <c r="I3" s="205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</row>
    <row r="4" spans="2:25" ht="16.5" x14ac:dyDescent="0.3">
      <c r="B4" s="205"/>
      <c r="C4" s="205"/>
      <c r="D4" s="205"/>
      <c r="E4" s="205"/>
      <c r="F4" s="205"/>
      <c r="G4" s="205"/>
      <c r="H4" s="205"/>
      <c r="I4" s="205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</row>
    <row r="5" spans="2:25" ht="17.25" thickBot="1" x14ac:dyDescent="0.35">
      <c r="B5" s="206"/>
      <c r="C5" s="206"/>
      <c r="D5" s="206"/>
      <c r="E5" s="206"/>
      <c r="F5" s="206"/>
      <c r="G5" s="206"/>
      <c r="H5" s="206"/>
      <c r="I5" s="206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pans="2:25" ht="16.5" x14ac:dyDescent="0.3">
      <c r="B6" s="207" t="s">
        <v>67</v>
      </c>
      <c r="C6" s="145" t="s">
        <v>68</v>
      </c>
      <c r="D6" s="145" t="s">
        <v>69</v>
      </c>
      <c r="E6" s="146"/>
      <c r="F6" s="209" t="s">
        <v>85</v>
      </c>
      <c r="G6" s="209"/>
      <c r="H6" s="209"/>
      <c r="I6" s="210"/>
      <c r="J6" s="144"/>
      <c r="K6" s="207" t="s">
        <v>67</v>
      </c>
      <c r="L6" s="145" t="s">
        <v>68</v>
      </c>
      <c r="M6" s="145" t="s">
        <v>69</v>
      </c>
      <c r="N6" s="146"/>
      <c r="O6" s="214" t="s">
        <v>112</v>
      </c>
      <c r="P6" s="215"/>
      <c r="Q6" s="215"/>
      <c r="R6" s="215"/>
      <c r="S6" s="215"/>
      <c r="T6" s="215"/>
      <c r="U6" s="215"/>
      <c r="V6" s="216"/>
      <c r="W6" s="209" t="s">
        <v>94</v>
      </c>
      <c r="X6" s="210"/>
      <c r="Y6" s="178"/>
    </row>
    <row r="7" spans="2:25" ht="16.5" x14ac:dyDescent="0.3">
      <c r="B7" s="208"/>
      <c r="C7" s="147" t="s">
        <v>70</v>
      </c>
      <c r="D7" s="147" t="s">
        <v>58</v>
      </c>
      <c r="E7" s="148"/>
      <c r="F7" s="211" t="s">
        <v>71</v>
      </c>
      <c r="G7" s="212" t="s">
        <v>72</v>
      </c>
      <c r="H7" s="211" t="s">
        <v>73</v>
      </c>
      <c r="I7" s="213"/>
      <c r="J7" s="144"/>
      <c r="K7" s="208"/>
      <c r="L7" s="147" t="s">
        <v>70</v>
      </c>
      <c r="M7" s="147" t="s">
        <v>58</v>
      </c>
      <c r="N7" s="148"/>
      <c r="O7" s="211" t="s">
        <v>113</v>
      </c>
      <c r="P7" s="211"/>
      <c r="Q7" s="211" t="s">
        <v>93</v>
      </c>
      <c r="R7" s="211"/>
      <c r="S7" s="211" t="s">
        <v>95</v>
      </c>
      <c r="T7" s="211"/>
      <c r="U7" s="211" t="s">
        <v>96</v>
      </c>
      <c r="V7" s="213"/>
      <c r="W7" s="211" t="s">
        <v>74</v>
      </c>
      <c r="X7" s="213"/>
      <c r="Y7" s="178"/>
    </row>
    <row r="8" spans="2:25" ht="16.5" x14ac:dyDescent="0.3">
      <c r="B8" s="150"/>
      <c r="C8" s="151"/>
      <c r="D8" s="151"/>
      <c r="E8" s="152"/>
      <c r="F8" s="211"/>
      <c r="G8" s="212"/>
      <c r="H8" s="153" t="s">
        <v>41</v>
      </c>
      <c r="I8" s="154" t="s">
        <v>53</v>
      </c>
      <c r="J8" s="144"/>
      <c r="K8" s="150"/>
      <c r="L8" s="151"/>
      <c r="M8" s="151"/>
      <c r="N8" s="152"/>
      <c r="O8" s="153" t="s">
        <v>41</v>
      </c>
      <c r="P8" s="153" t="s">
        <v>53</v>
      </c>
      <c r="Q8" s="153" t="s">
        <v>41</v>
      </c>
      <c r="R8" s="153" t="s">
        <v>53</v>
      </c>
      <c r="S8" s="153" t="s">
        <v>41</v>
      </c>
      <c r="T8" s="153" t="s">
        <v>53</v>
      </c>
      <c r="U8" s="153" t="s">
        <v>41</v>
      </c>
      <c r="V8" s="154" t="s">
        <v>53</v>
      </c>
      <c r="W8" s="153" t="s">
        <v>41</v>
      </c>
      <c r="X8" s="154" t="s">
        <v>53</v>
      </c>
      <c r="Y8" s="178"/>
    </row>
    <row r="9" spans="2:25" ht="16.5" x14ac:dyDescent="0.3">
      <c r="B9" s="155" t="s">
        <v>86</v>
      </c>
      <c r="C9" s="156">
        <f>Residential_R1RPP_10th_PCT!F10</f>
        <v>269</v>
      </c>
      <c r="D9" s="156">
        <v>0</v>
      </c>
      <c r="E9" s="149"/>
      <c r="F9" s="157">
        <f>Residential_R1RPP_10th_PCT!H20</f>
        <v>36.3489</v>
      </c>
      <c r="G9" s="157">
        <f>Residential_R1RPP_10th_PCT!L20</f>
        <v>37.380275487235792</v>
      </c>
      <c r="H9" s="157">
        <f>G9-F9</f>
        <v>1.0313754872357919</v>
      </c>
      <c r="I9" s="158">
        <f>IF(ISBLANK(F9),"",H9/F9)</f>
        <v>2.8374324594026005E-2</v>
      </c>
      <c r="J9" s="144"/>
      <c r="K9" s="155" t="str">
        <f>B9</f>
        <v>Residential - R1(i) (RPP)</v>
      </c>
      <c r="L9" s="156">
        <f t="shared" ref="L9:M20" si="0">C9</f>
        <v>269</v>
      </c>
      <c r="M9" s="156">
        <f t="shared" si="0"/>
        <v>0</v>
      </c>
      <c r="N9" s="149"/>
      <c r="O9" s="157">
        <f>SUM(Residential_R1RPP_10th_PCT!N15:N17)</f>
        <v>0.43507548723579337</v>
      </c>
      <c r="P9" s="159">
        <f>O9/SUM(Residential_R1RPP_10th_PCT!H15:H17)</f>
        <v>1.1803458687894557E-2</v>
      </c>
      <c r="Q9" s="157">
        <f>Residential_R1RPP_10th_PCT!N20</f>
        <v>1.0313754872357919</v>
      </c>
      <c r="R9" s="159">
        <f>Residential_R1RPP_10th_PCT!O20</f>
        <v>2.8374324594026005E-2</v>
      </c>
      <c r="S9" s="157">
        <f>Residential_R1RPP_10th_PCT!N25</f>
        <v>0.86333656723579111</v>
      </c>
      <c r="T9" s="159">
        <f>Residential_R1RPP_10th_PCT!O25</f>
        <v>2.2334782996075053E-2</v>
      </c>
      <c r="U9" s="157">
        <f>Residential_R1RPP_10th_PCT!N28</f>
        <v>1.4161100472357901</v>
      </c>
      <c r="V9" s="158">
        <f>Residential_R1RPP_10th_PCT!O28</f>
        <v>3.3434653617511592E-2</v>
      </c>
      <c r="W9" s="157">
        <f>Residential_R1RPP_10th_PCT!N39</f>
        <v>1.4772218655975848</v>
      </c>
      <c r="X9" s="158">
        <f>Residential_R1RPP_10th_PCT!O39</f>
        <v>2.134802734581516E-2</v>
      </c>
      <c r="Y9" s="178"/>
    </row>
    <row r="10" spans="2:25" ht="16.5" x14ac:dyDescent="0.3">
      <c r="B10" s="155" t="s">
        <v>86</v>
      </c>
      <c r="C10" s="156">
        <f>Residential_R1RPP_750!F10</f>
        <v>750</v>
      </c>
      <c r="D10" s="156">
        <v>0</v>
      </c>
      <c r="E10" s="149"/>
      <c r="F10" s="157">
        <f>Residential_R1RPP_750!H20</f>
        <v>35.435000000000002</v>
      </c>
      <c r="G10" s="157">
        <f>Residential_R1RPP_750!L20</f>
        <v>37.765075487235791</v>
      </c>
      <c r="H10" s="160">
        <f>G10-F10</f>
        <v>2.3300754872357885</v>
      </c>
      <c r="I10" s="158">
        <f>IF(ISBLANK(F10),"",H10/F10)</f>
        <v>6.5756328128567465E-2</v>
      </c>
      <c r="J10" s="144"/>
      <c r="K10" s="155" t="str">
        <f t="shared" ref="K10:K11" si="1">B10</f>
        <v>Residential - R1(i) (RPP)</v>
      </c>
      <c r="L10" s="156">
        <f t="shared" si="0"/>
        <v>750</v>
      </c>
      <c r="M10" s="156">
        <f t="shared" si="0"/>
        <v>0</v>
      </c>
      <c r="N10" s="149"/>
      <c r="O10" s="157">
        <f>SUM(Residential_R1RPP_750!N15:N17)</f>
        <v>0.43507548723578715</v>
      </c>
      <c r="P10" s="159">
        <f>O10/SUM(Residential_R1RPP_750!H15:H17)</f>
        <v>1.1803458687894388E-2</v>
      </c>
      <c r="Q10" s="157">
        <f>Residential_R1RPP_750!N20</f>
        <v>2.3300754872357885</v>
      </c>
      <c r="R10" s="159">
        <f>Residential_R1RPP_750!O20</f>
        <v>6.5756328128567465E-2</v>
      </c>
      <c r="S10" s="157">
        <f>Residential_R1RPP_750!N25</f>
        <v>1.8615654872357936</v>
      </c>
      <c r="T10" s="159">
        <f>Residential_R1RPP_750!O25</f>
        <v>4.5577875571838379E-2</v>
      </c>
      <c r="U10" s="157">
        <f>Residential_R1RPP_750!N28</f>
        <v>3.4027554872357939</v>
      </c>
      <c r="V10" s="158">
        <f>Residential_R1RPP_750!O28</f>
        <v>6.651178849521476E-2</v>
      </c>
      <c r="W10" s="157">
        <f>Residential_R1RPP_750!N39</f>
        <v>3.5458662615975669</v>
      </c>
      <c r="X10" s="158">
        <f>Residential_R1RPP_750!O39</f>
        <v>2.9020660118685992E-2</v>
      </c>
      <c r="Y10" s="178"/>
    </row>
    <row r="11" spans="2:25" ht="16.5" x14ac:dyDescent="0.3">
      <c r="B11" s="155" t="s">
        <v>97</v>
      </c>
      <c r="C11" s="156">
        <f>Residential_R1RET_750!F10</f>
        <v>750</v>
      </c>
      <c r="D11" s="156">
        <v>0</v>
      </c>
      <c r="E11" s="149"/>
      <c r="F11" s="157">
        <f>Residential_R1RET_750!H20</f>
        <v>35.435000000000002</v>
      </c>
      <c r="G11" s="157">
        <f>Residential_R1RET_750!L20</f>
        <v>37.765075487235791</v>
      </c>
      <c r="H11" s="160">
        <f>G11-F11</f>
        <v>2.3300754872357885</v>
      </c>
      <c r="I11" s="158">
        <f>IF(ISBLANK(F11),"",H11/F11)</f>
        <v>6.5756328128567465E-2</v>
      </c>
      <c r="J11" s="144"/>
      <c r="K11" s="155" t="str">
        <f t="shared" si="1"/>
        <v>Residential - R1(i) (Retailer)</v>
      </c>
      <c r="L11" s="156">
        <f t="shared" si="0"/>
        <v>750</v>
      </c>
      <c r="M11" s="156">
        <f t="shared" si="0"/>
        <v>0</v>
      </c>
      <c r="N11" s="149"/>
      <c r="O11" s="157">
        <f>SUM(Residential_R1RET_750!N15:N17)</f>
        <v>0.43507548723578715</v>
      </c>
      <c r="P11" s="159">
        <f>O11/SUM(Residential_R1RET_750!H15:H17)</f>
        <v>1.1803458687894388E-2</v>
      </c>
      <c r="Q11" s="157">
        <f>Residential_R1RET_750!N20</f>
        <v>2.3300754872357885</v>
      </c>
      <c r="R11" s="159">
        <f>Residential_R1RET_750!O20</f>
        <v>6.5756328128567465E-2</v>
      </c>
      <c r="S11" s="157">
        <f>Residential_R1RET_750!N26</f>
        <v>-31.546584512764198</v>
      </c>
      <c r="T11" s="159">
        <f>Residential_R1RET_750!O26</f>
        <v>-0.85487170117127287</v>
      </c>
      <c r="U11" s="157">
        <f>Residential_R1RET_750!N29</f>
        <v>-30.005394512764195</v>
      </c>
      <c r="V11" s="158">
        <f>Residential_R1RET_750!O29</f>
        <v>-0.63545585284396022</v>
      </c>
      <c r="W11" s="157">
        <f>Residential_R1RET_750!N38</f>
        <v>-31.532691238402407</v>
      </c>
      <c r="X11" s="158">
        <f>Residential_R1RET_750!O38</f>
        <v>-0.22539650150834095</v>
      </c>
      <c r="Y11" s="178"/>
    </row>
    <row r="12" spans="2:25" ht="16.5" x14ac:dyDescent="0.3">
      <c r="B12" s="155" t="s">
        <v>87</v>
      </c>
      <c r="C12" s="156">
        <f>Residential_R1GSRPP_2000!F10</f>
        <v>2000</v>
      </c>
      <c r="D12" s="156">
        <v>0</v>
      </c>
      <c r="E12" s="149"/>
      <c r="F12" s="157">
        <f>Residential_R1GSRPP_2000!H19</f>
        <v>94.04</v>
      </c>
      <c r="G12" s="157">
        <f>Residential_R1GSRPP_2000!L19</f>
        <v>101.48000000000002</v>
      </c>
      <c r="H12" s="157">
        <f>G12-F12</f>
        <v>7.4400000000000119</v>
      </c>
      <c r="I12" s="158">
        <f>IF(ISBLANK(F12),"",H12/F12)</f>
        <v>7.9115270097830828E-2</v>
      </c>
      <c r="J12" s="144"/>
      <c r="K12" s="155" t="str">
        <f t="shared" ref="K12:K20" si="2">B12</f>
        <v>Residential - R1(ii) (RPP)</v>
      </c>
      <c r="L12" s="156">
        <f t="shared" si="0"/>
        <v>2000</v>
      </c>
      <c r="M12" s="156">
        <f t="shared" si="0"/>
        <v>0</v>
      </c>
      <c r="N12" s="149"/>
      <c r="O12" s="157">
        <f>SUM(Residential_R1GSRPP_2000!N15:N16)</f>
        <v>2.1700000000000088</v>
      </c>
      <c r="P12" s="159">
        <f>O12/SUM(Residential_R1GSRPP_2000!H15:H16)</f>
        <v>2.2179067865903606E-2</v>
      </c>
      <c r="Q12" s="157">
        <f>Residential_R1GSRPP_2000!N19</f>
        <v>7.4400000000000119</v>
      </c>
      <c r="R12" s="159">
        <f>Residential_R1GSRPP_2000!O19</f>
        <v>7.9115270097830828E-2</v>
      </c>
      <c r="S12" s="157">
        <f>Residential_R1GSRPP_2000!N24</f>
        <v>6.1906400000000303</v>
      </c>
      <c r="T12" s="159">
        <f>Residential_R1GSRPP_2000!O24</f>
        <v>5.758039098345262E-2</v>
      </c>
      <c r="U12" s="157">
        <f>Residential_R1GSRPP_2000!N27</f>
        <v>10.300480000000022</v>
      </c>
      <c r="V12" s="158">
        <f>Residential_R1GSRPP_2000!O27</f>
        <v>7.6286385892031239E-2</v>
      </c>
      <c r="W12" s="157">
        <f>Residential_R1GSRPP_2000!N38</f>
        <v>10.743432000000041</v>
      </c>
      <c r="X12" s="158">
        <f>Residential_R1GSRPP_2000!O38</f>
        <v>3.3167591113189898E-2</v>
      </c>
      <c r="Y12" s="178"/>
    </row>
    <row r="13" spans="2:25" ht="16.5" x14ac:dyDescent="0.3">
      <c r="B13" s="155" t="s">
        <v>98</v>
      </c>
      <c r="C13" s="156">
        <f>Residential_R1GSRET_2000!F10</f>
        <v>2000</v>
      </c>
      <c r="D13" s="156">
        <v>0</v>
      </c>
      <c r="E13" s="149"/>
      <c r="F13" s="157">
        <f>Residential_R1GSRET_2000!H19</f>
        <v>94.04</v>
      </c>
      <c r="G13" s="157">
        <f>Residential_R1GSRET_2000!L19</f>
        <v>101.48000000000002</v>
      </c>
      <c r="H13" s="157">
        <f>G13-F13</f>
        <v>7.4400000000000119</v>
      </c>
      <c r="I13" s="158">
        <f>IF(ISBLANK(F13),"",H13/F13)</f>
        <v>7.9115270097830828E-2</v>
      </c>
      <c r="J13" s="144"/>
      <c r="K13" s="155" t="str">
        <f t="shared" si="2"/>
        <v>Residential - R1(ii) (Retailer)</v>
      </c>
      <c r="L13" s="156">
        <f t="shared" si="0"/>
        <v>2000</v>
      </c>
      <c r="M13" s="156">
        <f t="shared" si="0"/>
        <v>0</v>
      </c>
      <c r="N13" s="149"/>
      <c r="O13" s="157">
        <f>SUM(Residential_R1GSRET_2000!N15:N16)</f>
        <v>2.1700000000000088</v>
      </c>
      <c r="P13" s="159">
        <f>O13/SUM(Residential_R1GSRET_2000!H15:H16)</f>
        <v>2.2179067865903606E-2</v>
      </c>
      <c r="Q13" s="157">
        <f>Residential_R1GSRET_2000!N19</f>
        <v>7.4400000000000119</v>
      </c>
      <c r="R13" s="159">
        <f>Residential_R1GSRET_2000!O19</f>
        <v>7.9115270097830828E-2</v>
      </c>
      <c r="S13" s="157">
        <f>Residential_R1GSRET_2000!N25</f>
        <v>-82.897759999999977</v>
      </c>
      <c r="T13" s="159">
        <f>Residential_R1GSRET_2000!O25</f>
        <v>-0.85459546645988138</v>
      </c>
      <c r="U13" s="157">
        <f>Residential_R1GSRET_2000!N28</f>
        <v>-78.787919999999957</v>
      </c>
      <c r="V13" s="158">
        <f>Residential_R1GSRET_2000!O28</f>
        <v>-0.63276771181974467</v>
      </c>
      <c r="W13" s="157">
        <f>Residential_R1GSRET_2000!N37</f>
        <v>-82.799388000000022</v>
      </c>
      <c r="X13" s="158">
        <f>Residential_R1GSRET_2000!O37</f>
        <v>-0.22308732606152734</v>
      </c>
      <c r="Y13" s="178"/>
    </row>
    <row r="14" spans="2:25" ht="16.5" x14ac:dyDescent="0.3">
      <c r="B14" s="155" t="s">
        <v>88</v>
      </c>
      <c r="C14" s="156">
        <f>'Residential - R2'!F9</f>
        <v>90000</v>
      </c>
      <c r="D14" s="161">
        <f>'Residential - R2'!K9</f>
        <v>225</v>
      </c>
      <c r="E14" s="149"/>
      <c r="F14" s="157">
        <f>'Residential - R2'!H17</f>
        <v>1249.08</v>
      </c>
      <c r="G14" s="157">
        <f>'Residential - R2'!L17</f>
        <v>1448.635</v>
      </c>
      <c r="H14" s="157">
        <f t="shared" ref="H14:H20" si="3">G14-F14</f>
        <v>199.55500000000006</v>
      </c>
      <c r="I14" s="158">
        <f t="shared" ref="I14:I20" si="4">IF(ISBLANK(F14),"",H14/F14)</f>
        <v>0.15976158452621136</v>
      </c>
      <c r="J14" s="144"/>
      <c r="K14" s="155" t="str">
        <f t="shared" si="2"/>
        <v>Residential - R2 (non-RPP)</v>
      </c>
      <c r="L14" s="156">
        <f t="shared" si="0"/>
        <v>90000</v>
      </c>
      <c r="M14" s="156">
        <f t="shared" si="0"/>
        <v>225</v>
      </c>
      <c r="N14" s="149"/>
      <c r="O14" s="157">
        <f>SUM('Residential - R2'!N14:N15)</f>
        <v>31.727499999999964</v>
      </c>
      <c r="P14" s="159">
        <f>O14/SUM('Residential - R2'!H14:H15)</f>
        <v>2.2197851403304377E-2</v>
      </c>
      <c r="Q14" s="157">
        <f>'Residential - R2'!N17</f>
        <v>199.55500000000006</v>
      </c>
      <c r="R14" s="159">
        <f>'Residential - R2'!O17</f>
        <v>0.15976158452621136</v>
      </c>
      <c r="S14" s="157">
        <f>'Residential - R2'!N23</f>
        <v>-3804.4549999999999</v>
      </c>
      <c r="T14" s="159">
        <f>'Residential - R2'!O23</f>
        <v>-8.7002721368459568</v>
      </c>
      <c r="U14" s="157">
        <f>'Residential - R2'!N26</f>
        <v>-3633.9437922500001</v>
      </c>
      <c r="V14" s="158">
        <f>'Residential - R2'!O26</f>
        <v>-2.253321801889165</v>
      </c>
      <c r="W14" s="157">
        <f>'Residential - R2'!N34</f>
        <v>-4208.3819252424983</v>
      </c>
      <c r="X14" s="158">
        <f>'Residential - R2'!O34</f>
        <v>-0.29064232354138192</v>
      </c>
      <c r="Y14" s="178"/>
    </row>
    <row r="15" spans="2:25" ht="16.5" x14ac:dyDescent="0.3">
      <c r="B15" s="155" t="s">
        <v>117</v>
      </c>
      <c r="C15" s="156">
        <f>'Residential - R2 Large'!F9</f>
        <v>2500000</v>
      </c>
      <c r="D15" s="161">
        <f>'Residential - R2 Large'!K9</f>
        <v>5000</v>
      </c>
      <c r="E15" s="149"/>
      <c r="F15" s="157">
        <f>'Residential - R2 Large'!H17</f>
        <v>13751.939999999999</v>
      </c>
      <c r="G15" s="157">
        <f>'Residential - R2 Large'!L17</f>
        <v>17875.59</v>
      </c>
      <c r="H15" s="157">
        <f t="shared" ref="H15" si="5">G15-F15</f>
        <v>4123.6500000000015</v>
      </c>
      <c r="I15" s="158">
        <f t="shared" ref="I15" si="6">IF(ISBLANK(F15),"",H15/F15)</f>
        <v>0.29985951073084977</v>
      </c>
      <c r="J15" s="144"/>
      <c r="K15" s="155" t="str">
        <f t="shared" si="2"/>
        <v>Residential - R2 (Class A)</v>
      </c>
      <c r="L15" s="156">
        <f t="shared" si="0"/>
        <v>2500000</v>
      </c>
      <c r="M15" s="156">
        <f t="shared" si="0"/>
        <v>5000</v>
      </c>
      <c r="N15" s="149"/>
      <c r="O15" s="157">
        <f>SUM('Residential - R2 Large'!N14:N15)</f>
        <v>394.15</v>
      </c>
      <c r="P15" s="159">
        <f>O15/SUM('Residential - R2 Large'!H14:H15)</f>
        <v>2.2196955106003623E-2</v>
      </c>
      <c r="Q15" s="157">
        <f>'Residential - R2 Large'!N17</f>
        <v>4123.6500000000015</v>
      </c>
      <c r="R15" s="159">
        <f>'Residential - R2 Large'!O17</f>
        <v>0.29985951073084977</v>
      </c>
      <c r="S15" s="157">
        <f>'Residential - R2 Large'!N23</f>
        <v>3745.6500000000015</v>
      </c>
      <c r="T15" s="159">
        <f>'Residential - R2 Large'!O23</f>
        <v>0.33112357385205382</v>
      </c>
      <c r="U15" s="157">
        <f>'Residential - R2 Large'!N26</f>
        <v>7534.7879500000054</v>
      </c>
      <c r="V15" s="158">
        <f>'Residential - R2 Large'!O26</f>
        <v>0.20129000039899836</v>
      </c>
      <c r="W15" s="157">
        <f>'Residential - R2 Large'!N34</f>
        <v>5680.2703835001448</v>
      </c>
      <c r="X15" s="158">
        <f>'Residential - R2 Large'!O34</f>
        <v>1.4421285847362497E-2</v>
      </c>
      <c r="Y15" s="178"/>
    </row>
    <row r="16" spans="2:25" ht="16.5" x14ac:dyDescent="0.3">
      <c r="B16" s="155" t="s">
        <v>89</v>
      </c>
      <c r="C16" s="156">
        <f>Seasonal_RPP_10th_PCT!F10</f>
        <v>50</v>
      </c>
      <c r="D16" s="156">
        <v>0</v>
      </c>
      <c r="E16" s="149"/>
      <c r="F16" s="157">
        <f>Seasonal_RPP_10th_PCT!H19</f>
        <v>63.66</v>
      </c>
      <c r="G16" s="196">
        <f>Seasonal_RPP_10th_PCT!L19</f>
        <v>72.325000000000003</v>
      </c>
      <c r="H16" s="196">
        <f>G16-F16</f>
        <v>8.6650000000000063</v>
      </c>
      <c r="I16" s="197">
        <f>IF(ISBLANK(F16),"",H16/F16)</f>
        <v>0.13611372918630232</v>
      </c>
      <c r="J16" s="144"/>
      <c r="K16" s="155" t="str">
        <f t="shared" ref="K16:M17" si="7">B16</f>
        <v>Seasonal (RPP)</v>
      </c>
      <c r="L16" s="156">
        <f t="shared" si="7"/>
        <v>50</v>
      </c>
      <c r="M16" s="156">
        <f t="shared" si="7"/>
        <v>0</v>
      </c>
      <c r="N16" s="149"/>
      <c r="O16" s="157">
        <f>SUM(Seasonal_RPP_10th_PCT!N15:N16)</f>
        <v>8.4649999999999981</v>
      </c>
      <c r="P16" s="159">
        <f>O16/SUM(Seasonal_RPP_10th_PCT!H15:H16)</f>
        <v>0.13604950176792024</v>
      </c>
      <c r="Q16" s="157">
        <f>Seasonal_RPP_10th_PCT!N19</f>
        <v>8.6650000000000063</v>
      </c>
      <c r="R16" s="159">
        <f>Seasonal_RPP_10th_PCT!O19</f>
        <v>0.13611372918630232</v>
      </c>
      <c r="S16" s="157">
        <f>Seasonal_RPP_10th_PCT!N24</f>
        <v>8.628766000000013</v>
      </c>
      <c r="T16" s="159">
        <f>Seasonal_RPP_10th_PCT!O24</f>
        <v>0.1336807158660909</v>
      </c>
      <c r="U16" s="157">
        <f>Seasonal_RPP_10th_PCT!N27</f>
        <v>8.7315120000000093</v>
      </c>
      <c r="V16" s="158">
        <f>Seasonal_RPP_10th_PCT!O27</f>
        <v>0.13384633590295658</v>
      </c>
      <c r="W16" s="157">
        <f>Seasonal_RPP_10th_PCT!N38</f>
        <v>9.1662857999999972</v>
      </c>
      <c r="X16" s="158">
        <f>Seasonal_RPP_10th_PCT!O38</f>
        <v>0.12504053662206888</v>
      </c>
      <c r="Y16" s="178"/>
    </row>
    <row r="17" spans="2:25" ht="16.5" x14ac:dyDescent="0.3">
      <c r="B17" s="155" t="s">
        <v>89</v>
      </c>
      <c r="C17" s="156">
        <f>Seasonal_RPP_AVG!F10</f>
        <v>153</v>
      </c>
      <c r="D17" s="156">
        <v>0</v>
      </c>
      <c r="E17" s="149"/>
      <c r="F17" s="157">
        <f>Seasonal_RPP_AVG!H19</f>
        <v>82.014600000000002</v>
      </c>
      <c r="G17" s="196">
        <f>Seasonal_RPP_AVG!L19</f>
        <v>89.865899999999996</v>
      </c>
      <c r="H17" s="196">
        <f t="shared" ref="H17" si="8">G17-F17</f>
        <v>7.8512999999999948</v>
      </c>
      <c r="I17" s="197">
        <f t="shared" ref="I17" si="9">IF(ISBLANK(F17),"",H17/F17)</f>
        <v>9.5730516273931657E-2</v>
      </c>
      <c r="J17" s="144"/>
      <c r="K17" s="155" t="str">
        <f t="shared" si="7"/>
        <v>Seasonal (RPP)</v>
      </c>
      <c r="L17" s="156">
        <f t="shared" si="7"/>
        <v>153</v>
      </c>
      <c r="M17" s="156">
        <f t="shared" si="7"/>
        <v>0</v>
      </c>
      <c r="N17" s="149"/>
      <c r="O17" s="157">
        <f>SUM(Seasonal_RPP_AVG!N15:N16)</f>
        <v>7.1980999999999966</v>
      </c>
      <c r="P17" s="159">
        <f>O17/SUM(Seasonal_RPP_AVG!H15:H16)</f>
        <v>9.2749219798938728E-2</v>
      </c>
      <c r="Q17" s="157">
        <f>Seasonal_RPP_AVG!N19</f>
        <v>7.8512999999999948</v>
      </c>
      <c r="R17" s="159">
        <f>Seasonal_RPP_AVG!O19</f>
        <v>9.5730516273931657E-2</v>
      </c>
      <c r="S17" s="157">
        <f>Seasonal_RPP_AVG!N24</f>
        <v>7.7404239600000011</v>
      </c>
      <c r="T17" s="159">
        <f>Seasonal_RPP_AVG!O24</f>
        <v>9.2637140062625786E-2</v>
      </c>
      <c r="U17" s="157">
        <f>Seasonal_RPP_AVG!N27</f>
        <v>8.0548267199999941</v>
      </c>
      <c r="V17" s="158">
        <f>Seasonal_RPP_AVG!O27</f>
        <v>9.4031480718090393E-2</v>
      </c>
      <c r="W17" s="157">
        <f>Seasonal_RPP_AVG!N38</f>
        <v>8.4520545480000067</v>
      </c>
      <c r="X17" s="158">
        <f>Seasonal_RPP_AVG!O38</f>
        <v>8.1176073666855683E-2</v>
      </c>
      <c r="Y17" s="178"/>
    </row>
    <row r="18" spans="2:25" ht="16.5" x14ac:dyDescent="0.3">
      <c r="B18" s="155" t="s">
        <v>89</v>
      </c>
      <c r="C18" s="156">
        <f>Seasonal_RPP_750!F10</f>
        <v>750</v>
      </c>
      <c r="D18" s="156">
        <v>0</v>
      </c>
      <c r="E18" s="149"/>
      <c r="F18" s="157">
        <f>Seasonal_RPP_750!H19</f>
        <v>188.4</v>
      </c>
      <c r="G18" s="196">
        <f>Seasonal_RPP_750!L19</f>
        <v>191.535</v>
      </c>
      <c r="H18" s="196">
        <f t="shared" si="3"/>
        <v>3.1349999999999909</v>
      </c>
      <c r="I18" s="197">
        <f t="shared" si="4"/>
        <v>1.6640127388534983E-2</v>
      </c>
      <c r="J18" s="144"/>
      <c r="K18" s="155" t="str">
        <f t="shared" si="2"/>
        <v>Seasonal (RPP)</v>
      </c>
      <c r="L18" s="156">
        <f t="shared" si="0"/>
        <v>750</v>
      </c>
      <c r="M18" s="156">
        <f t="shared" si="0"/>
        <v>0</v>
      </c>
      <c r="N18" s="149"/>
      <c r="O18" s="157">
        <f>SUM(Seasonal_RPP_750!N15:N16)</f>
        <v>-0.14499999999999602</v>
      </c>
      <c r="P18" s="159">
        <f>O18/SUM(Seasonal_RPP_750!H15:H16)</f>
        <v>-8.6930455635489217E-4</v>
      </c>
      <c r="Q18" s="157">
        <f>Seasonal_RPP_750!N19</f>
        <v>3.1349999999999909</v>
      </c>
      <c r="R18" s="159">
        <f>Seasonal_RPP_750!O19</f>
        <v>1.6640127388534983E-2</v>
      </c>
      <c r="S18" s="157">
        <f>Seasonal_RPP_750!N24</f>
        <v>2.4083400000000097</v>
      </c>
      <c r="T18" s="159">
        <f>Seasonal_RPP_750!O24</f>
        <v>1.2309925427487543E-2</v>
      </c>
      <c r="U18" s="157">
        <f>Seasonal_RPP_750!N27</f>
        <v>3.94953000000001</v>
      </c>
      <c r="V18" s="158">
        <f>Seasonal_RPP_750!O27</f>
        <v>1.9176320999415988E-2</v>
      </c>
      <c r="W18" s="157">
        <f>Seasonal_RPP_750!N38</f>
        <v>4.1199794999999995</v>
      </c>
      <c r="X18" s="158">
        <f>Seasonal_RPP_750!O38</f>
        <v>1.4470150886133048E-2</v>
      </c>
      <c r="Y18" s="178"/>
    </row>
    <row r="19" spans="2:25" ht="16.5" x14ac:dyDescent="0.3">
      <c r="B19" s="155" t="s">
        <v>99</v>
      </c>
      <c r="C19" s="156">
        <f>Seasonal_RET_750!F10</f>
        <v>750</v>
      </c>
      <c r="D19" s="156">
        <v>0</v>
      </c>
      <c r="E19" s="149"/>
      <c r="F19" s="157">
        <f>Seasonal_RET_750!H19</f>
        <v>188.4</v>
      </c>
      <c r="G19" s="196">
        <f>Seasonal_RET_750!L19</f>
        <v>191.535</v>
      </c>
      <c r="H19" s="196">
        <f t="shared" ref="H19" si="10">G19-F19</f>
        <v>3.1349999999999909</v>
      </c>
      <c r="I19" s="197">
        <f t="shared" ref="I19" si="11">IF(ISBLANK(F19),"",H19/F19)</f>
        <v>1.6640127388534983E-2</v>
      </c>
      <c r="J19" s="144"/>
      <c r="K19" s="155" t="str">
        <f t="shared" si="2"/>
        <v>Seasonal (Retailer)</v>
      </c>
      <c r="L19" s="156">
        <f t="shared" si="0"/>
        <v>750</v>
      </c>
      <c r="M19" s="156">
        <f t="shared" si="0"/>
        <v>0</v>
      </c>
      <c r="N19" s="149"/>
      <c r="O19" s="157">
        <f>SUM(Seasonal_RET_750!N15:N16)</f>
        <v>-0.14499999999999602</v>
      </c>
      <c r="P19" s="159">
        <f>O19/SUM(Seasonal_RET_750!H15:H16)</f>
        <v>-8.6930455635489217E-4</v>
      </c>
      <c r="Q19" s="157">
        <f>Seasonal_RET_750!N19</f>
        <v>3.1349999999999909</v>
      </c>
      <c r="R19" s="159">
        <f>Seasonal_RET_750!O19</f>
        <v>1.6640127388534983E-2</v>
      </c>
      <c r="S19" s="157">
        <f>Seasonal_RET_750!N25</f>
        <v>-30.63351000000003</v>
      </c>
      <c r="T19" s="159">
        <f>Seasonal_RET_750!O25</f>
        <v>-0.16304513291895065</v>
      </c>
      <c r="U19" s="157">
        <f>Seasonal_RET_750!N28</f>
        <v>-29.092320000000029</v>
      </c>
      <c r="V19" s="158">
        <f>Seasonal_RET_750!O28</f>
        <v>-0.14678250586154548</v>
      </c>
      <c r="W19" s="157">
        <f>Seasonal_RET_750!N37</f>
        <v>-117.27019867499996</v>
      </c>
      <c r="X19" s="158">
        <f>Seasonal_RET_750!O37</f>
        <v>-0.39295802123162082</v>
      </c>
      <c r="Y19" s="178"/>
    </row>
    <row r="20" spans="2:25" ht="17.25" thickBot="1" x14ac:dyDescent="0.35">
      <c r="B20" s="155" t="s">
        <v>90</v>
      </c>
      <c r="C20" s="156">
        <f>'Street Lighting Non-RPP'!F9</f>
        <v>3307.9728564539728</v>
      </c>
      <c r="D20" s="162">
        <f>'Street Lighting Non-RPP'!K9</f>
        <v>9.1944444444444446</v>
      </c>
      <c r="E20" s="149"/>
      <c r="F20" s="157">
        <f>'Street Lighting Non-RPP'!H17</f>
        <v>1240.3538670590026</v>
      </c>
      <c r="G20" s="157">
        <f>'Street Lighting Non-RPP'!L17</f>
        <v>1340.5466320276585</v>
      </c>
      <c r="H20" s="157">
        <f t="shared" si="3"/>
        <v>100.19276496865587</v>
      </c>
      <c r="I20" s="158">
        <f t="shared" si="4"/>
        <v>8.0777564878499131E-2</v>
      </c>
      <c r="J20" s="144"/>
      <c r="K20" s="163" t="str">
        <f t="shared" si="2"/>
        <v>Street Lighting (non-RPP)</v>
      </c>
      <c r="L20" s="164">
        <f t="shared" si="0"/>
        <v>3307.9728564539728</v>
      </c>
      <c r="M20" s="164">
        <f t="shared" si="0"/>
        <v>9.1944444444444446</v>
      </c>
      <c r="N20" s="165"/>
      <c r="O20" s="166">
        <f>SUM('Street Lighting Non-RPP'!N14:N15)</f>
        <v>-60.574715855007341</v>
      </c>
      <c r="P20" s="167">
        <f>O20/SUM('Street Lighting Non-RPP'!H14:H15)</f>
        <v>-4.8590422008715578E-2</v>
      </c>
      <c r="Q20" s="166">
        <f>'Street Lighting Non-RPP'!N17</f>
        <v>100.19276496865587</v>
      </c>
      <c r="R20" s="167">
        <f>'Street Lighting Non-RPP'!O17</f>
        <v>8.0777564878499131E-2</v>
      </c>
      <c r="S20" s="166">
        <f>'Street Lighting Non-RPP'!N23</f>
        <v>-54.51742059809726</v>
      </c>
      <c r="T20" s="167">
        <f>'Street Lighting Non-RPP'!O23</f>
        <v>-4.3813348026653889E-2</v>
      </c>
      <c r="U20" s="166">
        <f>'Street Lighting Non-RPP'!N26</f>
        <v>-49.478426099763965</v>
      </c>
      <c r="V20" s="168">
        <f>'Street Lighting Non-RPP'!O26</f>
        <v>-3.8684374294308939E-2</v>
      </c>
      <c r="W20" s="166">
        <f>'Street Lighting Non-RPP'!N35</f>
        <v>-52.071553514607331</v>
      </c>
      <c r="X20" s="168">
        <f>'Street Lighting Non-RPP'!O35</f>
        <v>-2.991845642873445E-2</v>
      </c>
      <c r="Y20" s="178"/>
    </row>
    <row r="21" spans="2:25" ht="17.25" thickBot="1" x14ac:dyDescent="0.35">
      <c r="B21" s="169"/>
      <c r="C21" s="170"/>
      <c r="D21" s="170"/>
      <c r="E21" s="149"/>
      <c r="F21" s="171"/>
      <c r="G21" s="171"/>
      <c r="H21" s="171"/>
      <c r="I21" s="172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</row>
    <row r="22" spans="2:25" ht="16.5" x14ac:dyDescent="0.3">
      <c r="B22" s="207" t="s">
        <v>67</v>
      </c>
      <c r="C22" s="145" t="s">
        <v>68</v>
      </c>
      <c r="D22" s="145" t="s">
        <v>69</v>
      </c>
      <c r="E22" s="146"/>
      <c r="F22" s="209" t="s">
        <v>74</v>
      </c>
      <c r="G22" s="209"/>
      <c r="H22" s="209"/>
      <c r="I22" s="210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</row>
    <row r="23" spans="2:25" ht="16.5" x14ac:dyDescent="0.3">
      <c r="B23" s="208"/>
      <c r="C23" s="147" t="s">
        <v>70</v>
      </c>
      <c r="D23" s="147" t="s">
        <v>58</v>
      </c>
      <c r="E23" s="148"/>
      <c r="F23" s="211" t="s">
        <v>71</v>
      </c>
      <c r="G23" s="212" t="s">
        <v>72</v>
      </c>
      <c r="H23" s="211" t="s">
        <v>73</v>
      </c>
      <c r="I23" s="213"/>
      <c r="J23" s="144"/>
      <c r="K23" s="199" t="s">
        <v>132</v>
      </c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44"/>
      <c r="W23" s="144"/>
      <c r="X23" s="144"/>
    </row>
    <row r="24" spans="2:25" ht="16.5" x14ac:dyDescent="0.3">
      <c r="B24" s="150"/>
      <c r="C24" s="151"/>
      <c r="D24" s="151"/>
      <c r="E24" s="152"/>
      <c r="F24" s="211"/>
      <c r="G24" s="212"/>
      <c r="H24" s="153" t="s">
        <v>41</v>
      </c>
      <c r="I24" s="154" t="s">
        <v>53</v>
      </c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</row>
    <row r="25" spans="2:25" ht="16.5" x14ac:dyDescent="0.3">
      <c r="B25" s="155" t="str">
        <f>B9</f>
        <v>Residential - R1(i) (RPP)</v>
      </c>
      <c r="C25" s="156">
        <f t="shared" ref="C25:D31" si="12">C9</f>
        <v>269</v>
      </c>
      <c r="D25" s="156">
        <f t="shared" si="12"/>
        <v>0</v>
      </c>
      <c r="E25" s="149"/>
      <c r="F25" s="157">
        <f>Residential_R1RPP_10th_PCT!H39</f>
        <v>69.197113235249986</v>
      </c>
      <c r="G25" s="157">
        <f>Residential_R1RPP_10th_PCT!L39</f>
        <v>70.674335100847571</v>
      </c>
      <c r="H25" s="157">
        <f>G25-F25</f>
        <v>1.4772218655975848</v>
      </c>
      <c r="I25" s="158">
        <f>IF(ISBLANK(F25),"",H25/F25)</f>
        <v>2.134802734581516E-2</v>
      </c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</row>
    <row r="26" spans="2:25" ht="16.5" x14ac:dyDescent="0.3">
      <c r="B26" s="155" t="str">
        <f t="shared" ref="B26:B36" si="13">B10</f>
        <v>Residential - R1(i) (RPP)</v>
      </c>
      <c r="C26" s="156">
        <f t="shared" si="12"/>
        <v>750</v>
      </c>
      <c r="D26" s="156">
        <f t="shared" si="12"/>
        <v>0</v>
      </c>
      <c r="E26" s="149"/>
      <c r="F26" s="157">
        <f>Residential_R1RPP_750!H39</f>
        <v>122.18420418749999</v>
      </c>
      <c r="G26" s="157">
        <f>Residential_R1RPP_750!L39</f>
        <v>125.73007044909755</v>
      </c>
      <c r="H26" s="157">
        <f>G26-F26</f>
        <v>3.5458662615975669</v>
      </c>
      <c r="I26" s="158">
        <f>IF(ISBLANK(F26),"",H26/F26)</f>
        <v>2.9020660118685992E-2</v>
      </c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</row>
    <row r="27" spans="2:25" ht="16.5" x14ac:dyDescent="0.3">
      <c r="B27" s="155" t="str">
        <f t="shared" si="13"/>
        <v>Residential - R1(i) (Retailer)</v>
      </c>
      <c r="C27" s="156">
        <f t="shared" si="12"/>
        <v>750</v>
      </c>
      <c r="D27" s="156">
        <f t="shared" si="12"/>
        <v>0</v>
      </c>
      <c r="E27" s="149"/>
      <c r="F27" s="157">
        <f>Residential_R1RET_750!H38</f>
        <v>139.89876075000001</v>
      </c>
      <c r="G27" s="157">
        <f>Residential_R1RET_750!L38</f>
        <v>108.3660695115976</v>
      </c>
      <c r="H27" s="157">
        <f>G27-F27</f>
        <v>-31.532691238402407</v>
      </c>
      <c r="I27" s="158">
        <f>IF(ISBLANK(F27),"",H27/F27)</f>
        <v>-0.22539650150834095</v>
      </c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</row>
    <row r="28" spans="2:25" ht="16.5" x14ac:dyDescent="0.3">
      <c r="B28" s="155" t="str">
        <f t="shared" si="13"/>
        <v>Residential - R1(ii) (RPP)</v>
      </c>
      <c r="C28" s="156">
        <f t="shared" si="12"/>
        <v>2000</v>
      </c>
      <c r="D28" s="156">
        <f t="shared" si="12"/>
        <v>0</v>
      </c>
      <c r="E28" s="149"/>
      <c r="F28" s="157">
        <f>Residential_R1GSRPP_2000!H38</f>
        <v>323.9135445</v>
      </c>
      <c r="G28" s="157">
        <f>Residential_R1GSRPP_2000!L38</f>
        <v>334.65697650000004</v>
      </c>
      <c r="H28" s="157">
        <f>G28-F28</f>
        <v>10.743432000000041</v>
      </c>
      <c r="I28" s="158">
        <f>IF(ISBLANK(F28),"",H28/F28)</f>
        <v>3.3167591113189898E-2</v>
      </c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</row>
    <row r="29" spans="2:25" ht="16.5" x14ac:dyDescent="0.3">
      <c r="B29" s="155" t="str">
        <f t="shared" si="13"/>
        <v>Residential - R1(ii) (Retailer)</v>
      </c>
      <c r="C29" s="156">
        <f t="shared" si="12"/>
        <v>2000</v>
      </c>
      <c r="D29" s="156">
        <f t="shared" si="12"/>
        <v>0</v>
      </c>
      <c r="E29" s="149"/>
      <c r="F29" s="157">
        <f>Residential_R1GSRET_2000!H37</f>
        <v>371.15236199999998</v>
      </c>
      <c r="G29" s="157">
        <f>Residential_R1GSRET_2000!L37</f>
        <v>288.35297399999996</v>
      </c>
      <c r="H29" s="157">
        <f>G29-F29</f>
        <v>-82.799388000000022</v>
      </c>
      <c r="I29" s="158">
        <f>IF(ISBLANK(F29),"",H29/F29)</f>
        <v>-0.22308732606152734</v>
      </c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</row>
    <row r="30" spans="2:25" ht="16.5" x14ac:dyDescent="0.3">
      <c r="B30" s="155" t="str">
        <f t="shared" si="13"/>
        <v>Residential - R2 (non-RPP)</v>
      </c>
      <c r="C30" s="156">
        <f t="shared" si="12"/>
        <v>90000</v>
      </c>
      <c r="D30" s="161">
        <f t="shared" si="12"/>
        <v>225</v>
      </c>
      <c r="E30" s="149"/>
      <c r="F30" s="157">
        <f>'Residential - R2'!H34</f>
        <v>14479.590838542497</v>
      </c>
      <c r="G30" s="157">
        <f>'Residential - R2'!L34</f>
        <v>10271.208913299999</v>
      </c>
      <c r="H30" s="157">
        <f t="shared" ref="H30:H36" si="14">G30-F30</f>
        <v>-4208.3819252424983</v>
      </c>
      <c r="I30" s="158">
        <f t="shared" ref="I30:I36" si="15">IF(ISBLANK(F30),"",H30/F30)</f>
        <v>-0.29064232354138192</v>
      </c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</row>
    <row r="31" spans="2:25" ht="16.5" x14ac:dyDescent="0.3">
      <c r="B31" s="155" t="str">
        <f t="shared" si="13"/>
        <v>Residential - R2 (Class A)</v>
      </c>
      <c r="C31" s="156">
        <f t="shared" si="12"/>
        <v>2500000</v>
      </c>
      <c r="D31" s="161">
        <f t="shared" si="12"/>
        <v>5000</v>
      </c>
      <c r="E31" s="149"/>
      <c r="F31" s="174">
        <f>'Residential - R2 Large'!H34</f>
        <v>393880.9925564999</v>
      </c>
      <c r="G31" s="174">
        <f>'Residential - R2 Large'!L34</f>
        <v>399561.26294000004</v>
      </c>
      <c r="H31" s="157">
        <f t="shared" ref="H31" si="16">G31-F31</f>
        <v>5680.2703835001448</v>
      </c>
      <c r="I31" s="158">
        <f t="shared" ref="I31" si="17">IF(ISBLANK(F31),"",H31/F31)</f>
        <v>1.4421285847362497E-2</v>
      </c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</row>
    <row r="32" spans="2:25" ht="16.5" x14ac:dyDescent="0.3">
      <c r="B32" s="155" t="str">
        <f t="shared" si="13"/>
        <v>Seasonal (RPP)</v>
      </c>
      <c r="C32" s="173">
        <f t="shared" ref="C32:D35" si="18">C16</f>
        <v>50</v>
      </c>
      <c r="D32" s="156">
        <f t="shared" si="18"/>
        <v>0</v>
      </c>
      <c r="E32" s="149"/>
      <c r="F32" s="174">
        <f>Seasonal_RPP_10th_PCT!H38</f>
        <v>73.306513612499998</v>
      </c>
      <c r="G32" s="198">
        <f>Seasonal_RPP_10th_PCT!L38</f>
        <v>82.472799412499995</v>
      </c>
      <c r="H32" s="196">
        <f>G32-F32</f>
        <v>9.1662857999999972</v>
      </c>
      <c r="I32" s="197">
        <f>IF(ISBLANK(F32),"",H32/F32)</f>
        <v>0.12504053662206888</v>
      </c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</row>
    <row r="33" spans="2:24" ht="16.5" x14ac:dyDescent="0.3">
      <c r="B33" s="155" t="str">
        <f t="shared" si="13"/>
        <v>Seasonal (RPP)</v>
      </c>
      <c r="C33" s="173">
        <f t="shared" si="18"/>
        <v>153</v>
      </c>
      <c r="D33" s="156">
        <f t="shared" si="18"/>
        <v>0</v>
      </c>
      <c r="E33" s="149"/>
      <c r="F33" s="174">
        <f>Seasonal_RPP_AVG!H38</f>
        <v>104.12002165425</v>
      </c>
      <c r="G33" s="198">
        <f>Seasonal_RPP_AVG!L38</f>
        <v>112.57207620225</v>
      </c>
      <c r="H33" s="196">
        <f t="shared" ref="H33" si="19">G33-F33</f>
        <v>8.4520545480000067</v>
      </c>
      <c r="I33" s="197">
        <f t="shared" ref="I33" si="20">IF(ISBLANK(F33),"",H33/F33)</f>
        <v>8.1176073666855683E-2</v>
      </c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</row>
    <row r="34" spans="2:24" ht="16.5" x14ac:dyDescent="0.3">
      <c r="B34" s="155" t="str">
        <f t="shared" si="13"/>
        <v>Seasonal (RPP)</v>
      </c>
      <c r="C34" s="156">
        <f t="shared" si="18"/>
        <v>750</v>
      </c>
      <c r="D34" s="156">
        <f t="shared" si="18"/>
        <v>0</v>
      </c>
      <c r="E34" s="149"/>
      <c r="F34" s="157">
        <f>Seasonal_RPP_750!H38</f>
        <v>284.72263574999999</v>
      </c>
      <c r="G34" s="196">
        <f>Seasonal_RPP_750!L38</f>
        <v>288.84261524999999</v>
      </c>
      <c r="H34" s="196">
        <f t="shared" si="14"/>
        <v>4.1199794999999995</v>
      </c>
      <c r="I34" s="197">
        <f t="shared" si="15"/>
        <v>1.4470150886133048E-2</v>
      </c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</row>
    <row r="35" spans="2:24" ht="16.5" x14ac:dyDescent="0.3">
      <c r="B35" s="175" t="str">
        <f t="shared" si="13"/>
        <v>Seasonal (Retailer)</v>
      </c>
      <c r="C35" s="173">
        <f t="shared" si="18"/>
        <v>750</v>
      </c>
      <c r="D35" s="173">
        <f t="shared" si="18"/>
        <v>0</v>
      </c>
      <c r="E35" s="149"/>
      <c r="F35" s="174">
        <f>Seasonal_RET_750!H37</f>
        <v>298.42932918749995</v>
      </c>
      <c r="G35" s="198">
        <f>Seasonal_RET_750!L37</f>
        <v>181.15913051249998</v>
      </c>
      <c r="H35" s="196">
        <f t="shared" ref="H35" si="21">G35-F35</f>
        <v>-117.27019867499996</v>
      </c>
      <c r="I35" s="197">
        <f t="shared" ref="I35" si="22">IF(ISBLANK(F35),"",H35/F35)</f>
        <v>-0.39295802123162082</v>
      </c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</row>
    <row r="36" spans="2:24" ht="17.25" thickBot="1" x14ac:dyDescent="0.35">
      <c r="B36" s="163" t="str">
        <f t="shared" si="13"/>
        <v>Street Lighting (non-RPP)</v>
      </c>
      <c r="C36" s="164">
        <f t="shared" ref="C36" si="23">C20</f>
        <v>3307.9728564539728</v>
      </c>
      <c r="D36" s="176">
        <f t="shared" ref="D36" si="24">D20</f>
        <v>9.1944444444444446</v>
      </c>
      <c r="E36" s="165"/>
      <c r="F36" s="166">
        <f>'Street Lighting Non-RPP'!H35</f>
        <v>1740.4491985955692</v>
      </c>
      <c r="G36" s="166">
        <f>'Street Lighting Non-RPP'!L35</f>
        <v>1688.3776450809619</v>
      </c>
      <c r="H36" s="166">
        <f t="shared" si="14"/>
        <v>-52.071553514607331</v>
      </c>
      <c r="I36" s="168">
        <f t="shared" si="15"/>
        <v>-2.991845642873445E-2</v>
      </c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</sheetData>
  <mergeCells count="19">
    <mergeCell ref="S7:T7"/>
    <mergeCell ref="U7:V7"/>
    <mergeCell ref="W6:X6"/>
    <mergeCell ref="W7:X7"/>
    <mergeCell ref="O6:V6"/>
    <mergeCell ref="Q7:R7"/>
    <mergeCell ref="K6:K7"/>
    <mergeCell ref="O7:P7"/>
    <mergeCell ref="B22:B23"/>
    <mergeCell ref="F22:I22"/>
    <mergeCell ref="F23:F24"/>
    <mergeCell ref="G23:G24"/>
    <mergeCell ref="H23:I23"/>
    <mergeCell ref="B3:I5"/>
    <mergeCell ref="B6:B7"/>
    <mergeCell ref="F6:I6"/>
    <mergeCell ref="F7:F8"/>
    <mergeCell ref="G7:G8"/>
    <mergeCell ref="H7:I7"/>
  </mergeCells>
  <pageMargins left="0.7" right="0.7" top="0.75" bottom="0.75" header="0.3" footer="0.3"/>
  <pageSetup scale="73" orientation="landscape" verticalDpi="1200" r:id="rId1"/>
  <colBreaks count="2" manualBreakCount="2">
    <brk id="10" max="1048575" man="1"/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S44"/>
  <sheetViews>
    <sheetView showGridLines="0" zoomScaleNormal="100" workbookViewId="0">
      <selection activeCell="D6" sqref="D6:O6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65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5" t="s">
        <v>7</v>
      </c>
      <c r="G12" s="226"/>
      <c r="H12" s="227"/>
      <c r="J12" s="225" t="s">
        <v>8</v>
      </c>
      <c r="K12" s="226"/>
      <c r="L12" s="227"/>
      <c r="N12" s="225" t="s">
        <v>9</v>
      </c>
      <c r="O12" s="227"/>
    </row>
    <row r="13" spans="2:16" x14ac:dyDescent="0.25">
      <c r="B13" s="6"/>
      <c r="D13" s="217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9" t="s">
        <v>14</v>
      </c>
      <c r="O13" s="221" t="s">
        <v>15</v>
      </c>
    </row>
    <row r="14" spans="2:16" x14ac:dyDescent="0.25">
      <c r="B14" s="6"/>
      <c r="D14" s="218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20"/>
      <c r="O14" s="222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47.17</v>
      </c>
      <c r="K15" s="22">
        <v>1</v>
      </c>
      <c r="L15" s="20">
        <f>K15*J15</f>
        <v>47.17</v>
      </c>
      <c r="M15" s="21"/>
      <c r="N15" s="23">
        <f>L15-H15</f>
        <v>4.9400000000000048</v>
      </c>
      <c r="O15" s="24">
        <f>IF((H15)=0,"",(N15/H15))</f>
        <v>0.11697845133791156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750</v>
      </c>
      <c r="H16" s="20">
        <f t="shared" ref="H16:H19" si="0">G16*F16</f>
        <v>12.9</v>
      </c>
      <c r="I16" s="21"/>
      <c r="J16" s="140">
        <f>Rates!F7</f>
        <v>1.26E-2</v>
      </c>
      <c r="K16" s="19">
        <f>$F$10</f>
        <v>750</v>
      </c>
      <c r="L16" s="20">
        <f t="shared" ref="L16:L19" si="1">K16*J16</f>
        <v>9.4499999999999993</v>
      </c>
      <c r="M16" s="21"/>
      <c r="N16" s="23">
        <f t="shared" ref="N16:N20" si="2">L16-H16</f>
        <v>-3.4500000000000011</v>
      </c>
      <c r="O16" s="24">
        <f t="shared" ref="O16:O20" si="3">IF((H16)=0,"",(N16/H16))</f>
        <v>-0.26744186046511637</v>
      </c>
    </row>
    <row r="17" spans="2:19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-18.269999999999996</v>
      </c>
      <c r="I17" s="21"/>
      <c r="J17" s="140"/>
      <c r="K17" s="19">
        <v>1</v>
      </c>
      <c r="L17" s="20">
        <f>IF(L15+L16&gt;Rates!$F$5,-(L15+L16-Rates!$F$5),0)</f>
        <v>-19.324924512764213</v>
      </c>
      <c r="M17" s="21"/>
      <c r="N17" s="23">
        <f t="shared" si="2"/>
        <v>-1.0549245127642166</v>
      </c>
      <c r="O17" s="24">
        <f t="shared" si="3"/>
        <v>5.7740805296344656E-2</v>
      </c>
    </row>
    <row r="18" spans="2:19" x14ac:dyDescent="0.25">
      <c r="B18" s="16" t="s">
        <v>100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-0.13</v>
      </c>
      <c r="K18" s="19">
        <v>1</v>
      </c>
      <c r="L18" s="20">
        <f t="shared" si="1"/>
        <v>-0.13</v>
      </c>
      <c r="M18" s="21"/>
      <c r="N18" s="23">
        <f t="shared" si="2"/>
        <v>-0.13</v>
      </c>
      <c r="O18" s="24" t="str">
        <f t="shared" si="3"/>
        <v/>
      </c>
    </row>
    <row r="19" spans="2:19" x14ac:dyDescent="0.25">
      <c r="B19" s="134" t="s">
        <v>102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750</v>
      </c>
      <c r="H19" s="20">
        <f t="shared" si="0"/>
        <v>-1.425</v>
      </c>
      <c r="I19" s="21"/>
      <c r="J19" s="140">
        <f>Rates!F11</f>
        <v>8.0000000000000004E-4</v>
      </c>
      <c r="K19" s="19">
        <f t="shared" ref="K19" si="5">$F$10</f>
        <v>750</v>
      </c>
      <c r="L19" s="20">
        <f t="shared" si="1"/>
        <v>0.6</v>
      </c>
      <c r="M19" s="21"/>
      <c r="N19" s="23">
        <f t="shared" si="2"/>
        <v>2.0249999999999999</v>
      </c>
      <c r="O19" s="24">
        <f t="shared" si="3"/>
        <v>-1.4210526315789473</v>
      </c>
    </row>
    <row r="20" spans="2:19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35.435000000000002</v>
      </c>
      <c r="I20" s="31"/>
      <c r="J20" s="32"/>
      <c r="K20" s="33"/>
      <c r="L20" s="30">
        <f>SUM(L15:L19)</f>
        <v>37.765075487235791</v>
      </c>
      <c r="M20" s="31"/>
      <c r="N20" s="34">
        <f t="shared" si="2"/>
        <v>2.3300754872357885</v>
      </c>
      <c r="O20" s="35">
        <f t="shared" si="3"/>
        <v>6.5756328128567465E-2</v>
      </c>
    </row>
    <row r="21" spans="2:19" x14ac:dyDescent="0.25">
      <c r="B21" s="39" t="s">
        <v>21</v>
      </c>
      <c r="C21" s="16"/>
      <c r="D21" s="17" t="s">
        <v>55</v>
      </c>
      <c r="E21" s="18"/>
      <c r="F21" s="139">
        <f>Rates!D67</f>
        <v>8.2350000000000007E-2</v>
      </c>
      <c r="G21" s="41">
        <f>$F$10*(1+$F$42)-$F$10</f>
        <v>68.774999999999864</v>
      </c>
      <c r="H21" s="20">
        <f>G21*F21</f>
        <v>5.6636212499999896</v>
      </c>
      <c r="I21" s="21"/>
      <c r="J21" s="140">
        <f>Rates!F67</f>
        <v>8.2350000000000007E-2</v>
      </c>
      <c r="K21" s="41">
        <f>$F$10*(1+$J$42)-$F$10</f>
        <v>62.174999999999955</v>
      </c>
      <c r="L21" s="20">
        <f>K21*J21</f>
        <v>5.1201112499999963</v>
      </c>
      <c r="M21" s="21"/>
      <c r="N21" s="23">
        <f>L21-H21</f>
        <v>-0.54350999999999328</v>
      </c>
      <c r="O21" s="24">
        <f>IF((H21)=0,"",(N21/H21))</f>
        <v>-9.5965103598690371E-2</v>
      </c>
    </row>
    <row r="22" spans="2:19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3" si="6">$F$10</f>
        <v>750</v>
      </c>
      <c r="H22" s="20">
        <f t="shared" ref="H22" si="7">G22*F22</f>
        <v>-0.82500000000000007</v>
      </c>
      <c r="I22" s="37"/>
      <c r="J22" s="140">
        <f>Rates!F9</f>
        <v>-1E-3</v>
      </c>
      <c r="K22" s="19">
        <f t="shared" ref="K22:K23" si="8">$F$10</f>
        <v>750</v>
      </c>
      <c r="L22" s="20">
        <f t="shared" ref="L22" si="9">K22*J22</f>
        <v>-0.75</v>
      </c>
      <c r="M22" s="38"/>
      <c r="N22" s="23">
        <f t="shared" ref="N22" si="10">L22-H22</f>
        <v>7.5000000000000067E-2</v>
      </c>
      <c r="O22" s="24">
        <f t="shared" ref="O22" si="11">IF((H22)=0,"",(N22/H22))</f>
        <v>-9.0909090909090981E-2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750</v>
      </c>
      <c r="H23" s="20">
        <f>G23*F23</f>
        <v>0</v>
      </c>
      <c r="I23" s="21"/>
      <c r="J23" s="140"/>
      <c r="K23" s="19">
        <f t="shared" si="8"/>
        <v>750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139">
        <f>Rates!D16</f>
        <v>0.56999999999999995</v>
      </c>
      <c r="G24" s="19">
        <v>1</v>
      </c>
      <c r="H24" s="20">
        <f>G24*F24</f>
        <v>0.56999999999999995</v>
      </c>
      <c r="I24" s="21"/>
      <c r="J24" s="139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SUM(H21:H24)+H20</f>
        <v>40.843621249999991</v>
      </c>
      <c r="I25" s="31"/>
      <c r="J25" s="46"/>
      <c r="K25" s="48"/>
      <c r="L25" s="47">
        <f>SUM(L21:L24)+L20</f>
        <v>42.705186737235785</v>
      </c>
      <c r="M25" s="31"/>
      <c r="N25" s="34">
        <f t="shared" ref="N25:N39" si="12">L25-H25</f>
        <v>1.8615654872357936</v>
      </c>
      <c r="O25" s="35">
        <f t="shared" ref="O25:O39" si="13">IF((H25)=0,"",(N25/H25))</f>
        <v>4.5577875571838379E-2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F10*(1+F42)</f>
        <v>818.77499999999986</v>
      </c>
      <c r="H26" s="20">
        <f>G26*F26</f>
        <v>5.4039149999999987</v>
      </c>
      <c r="I26" s="21"/>
      <c r="J26" s="140">
        <f>Rates!F12</f>
        <v>7.9000000000000008E-3</v>
      </c>
      <c r="K26" s="52">
        <f>F10*(1+J42)</f>
        <v>812.17499999999995</v>
      </c>
      <c r="L26" s="20">
        <f>K26*J26</f>
        <v>6.4161825000000006</v>
      </c>
      <c r="M26" s="21"/>
      <c r="N26" s="23">
        <f t="shared" si="12"/>
        <v>1.0122675000000019</v>
      </c>
      <c r="O26" s="24">
        <f t="shared" si="13"/>
        <v>0.18732113662039504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818.77499999999986</v>
      </c>
      <c r="H27" s="20">
        <f>G27*F27</f>
        <v>4.9126499999999993</v>
      </c>
      <c r="I27" s="21"/>
      <c r="J27" s="140">
        <f>Rates!F13</f>
        <v>6.7000000000000002E-3</v>
      </c>
      <c r="K27" s="52">
        <f>K26</f>
        <v>812.17499999999995</v>
      </c>
      <c r="L27" s="20">
        <f>K27*J27</f>
        <v>5.4415724999999995</v>
      </c>
      <c r="M27" s="21"/>
      <c r="N27" s="23">
        <f t="shared" si="12"/>
        <v>0.52892250000000018</v>
      </c>
      <c r="O27" s="24">
        <f t="shared" si="13"/>
        <v>0.10766541479649482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51.160186249999988</v>
      </c>
      <c r="I28" s="55"/>
      <c r="J28" s="56"/>
      <c r="K28" s="57"/>
      <c r="L28" s="47">
        <f>SUM(L25:L27)</f>
        <v>54.562941737235782</v>
      </c>
      <c r="M28" s="55"/>
      <c r="N28" s="34">
        <f t="shared" si="12"/>
        <v>3.4027554872357939</v>
      </c>
      <c r="O28" s="35">
        <f t="shared" si="13"/>
        <v>6.651178849521476E-2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818.77499999999986</v>
      </c>
      <c r="H29" s="59">
        <f t="shared" ref="H29:H34" si="14">G29*F29</f>
        <v>2.7838349999999994</v>
      </c>
      <c r="I29" s="21"/>
      <c r="J29" s="141">
        <f>Rates!F14</f>
        <v>3.3999999999999998E-3</v>
      </c>
      <c r="K29" s="52">
        <f>K27</f>
        <v>812.17499999999995</v>
      </c>
      <c r="L29" s="59">
        <f t="shared" ref="L29:L34" si="15">K29*J29</f>
        <v>2.7613949999999998</v>
      </c>
      <c r="M29" s="21"/>
      <c r="N29" s="23">
        <f t="shared" si="12"/>
        <v>-2.2439999999999571E-2</v>
      </c>
      <c r="O29" s="60">
        <f t="shared" si="13"/>
        <v>-8.0608225703030448E-3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818.77499999999986</v>
      </c>
      <c r="H30" s="59">
        <f t="shared" si="14"/>
        <v>0.40938749999999996</v>
      </c>
      <c r="I30" s="21"/>
      <c r="J30" s="141">
        <f>Rates!F15</f>
        <v>5.0000000000000001E-4</v>
      </c>
      <c r="K30" s="52">
        <f>K27</f>
        <v>812.17499999999995</v>
      </c>
      <c r="L30" s="59">
        <f t="shared" si="15"/>
        <v>0.40608749999999999</v>
      </c>
      <c r="M30" s="21"/>
      <c r="N30" s="23">
        <f t="shared" si="12"/>
        <v>-3.2999999999999696E-3</v>
      </c>
      <c r="O30" s="60">
        <f t="shared" si="13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x14ac:dyDescent="0.25">
      <c r="B32" s="39" t="s">
        <v>30</v>
      </c>
      <c r="C32" s="16"/>
      <c r="D32" s="17" t="s">
        <v>55</v>
      </c>
      <c r="E32" s="18"/>
      <c r="F32" s="61">
        <f>Rates!D64</f>
        <v>6.5000000000000002E-2</v>
      </c>
      <c r="G32" s="62">
        <f>0.65*$F$10</f>
        <v>487.5</v>
      </c>
      <c r="H32" s="59">
        <f t="shared" si="14"/>
        <v>31.6875</v>
      </c>
      <c r="I32" s="21"/>
      <c r="J32" s="61">
        <f>Rates!F64</f>
        <v>6.5000000000000002E-2</v>
      </c>
      <c r="K32" s="62">
        <f>G32</f>
        <v>487.5</v>
      </c>
      <c r="L32" s="59">
        <f t="shared" si="15"/>
        <v>31.6875</v>
      </c>
      <c r="M32" s="21"/>
      <c r="N32" s="23">
        <f t="shared" si="12"/>
        <v>0</v>
      </c>
      <c r="O32" s="60">
        <f t="shared" si="13"/>
        <v>0</v>
      </c>
      <c r="S32" s="63"/>
    </row>
    <row r="33" spans="1:19" x14ac:dyDescent="0.25">
      <c r="B33" s="39" t="s">
        <v>31</v>
      </c>
      <c r="C33" s="16"/>
      <c r="D33" s="17" t="s">
        <v>55</v>
      </c>
      <c r="E33" s="18"/>
      <c r="F33" s="61">
        <f>Rates!D65</f>
        <v>9.4E-2</v>
      </c>
      <c r="G33" s="62">
        <f>0.17*$F$10</f>
        <v>127.50000000000001</v>
      </c>
      <c r="H33" s="59">
        <f t="shared" si="14"/>
        <v>11.985000000000001</v>
      </c>
      <c r="I33" s="21"/>
      <c r="J33" s="61">
        <f>Rates!F65</f>
        <v>9.4E-2</v>
      </c>
      <c r="K33" s="62">
        <f>G33</f>
        <v>127.50000000000001</v>
      </c>
      <c r="L33" s="59">
        <f t="shared" si="15"/>
        <v>11.985000000000001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" t="s">
        <v>32</v>
      </c>
      <c r="C34" s="16"/>
      <c r="D34" s="17" t="s">
        <v>55</v>
      </c>
      <c r="E34" s="18"/>
      <c r="F34" s="61">
        <f>Rates!D66</f>
        <v>0.13400000000000001</v>
      </c>
      <c r="G34" s="62">
        <f>0.18*$F$10</f>
        <v>135</v>
      </c>
      <c r="H34" s="59">
        <f t="shared" si="14"/>
        <v>18.09</v>
      </c>
      <c r="I34" s="21"/>
      <c r="J34" s="61">
        <f>Rates!F66</f>
        <v>0.13400000000000001</v>
      </c>
      <c r="K34" s="62">
        <f>G34</f>
        <v>135</v>
      </c>
      <c r="L34" s="59">
        <f t="shared" si="15"/>
        <v>18.09</v>
      </c>
      <c r="M34" s="21"/>
      <c r="N34" s="23">
        <f t="shared" si="12"/>
        <v>0</v>
      </c>
      <c r="O34" s="60">
        <f t="shared" si="13"/>
        <v>0</v>
      </c>
      <c r="S34" s="63"/>
    </row>
    <row r="35" spans="1:19" ht="15.75" thickBot="1" x14ac:dyDescent="0.3">
      <c r="B35" s="65"/>
      <c r="C35" s="66"/>
      <c r="D35" s="67"/>
      <c r="E35" s="66"/>
      <c r="F35" s="68"/>
      <c r="G35" s="69"/>
      <c r="H35" s="70"/>
      <c r="I35" s="71"/>
      <c r="J35" s="68"/>
      <c r="K35" s="72"/>
      <c r="L35" s="70"/>
      <c r="M35" s="71"/>
      <c r="N35" s="73"/>
      <c r="O35" s="74"/>
    </row>
    <row r="36" spans="1:19" x14ac:dyDescent="0.25">
      <c r="B36" s="75" t="s">
        <v>33</v>
      </c>
      <c r="C36" s="16"/>
      <c r="D36" s="16"/>
      <c r="E36" s="16"/>
      <c r="F36" s="76"/>
      <c r="G36" s="77"/>
      <c r="H36" s="78">
        <f>SUM(H29:H34,H28)</f>
        <v>116.36590874999999</v>
      </c>
      <c r="I36" s="79"/>
      <c r="J36" s="80"/>
      <c r="K36" s="80"/>
      <c r="L36" s="104">
        <f>SUM(L29:L34,L28)</f>
        <v>119.74292423723577</v>
      </c>
      <c r="M36" s="81"/>
      <c r="N36" s="82">
        <f t="shared" ref="N36" si="16">L36-H36</f>
        <v>3.3770154872357807</v>
      </c>
      <c r="O36" s="83">
        <f t="shared" ref="O36" si="17">IF((H36)=0,"",(N36/H36))</f>
        <v>2.9020660118686016E-2</v>
      </c>
      <c r="S36" s="63"/>
    </row>
    <row r="37" spans="1:19" x14ac:dyDescent="0.25">
      <c r="B37" s="84" t="s">
        <v>34</v>
      </c>
      <c r="C37" s="16"/>
      <c r="D37" s="16"/>
      <c r="E37" s="16"/>
      <c r="F37" s="85">
        <v>0.13</v>
      </c>
      <c r="G37" s="86"/>
      <c r="H37" s="87">
        <f>H36*F37</f>
        <v>15.127568137499999</v>
      </c>
      <c r="I37" s="88"/>
      <c r="J37" s="89">
        <v>0.13</v>
      </c>
      <c r="K37" s="88"/>
      <c r="L37" s="90">
        <f>L36*J37</f>
        <v>15.56658015084065</v>
      </c>
      <c r="M37" s="91"/>
      <c r="N37" s="92">
        <f t="shared" si="12"/>
        <v>0.43901201334065121</v>
      </c>
      <c r="O37" s="93">
        <f t="shared" si="13"/>
        <v>2.9020660118685995E-2</v>
      </c>
      <c r="S37" s="63"/>
    </row>
    <row r="38" spans="1:19" x14ac:dyDescent="0.25">
      <c r="B38" s="84" t="s">
        <v>84</v>
      </c>
      <c r="C38" s="16"/>
      <c r="D38" s="16"/>
      <c r="E38" s="16"/>
      <c r="F38" s="85">
        <v>0.08</v>
      </c>
      <c r="G38" s="86"/>
      <c r="H38" s="87">
        <f>H36*-F38</f>
        <v>-9.3092726999999993</v>
      </c>
      <c r="I38" s="88"/>
      <c r="J38" s="89">
        <f>F38</f>
        <v>0.08</v>
      </c>
      <c r="K38" s="88"/>
      <c r="L38" s="92">
        <f>L36*-J38</f>
        <v>-9.5794339389788625</v>
      </c>
      <c r="M38" s="91"/>
      <c r="N38" s="92">
        <f t="shared" si="12"/>
        <v>-0.27016123897886324</v>
      </c>
      <c r="O38" s="93">
        <f t="shared" si="13"/>
        <v>2.9020660118686099E-2</v>
      </c>
      <c r="S38" s="63"/>
    </row>
    <row r="39" spans="1:19" s="105" customFormat="1" ht="15.75" thickBot="1" x14ac:dyDescent="0.3">
      <c r="B39" s="94" t="s">
        <v>77</v>
      </c>
      <c r="C39" s="122"/>
      <c r="D39" s="122"/>
      <c r="E39" s="122"/>
      <c r="F39" s="127"/>
      <c r="G39" s="128"/>
      <c r="H39" s="129">
        <f>SUM(H36:H38)</f>
        <v>122.18420418749999</v>
      </c>
      <c r="I39" s="130"/>
      <c r="J39" s="130"/>
      <c r="K39" s="130"/>
      <c r="L39" s="136">
        <f>SUM(L36:L38)</f>
        <v>125.73007044909755</v>
      </c>
      <c r="M39" s="131"/>
      <c r="N39" s="132">
        <f t="shared" si="12"/>
        <v>3.5458662615975669</v>
      </c>
      <c r="O39" s="133">
        <f t="shared" si="13"/>
        <v>2.9020660118685992E-2</v>
      </c>
      <c r="S39" s="126"/>
    </row>
    <row r="40" spans="1:19" s="105" customFormat="1" ht="15.75" thickBot="1" x14ac:dyDescent="0.3">
      <c r="B40" s="65"/>
      <c r="C40" s="66"/>
      <c r="D40" s="67"/>
      <c r="E40" s="66"/>
      <c r="F40" s="68"/>
      <c r="G40" s="69"/>
      <c r="H40" s="70"/>
      <c r="I40" s="71"/>
      <c r="J40" s="68"/>
      <c r="K40" s="72"/>
      <c r="L40" s="70"/>
      <c r="M40" s="71"/>
      <c r="N40" s="73"/>
      <c r="O40" s="74"/>
      <c r="S40" s="126"/>
    </row>
    <row r="41" spans="1:19" x14ac:dyDescent="0.25">
      <c r="L41" s="63"/>
    </row>
    <row r="42" spans="1:19" x14ac:dyDescent="0.25">
      <c r="B42" s="7" t="s">
        <v>35</v>
      </c>
      <c r="F42" s="102">
        <f>Rates!D61</f>
        <v>9.1700000000000004E-2</v>
      </c>
      <c r="J42" s="102">
        <f>Rates!F61</f>
        <v>8.2899999999999974E-2</v>
      </c>
    </row>
    <row r="44" spans="1:19" x14ac:dyDescent="0.25">
      <c r="A44" s="103"/>
      <c r="B44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300-000000000000}">
      <formula1>"TOU, non-TOU"</formula1>
    </dataValidation>
    <dataValidation type="list" allowBlank="1" showInputMessage="1" showErrorMessage="1" sqref="E26:E27 E40 E15:E19 E29:E35 E21:E24" xr:uid="{00000000-0002-0000-0300-000001000000}">
      <formula1>#REF!</formula1>
    </dataValidation>
    <dataValidation type="list" allowBlank="1" showInputMessage="1" showErrorMessage="1" prompt="Select Charge Unit - monthly, per kWh, per kW" sqref="D26:D27 D40 D15:D19 D29:D35 D21:D24" xr:uid="{00000000-0002-0000-0300-000002000000}">
      <formula1>"Monthly, per kWh, per kW"</formula1>
    </dataValidation>
  </dataValidations>
  <pageMargins left="0.7" right="0.7" top="0.75" bottom="0.75" header="0.3" footer="0.3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S43"/>
  <sheetViews>
    <sheetView showGridLines="0" zoomScaleNormal="100" workbookViewId="0">
      <selection activeCell="B33" sqref="B33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105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750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5" t="s">
        <v>7</v>
      </c>
      <c r="G12" s="226"/>
      <c r="H12" s="227"/>
      <c r="J12" s="225" t="s">
        <v>8</v>
      </c>
      <c r="K12" s="226"/>
      <c r="L12" s="227"/>
      <c r="N12" s="225" t="s">
        <v>9</v>
      </c>
      <c r="O12" s="227"/>
    </row>
    <row r="13" spans="2:16" x14ac:dyDescent="0.25">
      <c r="B13" s="6"/>
      <c r="D13" s="217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9" t="s">
        <v>14</v>
      </c>
      <c r="O13" s="221" t="s">
        <v>15</v>
      </c>
    </row>
    <row r="14" spans="2:16" x14ac:dyDescent="0.25">
      <c r="B14" s="6"/>
      <c r="D14" s="218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20"/>
      <c r="O14" s="222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47.17</v>
      </c>
      <c r="K15" s="22">
        <v>1</v>
      </c>
      <c r="L15" s="20">
        <f>K15*J15</f>
        <v>47.17</v>
      </c>
      <c r="M15" s="21"/>
      <c r="N15" s="23">
        <f>L15-H15</f>
        <v>4.9400000000000048</v>
      </c>
      <c r="O15" s="24">
        <f>IF((H15)=0,"",(N15/H15))</f>
        <v>0.11697845133791156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750</v>
      </c>
      <c r="H16" s="20">
        <f t="shared" ref="H16:H19" si="0">G16*F16</f>
        <v>12.9</v>
      </c>
      <c r="I16" s="21"/>
      <c r="J16" s="140">
        <f>Rates!F7</f>
        <v>1.26E-2</v>
      </c>
      <c r="K16" s="19">
        <f>$F$10</f>
        <v>750</v>
      </c>
      <c r="L16" s="20">
        <f t="shared" ref="L16:L19" si="1">K16*J16</f>
        <v>9.4499999999999993</v>
      </c>
      <c r="M16" s="21"/>
      <c r="N16" s="23">
        <f t="shared" ref="N16:N20" si="2">L16-H16</f>
        <v>-3.4500000000000011</v>
      </c>
      <c r="O16" s="24">
        <f t="shared" ref="O16:O20" si="3">IF((H16)=0,"",(N16/H16))</f>
        <v>-0.26744186046511637</v>
      </c>
    </row>
    <row r="17" spans="2:15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-18.269999999999996</v>
      </c>
      <c r="I17" s="21"/>
      <c r="J17" s="140"/>
      <c r="K17" s="19">
        <v>1</v>
      </c>
      <c r="L17" s="20">
        <f>IF(L15+L16&gt;Rates!$F$5,-(L15+L16-Rates!$F$5),0)</f>
        <v>-19.324924512764213</v>
      </c>
      <c r="M17" s="21"/>
      <c r="N17" s="23">
        <f t="shared" si="2"/>
        <v>-1.0549245127642166</v>
      </c>
      <c r="O17" s="24">
        <f t="shared" si="3"/>
        <v>5.7740805296344656E-2</v>
      </c>
    </row>
    <row r="18" spans="2:15" x14ac:dyDescent="0.25">
      <c r="B18" s="16" t="s">
        <v>100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-0.13</v>
      </c>
      <c r="K18" s="19">
        <v>1</v>
      </c>
      <c r="L18" s="20">
        <f t="shared" si="1"/>
        <v>-0.13</v>
      </c>
      <c r="M18" s="21"/>
      <c r="N18" s="23">
        <f t="shared" si="2"/>
        <v>-0.13</v>
      </c>
      <c r="O18" s="24" t="str">
        <f t="shared" si="3"/>
        <v/>
      </c>
    </row>
    <row r="19" spans="2:15" x14ac:dyDescent="0.25">
      <c r="B19" s="134" t="s">
        <v>102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750</v>
      </c>
      <c r="H19" s="20">
        <f t="shared" si="0"/>
        <v>-1.425</v>
      </c>
      <c r="I19" s="21"/>
      <c r="J19" s="140">
        <f>Rates!F11</f>
        <v>8.0000000000000004E-4</v>
      </c>
      <c r="K19" s="19">
        <f t="shared" ref="K19" si="5">$F$10</f>
        <v>750</v>
      </c>
      <c r="L19" s="20">
        <f t="shared" si="1"/>
        <v>0.6</v>
      </c>
      <c r="M19" s="21"/>
      <c r="N19" s="23">
        <f t="shared" si="2"/>
        <v>2.0249999999999999</v>
      </c>
      <c r="O19" s="24">
        <f t="shared" si="3"/>
        <v>-1.4210526315789473</v>
      </c>
    </row>
    <row r="20" spans="2:15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35.435000000000002</v>
      </c>
      <c r="I20" s="31"/>
      <c r="J20" s="32"/>
      <c r="K20" s="33"/>
      <c r="L20" s="30">
        <f>SUM(L15:L19)</f>
        <v>37.765075487235791</v>
      </c>
      <c r="M20" s="31"/>
      <c r="N20" s="34">
        <f t="shared" si="2"/>
        <v>2.3300754872357885</v>
      </c>
      <c r="O20" s="35">
        <f t="shared" si="3"/>
        <v>6.5756328128567465E-2</v>
      </c>
    </row>
    <row r="21" spans="2:15" x14ac:dyDescent="0.25">
      <c r="B21" s="39" t="s">
        <v>21</v>
      </c>
      <c r="C21" s="16"/>
      <c r="D21" s="17" t="s">
        <v>55</v>
      </c>
      <c r="E21" s="18"/>
      <c r="F21" s="40">
        <f>Rates!D69</f>
        <v>0.1101</v>
      </c>
      <c r="G21" s="41">
        <f>$F$10*(1+$F$41)-$F$10</f>
        <v>68.774999999999864</v>
      </c>
      <c r="H21" s="20">
        <f>G21*F21</f>
        <v>7.5721274999999855</v>
      </c>
      <c r="I21" s="21"/>
      <c r="J21" s="140">
        <f>Rates!F69</f>
        <v>0.1101</v>
      </c>
      <c r="K21" s="41">
        <f>$F$10*(1+$J$41)-$F$10</f>
        <v>62.174999999999955</v>
      </c>
      <c r="L21" s="20">
        <f>K21*J21</f>
        <v>6.8454674999999954</v>
      </c>
      <c r="M21" s="21"/>
      <c r="N21" s="23">
        <f>L21-H21</f>
        <v>-0.72665999999999009</v>
      </c>
      <c r="O21" s="24">
        <f>IF((H21)=0,"",(N21/H21))</f>
        <v>-9.596510359869026E-2</v>
      </c>
    </row>
    <row r="22" spans="2:15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4" si="6">$F$10</f>
        <v>750</v>
      </c>
      <c r="H22" s="20">
        <f t="shared" ref="H22:H23" si="7">G22*F22</f>
        <v>-0.82500000000000007</v>
      </c>
      <c r="I22" s="37"/>
      <c r="J22" s="140">
        <f>Rates!F9</f>
        <v>-1E-3</v>
      </c>
      <c r="K22" s="19">
        <f t="shared" ref="K22:K24" si="8">$F$10</f>
        <v>750</v>
      </c>
      <c r="L22" s="20">
        <f t="shared" ref="L22:L23" si="9">K22*J22</f>
        <v>-0.75</v>
      </c>
      <c r="M22" s="38"/>
      <c r="N22" s="23">
        <f t="shared" ref="N22" si="10">L22-H22</f>
        <v>7.5000000000000067E-2</v>
      </c>
      <c r="O22" s="24">
        <f t="shared" ref="O22" si="11">IF((H22)=0,"",(N22/H22))</f>
        <v>-9.0909090909090981E-2</v>
      </c>
    </row>
    <row r="23" spans="2:15" x14ac:dyDescent="0.25">
      <c r="B23" s="135" t="str">
        <f>Rates!A10</f>
        <v>GA Rate Riders</v>
      </c>
      <c r="C23" s="16"/>
      <c r="D23" s="17" t="s">
        <v>55</v>
      </c>
      <c r="E23" s="18"/>
      <c r="F23" s="140">
        <f>Rates!D10</f>
        <v>-7.7999999999999996E-3</v>
      </c>
      <c r="G23" s="19">
        <f t="shared" si="6"/>
        <v>750</v>
      </c>
      <c r="H23" s="20">
        <f t="shared" si="7"/>
        <v>-5.85</v>
      </c>
      <c r="I23" s="138"/>
      <c r="J23" s="140">
        <f>Rates!F10</f>
        <v>-5.21E-2</v>
      </c>
      <c r="K23" s="19">
        <f t="shared" si="8"/>
        <v>750</v>
      </c>
      <c r="L23" s="20">
        <f t="shared" si="9"/>
        <v>-39.075000000000003</v>
      </c>
      <c r="M23" s="138"/>
      <c r="N23" s="23">
        <f t="shared" ref="N23" si="12">L23-H23</f>
        <v>-33.225000000000001</v>
      </c>
      <c r="O23" s="24">
        <f t="shared" ref="O23" si="13">IF((H23)=0,"",(N23/H23))</f>
        <v>5.6794871794871797</v>
      </c>
    </row>
    <row r="24" spans="2:15" x14ac:dyDescent="0.25">
      <c r="B24" s="39" t="s">
        <v>20</v>
      </c>
      <c r="C24" s="16"/>
      <c r="D24" s="17"/>
      <c r="E24" s="18"/>
      <c r="F24" s="139"/>
      <c r="G24" s="19">
        <f t="shared" si="6"/>
        <v>750</v>
      </c>
      <c r="H24" s="20">
        <f>G24*F24</f>
        <v>0</v>
      </c>
      <c r="I24" s="21"/>
      <c r="J24" s="140"/>
      <c r="K24" s="19">
        <f t="shared" si="8"/>
        <v>750</v>
      </c>
      <c r="L24" s="20">
        <f>K24*J24</f>
        <v>0</v>
      </c>
      <c r="M24" s="21"/>
      <c r="N24" s="23">
        <f>L24-H24</f>
        <v>0</v>
      </c>
      <c r="O24" s="24" t="str">
        <f>IF((H24)=0,"",(N24/H24))</f>
        <v/>
      </c>
    </row>
    <row r="25" spans="2:15" x14ac:dyDescent="0.25">
      <c r="B25" s="39" t="s">
        <v>22</v>
      </c>
      <c r="C25" s="16"/>
      <c r="D25" s="17" t="s">
        <v>54</v>
      </c>
      <c r="E25" s="18"/>
      <c r="F25" s="40">
        <f>Rates!D16</f>
        <v>0.56999999999999995</v>
      </c>
      <c r="G25" s="19">
        <v>1</v>
      </c>
      <c r="H25" s="20">
        <f>G25*F25</f>
        <v>0.56999999999999995</v>
      </c>
      <c r="I25" s="21"/>
      <c r="J25" s="40">
        <f>Rates!F16</f>
        <v>0.56999999999999995</v>
      </c>
      <c r="K25" s="19">
        <v>1</v>
      </c>
      <c r="L25" s="20">
        <f>K25*J25</f>
        <v>0.56999999999999995</v>
      </c>
      <c r="M25" s="21"/>
      <c r="N25" s="23">
        <f>L25-H25</f>
        <v>0</v>
      </c>
      <c r="O25" s="24"/>
    </row>
    <row r="26" spans="2:15" ht="25.5" x14ac:dyDescent="0.25">
      <c r="B26" s="43" t="s">
        <v>23</v>
      </c>
      <c r="C26" s="44"/>
      <c r="D26" s="44"/>
      <c r="E26" s="44"/>
      <c r="F26" s="45"/>
      <c r="G26" s="46"/>
      <c r="H26" s="47">
        <f>SUM(H21:H25)+H20</f>
        <v>36.902127499999985</v>
      </c>
      <c r="I26" s="31"/>
      <c r="J26" s="46"/>
      <c r="K26" s="48"/>
      <c r="L26" s="47">
        <f>SUM(L21:L25)+L20</f>
        <v>5.3555429872357863</v>
      </c>
      <c r="M26" s="31"/>
      <c r="N26" s="34">
        <f t="shared" ref="N26:N38" si="14">L26-H26</f>
        <v>-31.546584512764198</v>
      </c>
      <c r="O26" s="35">
        <f t="shared" ref="O26:O38" si="15">IF((H26)=0,"",(N26/H26))</f>
        <v>-0.85487170117127287</v>
      </c>
    </row>
    <row r="27" spans="2:15" x14ac:dyDescent="0.25">
      <c r="B27" s="21" t="s">
        <v>24</v>
      </c>
      <c r="C27" s="21"/>
      <c r="D27" s="49" t="s">
        <v>55</v>
      </c>
      <c r="E27" s="50"/>
      <c r="F27" s="140">
        <f>Rates!D12</f>
        <v>6.6E-3</v>
      </c>
      <c r="G27" s="51">
        <f>F10*(1+F41)</f>
        <v>818.77499999999986</v>
      </c>
      <c r="H27" s="20">
        <f>G27*F27</f>
        <v>5.4039149999999987</v>
      </c>
      <c r="I27" s="21"/>
      <c r="J27" s="140">
        <f>Rates!F12</f>
        <v>7.9000000000000008E-3</v>
      </c>
      <c r="K27" s="52">
        <f>F10*(1+J41)</f>
        <v>812.17499999999995</v>
      </c>
      <c r="L27" s="20">
        <f>K27*J27</f>
        <v>6.4161825000000006</v>
      </c>
      <c r="M27" s="21"/>
      <c r="N27" s="23">
        <f t="shared" si="14"/>
        <v>1.0122675000000019</v>
      </c>
      <c r="O27" s="24">
        <f t="shared" si="15"/>
        <v>0.18732113662039504</v>
      </c>
    </row>
    <row r="28" spans="2:15" x14ac:dyDescent="0.25">
      <c r="B28" s="53" t="s">
        <v>25</v>
      </c>
      <c r="C28" s="21"/>
      <c r="D28" s="49" t="s">
        <v>55</v>
      </c>
      <c r="E28" s="50"/>
      <c r="F28" s="140">
        <f>Rates!D13</f>
        <v>6.0000000000000001E-3</v>
      </c>
      <c r="G28" s="51">
        <f>G27</f>
        <v>818.77499999999986</v>
      </c>
      <c r="H28" s="20">
        <f>G28*F28</f>
        <v>4.9126499999999993</v>
      </c>
      <c r="I28" s="21"/>
      <c r="J28" s="140">
        <f>Rates!F13</f>
        <v>6.7000000000000002E-3</v>
      </c>
      <c r="K28" s="52">
        <f>K27</f>
        <v>812.17499999999995</v>
      </c>
      <c r="L28" s="20">
        <f>K28*J28</f>
        <v>5.4415724999999995</v>
      </c>
      <c r="M28" s="21"/>
      <c r="N28" s="23">
        <f t="shared" si="14"/>
        <v>0.52892250000000018</v>
      </c>
      <c r="O28" s="24">
        <f t="shared" si="15"/>
        <v>0.10766541479649482</v>
      </c>
    </row>
    <row r="29" spans="2:15" ht="25.5" x14ac:dyDescent="0.25">
      <c r="B29" s="43" t="s">
        <v>26</v>
      </c>
      <c r="C29" s="26"/>
      <c r="D29" s="26"/>
      <c r="E29" s="26"/>
      <c r="F29" s="54"/>
      <c r="G29" s="46"/>
      <c r="H29" s="47">
        <f>SUM(H26:H28)</f>
        <v>47.218692499999982</v>
      </c>
      <c r="I29" s="55"/>
      <c r="J29" s="56"/>
      <c r="K29" s="57"/>
      <c r="L29" s="47">
        <f>SUM(L26:L28)</f>
        <v>17.213297987235787</v>
      </c>
      <c r="M29" s="55"/>
      <c r="N29" s="34">
        <f t="shared" si="14"/>
        <v>-30.005394512764195</v>
      </c>
      <c r="O29" s="35">
        <f t="shared" si="15"/>
        <v>-0.63545585284396022</v>
      </c>
    </row>
    <row r="30" spans="2:15" x14ac:dyDescent="0.25">
      <c r="B30" s="58" t="s">
        <v>27</v>
      </c>
      <c r="C30" s="16"/>
      <c r="D30" s="49" t="s">
        <v>55</v>
      </c>
      <c r="E30" s="18"/>
      <c r="F30" s="141">
        <f>Rates!D14</f>
        <v>3.3999999999999998E-3</v>
      </c>
      <c r="G30" s="51">
        <f>G28</f>
        <v>818.77499999999986</v>
      </c>
      <c r="H30" s="59">
        <f t="shared" ref="H30:H33" si="16">G30*F30</f>
        <v>2.7838349999999994</v>
      </c>
      <c r="I30" s="21"/>
      <c r="J30" s="141">
        <f>Rates!F14</f>
        <v>3.3999999999999998E-3</v>
      </c>
      <c r="K30" s="52">
        <f>K28</f>
        <v>812.17499999999995</v>
      </c>
      <c r="L30" s="59">
        <f t="shared" ref="L30:L33" si="17">K30*J30</f>
        <v>2.7613949999999998</v>
      </c>
      <c r="M30" s="21"/>
      <c r="N30" s="23">
        <f t="shared" si="14"/>
        <v>-2.2439999999999571E-2</v>
      </c>
      <c r="O30" s="60">
        <f t="shared" si="15"/>
        <v>-8.0608225703030448E-3</v>
      </c>
    </row>
    <row r="31" spans="2:15" x14ac:dyDescent="0.25">
      <c r="B31" s="58" t="s">
        <v>28</v>
      </c>
      <c r="C31" s="16"/>
      <c r="D31" s="49" t="s">
        <v>55</v>
      </c>
      <c r="E31" s="18"/>
      <c r="F31" s="141">
        <f>Rates!D15</f>
        <v>5.0000000000000001E-4</v>
      </c>
      <c r="G31" s="51">
        <f>G28</f>
        <v>818.77499999999986</v>
      </c>
      <c r="H31" s="59">
        <f t="shared" si="16"/>
        <v>0.40938749999999996</v>
      </c>
      <c r="I31" s="21"/>
      <c r="J31" s="141">
        <f>Rates!F15</f>
        <v>5.0000000000000001E-4</v>
      </c>
      <c r="K31" s="52">
        <f>K28</f>
        <v>812.17499999999995</v>
      </c>
      <c r="L31" s="59">
        <f t="shared" si="17"/>
        <v>0.40608749999999999</v>
      </c>
      <c r="M31" s="21"/>
      <c r="N31" s="23">
        <f t="shared" si="14"/>
        <v>-3.2999999999999696E-3</v>
      </c>
      <c r="O31" s="60">
        <f t="shared" si="15"/>
        <v>-8.0608225703031229E-3</v>
      </c>
    </row>
    <row r="32" spans="2:15" x14ac:dyDescent="0.25">
      <c r="B32" s="16" t="s">
        <v>29</v>
      </c>
      <c r="C32" s="16"/>
      <c r="D32" s="17" t="s">
        <v>54</v>
      </c>
      <c r="E32" s="18"/>
      <c r="F32" s="61">
        <f>Rates!D17</f>
        <v>0.25</v>
      </c>
      <c r="G32" s="19">
        <v>1</v>
      </c>
      <c r="H32" s="59">
        <f t="shared" si="16"/>
        <v>0.25</v>
      </c>
      <c r="I32" s="21"/>
      <c r="J32" s="141">
        <f>Rates!F17</f>
        <v>0.25</v>
      </c>
      <c r="K32" s="22">
        <v>1</v>
      </c>
      <c r="L32" s="59">
        <f t="shared" si="17"/>
        <v>0.25</v>
      </c>
      <c r="M32" s="21"/>
      <c r="N32" s="23">
        <f t="shared" si="14"/>
        <v>0</v>
      </c>
      <c r="O32" s="60">
        <f t="shared" si="15"/>
        <v>0</v>
      </c>
    </row>
    <row r="33" spans="1:19" ht="15.75" thickBot="1" x14ac:dyDescent="0.3">
      <c r="B33" s="39" t="s">
        <v>107</v>
      </c>
      <c r="C33" s="16"/>
      <c r="D33" s="17" t="s">
        <v>55</v>
      </c>
      <c r="E33" s="18"/>
      <c r="F33" s="61">
        <f>Rates!D69</f>
        <v>0.1101</v>
      </c>
      <c r="G33" s="62">
        <f>$F$10</f>
        <v>750</v>
      </c>
      <c r="H33" s="59">
        <f t="shared" si="16"/>
        <v>82.575000000000003</v>
      </c>
      <c r="I33" s="21"/>
      <c r="J33" s="61">
        <f>Rates!F69</f>
        <v>0.1101</v>
      </c>
      <c r="K33" s="62">
        <f>G33</f>
        <v>750</v>
      </c>
      <c r="L33" s="59">
        <f t="shared" si="17"/>
        <v>82.575000000000003</v>
      </c>
      <c r="M33" s="21"/>
      <c r="N33" s="23">
        <f t="shared" si="14"/>
        <v>0</v>
      </c>
      <c r="O33" s="60">
        <f t="shared" si="15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SUM(H30:H33,H29)</f>
        <v>133.23691499999998</v>
      </c>
      <c r="I35" s="79"/>
      <c r="J35" s="80"/>
      <c r="K35" s="80"/>
      <c r="L35" s="104">
        <f>SUM(L30:L33,L29)</f>
        <v>103.2057804872358</v>
      </c>
      <c r="M35" s="81"/>
      <c r="N35" s="82">
        <f t="shared" ref="N35" si="18">L35-H35</f>
        <v>-30.031134512764183</v>
      </c>
      <c r="O35" s="83">
        <f t="shared" ref="O35" si="19">IF((H35)=0,"",(N35/H35))</f>
        <v>-0.2253965015083409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17.320798949999997</v>
      </c>
      <c r="I36" s="88"/>
      <c r="J36" s="89">
        <v>0.13</v>
      </c>
      <c r="K36" s="88"/>
      <c r="L36" s="90">
        <f>L35*J36</f>
        <v>13.416751463340654</v>
      </c>
      <c r="M36" s="91"/>
      <c r="N36" s="92">
        <f t="shared" si="14"/>
        <v>-3.9040474866593424</v>
      </c>
      <c r="O36" s="93">
        <f t="shared" si="15"/>
        <v>-0.22539650150834081</v>
      </c>
      <c r="S36" s="63"/>
    </row>
    <row r="37" spans="1:19" x14ac:dyDescent="0.25">
      <c r="B37" s="84" t="s">
        <v>84</v>
      </c>
      <c r="C37" s="16"/>
      <c r="D37" s="16"/>
      <c r="E37" s="16"/>
      <c r="F37" s="85">
        <v>0.08</v>
      </c>
      <c r="G37" s="86"/>
      <c r="H37" s="87">
        <f>H35*-F37</f>
        <v>-10.658953199999999</v>
      </c>
      <c r="I37" s="88"/>
      <c r="J37" s="89">
        <f>F37</f>
        <v>0.08</v>
      </c>
      <c r="K37" s="88"/>
      <c r="L37" s="92">
        <f>L35*-J37</f>
        <v>-8.2564624389788648</v>
      </c>
      <c r="M37" s="91"/>
      <c r="N37" s="92">
        <f t="shared" si="14"/>
        <v>2.4024907610211343</v>
      </c>
      <c r="O37" s="93">
        <f t="shared" si="15"/>
        <v>-0.22539650150834084</v>
      </c>
      <c r="S37" s="63"/>
    </row>
    <row r="38" spans="1:19" s="105" customFormat="1" ht="15.75" thickBot="1" x14ac:dyDescent="0.3">
      <c r="B38" s="94" t="s">
        <v>77</v>
      </c>
      <c r="C38" s="122"/>
      <c r="D38" s="122"/>
      <c r="E38" s="122"/>
      <c r="F38" s="127"/>
      <c r="G38" s="128"/>
      <c r="H38" s="129">
        <f>SUM(H35:H37)</f>
        <v>139.89876075000001</v>
      </c>
      <c r="I38" s="130"/>
      <c r="J38" s="130"/>
      <c r="K38" s="130"/>
      <c r="L38" s="136">
        <f>SUM(L35:L37)</f>
        <v>108.3660695115976</v>
      </c>
      <c r="M38" s="131"/>
      <c r="N38" s="132">
        <f t="shared" si="14"/>
        <v>-31.532691238402407</v>
      </c>
      <c r="O38" s="133">
        <f t="shared" si="15"/>
        <v>-0.22539650150834095</v>
      </c>
      <c r="S38" s="126"/>
    </row>
    <row r="39" spans="1:19" s="105" customFormat="1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126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7:D28 D39 D15:D19 D21:D25 D30:D34" xr:uid="{00000000-0002-0000-0400-000000000000}">
      <formula1>"Monthly, per kWh, per kW"</formula1>
    </dataValidation>
    <dataValidation type="list" allowBlank="1" showInputMessage="1" showErrorMessage="1" sqref="E27:E28 E39 E15:E19 E21:E25 E30:E34" xr:uid="{00000000-0002-0000-0400-000001000000}">
      <formula1>#REF!</formula1>
    </dataValidation>
    <dataValidation type="list" allowBlank="1" showInputMessage="1" showErrorMessage="1" sqref="D8" xr:uid="{00000000-0002-0000-04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S44"/>
  <sheetViews>
    <sheetView showGridLines="0" zoomScaleNormal="100" workbookViewId="0">
      <selection activeCell="J31" sqref="J31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65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269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5" t="s">
        <v>7</v>
      </c>
      <c r="G12" s="226"/>
      <c r="H12" s="227"/>
      <c r="J12" s="225" t="s">
        <v>8</v>
      </c>
      <c r="K12" s="226"/>
      <c r="L12" s="227"/>
      <c r="N12" s="225" t="s">
        <v>9</v>
      </c>
      <c r="O12" s="227"/>
    </row>
    <row r="13" spans="2:16" x14ac:dyDescent="0.25">
      <c r="B13" s="6"/>
      <c r="D13" s="217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9" t="s">
        <v>14</v>
      </c>
      <c r="O13" s="221" t="s">
        <v>15</v>
      </c>
    </row>
    <row r="14" spans="2:16" x14ac:dyDescent="0.25">
      <c r="B14" s="6"/>
      <c r="D14" s="218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20"/>
      <c r="O14" s="222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Rates!D3</f>
        <v>42.23</v>
      </c>
      <c r="G15" s="19">
        <v>1</v>
      </c>
      <c r="H15" s="20">
        <f>G15*F15</f>
        <v>42.23</v>
      </c>
      <c r="I15" s="21"/>
      <c r="J15" s="140">
        <f>Rates!F3</f>
        <v>47.17</v>
      </c>
      <c r="K15" s="22">
        <v>1</v>
      </c>
      <c r="L15" s="20">
        <f>K15*J15</f>
        <v>47.17</v>
      </c>
      <c r="M15" s="21"/>
      <c r="N15" s="23">
        <f>L15-H15</f>
        <v>4.9400000000000048</v>
      </c>
      <c r="O15" s="24">
        <f>IF((H15)=0,"",(N15/H15))</f>
        <v>0.11697845133791156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Rates!D7</f>
        <v>1.72E-2</v>
      </c>
      <c r="G16" s="19">
        <f>$F$10</f>
        <v>269</v>
      </c>
      <c r="H16" s="20">
        <f t="shared" ref="H16:H19" si="0">G16*F16</f>
        <v>4.6268000000000002</v>
      </c>
      <c r="I16" s="21"/>
      <c r="J16" s="140">
        <f>Rates!F7</f>
        <v>1.26E-2</v>
      </c>
      <c r="K16" s="19">
        <f>$F$10</f>
        <v>269</v>
      </c>
      <c r="L16" s="20">
        <f t="shared" ref="L16:L19" si="1">K16*J16</f>
        <v>3.3894000000000002</v>
      </c>
      <c r="M16" s="21"/>
      <c r="N16" s="23">
        <f t="shared" ref="N16:N20" si="2">L16-H16</f>
        <v>-1.2374000000000001</v>
      </c>
      <c r="O16" s="24">
        <f t="shared" ref="O16:O20" si="3">IF((H16)=0,"",(N16/H16))</f>
        <v>-0.26744186046511625</v>
      </c>
    </row>
    <row r="17" spans="2:19" x14ac:dyDescent="0.25">
      <c r="B17" s="16" t="str">
        <f>Rates!A5</f>
        <v>DRP Adjustment</v>
      </c>
      <c r="C17" s="16"/>
      <c r="D17" s="17" t="s">
        <v>54</v>
      </c>
      <c r="E17" s="18"/>
      <c r="F17" s="139"/>
      <c r="G17" s="19">
        <v>1</v>
      </c>
      <c r="H17" s="20">
        <f>IF(H15+H16&gt;Rates!$D$5,-(H15+H16-Rates!$D$5),0)</f>
        <v>-9.9968000000000004</v>
      </c>
      <c r="I17" s="21"/>
      <c r="J17" s="140"/>
      <c r="K17" s="19">
        <v>1</v>
      </c>
      <c r="L17" s="20">
        <f>IF(L15+L16&gt;Rates!$F$5,-(L15+L16-Rates!$F$5),0)</f>
        <v>-13.264324512764212</v>
      </c>
      <c r="M17" s="21"/>
      <c r="N17" s="23">
        <f t="shared" si="2"/>
        <v>-3.2675245127642114</v>
      </c>
      <c r="O17" s="24">
        <f t="shared" si="3"/>
        <v>0.32685704553099104</v>
      </c>
    </row>
    <row r="18" spans="2:19" x14ac:dyDescent="0.25">
      <c r="B18" s="16" t="s">
        <v>100</v>
      </c>
      <c r="C18" s="16"/>
      <c r="D18" s="17" t="s">
        <v>54</v>
      </c>
      <c r="E18" s="18"/>
      <c r="F18" s="139">
        <f>Rates!D6</f>
        <v>0</v>
      </c>
      <c r="G18" s="19">
        <v>1</v>
      </c>
      <c r="H18" s="20">
        <f t="shared" si="0"/>
        <v>0</v>
      </c>
      <c r="I18" s="21"/>
      <c r="J18" s="140">
        <f>Rates!F6</f>
        <v>-0.13</v>
      </c>
      <c r="K18" s="19">
        <v>1</v>
      </c>
      <c r="L18" s="20">
        <f t="shared" si="1"/>
        <v>-0.13</v>
      </c>
      <c r="M18" s="21"/>
      <c r="N18" s="23">
        <f t="shared" si="2"/>
        <v>-0.13</v>
      </c>
      <c r="O18" s="24" t="str">
        <f t="shared" si="3"/>
        <v/>
      </c>
    </row>
    <row r="19" spans="2:19" x14ac:dyDescent="0.25">
      <c r="B19" s="134" t="s">
        <v>102</v>
      </c>
      <c r="C19" s="16"/>
      <c r="D19" s="49" t="s">
        <v>55</v>
      </c>
      <c r="E19" s="18"/>
      <c r="F19" s="140">
        <f>Rates!D11</f>
        <v>-1.9E-3</v>
      </c>
      <c r="G19" s="19">
        <f t="shared" ref="G19" si="4">$F$10</f>
        <v>269</v>
      </c>
      <c r="H19" s="20">
        <f t="shared" si="0"/>
        <v>-0.5111</v>
      </c>
      <c r="I19" s="21"/>
      <c r="J19" s="140">
        <f>Rates!F11</f>
        <v>8.0000000000000004E-4</v>
      </c>
      <c r="K19" s="19">
        <f t="shared" ref="K19" si="5">$F$10</f>
        <v>269</v>
      </c>
      <c r="L19" s="20">
        <f t="shared" si="1"/>
        <v>0.2152</v>
      </c>
      <c r="M19" s="21"/>
      <c r="N19" s="23">
        <f t="shared" si="2"/>
        <v>0.72629999999999995</v>
      </c>
      <c r="O19" s="24">
        <f t="shared" si="3"/>
        <v>-1.4210526315789473</v>
      </c>
    </row>
    <row r="20" spans="2:19" s="36" customFormat="1" x14ac:dyDescent="0.25">
      <c r="B20" s="25" t="s">
        <v>19</v>
      </c>
      <c r="C20" s="26"/>
      <c r="D20" s="27"/>
      <c r="E20" s="26"/>
      <c r="F20" s="28"/>
      <c r="G20" s="29"/>
      <c r="H20" s="30">
        <f>SUM(H15:H19)</f>
        <v>36.3489</v>
      </c>
      <c r="I20" s="31"/>
      <c r="J20" s="32"/>
      <c r="K20" s="33"/>
      <c r="L20" s="30">
        <f>SUM(L15:L19)</f>
        <v>37.380275487235792</v>
      </c>
      <c r="M20" s="31"/>
      <c r="N20" s="34">
        <f t="shared" si="2"/>
        <v>1.0313754872357919</v>
      </c>
      <c r="O20" s="35">
        <f t="shared" si="3"/>
        <v>2.8374324594026005E-2</v>
      </c>
    </row>
    <row r="21" spans="2:19" x14ac:dyDescent="0.25">
      <c r="B21" s="39" t="s">
        <v>21</v>
      </c>
      <c r="C21" s="16"/>
      <c r="D21" s="17" t="s">
        <v>55</v>
      </c>
      <c r="E21" s="18"/>
      <c r="F21" s="40">
        <f>Rates!D67</f>
        <v>8.2350000000000007E-2</v>
      </c>
      <c r="G21" s="41">
        <f>$F$10*(1+$F$42)-$F$10</f>
        <v>24.667299999999955</v>
      </c>
      <c r="H21" s="20">
        <f>G21*F21</f>
        <v>2.0313521549999964</v>
      </c>
      <c r="I21" s="21"/>
      <c r="J21" s="42">
        <f>Rates!F67</f>
        <v>8.2350000000000007E-2</v>
      </c>
      <c r="K21" s="41">
        <f>$F$10*(1+$J$42)-$F$10</f>
        <v>22.300099999999986</v>
      </c>
      <c r="L21" s="20">
        <f>K21*J21</f>
        <v>1.8364132349999991</v>
      </c>
      <c r="M21" s="21"/>
      <c r="N21" s="23">
        <f>L21-H21</f>
        <v>-0.19493891999999735</v>
      </c>
      <c r="O21" s="24">
        <f>IF((H21)=0,"",(N21/H21))</f>
        <v>-9.5965103598690246E-2</v>
      </c>
    </row>
    <row r="22" spans="2:19" x14ac:dyDescent="0.25">
      <c r="B22" s="135" t="str">
        <f>Rates!A9</f>
        <v>Total Deferral/Variance Account Rate Riders (Group 1, excl GA)</v>
      </c>
      <c r="C22" s="16"/>
      <c r="D22" s="17" t="s">
        <v>55</v>
      </c>
      <c r="E22" s="18"/>
      <c r="F22" s="140">
        <f>Rates!D9</f>
        <v>-1.1000000000000001E-3</v>
      </c>
      <c r="G22" s="19">
        <f t="shared" ref="G22:G23" si="6">$F$10</f>
        <v>269</v>
      </c>
      <c r="H22" s="20">
        <f t="shared" ref="H22" si="7">G22*F22</f>
        <v>-0.2959</v>
      </c>
      <c r="I22" s="37"/>
      <c r="J22" s="140">
        <f>Rates!F9</f>
        <v>-1E-3</v>
      </c>
      <c r="K22" s="19">
        <f t="shared" ref="K22:K23" si="8">$F$10</f>
        <v>269</v>
      </c>
      <c r="L22" s="20">
        <f t="shared" ref="L22" si="9">K22*J22</f>
        <v>-0.26900000000000002</v>
      </c>
      <c r="M22" s="38"/>
      <c r="N22" s="23">
        <f t="shared" ref="N22" si="10">L22-H22</f>
        <v>2.6899999999999979E-2</v>
      </c>
      <c r="O22" s="24">
        <f t="shared" ref="O22" si="11">IF((H22)=0,"",(N22/H22))</f>
        <v>-9.0909090909090842E-2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269</v>
      </c>
      <c r="H23" s="20">
        <f>G23*F23</f>
        <v>0</v>
      </c>
      <c r="I23" s="21"/>
      <c r="J23" s="140"/>
      <c r="K23" s="19">
        <f t="shared" si="8"/>
        <v>269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Rates!D16</f>
        <v>0.56999999999999995</v>
      </c>
      <c r="G24" s="19">
        <v>1</v>
      </c>
      <c r="H24" s="20">
        <f>G24*F24</f>
        <v>0.56999999999999995</v>
      </c>
      <c r="I24" s="21"/>
      <c r="J24" s="40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SUM(H21:H24)+H20</f>
        <v>38.654352154999998</v>
      </c>
      <c r="I25" s="31"/>
      <c r="J25" s="46"/>
      <c r="K25" s="48"/>
      <c r="L25" s="47">
        <f>SUM(L21:L24)+L20</f>
        <v>39.517688722235789</v>
      </c>
      <c r="M25" s="31"/>
      <c r="N25" s="34">
        <f t="shared" ref="N25:N39" si="12">L25-H25</f>
        <v>0.86333656723579111</v>
      </c>
      <c r="O25" s="35">
        <f t="shared" ref="O25:O39" si="13">IF((H25)=0,"",(N25/H25))</f>
        <v>2.2334782996075053E-2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F10*(1+F42)</f>
        <v>293.66729999999995</v>
      </c>
      <c r="H26" s="20">
        <f>G26*F26</f>
        <v>1.9382041799999996</v>
      </c>
      <c r="I26" s="21"/>
      <c r="J26" s="140">
        <f>Rates!F12</f>
        <v>7.9000000000000008E-3</v>
      </c>
      <c r="K26" s="52">
        <f>F10*(1+J42)</f>
        <v>291.30009999999999</v>
      </c>
      <c r="L26" s="20">
        <f>K26*J26</f>
        <v>2.3012707900000002</v>
      </c>
      <c r="M26" s="21"/>
      <c r="N26" s="23">
        <f t="shared" si="12"/>
        <v>0.36306661000000062</v>
      </c>
      <c r="O26" s="24">
        <f t="shared" si="13"/>
        <v>0.18732113662039501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293.66729999999995</v>
      </c>
      <c r="H27" s="20">
        <f>G27*F27</f>
        <v>1.7620037999999998</v>
      </c>
      <c r="I27" s="21"/>
      <c r="J27" s="140">
        <f>Rates!F13</f>
        <v>6.7000000000000002E-3</v>
      </c>
      <c r="K27" s="52">
        <f>K26</f>
        <v>291.30009999999999</v>
      </c>
      <c r="L27" s="20">
        <f>K27*J27</f>
        <v>1.95171067</v>
      </c>
      <c r="M27" s="21"/>
      <c r="N27" s="23">
        <f t="shared" si="12"/>
        <v>0.18970687000000019</v>
      </c>
      <c r="O27" s="24">
        <f t="shared" si="13"/>
        <v>0.10766541479649488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42.354560135</v>
      </c>
      <c r="I28" s="55"/>
      <c r="J28" s="56"/>
      <c r="K28" s="57"/>
      <c r="L28" s="47">
        <f>SUM(L25:L27)</f>
        <v>43.77067018223579</v>
      </c>
      <c r="M28" s="55"/>
      <c r="N28" s="34">
        <f t="shared" si="12"/>
        <v>1.4161100472357901</v>
      </c>
      <c r="O28" s="35">
        <f t="shared" si="13"/>
        <v>3.3434653617511592E-2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293.66729999999995</v>
      </c>
      <c r="H29" s="59">
        <f t="shared" ref="H29:H34" si="14">G29*F29</f>
        <v>0.99846881999999981</v>
      </c>
      <c r="I29" s="21"/>
      <c r="J29" s="141">
        <f>Rates!F14</f>
        <v>3.3999999999999998E-3</v>
      </c>
      <c r="K29" s="52">
        <f>K27</f>
        <v>291.30009999999999</v>
      </c>
      <c r="L29" s="59">
        <f t="shared" ref="L29:L34" si="15">K29*J29</f>
        <v>0.9904203399999999</v>
      </c>
      <c r="M29" s="21"/>
      <c r="N29" s="23">
        <f t="shared" si="12"/>
        <v>-8.0484799999999135E-3</v>
      </c>
      <c r="O29" s="60">
        <f t="shared" si="13"/>
        <v>-8.0608225703031125E-3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293.66729999999995</v>
      </c>
      <c r="H30" s="59">
        <f t="shared" si="14"/>
        <v>0.14683364999999998</v>
      </c>
      <c r="I30" s="21"/>
      <c r="J30" s="141">
        <f>Rates!F15</f>
        <v>5.0000000000000001E-4</v>
      </c>
      <c r="K30" s="52">
        <f>K27</f>
        <v>291.30009999999999</v>
      </c>
      <c r="L30" s="59">
        <f t="shared" si="15"/>
        <v>0.14565005</v>
      </c>
      <c r="M30" s="21"/>
      <c r="N30" s="23">
        <f t="shared" si="12"/>
        <v>-1.1835999999999791E-3</v>
      </c>
      <c r="O30" s="60">
        <f t="shared" si="13"/>
        <v>-8.0608225703030553E-3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x14ac:dyDescent="0.25">
      <c r="B32" s="39" t="s">
        <v>30</v>
      </c>
      <c r="C32" s="16"/>
      <c r="D32" s="17" t="s">
        <v>55</v>
      </c>
      <c r="E32" s="18"/>
      <c r="F32" s="61">
        <f>Rates!D64</f>
        <v>6.5000000000000002E-2</v>
      </c>
      <c r="G32" s="62">
        <f>0.65*$F$10</f>
        <v>174.85</v>
      </c>
      <c r="H32" s="59">
        <f t="shared" si="14"/>
        <v>11.36525</v>
      </c>
      <c r="I32" s="21"/>
      <c r="J32" s="61">
        <f>Rates!F64</f>
        <v>6.5000000000000002E-2</v>
      </c>
      <c r="K32" s="62">
        <f>G32</f>
        <v>174.85</v>
      </c>
      <c r="L32" s="59">
        <f t="shared" si="15"/>
        <v>11.36525</v>
      </c>
      <c r="M32" s="21"/>
      <c r="N32" s="23">
        <f t="shared" si="12"/>
        <v>0</v>
      </c>
      <c r="O32" s="60">
        <f t="shared" si="13"/>
        <v>0</v>
      </c>
      <c r="S32" s="63"/>
    </row>
    <row r="33" spans="1:19" x14ac:dyDescent="0.25">
      <c r="B33" s="39" t="s">
        <v>31</v>
      </c>
      <c r="C33" s="16"/>
      <c r="D33" s="17" t="s">
        <v>55</v>
      </c>
      <c r="E33" s="18"/>
      <c r="F33" s="61">
        <f>Rates!D65</f>
        <v>9.4E-2</v>
      </c>
      <c r="G33" s="62">
        <f>0.17*$F$10</f>
        <v>45.730000000000004</v>
      </c>
      <c r="H33" s="59">
        <f t="shared" si="14"/>
        <v>4.2986200000000006</v>
      </c>
      <c r="I33" s="21"/>
      <c r="J33" s="61">
        <f>Rates!F65</f>
        <v>9.4E-2</v>
      </c>
      <c r="K33" s="62">
        <f>G33</f>
        <v>45.730000000000004</v>
      </c>
      <c r="L33" s="59">
        <f t="shared" si="15"/>
        <v>4.2986200000000006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" t="s">
        <v>32</v>
      </c>
      <c r="C34" s="16"/>
      <c r="D34" s="17" t="s">
        <v>55</v>
      </c>
      <c r="E34" s="18"/>
      <c r="F34" s="61">
        <f>Rates!D66</f>
        <v>0.13400000000000001</v>
      </c>
      <c r="G34" s="62">
        <f>0.18*$F$10</f>
        <v>48.42</v>
      </c>
      <c r="H34" s="59">
        <f t="shared" si="14"/>
        <v>6.4882800000000005</v>
      </c>
      <c r="I34" s="21"/>
      <c r="J34" s="61">
        <f>Rates!F66</f>
        <v>0.13400000000000001</v>
      </c>
      <c r="K34" s="62">
        <f>G34</f>
        <v>48.42</v>
      </c>
      <c r="L34" s="59">
        <f t="shared" si="15"/>
        <v>6.4882800000000005</v>
      </c>
      <c r="M34" s="21"/>
      <c r="N34" s="23">
        <f t="shared" si="12"/>
        <v>0</v>
      </c>
      <c r="O34" s="60">
        <f t="shared" si="13"/>
        <v>0</v>
      </c>
      <c r="S34" s="63"/>
    </row>
    <row r="35" spans="1:19" ht="15.75" thickBot="1" x14ac:dyDescent="0.3">
      <c r="B35" s="65"/>
      <c r="C35" s="66"/>
      <c r="D35" s="67"/>
      <c r="E35" s="66"/>
      <c r="F35" s="68"/>
      <c r="G35" s="69"/>
      <c r="H35" s="70"/>
      <c r="I35" s="71"/>
      <c r="J35" s="68"/>
      <c r="K35" s="72"/>
      <c r="L35" s="70"/>
      <c r="M35" s="71"/>
      <c r="N35" s="73"/>
      <c r="O35" s="74"/>
    </row>
    <row r="36" spans="1:19" x14ac:dyDescent="0.25">
      <c r="B36" s="75" t="s">
        <v>33</v>
      </c>
      <c r="C36" s="16"/>
      <c r="D36" s="16"/>
      <c r="E36" s="16"/>
      <c r="F36" s="76"/>
      <c r="G36" s="77"/>
      <c r="H36" s="78">
        <f>SUM(H29:H34,H28)</f>
        <v>65.902012604999996</v>
      </c>
      <c r="I36" s="79"/>
      <c r="J36" s="80"/>
      <c r="K36" s="80"/>
      <c r="L36" s="104">
        <f>SUM(L29:L34,L28)</f>
        <v>67.308890572235782</v>
      </c>
      <c r="M36" s="81"/>
      <c r="N36" s="82">
        <f t="shared" ref="N36" si="16">L36-H36</f>
        <v>1.4068779672357863</v>
      </c>
      <c r="O36" s="83">
        <f t="shared" ref="O36" si="17">IF((H36)=0,"",(N36/H36))</f>
        <v>2.1348027345815025E-2</v>
      </c>
      <c r="S36" s="63"/>
    </row>
    <row r="37" spans="1:19" x14ac:dyDescent="0.25">
      <c r="B37" s="84" t="s">
        <v>34</v>
      </c>
      <c r="C37" s="16"/>
      <c r="D37" s="16"/>
      <c r="E37" s="16"/>
      <c r="F37" s="85">
        <v>0.13</v>
      </c>
      <c r="G37" s="86"/>
      <c r="H37" s="87">
        <f>H36*F37</f>
        <v>8.5672616386499989</v>
      </c>
      <c r="I37" s="88"/>
      <c r="J37" s="89">
        <v>0.13</v>
      </c>
      <c r="K37" s="88"/>
      <c r="L37" s="90">
        <f>L36*J37</f>
        <v>8.7501557743906524</v>
      </c>
      <c r="M37" s="91"/>
      <c r="N37" s="92">
        <f t="shared" si="12"/>
        <v>0.1828941357406535</v>
      </c>
      <c r="O37" s="93">
        <f t="shared" si="13"/>
        <v>2.1348027345815174E-2</v>
      </c>
      <c r="S37" s="63"/>
    </row>
    <row r="38" spans="1:19" x14ac:dyDescent="0.25">
      <c r="B38" s="84" t="s">
        <v>84</v>
      </c>
      <c r="C38" s="16"/>
      <c r="D38" s="16"/>
      <c r="E38" s="16"/>
      <c r="F38" s="85">
        <v>0.08</v>
      </c>
      <c r="G38" s="86"/>
      <c r="H38" s="87">
        <f>H36*-F38</f>
        <v>-5.2721610083999995</v>
      </c>
      <c r="I38" s="88"/>
      <c r="J38" s="89">
        <f>F38</f>
        <v>0.08</v>
      </c>
      <c r="K38" s="88"/>
      <c r="L38" s="92">
        <f>L36*-J38</f>
        <v>-5.3847112457788624</v>
      </c>
      <c r="M38" s="91"/>
      <c r="N38" s="92">
        <f t="shared" si="12"/>
        <v>-0.11255023737886294</v>
      </c>
      <c r="O38" s="93">
        <f t="shared" si="13"/>
        <v>2.1348027345815031E-2</v>
      </c>
      <c r="S38" s="63"/>
    </row>
    <row r="39" spans="1:19" s="105" customFormat="1" ht="15.75" thickBot="1" x14ac:dyDescent="0.3">
      <c r="B39" s="94" t="s">
        <v>77</v>
      </c>
      <c r="C39" s="122"/>
      <c r="D39" s="122"/>
      <c r="E39" s="122"/>
      <c r="F39" s="127"/>
      <c r="G39" s="128"/>
      <c r="H39" s="129">
        <f>SUM(H36:H38)</f>
        <v>69.197113235249986</v>
      </c>
      <c r="I39" s="130"/>
      <c r="J39" s="130"/>
      <c r="K39" s="130"/>
      <c r="L39" s="136">
        <f>SUM(L36:L38)</f>
        <v>70.674335100847571</v>
      </c>
      <c r="M39" s="131"/>
      <c r="N39" s="132">
        <f t="shared" si="12"/>
        <v>1.4772218655975848</v>
      </c>
      <c r="O39" s="133">
        <f t="shared" si="13"/>
        <v>2.134802734581516E-2</v>
      </c>
      <c r="S39" s="126"/>
    </row>
    <row r="40" spans="1:19" s="105" customFormat="1" ht="15.75" thickBot="1" x14ac:dyDescent="0.3">
      <c r="B40" s="65"/>
      <c r="C40" s="66"/>
      <c r="D40" s="67"/>
      <c r="E40" s="66"/>
      <c r="F40" s="68"/>
      <c r="G40" s="69"/>
      <c r="H40" s="70"/>
      <c r="I40" s="71"/>
      <c r="J40" s="68"/>
      <c r="K40" s="72"/>
      <c r="L40" s="70"/>
      <c r="M40" s="71"/>
      <c r="N40" s="73"/>
      <c r="O40" s="74"/>
      <c r="S40" s="126"/>
    </row>
    <row r="41" spans="1:19" x14ac:dyDescent="0.25">
      <c r="L41" s="63"/>
    </row>
    <row r="42" spans="1:19" x14ac:dyDescent="0.25">
      <c r="B42" s="7" t="s">
        <v>35</v>
      </c>
      <c r="F42" s="102">
        <f>Rates!D61</f>
        <v>9.1700000000000004E-2</v>
      </c>
      <c r="J42" s="102">
        <f>Rates!F61</f>
        <v>8.2899999999999974E-2</v>
      </c>
    </row>
    <row r="44" spans="1:19" x14ac:dyDescent="0.25">
      <c r="A44" s="103"/>
      <c r="B44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6:D27 D40 D15:D19 D29:D35 D21:D24" xr:uid="{00000000-0002-0000-0500-000000000000}">
      <formula1>"Monthly, per kWh, per kW"</formula1>
    </dataValidation>
    <dataValidation type="list" allowBlank="1" showInputMessage="1" showErrorMessage="1" sqref="E26:E27 E40 E15:E19 E29:E35 E21:E24" xr:uid="{00000000-0002-0000-0500-000001000000}">
      <formula1>#REF!</formula1>
    </dataValidation>
    <dataValidation type="list" allowBlank="1" showInputMessage="1" showErrorMessage="1" sqref="D8" xr:uid="{00000000-0002-0000-05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S43"/>
  <sheetViews>
    <sheetView showGridLines="0" zoomScaleNormal="100" workbookViewId="0">
      <selection activeCell="Q37" sqref="Q37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108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4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5" t="s">
        <v>7</v>
      </c>
      <c r="G12" s="226"/>
      <c r="H12" s="227"/>
      <c r="J12" s="225" t="s">
        <v>8</v>
      </c>
      <c r="K12" s="226"/>
      <c r="L12" s="227"/>
      <c r="N12" s="225" t="s">
        <v>9</v>
      </c>
      <c r="O12" s="227"/>
    </row>
    <row r="13" spans="2:16" x14ac:dyDescent="0.25">
      <c r="B13" s="6"/>
      <c r="D13" s="217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9" t="s">
        <v>14</v>
      </c>
      <c r="O13" s="221" t="s">
        <v>15</v>
      </c>
    </row>
    <row r="14" spans="2:16" x14ac:dyDescent="0.25">
      <c r="B14" s="6"/>
      <c r="D14" s="218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20"/>
      <c r="O14" s="222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Rates!D4</f>
        <v>25.64</v>
      </c>
      <c r="G15" s="19">
        <v>1</v>
      </c>
      <c r="H15" s="20">
        <f>G15*F15</f>
        <v>25.64</v>
      </c>
      <c r="I15" s="21"/>
      <c r="J15" s="140">
        <f>Rates!F4</f>
        <v>26.21</v>
      </c>
      <c r="K15" s="22">
        <v>1</v>
      </c>
      <c r="L15" s="20">
        <f>K15*J15</f>
        <v>26.21</v>
      </c>
      <c r="M15" s="21"/>
      <c r="N15" s="23">
        <f>L15-H15</f>
        <v>0.57000000000000028</v>
      </c>
      <c r="O15" s="24">
        <f>IF((H15)=0,"",(N15/H15))</f>
        <v>2.2230889235569432E-2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Rates!D8</f>
        <v>3.61E-2</v>
      </c>
      <c r="G16" s="19">
        <f>$F$10</f>
        <v>2000</v>
      </c>
      <c r="H16" s="20">
        <f t="shared" ref="H16:H18" si="0">G16*F16</f>
        <v>72.2</v>
      </c>
      <c r="I16" s="21"/>
      <c r="J16" s="140">
        <f>Rates!F8</f>
        <v>3.6900000000000002E-2</v>
      </c>
      <c r="K16" s="19">
        <f>$F$10</f>
        <v>2000</v>
      </c>
      <c r="L16" s="20">
        <f t="shared" ref="L16:L18" si="1">K16*J16</f>
        <v>73.800000000000011</v>
      </c>
      <c r="M16" s="21"/>
      <c r="N16" s="23">
        <f t="shared" ref="N16:N19" si="2">L16-H16</f>
        <v>1.6000000000000085</v>
      </c>
      <c r="O16" s="24">
        <f t="shared" ref="O16:O19" si="3">IF((H16)=0,"",(N16/H16))</f>
        <v>2.2160664819944716E-2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Rates!D6</f>
        <v>0</v>
      </c>
      <c r="G17" s="19">
        <v>1</v>
      </c>
      <c r="H17" s="20">
        <f t="shared" si="0"/>
        <v>0</v>
      </c>
      <c r="I17" s="21"/>
      <c r="J17" s="140">
        <f>Rates!F6</f>
        <v>-0.13</v>
      </c>
      <c r="K17" s="19">
        <v>1</v>
      </c>
      <c r="L17" s="20">
        <f t="shared" si="1"/>
        <v>-0.13</v>
      </c>
      <c r="M17" s="21"/>
      <c r="N17" s="23">
        <f t="shared" si="2"/>
        <v>-0.13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Rates!D11</f>
        <v>-1.9E-3</v>
      </c>
      <c r="G18" s="19">
        <f t="shared" ref="G18" si="4">$F$10</f>
        <v>2000</v>
      </c>
      <c r="H18" s="20">
        <f t="shared" si="0"/>
        <v>-3.8</v>
      </c>
      <c r="I18" s="21"/>
      <c r="J18" s="140">
        <f>Rates!F11</f>
        <v>8.0000000000000004E-4</v>
      </c>
      <c r="K18" s="19">
        <f t="shared" ref="K18" si="5">$F$10</f>
        <v>2000</v>
      </c>
      <c r="L18" s="20">
        <f t="shared" si="1"/>
        <v>1.6</v>
      </c>
      <c r="M18" s="21"/>
      <c r="N18" s="23">
        <f t="shared" si="2"/>
        <v>5.4</v>
      </c>
      <c r="O18" s="24">
        <f t="shared" si="3"/>
        <v>-1.4210526315789476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94.04</v>
      </c>
      <c r="I19" s="31"/>
      <c r="J19" s="32"/>
      <c r="K19" s="33"/>
      <c r="L19" s="30">
        <f>SUM(L15:L18)</f>
        <v>101.48000000000002</v>
      </c>
      <c r="M19" s="31"/>
      <c r="N19" s="34">
        <f t="shared" si="2"/>
        <v>7.4400000000000119</v>
      </c>
      <c r="O19" s="35">
        <f t="shared" si="3"/>
        <v>7.9115270097830828E-2</v>
      </c>
    </row>
    <row r="20" spans="2:19" x14ac:dyDescent="0.25">
      <c r="B20" s="39" t="s">
        <v>21</v>
      </c>
      <c r="C20" s="16"/>
      <c r="D20" s="17" t="s">
        <v>55</v>
      </c>
      <c r="E20" s="18"/>
      <c r="F20" s="40">
        <f>Rates!D67</f>
        <v>8.2350000000000007E-2</v>
      </c>
      <c r="G20" s="41">
        <f>$F$10*(1+$F$41)-$F$10</f>
        <v>183.39999999999964</v>
      </c>
      <c r="H20" s="20">
        <f>G20*F20</f>
        <v>15.102989999999972</v>
      </c>
      <c r="I20" s="21"/>
      <c r="J20" s="42">
        <f>Rates!F67</f>
        <v>8.2350000000000007E-2</v>
      </c>
      <c r="K20" s="41">
        <f>$F$10*(1+$J$41)-$F$10</f>
        <v>165.79999999999973</v>
      </c>
      <c r="L20" s="20">
        <f>K20*J20</f>
        <v>13.653629999999978</v>
      </c>
      <c r="M20" s="21"/>
      <c r="N20" s="23">
        <f>L20-H20</f>
        <v>-1.4493599999999933</v>
      </c>
      <c r="O20" s="24">
        <f>IF((H20)=0,"",(N20/H20))</f>
        <v>-9.5965103598691121E-2</v>
      </c>
    </row>
    <row r="21" spans="2:19" x14ac:dyDescent="0.25">
      <c r="B21" s="135" t="str">
        <f>Rates!A9</f>
        <v>Total Deferral/Variance Account Rate Riders (Group 1, excl GA)</v>
      </c>
      <c r="C21" s="16"/>
      <c r="D21" s="17" t="s">
        <v>55</v>
      </c>
      <c r="E21" s="18"/>
      <c r="F21" s="140">
        <f>Rates!D9</f>
        <v>-1.1000000000000001E-3</v>
      </c>
      <c r="G21" s="19">
        <f t="shared" ref="G21:G22" si="6">$F$10</f>
        <v>2000</v>
      </c>
      <c r="H21" s="20">
        <f t="shared" ref="H21" si="7">G21*F21</f>
        <v>-2.2000000000000002</v>
      </c>
      <c r="I21" s="37"/>
      <c r="J21" s="140">
        <f>Rates!F9</f>
        <v>-1E-3</v>
      </c>
      <c r="K21" s="19">
        <f t="shared" ref="K21:K22" si="8">$F$10</f>
        <v>2000</v>
      </c>
      <c r="L21" s="20">
        <f t="shared" ref="L21" si="9">K21*J21</f>
        <v>-2</v>
      </c>
      <c r="M21" s="38"/>
      <c r="N21" s="23">
        <f t="shared" ref="N21" si="10">L21-H21</f>
        <v>0.20000000000000018</v>
      </c>
      <c r="O21" s="24">
        <f t="shared" ref="O21" si="11">IF((H21)=0,"",(N21/H21))</f>
        <v>-9.0909090909090981E-2</v>
      </c>
    </row>
    <row r="22" spans="2:19" x14ac:dyDescent="0.25">
      <c r="B22" s="39" t="s">
        <v>20</v>
      </c>
      <c r="C22" s="16"/>
      <c r="D22" s="17"/>
      <c r="E22" s="18"/>
      <c r="F22" s="139"/>
      <c r="G22" s="19">
        <f t="shared" si="6"/>
        <v>2000</v>
      </c>
      <c r="H22" s="20">
        <f>G22*F22</f>
        <v>0</v>
      </c>
      <c r="I22" s="21"/>
      <c r="J22" s="140"/>
      <c r="K22" s="19">
        <f t="shared" si="8"/>
        <v>2000</v>
      </c>
      <c r="L22" s="20">
        <f>K22*J22</f>
        <v>0</v>
      </c>
      <c r="M22" s="21"/>
      <c r="N22" s="23">
        <f>L22-H22</f>
        <v>0</v>
      </c>
      <c r="O22" s="24" t="str">
        <f>IF((H22)=0,"",(N22/H22))</f>
        <v/>
      </c>
    </row>
    <row r="23" spans="2:19" x14ac:dyDescent="0.25">
      <c r="B23" s="39" t="s">
        <v>22</v>
      </c>
      <c r="C23" s="16"/>
      <c r="D23" s="17" t="s">
        <v>54</v>
      </c>
      <c r="E23" s="18"/>
      <c r="F23" s="40">
        <f>Rates!D16</f>
        <v>0.56999999999999995</v>
      </c>
      <c r="G23" s="19">
        <v>1</v>
      </c>
      <c r="H23" s="20">
        <f>G23*F23</f>
        <v>0.56999999999999995</v>
      </c>
      <c r="I23" s="21"/>
      <c r="J23" s="40">
        <f>Rates!F16</f>
        <v>0.56999999999999995</v>
      </c>
      <c r="K23" s="19">
        <v>1</v>
      </c>
      <c r="L23" s="20">
        <f>K23*J23</f>
        <v>0.56999999999999995</v>
      </c>
      <c r="M23" s="21"/>
      <c r="N23" s="23">
        <f>L23-H23</f>
        <v>0</v>
      </c>
      <c r="O23" s="24"/>
    </row>
    <row r="24" spans="2:19" ht="25.5" x14ac:dyDescent="0.25">
      <c r="B24" s="43" t="s">
        <v>23</v>
      </c>
      <c r="C24" s="44"/>
      <c r="D24" s="44"/>
      <c r="E24" s="44"/>
      <c r="F24" s="45"/>
      <c r="G24" s="46"/>
      <c r="H24" s="47">
        <f>SUM(H20:H23)+H19</f>
        <v>107.51298999999997</v>
      </c>
      <c r="I24" s="31"/>
      <c r="J24" s="46"/>
      <c r="K24" s="48"/>
      <c r="L24" s="47">
        <f>SUM(L20:L23)+L19</f>
        <v>113.70363</v>
      </c>
      <c r="M24" s="31"/>
      <c r="N24" s="34">
        <f t="shared" ref="N24:N38" si="12">L24-H24</f>
        <v>6.1906400000000303</v>
      </c>
      <c r="O24" s="35">
        <f t="shared" ref="O24:O38" si="13">IF((H24)=0,"",(N24/H24))</f>
        <v>5.758039098345262E-2</v>
      </c>
    </row>
    <row r="25" spans="2:19" x14ac:dyDescent="0.25">
      <c r="B25" s="21" t="s">
        <v>24</v>
      </c>
      <c r="C25" s="21"/>
      <c r="D25" s="49" t="s">
        <v>55</v>
      </c>
      <c r="E25" s="50"/>
      <c r="F25" s="140">
        <f>Rates!D12</f>
        <v>6.6E-3</v>
      </c>
      <c r="G25" s="51">
        <f>F10*(1+F41)</f>
        <v>2183.3999999999996</v>
      </c>
      <c r="H25" s="20">
        <f>G25*F25</f>
        <v>14.410439999999998</v>
      </c>
      <c r="I25" s="21"/>
      <c r="J25" s="140">
        <f>Rates!F12</f>
        <v>7.9000000000000008E-3</v>
      </c>
      <c r="K25" s="52">
        <f>F10*(1+J41)</f>
        <v>2165.7999999999997</v>
      </c>
      <c r="L25" s="20">
        <f>K25*J25</f>
        <v>17.109819999999999</v>
      </c>
      <c r="M25" s="21"/>
      <c r="N25" s="23">
        <f t="shared" si="12"/>
        <v>2.6993800000000014</v>
      </c>
      <c r="O25" s="24">
        <f t="shared" si="13"/>
        <v>0.18732113662039479</v>
      </c>
    </row>
    <row r="26" spans="2:19" x14ac:dyDescent="0.25">
      <c r="B26" s="53" t="s">
        <v>25</v>
      </c>
      <c r="C26" s="21"/>
      <c r="D26" s="49" t="s">
        <v>55</v>
      </c>
      <c r="E26" s="50"/>
      <c r="F26" s="140">
        <f>Rates!D13</f>
        <v>6.0000000000000001E-3</v>
      </c>
      <c r="G26" s="51">
        <f>G25</f>
        <v>2183.3999999999996</v>
      </c>
      <c r="H26" s="20">
        <f>G26*F26</f>
        <v>13.100399999999999</v>
      </c>
      <c r="I26" s="21"/>
      <c r="J26" s="140">
        <f>Rates!F13</f>
        <v>6.7000000000000002E-3</v>
      </c>
      <c r="K26" s="52">
        <f>K25</f>
        <v>2165.7999999999997</v>
      </c>
      <c r="L26" s="20">
        <f>K26*J26</f>
        <v>14.510859999999999</v>
      </c>
      <c r="M26" s="21"/>
      <c r="N26" s="23">
        <f t="shared" si="12"/>
        <v>1.4104600000000005</v>
      </c>
      <c r="O26" s="24">
        <f t="shared" si="13"/>
        <v>0.10766541479649482</v>
      </c>
    </row>
    <row r="27" spans="2:19" ht="25.5" x14ac:dyDescent="0.25">
      <c r="B27" s="43" t="s">
        <v>26</v>
      </c>
      <c r="C27" s="26"/>
      <c r="D27" s="26"/>
      <c r="E27" s="26"/>
      <c r="F27" s="54"/>
      <c r="G27" s="46"/>
      <c r="H27" s="47">
        <f>SUM(H24:H26)</f>
        <v>135.02382999999998</v>
      </c>
      <c r="I27" s="55"/>
      <c r="J27" s="56"/>
      <c r="K27" s="57"/>
      <c r="L27" s="47">
        <f>SUM(L24:L26)</f>
        <v>145.32431</v>
      </c>
      <c r="M27" s="55"/>
      <c r="N27" s="34">
        <f t="shared" si="12"/>
        <v>10.300480000000022</v>
      </c>
      <c r="O27" s="35">
        <f t="shared" si="13"/>
        <v>7.6286385892031239E-2</v>
      </c>
    </row>
    <row r="28" spans="2:19" x14ac:dyDescent="0.25">
      <c r="B28" s="58" t="s">
        <v>27</v>
      </c>
      <c r="C28" s="16"/>
      <c r="D28" s="49" t="s">
        <v>55</v>
      </c>
      <c r="E28" s="18"/>
      <c r="F28" s="141">
        <f>Rates!D14</f>
        <v>3.3999999999999998E-3</v>
      </c>
      <c r="G28" s="51">
        <f>G26</f>
        <v>2183.3999999999996</v>
      </c>
      <c r="H28" s="59">
        <f t="shared" ref="H28:H33" si="14">G28*F28</f>
        <v>7.4235599999999984</v>
      </c>
      <c r="I28" s="21"/>
      <c r="J28" s="141">
        <f>Rates!F14</f>
        <v>3.3999999999999998E-3</v>
      </c>
      <c r="K28" s="52">
        <f>K26</f>
        <v>2165.7999999999997</v>
      </c>
      <c r="L28" s="59">
        <f t="shared" ref="L28:L33" si="15">K28*J28</f>
        <v>7.3637199999999989</v>
      </c>
      <c r="M28" s="21"/>
      <c r="N28" s="23">
        <f t="shared" si="12"/>
        <v>-5.9839999999999449E-2</v>
      </c>
      <c r="O28" s="60">
        <f t="shared" si="13"/>
        <v>-8.0608225703031246E-3</v>
      </c>
    </row>
    <row r="29" spans="2:19" x14ac:dyDescent="0.25">
      <c r="B29" s="58" t="s">
        <v>28</v>
      </c>
      <c r="C29" s="16"/>
      <c r="D29" s="49" t="s">
        <v>55</v>
      </c>
      <c r="E29" s="18"/>
      <c r="F29" s="141">
        <f>Rates!D15</f>
        <v>5.0000000000000001E-4</v>
      </c>
      <c r="G29" s="51">
        <f>G26</f>
        <v>2183.3999999999996</v>
      </c>
      <c r="H29" s="59">
        <f t="shared" si="14"/>
        <v>1.0916999999999999</v>
      </c>
      <c r="I29" s="21"/>
      <c r="J29" s="141">
        <f>Rates!F15</f>
        <v>5.0000000000000001E-4</v>
      </c>
      <c r="K29" s="52">
        <f>K26</f>
        <v>2165.7999999999997</v>
      </c>
      <c r="L29" s="59">
        <f t="shared" si="15"/>
        <v>1.0829</v>
      </c>
      <c r="M29" s="21"/>
      <c r="N29" s="23">
        <f t="shared" si="12"/>
        <v>-8.799999999999919E-3</v>
      </c>
      <c r="O29" s="60">
        <f t="shared" si="13"/>
        <v>-8.0608225703031229E-3</v>
      </c>
    </row>
    <row r="30" spans="2:19" x14ac:dyDescent="0.25">
      <c r="B30" s="16" t="s">
        <v>29</v>
      </c>
      <c r="C30" s="16"/>
      <c r="D30" s="17" t="s">
        <v>54</v>
      </c>
      <c r="E30" s="18"/>
      <c r="F30" s="61">
        <f>Rates!D17</f>
        <v>0.25</v>
      </c>
      <c r="G30" s="19">
        <v>1</v>
      </c>
      <c r="H30" s="59">
        <f t="shared" si="14"/>
        <v>0.25</v>
      </c>
      <c r="I30" s="21"/>
      <c r="J30" s="141">
        <f>Rates!F17</f>
        <v>0.25</v>
      </c>
      <c r="K30" s="22">
        <v>1</v>
      </c>
      <c r="L30" s="59">
        <f t="shared" si="15"/>
        <v>0.25</v>
      </c>
      <c r="M30" s="21"/>
      <c r="N30" s="23">
        <f t="shared" si="12"/>
        <v>0</v>
      </c>
      <c r="O30" s="60">
        <f t="shared" si="13"/>
        <v>0</v>
      </c>
    </row>
    <row r="31" spans="2:19" x14ac:dyDescent="0.25">
      <c r="B31" s="39" t="s">
        <v>30</v>
      </c>
      <c r="C31" s="16"/>
      <c r="D31" s="17" t="s">
        <v>55</v>
      </c>
      <c r="E31" s="18"/>
      <c r="F31" s="61">
        <f>Rates!D64</f>
        <v>6.5000000000000002E-2</v>
      </c>
      <c r="G31" s="62">
        <f>0.65*$F$10</f>
        <v>1300</v>
      </c>
      <c r="H31" s="59">
        <f t="shared" si="14"/>
        <v>84.5</v>
      </c>
      <c r="I31" s="21"/>
      <c r="J31" s="61">
        <f>Rates!F64</f>
        <v>6.5000000000000002E-2</v>
      </c>
      <c r="K31" s="62">
        <f>G31</f>
        <v>1300</v>
      </c>
      <c r="L31" s="59">
        <f t="shared" si="15"/>
        <v>84.5</v>
      </c>
      <c r="M31" s="21"/>
      <c r="N31" s="23">
        <f t="shared" si="12"/>
        <v>0</v>
      </c>
      <c r="O31" s="60">
        <f t="shared" si="13"/>
        <v>0</v>
      </c>
      <c r="S31" s="63"/>
    </row>
    <row r="32" spans="2:19" x14ac:dyDescent="0.25">
      <c r="B32" s="39" t="s">
        <v>31</v>
      </c>
      <c r="C32" s="16"/>
      <c r="D32" s="17" t="s">
        <v>55</v>
      </c>
      <c r="E32" s="18"/>
      <c r="F32" s="61">
        <f>Rates!D65</f>
        <v>9.4E-2</v>
      </c>
      <c r="G32" s="62">
        <f>0.17*$F$10</f>
        <v>340</v>
      </c>
      <c r="H32" s="59">
        <f t="shared" si="14"/>
        <v>31.96</v>
      </c>
      <c r="I32" s="21"/>
      <c r="J32" s="61">
        <f>Rates!F65</f>
        <v>9.4E-2</v>
      </c>
      <c r="K32" s="62">
        <f>G32</f>
        <v>340</v>
      </c>
      <c r="L32" s="59">
        <f t="shared" si="15"/>
        <v>31.96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" t="s">
        <v>32</v>
      </c>
      <c r="C33" s="16"/>
      <c r="D33" s="17" t="s">
        <v>55</v>
      </c>
      <c r="E33" s="18"/>
      <c r="F33" s="61">
        <f>Rates!D66</f>
        <v>0.13400000000000001</v>
      </c>
      <c r="G33" s="62">
        <f>0.18*$F$10</f>
        <v>360</v>
      </c>
      <c r="H33" s="59">
        <f t="shared" si="14"/>
        <v>48.24</v>
      </c>
      <c r="I33" s="21"/>
      <c r="J33" s="61">
        <f>Rates!F66</f>
        <v>0.13400000000000001</v>
      </c>
      <c r="K33" s="62">
        <f>G33</f>
        <v>360</v>
      </c>
      <c r="L33" s="59">
        <f t="shared" si="15"/>
        <v>48.24</v>
      </c>
      <c r="M33" s="21"/>
      <c r="N33" s="23">
        <f t="shared" si="12"/>
        <v>0</v>
      </c>
      <c r="O33" s="60">
        <f t="shared" si="13"/>
        <v>0</v>
      </c>
      <c r="S33" s="63"/>
    </row>
    <row r="34" spans="1:19" ht="15.75" thickBot="1" x14ac:dyDescent="0.3">
      <c r="B34" s="65"/>
      <c r="C34" s="66"/>
      <c r="D34" s="67"/>
      <c r="E34" s="66"/>
      <c r="F34" s="68"/>
      <c r="G34" s="69"/>
      <c r="H34" s="70"/>
      <c r="I34" s="71"/>
      <c r="J34" s="68"/>
      <c r="K34" s="72"/>
      <c r="L34" s="70"/>
      <c r="M34" s="71"/>
      <c r="N34" s="73"/>
      <c r="O34" s="74"/>
    </row>
    <row r="35" spans="1:19" x14ac:dyDescent="0.25">
      <c r="B35" s="75" t="s">
        <v>33</v>
      </c>
      <c r="C35" s="16"/>
      <c r="D35" s="16"/>
      <c r="E35" s="16"/>
      <c r="F35" s="76"/>
      <c r="G35" s="77"/>
      <c r="H35" s="78">
        <f>SUM(H28:H33,H27)</f>
        <v>308.48908999999998</v>
      </c>
      <c r="I35" s="79"/>
      <c r="J35" s="80"/>
      <c r="K35" s="80"/>
      <c r="L35" s="104">
        <f>SUM(L28:L33,L27)</f>
        <v>318.72093000000001</v>
      </c>
      <c r="M35" s="81"/>
      <c r="N35" s="82">
        <f t="shared" ref="N35" si="16">L35-H35</f>
        <v>10.231840000000034</v>
      </c>
      <c r="O35" s="83">
        <f t="shared" ref="O35" si="17">IF((H35)=0,"",(N35/H35))</f>
        <v>3.3167591113189884E-2</v>
      </c>
      <c r="S35" s="63"/>
    </row>
    <row r="36" spans="1:19" x14ac:dyDescent="0.25">
      <c r="B36" s="84" t="s">
        <v>34</v>
      </c>
      <c r="C36" s="16"/>
      <c r="D36" s="16"/>
      <c r="E36" s="16"/>
      <c r="F36" s="85">
        <v>0.13</v>
      </c>
      <c r="G36" s="86"/>
      <c r="H36" s="87">
        <f>H35*F36</f>
        <v>40.103581699999999</v>
      </c>
      <c r="I36" s="88"/>
      <c r="J36" s="89">
        <v>0.13</v>
      </c>
      <c r="K36" s="88"/>
      <c r="L36" s="90">
        <f>L35*J36</f>
        <v>41.433720900000004</v>
      </c>
      <c r="M36" s="91"/>
      <c r="N36" s="92">
        <f t="shared" si="12"/>
        <v>1.330139200000005</v>
      </c>
      <c r="O36" s="93">
        <f t="shared" si="13"/>
        <v>3.3167591113189898E-2</v>
      </c>
      <c r="S36" s="63"/>
    </row>
    <row r="37" spans="1:19" x14ac:dyDescent="0.25">
      <c r="B37" s="84" t="s">
        <v>84</v>
      </c>
      <c r="C37" s="16"/>
      <c r="D37" s="16"/>
      <c r="E37" s="16"/>
      <c r="F37" s="85">
        <v>0.08</v>
      </c>
      <c r="G37" s="86"/>
      <c r="H37" s="87">
        <f>H35*-F37</f>
        <v>-24.6791272</v>
      </c>
      <c r="I37" s="88"/>
      <c r="J37" s="89">
        <f>F37</f>
        <v>0.08</v>
      </c>
      <c r="K37" s="88"/>
      <c r="L37" s="92">
        <f>L35*-J37</f>
        <v>-25.497674400000001</v>
      </c>
      <c r="M37" s="91"/>
      <c r="N37" s="92">
        <f t="shared" si="12"/>
        <v>-0.81854720000000114</v>
      </c>
      <c r="O37" s="93">
        <f t="shared" si="13"/>
        <v>3.3167591113189822E-2</v>
      </c>
      <c r="S37" s="63"/>
    </row>
    <row r="38" spans="1:19" s="105" customFormat="1" ht="15.75" thickBot="1" x14ac:dyDescent="0.3">
      <c r="B38" s="94" t="s">
        <v>77</v>
      </c>
      <c r="C38" s="122"/>
      <c r="D38" s="122"/>
      <c r="E38" s="122"/>
      <c r="F38" s="127"/>
      <c r="G38" s="128"/>
      <c r="H38" s="129">
        <f>SUM(H35:H37)</f>
        <v>323.9135445</v>
      </c>
      <c r="I38" s="130"/>
      <c r="J38" s="130"/>
      <c r="K38" s="130"/>
      <c r="L38" s="136">
        <f>SUM(L35:L37)</f>
        <v>334.65697650000004</v>
      </c>
      <c r="M38" s="131"/>
      <c r="N38" s="132">
        <f t="shared" si="12"/>
        <v>10.743432000000041</v>
      </c>
      <c r="O38" s="133">
        <f t="shared" si="13"/>
        <v>3.3167591113189898E-2</v>
      </c>
      <c r="S38" s="126"/>
    </row>
    <row r="39" spans="1:19" s="105" customFormat="1" ht="15.75" thickBot="1" x14ac:dyDescent="0.3">
      <c r="B39" s="65"/>
      <c r="C39" s="66"/>
      <c r="D39" s="67"/>
      <c r="E39" s="66"/>
      <c r="F39" s="68"/>
      <c r="G39" s="69"/>
      <c r="H39" s="70"/>
      <c r="I39" s="71"/>
      <c r="J39" s="68"/>
      <c r="K39" s="72"/>
      <c r="L39" s="70"/>
      <c r="M39" s="71"/>
      <c r="N39" s="73"/>
      <c r="O39" s="74"/>
      <c r="S39" s="126"/>
    </row>
    <row r="40" spans="1:19" x14ac:dyDescent="0.25">
      <c r="L40" s="63"/>
    </row>
    <row r="41" spans="1:19" x14ac:dyDescent="0.25">
      <c r="B41" s="7" t="s">
        <v>35</v>
      </c>
      <c r="F41" s="102">
        <f>Rates!D61</f>
        <v>9.1700000000000004E-2</v>
      </c>
      <c r="J41" s="102">
        <f>Rates!F61</f>
        <v>8.2899999999999974E-2</v>
      </c>
    </row>
    <row r="43" spans="1:19" x14ac:dyDescent="0.25">
      <c r="A43" s="103"/>
      <c r="B43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prompt="Select Charge Unit - monthly, per kWh, per kW" sqref="D25:D26 D39 D28:D34 D20:D23 D15:D18" xr:uid="{00000000-0002-0000-0600-000000000000}">
      <formula1>"Monthly, per kWh, per kW"</formula1>
    </dataValidation>
    <dataValidation type="list" allowBlank="1" showInputMessage="1" showErrorMessage="1" sqref="E25:E26 E39 E28:E34 E20:E23 E15:E18" xr:uid="{00000000-0002-0000-0600-000001000000}">
      <formula1>#REF!</formula1>
    </dataValidation>
    <dataValidation type="list" allowBlank="1" showInputMessage="1" showErrorMessage="1" sqref="D8" xr:uid="{00000000-0002-0000-0600-000002000000}">
      <formula1>"TOU, non-TOU"</formula1>
    </dataValidation>
  </dataValidations>
  <pageMargins left="0.7" right="0.7" top="0.75" bottom="0.75" header="0.3" footer="0.3"/>
  <pageSetup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S42"/>
  <sheetViews>
    <sheetView showGridLines="0" zoomScaleNormal="100" workbookViewId="0">
      <selection activeCell="J17" sqref="J17"/>
    </sheetView>
  </sheetViews>
  <sheetFormatPr defaultRowHeight="15" x14ac:dyDescent="0.25"/>
  <cols>
    <col min="1" max="1" width="2.140625" style="1" customWidth="1"/>
    <col min="2" max="2" width="40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0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0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109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2" t="s">
        <v>3</v>
      </c>
      <c r="D8" s="5" t="s">
        <v>106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ht="15.75" x14ac:dyDescent="0.25">
      <c r="B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2:16" x14ac:dyDescent="0.25">
      <c r="B10" s="6"/>
      <c r="D10" s="7" t="s">
        <v>5</v>
      </c>
      <c r="E10" s="7"/>
      <c r="F10" s="8">
        <v>2000</v>
      </c>
      <c r="G10" s="7" t="s">
        <v>6</v>
      </c>
    </row>
    <row r="11" spans="2:16" x14ac:dyDescent="0.25">
      <c r="B11" s="6"/>
    </row>
    <row r="12" spans="2:16" x14ac:dyDescent="0.25">
      <c r="B12" s="6"/>
      <c r="D12" s="9"/>
      <c r="E12" s="9"/>
      <c r="F12" s="225" t="s">
        <v>7</v>
      </c>
      <c r="G12" s="226"/>
      <c r="H12" s="227"/>
      <c r="J12" s="225" t="s">
        <v>8</v>
      </c>
      <c r="K12" s="226"/>
      <c r="L12" s="227"/>
      <c r="N12" s="225" t="s">
        <v>9</v>
      </c>
      <c r="O12" s="227"/>
    </row>
    <row r="13" spans="2:16" x14ac:dyDescent="0.25">
      <c r="B13" s="6"/>
      <c r="D13" s="217" t="s">
        <v>10</v>
      </c>
      <c r="E13" s="10"/>
      <c r="F13" s="11" t="s">
        <v>11</v>
      </c>
      <c r="G13" s="11" t="s">
        <v>12</v>
      </c>
      <c r="H13" s="12" t="s">
        <v>13</v>
      </c>
      <c r="J13" s="11" t="s">
        <v>11</v>
      </c>
      <c r="K13" s="13" t="s">
        <v>12</v>
      </c>
      <c r="L13" s="12" t="s">
        <v>13</v>
      </c>
      <c r="N13" s="219" t="s">
        <v>14</v>
      </c>
      <c r="O13" s="221" t="s">
        <v>15</v>
      </c>
    </row>
    <row r="14" spans="2:16" x14ac:dyDescent="0.25">
      <c r="B14" s="6"/>
      <c r="D14" s="218"/>
      <c r="E14" s="10"/>
      <c r="F14" s="14" t="s">
        <v>16</v>
      </c>
      <c r="G14" s="14"/>
      <c r="H14" s="15" t="s">
        <v>16</v>
      </c>
      <c r="J14" s="14" t="s">
        <v>16</v>
      </c>
      <c r="K14" s="15"/>
      <c r="L14" s="15" t="s">
        <v>16</v>
      </c>
      <c r="N14" s="220"/>
      <c r="O14" s="222"/>
    </row>
    <row r="15" spans="2:16" x14ac:dyDescent="0.25">
      <c r="B15" s="16" t="s">
        <v>17</v>
      </c>
      <c r="C15" s="16"/>
      <c r="D15" s="17" t="s">
        <v>54</v>
      </c>
      <c r="E15" s="18"/>
      <c r="F15" s="139">
        <f>Rates!D4</f>
        <v>25.64</v>
      </c>
      <c r="G15" s="19">
        <v>1</v>
      </c>
      <c r="H15" s="20">
        <f>G15*F15</f>
        <v>25.64</v>
      </c>
      <c r="I15" s="21"/>
      <c r="J15" s="140">
        <f>Rates!F4</f>
        <v>26.21</v>
      </c>
      <c r="K15" s="22">
        <v>1</v>
      </c>
      <c r="L15" s="20">
        <f>K15*J15</f>
        <v>26.21</v>
      </c>
      <c r="M15" s="21"/>
      <c r="N15" s="23">
        <f>L15-H15</f>
        <v>0.57000000000000028</v>
      </c>
      <c r="O15" s="24">
        <f>IF((H15)=0,"",(N15/H15))</f>
        <v>2.2230889235569432E-2</v>
      </c>
    </row>
    <row r="16" spans="2:16" x14ac:dyDescent="0.25">
      <c r="B16" s="16" t="s">
        <v>18</v>
      </c>
      <c r="C16" s="16"/>
      <c r="D16" s="17" t="s">
        <v>55</v>
      </c>
      <c r="E16" s="18"/>
      <c r="F16" s="139">
        <f>Rates!D8</f>
        <v>3.61E-2</v>
      </c>
      <c r="G16" s="19">
        <f>$F$10</f>
        <v>2000</v>
      </c>
      <c r="H16" s="20">
        <f t="shared" ref="H16:H18" si="0">G16*F16</f>
        <v>72.2</v>
      </c>
      <c r="I16" s="21"/>
      <c r="J16" s="140">
        <f>Rates!F8</f>
        <v>3.6900000000000002E-2</v>
      </c>
      <c r="K16" s="19">
        <f>$F$10</f>
        <v>2000</v>
      </c>
      <c r="L16" s="20">
        <f t="shared" ref="L16:L18" si="1">K16*J16</f>
        <v>73.800000000000011</v>
      </c>
      <c r="M16" s="21"/>
      <c r="N16" s="23">
        <f t="shared" ref="N16:N19" si="2">L16-H16</f>
        <v>1.6000000000000085</v>
      </c>
      <c r="O16" s="24">
        <f t="shared" ref="O16:O19" si="3">IF((H16)=0,"",(N16/H16))</f>
        <v>2.2160664819944716E-2</v>
      </c>
    </row>
    <row r="17" spans="2:19" x14ac:dyDescent="0.25">
      <c r="B17" s="16" t="s">
        <v>100</v>
      </c>
      <c r="C17" s="16"/>
      <c r="D17" s="17" t="s">
        <v>54</v>
      </c>
      <c r="E17" s="18"/>
      <c r="F17" s="139">
        <f>Rates!D6</f>
        <v>0</v>
      </c>
      <c r="G17" s="19">
        <v>1</v>
      </c>
      <c r="H17" s="20">
        <f t="shared" si="0"/>
        <v>0</v>
      </c>
      <c r="I17" s="21"/>
      <c r="J17" s="140">
        <f>Rates!F6</f>
        <v>-0.13</v>
      </c>
      <c r="K17" s="19">
        <v>1</v>
      </c>
      <c r="L17" s="20">
        <f t="shared" si="1"/>
        <v>-0.13</v>
      </c>
      <c r="M17" s="21"/>
      <c r="N17" s="23">
        <f t="shared" si="2"/>
        <v>-0.13</v>
      </c>
      <c r="O17" s="24" t="str">
        <f t="shared" si="3"/>
        <v/>
      </c>
    </row>
    <row r="18" spans="2:19" x14ac:dyDescent="0.25">
      <c r="B18" s="134" t="s">
        <v>102</v>
      </c>
      <c r="C18" s="16"/>
      <c r="D18" s="49" t="s">
        <v>55</v>
      </c>
      <c r="E18" s="18"/>
      <c r="F18" s="140">
        <f>Rates!D11</f>
        <v>-1.9E-3</v>
      </c>
      <c r="G18" s="19">
        <f t="shared" ref="G18" si="4">$F$10</f>
        <v>2000</v>
      </c>
      <c r="H18" s="20">
        <f t="shared" si="0"/>
        <v>-3.8</v>
      </c>
      <c r="I18" s="21"/>
      <c r="J18" s="140">
        <f>Rates!F11</f>
        <v>8.0000000000000004E-4</v>
      </c>
      <c r="K18" s="19">
        <f t="shared" ref="K18" si="5">$F$10</f>
        <v>2000</v>
      </c>
      <c r="L18" s="20">
        <f t="shared" si="1"/>
        <v>1.6</v>
      </c>
      <c r="M18" s="21"/>
      <c r="N18" s="23">
        <f t="shared" si="2"/>
        <v>5.4</v>
      </c>
      <c r="O18" s="24">
        <f t="shared" si="3"/>
        <v>-1.4210526315789476</v>
      </c>
    </row>
    <row r="19" spans="2:19" s="36" customFormat="1" x14ac:dyDescent="0.25">
      <c r="B19" s="25" t="s">
        <v>19</v>
      </c>
      <c r="C19" s="26"/>
      <c r="D19" s="27"/>
      <c r="E19" s="26"/>
      <c r="F19" s="28"/>
      <c r="G19" s="29"/>
      <c r="H19" s="30">
        <f>SUM(H15:H18)</f>
        <v>94.04</v>
      </c>
      <c r="I19" s="31"/>
      <c r="J19" s="32"/>
      <c r="K19" s="33"/>
      <c r="L19" s="30">
        <f>SUM(L15:L18)</f>
        <v>101.48000000000002</v>
      </c>
      <c r="M19" s="31"/>
      <c r="N19" s="34">
        <f t="shared" si="2"/>
        <v>7.4400000000000119</v>
      </c>
      <c r="O19" s="35">
        <f t="shared" si="3"/>
        <v>7.9115270097830828E-2</v>
      </c>
    </row>
    <row r="20" spans="2:19" x14ac:dyDescent="0.25">
      <c r="B20" s="39" t="s">
        <v>21</v>
      </c>
      <c r="C20" s="16"/>
      <c r="D20" s="17" t="s">
        <v>55</v>
      </c>
      <c r="E20" s="18"/>
      <c r="F20" s="40">
        <f>Rates!D69</f>
        <v>0.1101</v>
      </c>
      <c r="G20" s="41">
        <f>$F$10*(1+$F$40)-$F$10</f>
        <v>183.39999999999964</v>
      </c>
      <c r="H20" s="20">
        <f>G20*F20</f>
        <v>20.192339999999959</v>
      </c>
      <c r="I20" s="21"/>
      <c r="J20" s="140">
        <f>Rates!F69</f>
        <v>0.1101</v>
      </c>
      <c r="K20" s="41">
        <f>$F$10*(1+$J$40)-$F$10</f>
        <v>165.79999999999973</v>
      </c>
      <c r="L20" s="20">
        <f>K20*J20</f>
        <v>18.254579999999972</v>
      </c>
      <c r="M20" s="21"/>
      <c r="N20" s="23">
        <f>L20-H20</f>
        <v>-1.9377599999999866</v>
      </c>
      <c r="O20" s="24">
        <f>IF((H20)=0,"",(N20/H20))</f>
        <v>-9.5965103598690912E-2</v>
      </c>
    </row>
    <row r="21" spans="2:19" x14ac:dyDescent="0.25">
      <c r="B21" s="135" t="str">
        <f>Rates!A9</f>
        <v>Total Deferral/Variance Account Rate Riders (Group 1, excl GA)</v>
      </c>
      <c r="C21" s="16"/>
      <c r="D21" s="17" t="s">
        <v>55</v>
      </c>
      <c r="E21" s="18"/>
      <c r="F21" s="140">
        <f>Rates!D9</f>
        <v>-1.1000000000000001E-3</v>
      </c>
      <c r="G21" s="19">
        <f t="shared" ref="G21:G23" si="6">$F$10</f>
        <v>2000</v>
      </c>
      <c r="H21" s="20">
        <f t="shared" ref="H21:H22" si="7">G21*F21</f>
        <v>-2.2000000000000002</v>
      </c>
      <c r="I21" s="37"/>
      <c r="J21" s="140">
        <f>Rates!F9</f>
        <v>-1E-3</v>
      </c>
      <c r="K21" s="19">
        <f t="shared" ref="K21:K23" si="8">$F$10</f>
        <v>2000</v>
      </c>
      <c r="L21" s="20">
        <f t="shared" ref="L21:L22" si="9">K21*J21</f>
        <v>-2</v>
      </c>
      <c r="M21" s="38"/>
      <c r="N21" s="23">
        <f t="shared" ref="N21:N22" si="10">L21-H21</f>
        <v>0.20000000000000018</v>
      </c>
      <c r="O21" s="24">
        <f t="shared" ref="O21:O22" si="11">IF((H21)=0,"",(N21/H21))</f>
        <v>-9.0909090909090981E-2</v>
      </c>
    </row>
    <row r="22" spans="2:19" x14ac:dyDescent="0.25">
      <c r="B22" s="135" t="str">
        <f>Rates!A10</f>
        <v>GA Rate Riders</v>
      </c>
      <c r="C22" s="16"/>
      <c r="D22" s="17" t="s">
        <v>55</v>
      </c>
      <c r="E22" s="18"/>
      <c r="F22" s="140">
        <f>Rates!D10</f>
        <v>-7.7999999999999996E-3</v>
      </c>
      <c r="G22" s="19">
        <f t="shared" si="6"/>
        <v>2000</v>
      </c>
      <c r="H22" s="20">
        <f t="shared" si="7"/>
        <v>-15.6</v>
      </c>
      <c r="I22" s="138"/>
      <c r="J22" s="140">
        <f>Rates!F10</f>
        <v>-5.21E-2</v>
      </c>
      <c r="K22" s="19">
        <f t="shared" si="8"/>
        <v>2000</v>
      </c>
      <c r="L22" s="20">
        <f t="shared" si="9"/>
        <v>-104.2</v>
      </c>
      <c r="M22" s="138"/>
      <c r="N22" s="23">
        <f t="shared" si="10"/>
        <v>-88.600000000000009</v>
      </c>
      <c r="O22" s="24">
        <f t="shared" si="11"/>
        <v>5.6794871794871797</v>
      </c>
    </row>
    <row r="23" spans="2:19" x14ac:dyDescent="0.25">
      <c r="B23" s="39" t="s">
        <v>20</v>
      </c>
      <c r="C23" s="16"/>
      <c r="D23" s="17"/>
      <c r="E23" s="18"/>
      <c r="F23" s="139"/>
      <c r="G23" s="19">
        <f t="shared" si="6"/>
        <v>2000</v>
      </c>
      <c r="H23" s="20">
        <f>G23*F23</f>
        <v>0</v>
      </c>
      <c r="I23" s="21"/>
      <c r="J23" s="140"/>
      <c r="K23" s="19">
        <f t="shared" si="8"/>
        <v>2000</v>
      </c>
      <c r="L23" s="20">
        <f>K23*J23</f>
        <v>0</v>
      </c>
      <c r="M23" s="21"/>
      <c r="N23" s="23">
        <f>L23-H23</f>
        <v>0</v>
      </c>
      <c r="O23" s="24" t="str">
        <f>IF((H23)=0,"",(N23/H23))</f>
        <v/>
      </c>
    </row>
    <row r="24" spans="2:19" x14ac:dyDescent="0.25">
      <c r="B24" s="39" t="s">
        <v>22</v>
      </c>
      <c r="C24" s="16"/>
      <c r="D24" s="17" t="s">
        <v>54</v>
      </c>
      <c r="E24" s="18"/>
      <c r="F24" s="40">
        <f>Rates!D16</f>
        <v>0.56999999999999995</v>
      </c>
      <c r="G24" s="19">
        <v>1</v>
      </c>
      <c r="H24" s="20">
        <f>G24*F24</f>
        <v>0.56999999999999995</v>
      </c>
      <c r="I24" s="21"/>
      <c r="J24" s="40">
        <f>Rates!F16</f>
        <v>0.56999999999999995</v>
      </c>
      <c r="K24" s="19">
        <v>1</v>
      </c>
      <c r="L24" s="20">
        <f>K24*J24</f>
        <v>0.56999999999999995</v>
      </c>
      <c r="M24" s="21"/>
      <c r="N24" s="23">
        <f>L24-H24</f>
        <v>0</v>
      </c>
      <c r="O24" s="24"/>
    </row>
    <row r="25" spans="2:19" ht="25.5" x14ac:dyDescent="0.25">
      <c r="B25" s="43" t="s">
        <v>23</v>
      </c>
      <c r="C25" s="44"/>
      <c r="D25" s="44"/>
      <c r="E25" s="44"/>
      <c r="F25" s="45"/>
      <c r="G25" s="46"/>
      <c r="H25" s="47">
        <f>SUM(H20:H24)+H19</f>
        <v>97.002339999999961</v>
      </c>
      <c r="I25" s="31"/>
      <c r="J25" s="46"/>
      <c r="K25" s="48"/>
      <c r="L25" s="47">
        <f>SUM(L20:L24)+L19</f>
        <v>14.104579999999984</v>
      </c>
      <c r="M25" s="31"/>
      <c r="N25" s="34">
        <f t="shared" ref="N25:N37" si="12">L25-H25</f>
        <v>-82.897759999999977</v>
      </c>
      <c r="O25" s="35">
        <f t="shared" ref="O25:O37" si="13">IF((H25)=0,"",(N25/H25))</f>
        <v>-0.85459546645988138</v>
      </c>
    </row>
    <row r="26" spans="2:19" x14ac:dyDescent="0.25">
      <c r="B26" s="21" t="s">
        <v>24</v>
      </c>
      <c r="C26" s="21"/>
      <c r="D26" s="49" t="s">
        <v>55</v>
      </c>
      <c r="E26" s="50"/>
      <c r="F26" s="140">
        <f>Rates!D12</f>
        <v>6.6E-3</v>
      </c>
      <c r="G26" s="51">
        <f>F10*(1+F40)</f>
        <v>2183.3999999999996</v>
      </c>
      <c r="H26" s="20">
        <f>G26*F26</f>
        <v>14.410439999999998</v>
      </c>
      <c r="I26" s="21"/>
      <c r="J26" s="140">
        <f>Rates!F12</f>
        <v>7.9000000000000008E-3</v>
      </c>
      <c r="K26" s="52">
        <f>F10*(1+J40)</f>
        <v>2165.7999999999997</v>
      </c>
      <c r="L26" s="20">
        <f>K26*J26</f>
        <v>17.109819999999999</v>
      </c>
      <c r="M26" s="21"/>
      <c r="N26" s="23">
        <f t="shared" si="12"/>
        <v>2.6993800000000014</v>
      </c>
      <c r="O26" s="24">
        <f t="shared" si="13"/>
        <v>0.18732113662039479</v>
      </c>
    </row>
    <row r="27" spans="2:19" x14ac:dyDescent="0.25">
      <c r="B27" s="53" t="s">
        <v>25</v>
      </c>
      <c r="C27" s="21"/>
      <c r="D27" s="49" t="s">
        <v>55</v>
      </c>
      <c r="E27" s="50"/>
      <c r="F27" s="140">
        <f>Rates!D13</f>
        <v>6.0000000000000001E-3</v>
      </c>
      <c r="G27" s="51">
        <f>G26</f>
        <v>2183.3999999999996</v>
      </c>
      <c r="H27" s="20">
        <f>G27*F27</f>
        <v>13.100399999999999</v>
      </c>
      <c r="I27" s="21"/>
      <c r="J27" s="140">
        <f>Rates!F13</f>
        <v>6.7000000000000002E-3</v>
      </c>
      <c r="K27" s="52">
        <f>K26</f>
        <v>2165.7999999999997</v>
      </c>
      <c r="L27" s="20">
        <f>K27*J27</f>
        <v>14.510859999999999</v>
      </c>
      <c r="M27" s="21"/>
      <c r="N27" s="23">
        <f t="shared" si="12"/>
        <v>1.4104600000000005</v>
      </c>
      <c r="O27" s="24">
        <f t="shared" si="13"/>
        <v>0.10766541479649482</v>
      </c>
    </row>
    <row r="28" spans="2:19" ht="25.5" x14ac:dyDescent="0.25">
      <c r="B28" s="43" t="s">
        <v>26</v>
      </c>
      <c r="C28" s="26"/>
      <c r="D28" s="26"/>
      <c r="E28" s="26"/>
      <c r="F28" s="54"/>
      <c r="G28" s="46"/>
      <c r="H28" s="47">
        <f>SUM(H25:H27)</f>
        <v>124.51317999999995</v>
      </c>
      <c r="I28" s="55"/>
      <c r="J28" s="56"/>
      <c r="K28" s="57"/>
      <c r="L28" s="47">
        <f>SUM(L25:L27)</f>
        <v>45.725259999999984</v>
      </c>
      <c r="M28" s="55"/>
      <c r="N28" s="34">
        <f t="shared" si="12"/>
        <v>-78.787919999999957</v>
      </c>
      <c r="O28" s="35">
        <f t="shared" si="13"/>
        <v>-0.63276771181974467</v>
      </c>
    </row>
    <row r="29" spans="2:19" x14ac:dyDescent="0.25">
      <c r="B29" s="58" t="s">
        <v>27</v>
      </c>
      <c r="C29" s="16"/>
      <c r="D29" s="49" t="s">
        <v>55</v>
      </c>
      <c r="E29" s="18"/>
      <c r="F29" s="141">
        <f>Rates!D14</f>
        <v>3.3999999999999998E-3</v>
      </c>
      <c r="G29" s="51">
        <f>G27</f>
        <v>2183.3999999999996</v>
      </c>
      <c r="H29" s="59">
        <f t="shared" ref="H29:H32" si="14">G29*F29</f>
        <v>7.4235599999999984</v>
      </c>
      <c r="I29" s="21"/>
      <c r="J29" s="141">
        <f>Rates!F14</f>
        <v>3.3999999999999998E-3</v>
      </c>
      <c r="K29" s="52">
        <f>K27</f>
        <v>2165.7999999999997</v>
      </c>
      <c r="L29" s="59">
        <f t="shared" ref="L29:L32" si="15">K29*J29</f>
        <v>7.3637199999999989</v>
      </c>
      <c r="M29" s="21"/>
      <c r="N29" s="23">
        <f t="shared" si="12"/>
        <v>-5.9839999999999449E-2</v>
      </c>
      <c r="O29" s="60">
        <f t="shared" si="13"/>
        <v>-8.0608225703031246E-3</v>
      </c>
    </row>
    <row r="30" spans="2:19" x14ac:dyDescent="0.25">
      <c r="B30" s="58" t="s">
        <v>28</v>
      </c>
      <c r="C30" s="16"/>
      <c r="D30" s="49" t="s">
        <v>55</v>
      </c>
      <c r="E30" s="18"/>
      <c r="F30" s="141">
        <f>Rates!D15</f>
        <v>5.0000000000000001E-4</v>
      </c>
      <c r="G30" s="51">
        <f>G27</f>
        <v>2183.3999999999996</v>
      </c>
      <c r="H30" s="59">
        <f t="shared" si="14"/>
        <v>1.0916999999999999</v>
      </c>
      <c r="I30" s="21"/>
      <c r="J30" s="141">
        <f>Rates!F15</f>
        <v>5.0000000000000001E-4</v>
      </c>
      <c r="K30" s="52">
        <f>K27</f>
        <v>2165.7999999999997</v>
      </c>
      <c r="L30" s="59">
        <f t="shared" si="15"/>
        <v>1.0829</v>
      </c>
      <c r="M30" s="21"/>
      <c r="N30" s="23">
        <f t="shared" si="12"/>
        <v>-8.799999999999919E-3</v>
      </c>
      <c r="O30" s="60">
        <f t="shared" si="13"/>
        <v>-8.0608225703031229E-3</v>
      </c>
    </row>
    <row r="31" spans="2:19" x14ac:dyDescent="0.25">
      <c r="B31" s="16" t="s">
        <v>29</v>
      </c>
      <c r="C31" s="16"/>
      <c r="D31" s="17" t="s">
        <v>54</v>
      </c>
      <c r="E31" s="18"/>
      <c r="F31" s="61">
        <f>Rates!D17</f>
        <v>0.25</v>
      </c>
      <c r="G31" s="19">
        <v>1</v>
      </c>
      <c r="H31" s="59">
        <f t="shared" si="14"/>
        <v>0.25</v>
      </c>
      <c r="I31" s="21"/>
      <c r="J31" s="141">
        <f>Rates!F17</f>
        <v>0.25</v>
      </c>
      <c r="K31" s="22">
        <v>1</v>
      </c>
      <c r="L31" s="59">
        <f t="shared" si="15"/>
        <v>0.25</v>
      </c>
      <c r="M31" s="21"/>
      <c r="N31" s="23">
        <f t="shared" si="12"/>
        <v>0</v>
      </c>
      <c r="O31" s="60">
        <f t="shared" si="13"/>
        <v>0</v>
      </c>
    </row>
    <row r="32" spans="2:19" ht="15.75" thickBot="1" x14ac:dyDescent="0.3">
      <c r="B32" s="39" t="s">
        <v>107</v>
      </c>
      <c r="C32" s="16"/>
      <c r="D32" s="17" t="s">
        <v>55</v>
      </c>
      <c r="E32" s="18"/>
      <c r="F32" s="61">
        <f>Rates!D69</f>
        <v>0.1101</v>
      </c>
      <c r="G32" s="62">
        <f>$F$10</f>
        <v>2000</v>
      </c>
      <c r="H32" s="59">
        <f t="shared" si="14"/>
        <v>220.20000000000002</v>
      </c>
      <c r="I32" s="21"/>
      <c r="J32" s="61">
        <f>Rates!F69</f>
        <v>0.1101</v>
      </c>
      <c r="K32" s="62">
        <f>G32</f>
        <v>2000</v>
      </c>
      <c r="L32" s="59">
        <f t="shared" si="15"/>
        <v>220.20000000000002</v>
      </c>
      <c r="M32" s="21"/>
      <c r="N32" s="23">
        <f t="shared" si="12"/>
        <v>0</v>
      </c>
      <c r="O32" s="60">
        <f t="shared" si="13"/>
        <v>0</v>
      </c>
      <c r="S32" s="63"/>
    </row>
    <row r="33" spans="1:19" ht="15.75" thickBot="1" x14ac:dyDescent="0.3">
      <c r="B33" s="65"/>
      <c r="C33" s="66"/>
      <c r="D33" s="67"/>
      <c r="E33" s="66"/>
      <c r="F33" s="68"/>
      <c r="G33" s="69"/>
      <c r="H33" s="70"/>
      <c r="I33" s="71"/>
      <c r="J33" s="68"/>
      <c r="K33" s="72"/>
      <c r="L33" s="70"/>
      <c r="M33" s="71"/>
      <c r="N33" s="73"/>
      <c r="O33" s="74"/>
    </row>
    <row r="34" spans="1:19" x14ac:dyDescent="0.25">
      <c r="B34" s="75" t="s">
        <v>33</v>
      </c>
      <c r="C34" s="16"/>
      <c r="D34" s="16"/>
      <c r="E34" s="16"/>
      <c r="F34" s="76"/>
      <c r="G34" s="77"/>
      <c r="H34" s="78">
        <f>SUM(H29:H32,H28)</f>
        <v>353.47843999999998</v>
      </c>
      <c r="I34" s="79"/>
      <c r="J34" s="80"/>
      <c r="K34" s="80"/>
      <c r="L34" s="104">
        <f>SUM(L29:L32,L28)</f>
        <v>274.62187999999998</v>
      </c>
      <c r="M34" s="81"/>
      <c r="N34" s="82">
        <f t="shared" ref="N34" si="16">L34-H34</f>
        <v>-78.856560000000002</v>
      </c>
      <c r="O34" s="83">
        <f t="shared" ref="O34" si="17">IF((H34)=0,"",(N34/H34))</f>
        <v>-0.22308732606152729</v>
      </c>
      <c r="S34" s="63"/>
    </row>
    <row r="35" spans="1:19" x14ac:dyDescent="0.25">
      <c r="B35" s="84" t="s">
        <v>34</v>
      </c>
      <c r="C35" s="16"/>
      <c r="D35" s="16"/>
      <c r="E35" s="16"/>
      <c r="F35" s="85">
        <v>0.13</v>
      </c>
      <c r="G35" s="86"/>
      <c r="H35" s="87">
        <f>H34*F35</f>
        <v>45.952197200000001</v>
      </c>
      <c r="I35" s="88"/>
      <c r="J35" s="89">
        <v>0.13</v>
      </c>
      <c r="K35" s="88"/>
      <c r="L35" s="90">
        <f>L34*J35</f>
        <v>35.700844400000001</v>
      </c>
      <c r="M35" s="91"/>
      <c r="N35" s="92">
        <f t="shared" si="12"/>
        <v>-10.251352799999999</v>
      </c>
      <c r="O35" s="93">
        <f t="shared" si="13"/>
        <v>-0.22308732606152726</v>
      </c>
      <c r="S35" s="63"/>
    </row>
    <row r="36" spans="1:19" x14ac:dyDescent="0.25">
      <c r="B36" s="84" t="s">
        <v>84</v>
      </c>
      <c r="C36" s="16"/>
      <c r="D36" s="16"/>
      <c r="E36" s="16"/>
      <c r="F36" s="85">
        <v>0.08</v>
      </c>
      <c r="G36" s="86"/>
      <c r="H36" s="87">
        <f>H34*-F36</f>
        <v>-28.2782752</v>
      </c>
      <c r="I36" s="88"/>
      <c r="J36" s="89">
        <f>F36</f>
        <v>0.08</v>
      </c>
      <c r="K36" s="88"/>
      <c r="L36" s="92">
        <f>L34*-J36</f>
        <v>-21.969750399999999</v>
      </c>
      <c r="M36" s="91"/>
      <c r="N36" s="92">
        <f t="shared" si="12"/>
        <v>6.3085248000000007</v>
      </c>
      <c r="O36" s="93">
        <f t="shared" si="13"/>
        <v>-0.22308732606152729</v>
      </c>
      <c r="S36" s="63"/>
    </row>
    <row r="37" spans="1:19" s="105" customFormat="1" ht="15.75" thickBot="1" x14ac:dyDescent="0.3">
      <c r="B37" s="94" t="s">
        <v>77</v>
      </c>
      <c r="C37" s="122"/>
      <c r="D37" s="122"/>
      <c r="E37" s="122"/>
      <c r="F37" s="127"/>
      <c r="G37" s="128"/>
      <c r="H37" s="129">
        <f>SUM(H34:H36)</f>
        <v>371.15236199999998</v>
      </c>
      <c r="I37" s="130"/>
      <c r="J37" s="130"/>
      <c r="K37" s="130"/>
      <c r="L37" s="136">
        <f>SUM(L34:L36)</f>
        <v>288.35297399999996</v>
      </c>
      <c r="M37" s="131"/>
      <c r="N37" s="132">
        <f t="shared" si="12"/>
        <v>-82.799388000000022</v>
      </c>
      <c r="O37" s="133">
        <f t="shared" si="13"/>
        <v>-0.22308732606152734</v>
      </c>
      <c r="S37" s="126"/>
    </row>
    <row r="38" spans="1:19" s="105" customFormat="1" ht="15.75" thickBot="1" x14ac:dyDescent="0.3">
      <c r="B38" s="65"/>
      <c r="C38" s="66"/>
      <c r="D38" s="67"/>
      <c r="E38" s="66"/>
      <c r="F38" s="68"/>
      <c r="G38" s="69"/>
      <c r="H38" s="70"/>
      <c r="I38" s="71"/>
      <c r="J38" s="68"/>
      <c r="K38" s="72"/>
      <c r="L38" s="70"/>
      <c r="M38" s="71"/>
      <c r="N38" s="73"/>
      <c r="O38" s="74"/>
      <c r="S38" s="126"/>
    </row>
    <row r="39" spans="1:19" x14ac:dyDescent="0.25">
      <c r="L39" s="63"/>
    </row>
    <row r="40" spans="1:19" x14ac:dyDescent="0.25">
      <c r="B40" s="7" t="s">
        <v>35</v>
      </c>
      <c r="F40" s="102">
        <f>Rates!D61</f>
        <v>9.1700000000000004E-2</v>
      </c>
      <c r="J40" s="102">
        <f>Rates!F61</f>
        <v>8.2899999999999974E-2</v>
      </c>
    </row>
    <row r="42" spans="1:19" x14ac:dyDescent="0.25">
      <c r="A42" s="103"/>
      <c r="B42" s="1" t="s">
        <v>36</v>
      </c>
    </row>
  </sheetData>
  <mergeCells count="9">
    <mergeCell ref="D13:D14"/>
    <mergeCell ref="N13:N14"/>
    <mergeCell ref="O13:O14"/>
    <mergeCell ref="B2:O2"/>
    <mergeCell ref="B3:O3"/>
    <mergeCell ref="D6:O6"/>
    <mergeCell ref="F12:H12"/>
    <mergeCell ref="J12:L12"/>
    <mergeCell ref="N12:O12"/>
  </mergeCells>
  <dataValidations count="3">
    <dataValidation type="list" allowBlank="1" showInputMessage="1" showErrorMessage="1" sqref="D8" xr:uid="{00000000-0002-0000-0700-000000000000}">
      <formula1>"TOU, non-TOU"</formula1>
    </dataValidation>
    <dataValidation type="list" allowBlank="1" showInputMessage="1" showErrorMessage="1" sqref="E26:E27 E38 E20:E24 E29:E33 E15:E18" xr:uid="{00000000-0002-0000-0700-000001000000}">
      <formula1>#REF!</formula1>
    </dataValidation>
    <dataValidation type="list" allowBlank="1" showInputMessage="1" showErrorMessage="1" prompt="Select Charge Unit - monthly, per kWh, per kW" sqref="D26:D27 D38 D20:D24 D29:D33 D15:D18" xr:uid="{00000000-0002-0000-0700-000002000000}">
      <formula1>"Monthly, per kWh, per kW"</formula1>
    </dataValidation>
  </dataValidations>
  <pageMargins left="0.7" right="0.7" top="0.75" bottom="0.75" header="0.3" footer="0.3"/>
  <pageSetup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S39"/>
  <sheetViews>
    <sheetView showGridLines="0" zoomScaleNormal="100" workbookViewId="0">
      <selection activeCell="J16" sqref="J16"/>
    </sheetView>
  </sheetViews>
  <sheetFormatPr defaultRowHeight="15" x14ac:dyDescent="0.25"/>
  <cols>
    <col min="1" max="1" width="2.140625" style="1" customWidth="1"/>
    <col min="2" max="2" width="40.28515625" style="1" customWidth="1"/>
    <col min="3" max="3" width="1.28515625" style="1" customWidth="1"/>
    <col min="4" max="4" width="11.28515625" style="1" customWidth="1"/>
    <col min="5" max="5" width="1.28515625" style="1" customWidth="1"/>
    <col min="6" max="6" width="12.28515625" style="1" customWidth="1"/>
    <col min="7" max="7" width="8.5703125" style="1" customWidth="1"/>
    <col min="8" max="8" width="11.28515625" style="1" bestFit="1" customWidth="1"/>
    <col min="9" max="9" width="2.85546875" style="1" customWidth="1"/>
    <col min="10" max="10" width="12.140625" style="1" customWidth="1"/>
    <col min="11" max="11" width="8.5703125" style="1" customWidth="1"/>
    <col min="12" max="12" width="11.28515625" style="1" bestFit="1" customWidth="1"/>
    <col min="13" max="13" width="2.85546875" style="1" customWidth="1"/>
    <col min="14" max="14" width="12.7109375" style="1" bestFit="1" customWidth="1"/>
    <col min="15" max="15" width="10.85546875" style="1" bestFit="1" customWidth="1"/>
    <col min="16" max="16" width="3.85546875" style="1" customWidth="1"/>
    <col min="17" max="19" width="9.140625" style="1"/>
    <col min="20" max="20" width="9.140625" style="1" customWidth="1"/>
    <col min="21" max="16384" width="9.140625" style="1"/>
  </cols>
  <sheetData>
    <row r="1" spans="2:16" ht="7.5" customHeight="1" x14ac:dyDescent="0.25">
      <c r="L1"/>
      <c r="M1"/>
      <c r="N1"/>
      <c r="O1"/>
      <c r="P1"/>
    </row>
    <row r="2" spans="2:16" ht="18.75" customHeight="1" x14ac:dyDescent="0.25">
      <c r="B2" s="223" t="s">
        <v>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/>
    </row>
    <row r="3" spans="2:16" ht="18.75" customHeight="1" x14ac:dyDescent="0.25">
      <c r="B3" s="223" t="s">
        <v>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/>
    </row>
    <row r="4" spans="2:16" ht="7.5" customHeight="1" x14ac:dyDescent="0.25">
      <c r="L4"/>
      <c r="M4"/>
      <c r="N4"/>
      <c r="O4"/>
      <c r="P4"/>
    </row>
    <row r="5" spans="2:16" ht="7.5" customHeight="1" x14ac:dyDescent="0.25">
      <c r="L5"/>
      <c r="M5"/>
      <c r="N5"/>
      <c r="O5"/>
      <c r="P5"/>
    </row>
    <row r="6" spans="2:16" ht="15.75" x14ac:dyDescent="0.25">
      <c r="B6" s="2" t="s">
        <v>2</v>
      </c>
      <c r="D6" s="224" t="s">
        <v>101</v>
      </c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</row>
    <row r="7" spans="2:16" ht="7.5" customHeight="1" x14ac:dyDescent="0.25">
      <c r="B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16" ht="15.75" x14ac:dyDescent="0.25">
      <c r="B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6" x14ac:dyDescent="0.25">
      <c r="B9" s="6"/>
      <c r="D9" s="7" t="s">
        <v>5</v>
      </c>
      <c r="E9" s="7"/>
      <c r="F9" s="8">
        <v>90000</v>
      </c>
      <c r="G9" s="7" t="s">
        <v>6</v>
      </c>
      <c r="I9" s="228" t="s">
        <v>57</v>
      </c>
      <c r="J9" s="228"/>
      <c r="K9" s="8">
        <v>225</v>
      </c>
      <c r="L9" s="105" t="s">
        <v>58</v>
      </c>
    </row>
    <row r="10" spans="2:16" x14ac:dyDescent="0.25">
      <c r="B10" s="6"/>
    </row>
    <row r="11" spans="2:16" x14ac:dyDescent="0.25">
      <c r="B11" s="6"/>
      <c r="D11" s="9"/>
      <c r="E11" s="9"/>
      <c r="F11" s="225" t="s">
        <v>7</v>
      </c>
      <c r="G11" s="226"/>
      <c r="H11" s="227"/>
      <c r="J11" s="225" t="s">
        <v>8</v>
      </c>
      <c r="K11" s="226"/>
      <c r="L11" s="227"/>
      <c r="N11" s="225" t="s">
        <v>9</v>
      </c>
      <c r="O11" s="227"/>
    </row>
    <row r="12" spans="2:16" x14ac:dyDescent="0.25">
      <c r="B12" s="6"/>
      <c r="D12" s="217" t="s">
        <v>10</v>
      </c>
      <c r="E12" s="10"/>
      <c r="F12" s="11" t="s">
        <v>11</v>
      </c>
      <c r="G12" s="11" t="s">
        <v>12</v>
      </c>
      <c r="H12" s="12" t="s">
        <v>13</v>
      </c>
      <c r="J12" s="11" t="s">
        <v>11</v>
      </c>
      <c r="K12" s="13" t="s">
        <v>12</v>
      </c>
      <c r="L12" s="12" t="s">
        <v>13</v>
      </c>
      <c r="N12" s="219" t="s">
        <v>14</v>
      </c>
      <c r="O12" s="221" t="s">
        <v>15</v>
      </c>
    </row>
    <row r="13" spans="2:16" x14ac:dyDescent="0.25">
      <c r="B13" s="6"/>
      <c r="D13" s="218"/>
      <c r="E13" s="10"/>
      <c r="F13" s="14" t="s">
        <v>16</v>
      </c>
      <c r="G13" s="14"/>
      <c r="H13" s="15" t="s">
        <v>16</v>
      </c>
      <c r="J13" s="14" t="s">
        <v>16</v>
      </c>
      <c r="K13" s="15"/>
      <c r="L13" s="15" t="s">
        <v>16</v>
      </c>
      <c r="N13" s="220"/>
      <c r="O13" s="222"/>
    </row>
    <row r="14" spans="2:16" x14ac:dyDescent="0.25">
      <c r="B14" s="16" t="s">
        <v>17</v>
      </c>
      <c r="C14" s="16"/>
      <c r="D14" s="17" t="s">
        <v>54</v>
      </c>
      <c r="E14" s="18"/>
      <c r="F14" s="139">
        <f>Rates!D20</f>
        <v>659.94</v>
      </c>
      <c r="G14" s="19">
        <v>1</v>
      </c>
      <c r="H14" s="20">
        <f>G14*F14</f>
        <v>659.94</v>
      </c>
      <c r="I14" s="21"/>
      <c r="J14" s="140">
        <f>Rates!F20</f>
        <v>674.59</v>
      </c>
      <c r="K14" s="22">
        <v>1</v>
      </c>
      <c r="L14" s="20">
        <f>K14*J14</f>
        <v>674.59</v>
      </c>
      <c r="M14" s="21"/>
      <c r="N14" s="23">
        <f>L14-H14</f>
        <v>14.649999999999977</v>
      </c>
      <c r="O14" s="24">
        <f>IF((H14)=0,"",(N14/H14))</f>
        <v>2.2198987786768459E-2</v>
      </c>
    </row>
    <row r="15" spans="2:16" x14ac:dyDescent="0.25">
      <c r="B15" s="16" t="s">
        <v>18</v>
      </c>
      <c r="C15" s="16"/>
      <c r="D15" s="17" t="s">
        <v>59</v>
      </c>
      <c r="E15" s="18"/>
      <c r="F15" s="139">
        <f>Rates!D21</f>
        <v>3.4194</v>
      </c>
      <c r="G15" s="19">
        <f>$K$9</f>
        <v>225</v>
      </c>
      <c r="H15" s="20">
        <f t="shared" ref="H15:H16" si="0">G15*F15</f>
        <v>769.36500000000001</v>
      </c>
      <c r="I15" s="21"/>
      <c r="J15" s="140">
        <f>Rates!F21</f>
        <v>3.4952999999999999</v>
      </c>
      <c r="K15" s="19">
        <f>$K$9</f>
        <v>225</v>
      </c>
      <c r="L15" s="20">
        <f t="shared" ref="L15:L16" si="1">K15*J15</f>
        <v>786.4425</v>
      </c>
      <c r="M15" s="21"/>
      <c r="N15" s="23">
        <f t="shared" ref="N15:N17" si="2">L15-H15</f>
        <v>17.077499999999986</v>
      </c>
      <c r="O15" s="24">
        <f t="shared" ref="O15:O17" si="3">IF((H15)=0,"",(N15/H15))</f>
        <v>2.2196876645025426E-2</v>
      </c>
    </row>
    <row r="16" spans="2:16" x14ac:dyDescent="0.25">
      <c r="B16" s="134" t="s">
        <v>102</v>
      </c>
      <c r="C16" s="16"/>
      <c r="D16" s="49" t="s">
        <v>59</v>
      </c>
      <c r="E16" s="18"/>
      <c r="F16" s="140">
        <f>Rates!D24+Rates!D25</f>
        <v>-0.80100000000000005</v>
      </c>
      <c r="G16" s="19">
        <f t="shared" ref="G16:G21" si="4">$K$9</f>
        <v>225</v>
      </c>
      <c r="H16" s="20">
        <f t="shared" si="0"/>
        <v>-180.22500000000002</v>
      </c>
      <c r="I16" s="21"/>
      <c r="J16" s="140">
        <f>Rates!F24+Rates!F25</f>
        <v>-5.5099999999999996E-2</v>
      </c>
      <c r="K16" s="19">
        <f t="shared" ref="K16:K21" si="5">$K$9</f>
        <v>225</v>
      </c>
      <c r="L16" s="20">
        <f t="shared" si="1"/>
        <v>-12.397499999999999</v>
      </c>
      <c r="M16" s="21"/>
      <c r="N16" s="23">
        <f t="shared" si="2"/>
        <v>167.82750000000001</v>
      </c>
      <c r="O16" s="24">
        <f t="shared" si="3"/>
        <v>-0.93121098626716603</v>
      </c>
    </row>
    <row r="17" spans="2:19" s="36" customFormat="1" x14ac:dyDescent="0.25">
      <c r="B17" s="25" t="s">
        <v>19</v>
      </c>
      <c r="C17" s="26"/>
      <c r="D17" s="27"/>
      <c r="E17" s="26"/>
      <c r="F17" s="28"/>
      <c r="G17" s="29"/>
      <c r="H17" s="30">
        <f>SUM(H14:H16)</f>
        <v>1249.08</v>
      </c>
      <c r="I17" s="31"/>
      <c r="J17" s="32"/>
      <c r="K17" s="33"/>
      <c r="L17" s="30">
        <f>SUM(L14:L16)</f>
        <v>1448.635</v>
      </c>
      <c r="M17" s="31"/>
      <c r="N17" s="34">
        <f t="shared" si="2"/>
        <v>199.55500000000006</v>
      </c>
      <c r="O17" s="35">
        <f t="shared" si="3"/>
        <v>0.15976158452621136</v>
      </c>
    </row>
    <row r="18" spans="2:19" x14ac:dyDescent="0.25">
      <c r="B18" s="39" t="s">
        <v>21</v>
      </c>
      <c r="C18" s="16"/>
      <c r="D18" s="17" t="s">
        <v>55</v>
      </c>
      <c r="E18" s="18"/>
      <c r="F18" s="107">
        <v>0</v>
      </c>
      <c r="G18" s="41">
        <v>0</v>
      </c>
      <c r="H18" s="20">
        <f>G18*F18</f>
        <v>0</v>
      </c>
      <c r="I18" s="21"/>
      <c r="J18" s="109">
        <v>0</v>
      </c>
      <c r="K18" s="41">
        <v>0</v>
      </c>
      <c r="L18" s="20">
        <f>K18*J18</f>
        <v>0</v>
      </c>
      <c r="M18" s="21"/>
      <c r="N18" s="23">
        <f>L18-H18</f>
        <v>0</v>
      </c>
      <c r="O18" s="24" t="str">
        <f>IF((H18)=0,"",(N18/H18))</f>
        <v/>
      </c>
    </row>
    <row r="19" spans="2:19" x14ac:dyDescent="0.25">
      <c r="B19" s="135" t="str">
        <f>Rates!A22</f>
        <v>Total Deferral/Variance Account Rate Riders (Group 1, excl GA)</v>
      </c>
      <c r="C19" s="16"/>
      <c r="D19" s="17" t="s">
        <v>59</v>
      </c>
      <c r="E19" s="18"/>
      <c r="F19" s="140">
        <f>Rates!D22</f>
        <v>-0.48799999999999999</v>
      </c>
      <c r="G19" s="19">
        <f t="shared" si="4"/>
        <v>225</v>
      </c>
      <c r="H19" s="20">
        <f t="shared" ref="H19:H20" si="6">G19*F19</f>
        <v>-109.8</v>
      </c>
      <c r="I19" s="37"/>
      <c r="J19" s="140">
        <f>Rates!F22</f>
        <v>-0.56359999999999999</v>
      </c>
      <c r="K19" s="19">
        <f t="shared" si="5"/>
        <v>225</v>
      </c>
      <c r="L19" s="20">
        <f t="shared" ref="L19:L20" si="7">K19*J19</f>
        <v>-126.81</v>
      </c>
      <c r="M19" s="38"/>
      <c r="N19" s="23">
        <f t="shared" ref="N19:N20" si="8">L19-H19</f>
        <v>-17.010000000000005</v>
      </c>
      <c r="O19" s="24">
        <f t="shared" ref="O19:O20" si="9">IF((H19)=0,"",(N19/H19))</f>
        <v>0.15491803278688529</v>
      </c>
    </row>
    <row r="20" spans="2:19" x14ac:dyDescent="0.25">
      <c r="B20" s="135" t="str">
        <f>Rates!A23</f>
        <v>GA Rate Riders</v>
      </c>
      <c r="C20" s="16"/>
      <c r="D20" s="17" t="s">
        <v>55</v>
      </c>
      <c r="E20" s="18"/>
      <c r="F20" s="140">
        <f>Rates!D23</f>
        <v>-7.7999999999999996E-3</v>
      </c>
      <c r="G20" s="106">
        <f>F9</f>
        <v>90000</v>
      </c>
      <c r="H20" s="20">
        <f t="shared" si="6"/>
        <v>-702</v>
      </c>
      <c r="I20" s="37"/>
      <c r="J20" s="140">
        <f>Rates!F23</f>
        <v>-5.21E-2</v>
      </c>
      <c r="K20" s="106">
        <f>F9</f>
        <v>90000</v>
      </c>
      <c r="L20" s="20">
        <f t="shared" si="7"/>
        <v>-4689</v>
      </c>
      <c r="M20" s="38"/>
      <c r="N20" s="23">
        <f t="shared" si="8"/>
        <v>-3987</v>
      </c>
      <c r="O20" s="24">
        <f t="shared" si="9"/>
        <v>5.6794871794871797</v>
      </c>
    </row>
    <row r="21" spans="2:19" x14ac:dyDescent="0.25">
      <c r="B21" s="39" t="s">
        <v>20</v>
      </c>
      <c r="C21" s="16"/>
      <c r="D21" s="17"/>
      <c r="E21" s="18"/>
      <c r="F21" s="139"/>
      <c r="G21" s="19">
        <f t="shared" si="4"/>
        <v>225</v>
      </c>
      <c r="H21" s="20">
        <f>G21*F21</f>
        <v>0</v>
      </c>
      <c r="I21" s="21"/>
      <c r="J21" s="140"/>
      <c r="K21" s="19">
        <f t="shared" si="5"/>
        <v>225</v>
      </c>
      <c r="L21" s="20">
        <f>K21*J21</f>
        <v>0</v>
      </c>
      <c r="M21" s="21"/>
      <c r="N21" s="23">
        <f>L21-H21</f>
        <v>0</v>
      </c>
      <c r="O21" s="24" t="str">
        <f>IF((H21)=0,"",(N21/H21))</f>
        <v/>
      </c>
    </row>
    <row r="22" spans="2:19" x14ac:dyDescent="0.25">
      <c r="B22" s="39" t="s">
        <v>22</v>
      </c>
      <c r="C22" s="16"/>
      <c r="D22" s="17" t="s">
        <v>54</v>
      </c>
      <c r="E22" s="18"/>
      <c r="F22" s="40"/>
      <c r="G22" s="19">
        <v>1</v>
      </c>
      <c r="H22" s="20">
        <f>G22*F22</f>
        <v>0</v>
      </c>
      <c r="I22" s="21"/>
      <c r="J22" s="40"/>
      <c r="K22" s="19">
        <v>1</v>
      </c>
      <c r="L22" s="20">
        <f>K22*J22</f>
        <v>0</v>
      </c>
      <c r="M22" s="21"/>
      <c r="N22" s="23">
        <f>L22-H22</f>
        <v>0</v>
      </c>
      <c r="O22" s="24"/>
    </row>
    <row r="23" spans="2:19" ht="25.5" x14ac:dyDescent="0.25">
      <c r="B23" s="43" t="s">
        <v>23</v>
      </c>
      <c r="C23" s="44"/>
      <c r="D23" s="44"/>
      <c r="E23" s="44"/>
      <c r="F23" s="45"/>
      <c r="G23" s="46"/>
      <c r="H23" s="47">
        <f>SUM(H18:H22)+H17</f>
        <v>437.28</v>
      </c>
      <c r="I23" s="31"/>
      <c r="J23" s="46"/>
      <c r="K23" s="48"/>
      <c r="L23" s="47">
        <f>SUM(L18:L22)+L17</f>
        <v>-3367.1750000000002</v>
      </c>
      <c r="M23" s="31"/>
      <c r="N23" s="34">
        <f t="shared" ref="N23:N34" si="10">L23-H23</f>
        <v>-3804.4549999999999</v>
      </c>
      <c r="O23" s="35">
        <f t="shared" ref="O23:O34" si="11">IF((H23)=0,"",(N23/H23))</f>
        <v>-8.7002721368459568</v>
      </c>
    </row>
    <row r="24" spans="2:19" x14ac:dyDescent="0.25">
      <c r="B24" s="21" t="s">
        <v>24</v>
      </c>
      <c r="C24" s="21"/>
      <c r="D24" s="49" t="s">
        <v>59</v>
      </c>
      <c r="E24" s="50"/>
      <c r="F24" s="140">
        <f>Rates!D26</f>
        <v>2.5066000000000002</v>
      </c>
      <c r="G24" s="51">
        <f>K9*(1+F37)</f>
        <v>245.63249999999996</v>
      </c>
      <c r="H24" s="20">
        <f>G24*F24</f>
        <v>615.70242450000001</v>
      </c>
      <c r="I24" s="21"/>
      <c r="J24" s="140">
        <f>Rates!F26</f>
        <v>2.9916999999999998</v>
      </c>
      <c r="K24" s="52">
        <f>K9*(1+J37)</f>
        <v>243.6525</v>
      </c>
      <c r="L24" s="20">
        <f>K24*J24</f>
        <v>728.93518424999991</v>
      </c>
      <c r="M24" s="21"/>
      <c r="N24" s="23">
        <f t="shared" si="10"/>
        <v>113.2327597499999</v>
      </c>
      <c r="O24" s="24">
        <f t="shared" si="11"/>
        <v>0.18390825704796279</v>
      </c>
    </row>
    <row r="25" spans="2:19" x14ac:dyDescent="0.25">
      <c r="B25" s="53" t="s">
        <v>25</v>
      </c>
      <c r="C25" s="21"/>
      <c r="D25" s="49" t="s">
        <v>59</v>
      </c>
      <c r="E25" s="50"/>
      <c r="F25" s="140">
        <f>Rates!D27</f>
        <v>2.2787000000000002</v>
      </c>
      <c r="G25" s="51">
        <f>G24</f>
        <v>245.63249999999996</v>
      </c>
      <c r="H25" s="20">
        <f>G25*F25</f>
        <v>559.72277774999998</v>
      </c>
      <c r="I25" s="21"/>
      <c r="J25" s="140">
        <f>Rates!F27</f>
        <v>2.5323000000000002</v>
      </c>
      <c r="K25" s="52">
        <f>K24</f>
        <v>243.6525</v>
      </c>
      <c r="L25" s="20">
        <f>K25*J25</f>
        <v>617.00122575000012</v>
      </c>
      <c r="M25" s="21"/>
      <c r="N25" s="23">
        <f t="shared" si="10"/>
        <v>57.278448000000139</v>
      </c>
      <c r="O25" s="24">
        <f t="shared" si="11"/>
        <v>0.10233360205609417</v>
      </c>
    </row>
    <row r="26" spans="2:19" ht="25.5" x14ac:dyDescent="0.25">
      <c r="B26" s="43" t="s">
        <v>26</v>
      </c>
      <c r="C26" s="26"/>
      <c r="D26" s="26"/>
      <c r="E26" s="26"/>
      <c r="F26" s="54"/>
      <c r="G26" s="46"/>
      <c r="H26" s="47">
        <f>SUM(H23:H25)</f>
        <v>1612.70520225</v>
      </c>
      <c r="I26" s="55"/>
      <c r="J26" s="56"/>
      <c r="K26" s="57"/>
      <c r="L26" s="47">
        <f>SUM(L23:L25)</f>
        <v>-2021.2385899999999</v>
      </c>
      <c r="M26" s="55"/>
      <c r="N26" s="34">
        <f t="shared" si="10"/>
        <v>-3633.9437922500001</v>
      </c>
      <c r="O26" s="35">
        <f t="shared" si="11"/>
        <v>-2.253321801889165</v>
      </c>
    </row>
    <row r="27" spans="2:19" x14ac:dyDescent="0.25">
      <c r="B27" s="58" t="s">
        <v>27</v>
      </c>
      <c r="C27" s="16"/>
      <c r="D27" s="49" t="s">
        <v>55</v>
      </c>
      <c r="E27" s="18"/>
      <c r="F27" s="141">
        <f>Rates!D28</f>
        <v>3.3999999999999998E-3</v>
      </c>
      <c r="G27" s="51">
        <f>F9*(1+F37)</f>
        <v>98252.999999999985</v>
      </c>
      <c r="H27" s="59">
        <f t="shared" ref="H27:H30" si="12">G27*F27</f>
        <v>334.06019999999995</v>
      </c>
      <c r="I27" s="21"/>
      <c r="J27" s="141">
        <f>Rates!F28</f>
        <v>3.3999999999999998E-3</v>
      </c>
      <c r="K27" s="52">
        <f>F9*(1+J37)</f>
        <v>97461</v>
      </c>
      <c r="L27" s="59">
        <f t="shared" ref="L27:L30" si="13">K27*J27</f>
        <v>331.36739999999998</v>
      </c>
      <c r="M27" s="21"/>
      <c r="N27" s="23">
        <f t="shared" si="10"/>
        <v>-2.692799999999977</v>
      </c>
      <c r="O27" s="60">
        <f t="shared" si="11"/>
        <v>-8.0608225703031298E-3</v>
      </c>
    </row>
    <row r="28" spans="2:19" x14ac:dyDescent="0.25">
      <c r="B28" s="58" t="s">
        <v>28</v>
      </c>
      <c r="C28" s="16"/>
      <c r="D28" s="49" t="s">
        <v>55</v>
      </c>
      <c r="E28" s="18"/>
      <c r="F28" s="141">
        <f>Rates!D29</f>
        <v>5.0000000000000001E-4</v>
      </c>
      <c r="G28" s="51">
        <f>G27</f>
        <v>98252.999999999985</v>
      </c>
      <c r="H28" s="59">
        <f t="shared" si="12"/>
        <v>49.126499999999993</v>
      </c>
      <c r="I28" s="21"/>
      <c r="J28" s="141">
        <f>Rates!F29</f>
        <v>5.0000000000000001E-4</v>
      </c>
      <c r="K28" s="52">
        <f>K27</f>
        <v>97461</v>
      </c>
      <c r="L28" s="59">
        <f t="shared" si="13"/>
        <v>48.730499999999999</v>
      </c>
      <c r="M28" s="21"/>
      <c r="N28" s="23">
        <f t="shared" si="10"/>
        <v>-0.39599999999999369</v>
      </c>
      <c r="O28" s="60">
        <f t="shared" si="11"/>
        <v>-8.0608225703030691E-3</v>
      </c>
    </row>
    <row r="29" spans="2:19" x14ac:dyDescent="0.25">
      <c r="B29" s="16" t="s">
        <v>29</v>
      </c>
      <c r="C29" s="16"/>
      <c r="D29" s="17" t="s">
        <v>54</v>
      </c>
      <c r="E29" s="18"/>
      <c r="F29" s="61">
        <f>Rates!D30</f>
        <v>0.25</v>
      </c>
      <c r="G29" s="19">
        <v>1</v>
      </c>
      <c r="H29" s="59">
        <f t="shared" si="12"/>
        <v>0.25</v>
      </c>
      <c r="I29" s="21"/>
      <c r="J29" s="141">
        <f>Rates!F30</f>
        <v>0.25</v>
      </c>
      <c r="K29" s="22">
        <v>1</v>
      </c>
      <c r="L29" s="59">
        <f t="shared" si="13"/>
        <v>0.25</v>
      </c>
      <c r="M29" s="21"/>
      <c r="N29" s="23">
        <f t="shared" si="10"/>
        <v>0</v>
      </c>
      <c r="O29" s="60">
        <f t="shared" si="11"/>
        <v>0</v>
      </c>
    </row>
    <row r="30" spans="2:19" ht="15.75" thickBot="1" x14ac:dyDescent="0.3">
      <c r="B30" s="39" t="s">
        <v>61</v>
      </c>
      <c r="C30" s="16"/>
      <c r="D30" s="17" t="s">
        <v>55</v>
      </c>
      <c r="E30" s="18"/>
      <c r="F30" s="108">
        <f>Rates!D69</f>
        <v>0.1101</v>
      </c>
      <c r="G30" s="62">
        <f>G28</f>
        <v>98252.999999999985</v>
      </c>
      <c r="H30" s="59">
        <f t="shared" si="12"/>
        <v>10817.655299999999</v>
      </c>
      <c r="I30" s="21"/>
      <c r="J30" s="108">
        <f>Rates!F69</f>
        <v>0.1101</v>
      </c>
      <c r="K30" s="62">
        <f>K28</f>
        <v>97461</v>
      </c>
      <c r="L30" s="59">
        <f t="shared" si="13"/>
        <v>10730.456099999999</v>
      </c>
      <c r="M30" s="21"/>
      <c r="N30" s="23">
        <f t="shared" si="10"/>
        <v>-87.199199999999109</v>
      </c>
      <c r="O30" s="60">
        <f t="shared" si="11"/>
        <v>-8.060822570303116E-3</v>
      </c>
      <c r="S30" s="63"/>
    </row>
    <row r="31" spans="2:19" ht="15.75" thickBot="1" x14ac:dyDescent="0.3">
      <c r="B31" s="65"/>
      <c r="C31" s="66"/>
      <c r="D31" s="67"/>
      <c r="E31" s="66"/>
      <c r="F31" s="68"/>
      <c r="G31" s="69"/>
      <c r="H31" s="70"/>
      <c r="I31" s="71"/>
      <c r="J31" s="68"/>
      <c r="K31" s="72"/>
      <c r="L31" s="70"/>
      <c r="M31" s="71"/>
      <c r="N31" s="73"/>
      <c r="O31" s="74"/>
    </row>
    <row r="32" spans="2:19" x14ac:dyDescent="0.25">
      <c r="B32" s="75" t="s">
        <v>64</v>
      </c>
      <c r="C32" s="16"/>
      <c r="D32" s="16"/>
      <c r="E32" s="16"/>
      <c r="F32" s="76"/>
      <c r="G32" s="77"/>
      <c r="H32" s="78">
        <f>SUM(H27:H30,H26)</f>
        <v>12813.797202249998</v>
      </c>
      <c r="I32" s="79"/>
      <c r="J32" s="80"/>
      <c r="K32" s="80"/>
      <c r="L32" s="104">
        <f>SUM(L27:L30,L26)</f>
        <v>9089.5654099999992</v>
      </c>
      <c r="M32" s="81"/>
      <c r="N32" s="82">
        <f t="shared" ref="N32" si="14">L32-H32</f>
        <v>-3724.2317922499988</v>
      </c>
      <c r="O32" s="83">
        <f t="shared" ref="O32" si="15">IF((H32)=0,"",(N32/H32))</f>
        <v>-0.29064232354138198</v>
      </c>
      <c r="S32" s="63"/>
    </row>
    <row r="33" spans="1:19" x14ac:dyDescent="0.25">
      <c r="B33" s="84" t="s">
        <v>34</v>
      </c>
      <c r="C33" s="16"/>
      <c r="D33" s="16"/>
      <c r="E33" s="16"/>
      <c r="F33" s="85">
        <v>0.13</v>
      </c>
      <c r="G33" s="86"/>
      <c r="H33" s="87">
        <f>H32*F33</f>
        <v>1665.7936362924997</v>
      </c>
      <c r="I33" s="88"/>
      <c r="J33" s="89">
        <v>0.13</v>
      </c>
      <c r="K33" s="88"/>
      <c r="L33" s="90">
        <f>L32*J33</f>
        <v>1181.6435033</v>
      </c>
      <c r="M33" s="91"/>
      <c r="N33" s="92">
        <f t="shared" si="10"/>
        <v>-484.15013299249972</v>
      </c>
      <c r="O33" s="93">
        <f t="shared" si="11"/>
        <v>-0.29064232354138186</v>
      </c>
      <c r="S33" s="63"/>
    </row>
    <row r="34" spans="1:19" s="105" customFormat="1" ht="15.75" thickBot="1" x14ac:dyDescent="0.3">
      <c r="B34" s="94" t="s">
        <v>77</v>
      </c>
      <c r="C34" s="122"/>
      <c r="D34" s="122"/>
      <c r="E34" s="122"/>
      <c r="F34" s="123"/>
      <c r="G34" s="124"/>
      <c r="H34" s="78">
        <f>H32+H33</f>
        <v>14479.590838542497</v>
      </c>
      <c r="I34" s="79"/>
      <c r="J34" s="79"/>
      <c r="K34" s="79"/>
      <c r="L34" s="125">
        <f>L32+L33</f>
        <v>10271.208913299999</v>
      </c>
      <c r="M34" s="81"/>
      <c r="N34" s="82">
        <f t="shared" si="10"/>
        <v>-4208.3819252424983</v>
      </c>
      <c r="O34" s="83">
        <f t="shared" si="11"/>
        <v>-0.29064232354138192</v>
      </c>
      <c r="S34" s="126"/>
    </row>
    <row r="35" spans="1:19" s="64" customFormat="1" ht="15.75" thickBot="1" x14ac:dyDescent="0.25">
      <c r="B35" s="95"/>
      <c r="C35" s="96"/>
      <c r="D35" s="97"/>
      <c r="E35" s="96"/>
      <c r="F35" s="68"/>
      <c r="G35" s="98"/>
      <c r="H35" s="70"/>
      <c r="I35" s="99"/>
      <c r="J35" s="68"/>
      <c r="K35" s="100"/>
      <c r="L35" s="70"/>
      <c r="M35" s="99"/>
      <c r="N35" s="101"/>
      <c r="O35" s="74"/>
    </row>
    <row r="36" spans="1:19" x14ac:dyDescent="0.25">
      <c r="L36" s="63"/>
    </row>
    <row r="37" spans="1:19" x14ac:dyDescent="0.25">
      <c r="B37" s="7" t="s">
        <v>35</v>
      </c>
      <c r="F37" s="102">
        <f>Rates!D61</f>
        <v>9.1700000000000004E-2</v>
      </c>
      <c r="J37" s="102">
        <f>Rates!F61</f>
        <v>8.2899999999999974E-2</v>
      </c>
    </row>
    <row r="39" spans="1:19" x14ac:dyDescent="0.25">
      <c r="A39" s="103"/>
      <c r="B39" s="1" t="s">
        <v>36</v>
      </c>
    </row>
  </sheetData>
  <mergeCells count="10">
    <mergeCell ref="D12:D13"/>
    <mergeCell ref="N12:N13"/>
    <mergeCell ref="O12:O13"/>
    <mergeCell ref="B2:O2"/>
    <mergeCell ref="B3:O3"/>
    <mergeCell ref="D6:O6"/>
    <mergeCell ref="I9:J9"/>
    <mergeCell ref="F11:H11"/>
    <mergeCell ref="J11:L11"/>
    <mergeCell ref="N11:O11"/>
  </mergeCells>
  <dataValidations count="2">
    <dataValidation type="list" allowBlank="1" showInputMessage="1" showErrorMessage="1" sqref="E24:E25 E35 E27:E31 E18:E22 E14:E16" xr:uid="{00000000-0002-0000-0800-000000000000}">
      <formula1>#REF!</formula1>
    </dataValidation>
    <dataValidation type="list" allowBlank="1" showInputMessage="1" showErrorMessage="1" prompt="Select Charge Unit - monthly, per kWh, per kW" sqref="D24:D25 D35 D27:D31 D18:D22 D14:D16" xr:uid="{00000000-0002-0000-0800-000001000000}">
      <formula1>"Monthly, per kWh, per kW"</formula1>
    </dataValidation>
  </dataValidation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Cover</vt:lpstr>
      <vt:lpstr>Rates</vt:lpstr>
      <vt:lpstr>Summary</vt:lpstr>
      <vt:lpstr>Residential_R1RPP_750</vt:lpstr>
      <vt:lpstr>Residential_R1RET_750</vt:lpstr>
      <vt:lpstr>Residential_R1RPP_10th_PCT</vt:lpstr>
      <vt:lpstr>Residential_R1GSRPP_2000</vt:lpstr>
      <vt:lpstr>Residential_R1GSRET_2000</vt:lpstr>
      <vt:lpstr>Residential - R2</vt:lpstr>
      <vt:lpstr>Residential - R2 Large</vt:lpstr>
      <vt:lpstr>Seasonal_RPP_750</vt:lpstr>
      <vt:lpstr>Seasonal_RET_750</vt:lpstr>
      <vt:lpstr>Seasonal_RPP_AVG</vt:lpstr>
      <vt:lpstr>Seasonal_RPP_10th_PCT</vt:lpstr>
      <vt:lpstr>Street Lighting Non-RPP</vt:lpstr>
      <vt:lpstr>'Residential - R2'!Print_Area</vt:lpstr>
      <vt:lpstr>'Residential - R2 Large'!Print_Area</vt:lpstr>
      <vt:lpstr>Residential_R1GSRET_2000!Print_Area</vt:lpstr>
      <vt:lpstr>Residential_R1GSRPP_2000!Print_Area</vt:lpstr>
      <vt:lpstr>Residential_R1RET_750!Print_Area</vt:lpstr>
      <vt:lpstr>Residential_R1RPP_10th_PCT!Print_Area</vt:lpstr>
      <vt:lpstr>Residential_R1RPP_750!Print_Area</vt:lpstr>
      <vt:lpstr>Seasonal_RET_750!Print_Area</vt:lpstr>
      <vt:lpstr>Seasonal_RPP_10th_PCT!Print_Area</vt:lpstr>
      <vt:lpstr>Seasonal_RPP_750!Print_Area</vt:lpstr>
      <vt:lpstr>Seasonal_RPP_AVG!Print_Area</vt:lpstr>
      <vt:lpstr>'Street Lighting Non-RPP'!Print_Area</vt:lpstr>
      <vt:lpstr>Summary!Print_Area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Beharriell, Greg</cp:lastModifiedBy>
  <cp:lastPrinted>2019-05-13T18:02:02Z</cp:lastPrinted>
  <dcterms:created xsi:type="dcterms:W3CDTF">2014-04-09T13:49:52Z</dcterms:created>
  <dcterms:modified xsi:type="dcterms:W3CDTF">2019-08-13T20:35:01Z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14.6</vt:lpwstr>
  </property>
</Properties>
</file>