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comments2.xml" ContentType="application/vnd.openxmlformats-officedocument.spreadsheetml.comments+xml"/>
  <Override PartName="/docProps/app.xml" ContentType="application/vnd.openxmlformats-officedocument.extended-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mark.wells\Desktop\final for filing\"/>
    </mc:Choice>
  </mc:AlternateContent>
  <xr:revisionPtr revIDLastSave="0" documentId="13_ncr:1_{B377C4A5-A6D9-488A-B59E-84283F28ABA3}" xr6:coauthVersionLast="36" xr6:coauthVersionMax="41" xr10:uidLastSave="{00000000-0000-0000-0000-000000000000}"/>
  <bookViews>
    <workbookView xWindow="0" yWindow="0" windowWidth="28800" windowHeight="12225" xr2:uid="{D404BB61-7145-4994-8D58-512DBD4A937B}"/>
  </bookViews>
  <sheets>
    <sheet name="2018 Analysis" sheetId="1" r:id="rId1"/>
    <sheet name="Rec Item 1a&amp;b - GA Trueup" sheetId="3" r:id="rId2"/>
    <sheet name="GA Detailed Analysis" sheetId="5" r:id="rId3"/>
    <sheet name="GA Rates" sheetId="9" r:id="rId4"/>
    <sheet name="IESO Invoice Adjustment 2018" sheetId="6" r:id="rId5"/>
    <sheet name="List of IESO Adjustments" sheetId="7" r:id="rId6"/>
  </sheets>
  <definedNames>
    <definedName name="_Hlk16073926" localSheetId="4">'IESO Invoice Adjustment 2018'!$A$5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28" i="5" l="1"/>
  <c r="R27" i="5"/>
  <c r="S15" i="5"/>
  <c r="U18" i="5"/>
  <c r="U17" i="5"/>
  <c r="U16" i="5"/>
  <c r="Q15" i="5"/>
  <c r="I22" i="6" l="1"/>
  <c r="G10" i="6"/>
  <c r="N28" i="5"/>
  <c r="B17" i="9"/>
  <c r="C17" i="9"/>
  <c r="D17" i="9"/>
  <c r="B18" i="9"/>
  <c r="C18" i="9"/>
  <c r="D18" i="9"/>
  <c r="B19" i="9"/>
  <c r="C19" i="9"/>
  <c r="D19" i="9"/>
  <c r="B20" i="9"/>
  <c r="C20" i="9"/>
  <c r="D20" i="9"/>
  <c r="B21" i="9"/>
  <c r="C21" i="9"/>
  <c r="D21" i="9"/>
  <c r="B22" i="9"/>
  <c r="C22" i="9"/>
  <c r="D22" i="9"/>
  <c r="B23" i="9"/>
  <c r="C23" i="9"/>
  <c r="D23" i="9"/>
  <c r="B24" i="9"/>
  <c r="C24" i="9"/>
  <c r="D24" i="9"/>
  <c r="B25" i="9"/>
  <c r="C25" i="9"/>
  <c r="D25" i="9"/>
  <c r="B26" i="9"/>
  <c r="C26" i="9"/>
  <c r="D26" i="9"/>
  <c r="B27" i="9"/>
  <c r="C27" i="9"/>
  <c r="D27" i="9"/>
  <c r="B28" i="9"/>
  <c r="C28" i="9"/>
  <c r="D28" i="9"/>
  <c r="B90" i="7" l="1"/>
  <c r="D25" i="1" l="1"/>
  <c r="W34" i="5" l="1"/>
  <c r="W35" i="5"/>
  <c r="W36" i="5"/>
  <c r="W37" i="5"/>
  <c r="W41" i="5" s="1"/>
  <c r="D33" i="5" s="1"/>
  <c r="W38" i="5"/>
  <c r="W39" i="5"/>
  <c r="W40" i="5"/>
  <c r="T41" i="5" l="1"/>
  <c r="C33" i="5" s="1"/>
  <c r="E33" i="5" s="1"/>
  <c r="C83" i="1" l="1"/>
  <c r="Z41" i="5"/>
  <c r="D64" i="6" l="1"/>
  <c r="E64" i="6" s="1"/>
  <c r="G64" i="6" s="1"/>
  <c r="D60" i="6"/>
  <c r="D58" i="6"/>
  <c r="D56" i="6"/>
  <c r="D54" i="6"/>
  <c r="D52" i="6"/>
  <c r="F43" i="6"/>
  <c r="F42" i="6"/>
  <c r="D43" i="6"/>
  <c r="F41" i="6"/>
  <c r="D42" i="6"/>
  <c r="F40" i="6"/>
  <c r="D41" i="6"/>
  <c r="F39" i="6"/>
  <c r="D40" i="6"/>
  <c r="F38" i="6"/>
  <c r="D39" i="6"/>
  <c r="F37" i="6"/>
  <c r="F36" i="6"/>
  <c r="D37" i="6"/>
  <c r="F35" i="6"/>
  <c r="D36" i="6"/>
  <c r="F34" i="6"/>
  <c r="D35" i="6"/>
  <c r="F33" i="6"/>
  <c r="D34" i="6"/>
  <c r="F32" i="6"/>
  <c r="H22" i="6"/>
  <c r="D38" i="6" l="1"/>
  <c r="E38" i="6" s="1"/>
  <c r="G38" i="6" s="1"/>
  <c r="E37" i="6"/>
  <c r="G37" i="6" s="1"/>
  <c r="E52" i="6"/>
  <c r="E56" i="6"/>
  <c r="E58" i="6"/>
  <c r="E60" i="6"/>
  <c r="F44" i="6"/>
  <c r="E36" i="6"/>
  <c r="G36" i="6" s="1"/>
  <c r="E12" i="6"/>
  <c r="F53" i="6" s="1"/>
  <c r="E13" i="6"/>
  <c r="F54" i="6" s="1"/>
  <c r="E16" i="6"/>
  <c r="F57" i="6" s="1"/>
  <c r="E17" i="6"/>
  <c r="G17" i="6" s="1"/>
  <c r="I17" i="6" s="1"/>
  <c r="J17" i="6" s="1"/>
  <c r="E20" i="6"/>
  <c r="F61" i="6" s="1"/>
  <c r="E40" i="6"/>
  <c r="G40" i="6" s="1"/>
  <c r="E21" i="6"/>
  <c r="I21" i="6" s="1"/>
  <c r="E18" i="6"/>
  <c r="F59" i="6" s="1"/>
  <c r="B44" i="6"/>
  <c r="E34" i="6"/>
  <c r="G34" i="6" s="1"/>
  <c r="E42" i="6"/>
  <c r="G42" i="6" s="1"/>
  <c r="C22" i="6"/>
  <c r="D22" i="6"/>
  <c r="E11" i="6"/>
  <c r="F52" i="6" s="1"/>
  <c r="E15" i="6"/>
  <c r="G15" i="6" s="1"/>
  <c r="I15" i="6" s="1"/>
  <c r="E19" i="6"/>
  <c r="F60" i="6" s="1"/>
  <c r="C44" i="6"/>
  <c r="E50" i="6"/>
  <c r="E32" i="6"/>
  <c r="G32" i="6" s="1"/>
  <c r="C62" i="6"/>
  <c r="E54" i="6"/>
  <c r="E39" i="6"/>
  <c r="G39" i="6" s="1"/>
  <c r="E41" i="6"/>
  <c r="G41" i="6" s="1"/>
  <c r="E43" i="6"/>
  <c r="G43" i="6" s="1"/>
  <c r="D61" i="6"/>
  <c r="E61" i="6" s="1"/>
  <c r="B62" i="6"/>
  <c r="B22" i="6"/>
  <c r="E9" i="6"/>
  <c r="D53" i="6"/>
  <c r="E53" i="6" s="1"/>
  <c r="D57" i="6"/>
  <c r="E57" i="6" s="1"/>
  <c r="E10" i="6"/>
  <c r="E14" i="6"/>
  <c r="D51" i="6"/>
  <c r="E51" i="6" s="1"/>
  <c r="D55" i="6"/>
  <c r="E55" i="6" s="1"/>
  <c r="D59" i="6"/>
  <c r="E59" i="6" s="1"/>
  <c r="D33" i="6"/>
  <c r="E35" i="6"/>
  <c r="G35" i="6" s="1"/>
  <c r="G52" i="6" l="1"/>
  <c r="G12" i="6"/>
  <c r="I12" i="6" s="1"/>
  <c r="J12" i="6" s="1"/>
  <c r="D44" i="6"/>
  <c r="F58" i="6"/>
  <c r="G58" i="6" s="1"/>
  <c r="G18" i="6"/>
  <c r="I18" i="6" s="1"/>
  <c r="F56" i="6"/>
  <c r="G56" i="6" s="1"/>
  <c r="G20" i="6"/>
  <c r="I20" i="6" s="1"/>
  <c r="J20" i="6" s="1"/>
  <c r="G11" i="6"/>
  <c r="I11" i="6" s="1"/>
  <c r="J11" i="6" s="1"/>
  <c r="G53" i="6"/>
  <c r="E22" i="6"/>
  <c r="G19" i="6"/>
  <c r="I19" i="6" s="1"/>
  <c r="J19" i="6" s="1"/>
  <c r="G60" i="6"/>
  <c r="G54" i="6"/>
  <c r="E62" i="6"/>
  <c r="G16" i="6"/>
  <c r="I16" i="6" s="1"/>
  <c r="J16" i="6" s="1"/>
  <c r="G13" i="6"/>
  <c r="I13" i="6" s="1"/>
  <c r="J13" i="6" s="1"/>
  <c r="E33" i="6"/>
  <c r="E44" i="6" s="1"/>
  <c r="D62" i="6"/>
  <c r="G59" i="6"/>
  <c r="J15" i="6"/>
  <c r="F55" i="6"/>
  <c r="G55" i="6" s="1"/>
  <c r="G14" i="6"/>
  <c r="I14" i="6" s="1"/>
  <c r="G61" i="6"/>
  <c r="F51" i="6"/>
  <c r="G51" i="6" s="1"/>
  <c r="I10" i="6"/>
  <c r="J18" i="6"/>
  <c r="G57" i="6"/>
  <c r="F50" i="6"/>
  <c r="G50" i="6" s="1"/>
  <c r="E8" i="6" s="1"/>
  <c r="I8" i="6" s="1"/>
  <c r="G9" i="6"/>
  <c r="G33" i="6" l="1"/>
  <c r="G44" i="6" s="1"/>
  <c r="F62" i="6"/>
  <c r="G62" i="6" s="1"/>
  <c r="J14" i="6"/>
  <c r="J10" i="6"/>
  <c r="G22" i="6"/>
  <c r="I9" i="6"/>
  <c r="H25" i="6" s="1"/>
  <c r="J21" i="6" l="1"/>
  <c r="J9" i="6"/>
  <c r="J22" i="6" l="1"/>
  <c r="B8" i="5" l="1"/>
  <c r="B7" i="5"/>
  <c r="B6" i="5"/>
  <c r="B5" i="5"/>
  <c r="B4" i="5"/>
  <c r="K9" i="6" l="1"/>
  <c r="G28" i="3"/>
  <c r="G24" i="3" l="1"/>
  <c r="G26" i="3"/>
  <c r="D32" i="3"/>
  <c r="H32" i="3" s="1"/>
  <c r="D28" i="3"/>
  <c r="H28" i="3" s="1"/>
  <c r="G23" i="3"/>
  <c r="G31" i="3"/>
  <c r="G27" i="3"/>
  <c r="D31" i="3"/>
  <c r="H31" i="3" s="1"/>
  <c r="G32" i="3"/>
  <c r="D27" i="3"/>
  <c r="H27" i="3" s="1"/>
  <c r="G34" i="3"/>
  <c r="K13" i="6"/>
  <c r="L13" i="6" s="1"/>
  <c r="M13" i="6" s="1"/>
  <c r="N13" i="6" s="1"/>
  <c r="G30" i="3"/>
  <c r="D26" i="3"/>
  <c r="L9" i="6"/>
  <c r="M9" i="6" s="1"/>
  <c r="D24" i="3"/>
  <c r="D34" i="3"/>
  <c r="D30" i="3"/>
  <c r="D33" i="3"/>
  <c r="D29" i="3"/>
  <c r="G29" i="3"/>
  <c r="G33" i="3"/>
  <c r="G25" i="3"/>
  <c r="D25" i="3"/>
  <c r="H23" i="3"/>
  <c r="I23" i="3" s="1"/>
  <c r="K17" i="6" l="1"/>
  <c r="L17" i="6" s="1"/>
  <c r="M17" i="6" s="1"/>
  <c r="N17" i="6" s="1"/>
  <c r="K14" i="6"/>
  <c r="L14" i="6" s="1"/>
  <c r="M14" i="6" s="1"/>
  <c r="N14" i="6" s="1"/>
  <c r="I31" i="3"/>
  <c r="J31" i="3"/>
  <c r="I32" i="3"/>
  <c r="J32" i="3"/>
  <c r="J28" i="3"/>
  <c r="I28" i="3"/>
  <c r="J27" i="3"/>
  <c r="K18" i="6"/>
  <c r="L18" i="6" s="1"/>
  <c r="M18" i="6" s="1"/>
  <c r="N18" i="6" s="1"/>
  <c r="I27" i="3"/>
  <c r="H33" i="3"/>
  <c r="J33" i="3" s="1"/>
  <c r="K19" i="6"/>
  <c r="L19" i="6" s="1"/>
  <c r="M19" i="6" s="1"/>
  <c r="N19" i="6" s="1"/>
  <c r="H30" i="3"/>
  <c r="K16" i="6"/>
  <c r="L16" i="6" s="1"/>
  <c r="M16" i="6" s="1"/>
  <c r="N16" i="6" s="1"/>
  <c r="H25" i="3"/>
  <c r="I25" i="3" s="1"/>
  <c r="K11" i="6"/>
  <c r="L11" i="6" s="1"/>
  <c r="M11" i="6" s="1"/>
  <c r="N11" i="6" s="1"/>
  <c r="H29" i="3"/>
  <c r="K15" i="6"/>
  <c r="L15" i="6" s="1"/>
  <c r="H34" i="3"/>
  <c r="K20" i="6"/>
  <c r="L20" i="6" s="1"/>
  <c r="H26" i="3"/>
  <c r="K12" i="6"/>
  <c r="L12" i="6" s="1"/>
  <c r="M12" i="6" s="1"/>
  <c r="N12" i="6" s="1"/>
  <c r="H24" i="3"/>
  <c r="K10" i="6"/>
  <c r="N9" i="6"/>
  <c r="J25" i="3"/>
  <c r="J23" i="3"/>
  <c r="I33" i="3" l="1"/>
  <c r="K22" i="6"/>
  <c r="M15" i="6"/>
  <c r="N15" i="6" s="1"/>
  <c r="I29" i="3"/>
  <c r="J29" i="3"/>
  <c r="J26" i="3"/>
  <c r="I26" i="3"/>
  <c r="I30" i="3"/>
  <c r="J30" i="3"/>
  <c r="L10" i="6"/>
  <c r="M10" i="6" s="1"/>
  <c r="M21" i="6"/>
  <c r="M20" i="6"/>
  <c r="N20" i="6" s="1"/>
  <c r="I24" i="3"/>
  <c r="J24" i="3"/>
  <c r="J34" i="3"/>
  <c r="I34" i="3"/>
  <c r="C71" i="1" s="1"/>
  <c r="D27" i="1"/>
  <c r="K7" i="5" l="1"/>
  <c r="N21" i="6"/>
  <c r="N10" i="6"/>
  <c r="F17" i="3" l="1"/>
  <c r="F16" i="3"/>
  <c r="F15" i="3"/>
  <c r="F14" i="3"/>
  <c r="E14" i="3"/>
  <c r="F13" i="3"/>
  <c r="E13" i="3"/>
  <c r="F12" i="3"/>
  <c r="F11" i="3"/>
  <c r="E11" i="3"/>
  <c r="F10" i="3"/>
  <c r="F9" i="3"/>
  <c r="F8" i="3"/>
  <c r="F7" i="3"/>
  <c r="F6" i="3"/>
  <c r="D8" i="3" l="1"/>
  <c r="H8" i="3" s="1"/>
  <c r="D6" i="3"/>
  <c r="H6" i="3" s="1"/>
  <c r="D9" i="3"/>
  <c r="H9" i="3" s="1"/>
  <c r="D12" i="3"/>
  <c r="H12" i="3" s="1"/>
  <c r="D15" i="3"/>
  <c r="H15" i="3" s="1"/>
  <c r="D7" i="3"/>
  <c r="H7" i="3" s="1"/>
  <c r="D11" i="3"/>
  <c r="H11" i="3" s="1"/>
  <c r="G17" i="3"/>
  <c r="D16" i="3"/>
  <c r="H16" i="3" s="1"/>
  <c r="C18" i="3"/>
  <c r="D10" i="3"/>
  <c r="H10" i="3" s="1"/>
  <c r="D13" i="3"/>
  <c r="H13" i="3" s="1"/>
  <c r="D14" i="3"/>
  <c r="H14" i="3" s="1"/>
  <c r="D17" i="3"/>
  <c r="H17" i="3" s="1"/>
  <c r="B18" i="3"/>
  <c r="I17" i="3" l="1"/>
  <c r="J17" i="3"/>
  <c r="D18" i="3"/>
  <c r="H18" i="3"/>
  <c r="I18" i="3" s="1"/>
  <c r="C26" i="5" l="1"/>
  <c r="C25" i="5"/>
  <c r="B24" i="5" l="1"/>
  <c r="S24" i="5" s="1"/>
  <c r="B25" i="5"/>
  <c r="S25" i="5" s="1"/>
  <c r="C24" i="5"/>
  <c r="C23" i="5" l="1"/>
  <c r="C22" i="5" l="1"/>
  <c r="D15" i="5" l="1"/>
  <c r="D32" i="5" s="1"/>
  <c r="E32" i="5" s="1"/>
  <c r="C21" i="5"/>
  <c r="C20" i="5" l="1"/>
  <c r="C82" i="1" l="1"/>
  <c r="C19" i="5"/>
  <c r="D50" i="1" l="1"/>
  <c r="C18" i="5"/>
  <c r="C17" i="5"/>
  <c r="D19" i="5" l="1"/>
  <c r="E19" i="5" l="1"/>
  <c r="C15" i="5"/>
  <c r="D51" i="1"/>
  <c r="D52" i="1"/>
  <c r="D21" i="5" s="1"/>
  <c r="D53" i="1"/>
  <c r="D22" i="5" s="1"/>
  <c r="D54" i="1"/>
  <c r="F54" i="1" s="1"/>
  <c r="D55" i="1"/>
  <c r="F55" i="1" s="1"/>
  <c r="D56" i="1"/>
  <c r="F56" i="1" s="1"/>
  <c r="D57" i="1"/>
  <c r="D49" i="1"/>
  <c r="D47" i="1"/>
  <c r="E15" i="5" l="1"/>
  <c r="D20" i="5"/>
  <c r="D18" i="5"/>
  <c r="D26" i="5"/>
  <c r="D23" i="5"/>
  <c r="D25" i="5"/>
  <c r="D16" i="5"/>
  <c r="D24" i="5"/>
  <c r="E21" i="5"/>
  <c r="E22" i="5"/>
  <c r="D48" i="1"/>
  <c r="C16" i="5"/>
  <c r="E20" i="5" l="1"/>
  <c r="E26" i="5"/>
  <c r="D58" i="1"/>
  <c r="E18" i="5"/>
  <c r="E23" i="5"/>
  <c r="E24" i="5"/>
  <c r="D17" i="5"/>
  <c r="F25" i="5"/>
  <c r="F24" i="5"/>
  <c r="E25" i="5"/>
  <c r="E16" i="5"/>
  <c r="C27" i="5"/>
  <c r="B23" i="5"/>
  <c r="S23" i="5" s="1"/>
  <c r="F53" i="1"/>
  <c r="F52" i="1"/>
  <c r="F51" i="1"/>
  <c r="F50" i="1"/>
  <c r="F49" i="1"/>
  <c r="F48" i="1"/>
  <c r="F47" i="1"/>
  <c r="F46" i="1"/>
  <c r="B17" i="5" l="1"/>
  <c r="S17" i="5" s="1"/>
  <c r="B19" i="5"/>
  <c r="S19" i="5" s="1"/>
  <c r="B16" i="5"/>
  <c r="S16" i="5" s="1"/>
  <c r="B20" i="5"/>
  <c r="S20" i="5" s="1"/>
  <c r="B21" i="5"/>
  <c r="S21" i="5" s="1"/>
  <c r="B18" i="5"/>
  <c r="S18" i="5" s="1"/>
  <c r="B22" i="5"/>
  <c r="S22" i="5" s="1"/>
  <c r="E17" i="5"/>
  <c r="D27" i="5"/>
  <c r="E27" i="5" s="1"/>
  <c r="F23" i="5"/>
  <c r="B15" i="5"/>
  <c r="F57" i="1"/>
  <c r="F17" i="5" l="1"/>
  <c r="F19" i="5"/>
  <c r="F58" i="1"/>
  <c r="F20" i="5"/>
  <c r="F16" i="5"/>
  <c r="F21" i="5"/>
  <c r="F18" i="5"/>
  <c r="F22" i="5"/>
  <c r="C58" i="1"/>
  <c r="B26" i="5"/>
  <c r="F15" i="5"/>
  <c r="L15" i="5" s="1"/>
  <c r="L24" i="5"/>
  <c r="L23" i="5"/>
  <c r="E58" i="1"/>
  <c r="H52" i="1" l="1"/>
  <c r="Q25" i="5"/>
  <c r="J54" i="1"/>
  <c r="H51" i="1"/>
  <c r="H55" i="1"/>
  <c r="J57" i="1"/>
  <c r="J51" i="1"/>
  <c r="H49" i="1"/>
  <c r="Q22" i="5"/>
  <c r="H57" i="1"/>
  <c r="J47" i="1"/>
  <c r="L20" i="5"/>
  <c r="H47" i="1"/>
  <c r="J49" i="1"/>
  <c r="L18" i="5"/>
  <c r="J53" i="1"/>
  <c r="L22" i="5"/>
  <c r="H46" i="1"/>
  <c r="J48" i="1"/>
  <c r="L17" i="5"/>
  <c r="J52" i="1"/>
  <c r="L21" i="5"/>
  <c r="H54" i="1"/>
  <c r="J56" i="1"/>
  <c r="L25" i="5"/>
  <c r="J46" i="1"/>
  <c r="J50" i="1"/>
  <c r="L16" i="5"/>
  <c r="L19" i="5"/>
  <c r="B27" i="5"/>
  <c r="S26" i="5"/>
  <c r="F26" i="5"/>
  <c r="F27" i="5" s="1"/>
  <c r="K15" i="5"/>
  <c r="H53" i="1"/>
  <c r="H48" i="1"/>
  <c r="H56" i="1"/>
  <c r="J55" i="1"/>
  <c r="H50" i="1"/>
  <c r="Q20" i="5" l="1"/>
  <c r="Q18" i="5"/>
  <c r="Q21" i="5"/>
  <c r="K22" i="5"/>
  <c r="M22" i="5" s="1"/>
  <c r="Q23" i="5"/>
  <c r="K19" i="5"/>
  <c r="M19" i="5" s="1"/>
  <c r="Q19" i="5"/>
  <c r="J15" i="5"/>
  <c r="K21" i="5"/>
  <c r="M21" i="5" s="1"/>
  <c r="K16" i="5"/>
  <c r="M16" i="5" s="1"/>
  <c r="Q16" i="5"/>
  <c r="Q26" i="5"/>
  <c r="Q24" i="5"/>
  <c r="Q17" i="5"/>
  <c r="K53" i="1"/>
  <c r="K46" i="1"/>
  <c r="K51" i="1"/>
  <c r="K48" i="1"/>
  <c r="T15" i="5"/>
  <c r="H27" i="5"/>
  <c r="G15" i="5"/>
  <c r="T22" i="5"/>
  <c r="J22" i="5"/>
  <c r="G22" i="5"/>
  <c r="J25" i="5"/>
  <c r="T25" i="5"/>
  <c r="G25" i="5"/>
  <c r="K25" i="5"/>
  <c r="T17" i="5"/>
  <c r="J17" i="5"/>
  <c r="G17" i="5"/>
  <c r="K17" i="5"/>
  <c r="M17" i="5" s="1"/>
  <c r="T23" i="5"/>
  <c r="J23" i="5"/>
  <c r="G23" i="5"/>
  <c r="K23" i="5"/>
  <c r="M23" i="5" s="1"/>
  <c r="T19" i="5"/>
  <c r="J19" i="5"/>
  <c r="G19" i="5"/>
  <c r="J20" i="5"/>
  <c r="T20" i="5"/>
  <c r="G20" i="5"/>
  <c r="K20" i="5"/>
  <c r="M20" i="5" s="1"/>
  <c r="M25" i="5"/>
  <c r="T16" i="5"/>
  <c r="J16" i="5"/>
  <c r="G16" i="5"/>
  <c r="T24" i="5"/>
  <c r="J24" i="5"/>
  <c r="G24" i="5"/>
  <c r="K24" i="5"/>
  <c r="M24" i="5" s="1"/>
  <c r="T26" i="5"/>
  <c r="J26" i="5"/>
  <c r="G26" i="5"/>
  <c r="T18" i="5"/>
  <c r="J18" i="5"/>
  <c r="G18" i="5"/>
  <c r="K18" i="5"/>
  <c r="M18" i="5" s="1"/>
  <c r="T21" i="5"/>
  <c r="U22" i="5" s="1"/>
  <c r="J21" i="5"/>
  <c r="G21" i="5"/>
  <c r="I27" i="5"/>
  <c r="K52" i="1"/>
  <c r="K47" i="1"/>
  <c r="L26" i="5"/>
  <c r="L27" i="5" s="1"/>
  <c r="K26" i="5"/>
  <c r="M15" i="5"/>
  <c r="K55" i="1"/>
  <c r="K49" i="1"/>
  <c r="K50" i="1"/>
  <c r="K56" i="1"/>
  <c r="K54" i="1"/>
  <c r="H58" i="1"/>
  <c r="J58" i="1"/>
  <c r="K57" i="1"/>
  <c r="Q27" i="5" l="1"/>
  <c r="U25" i="5"/>
  <c r="U20" i="5"/>
  <c r="K27" i="5"/>
  <c r="M27" i="5" s="1"/>
  <c r="N29" i="5" s="1"/>
  <c r="U24" i="5"/>
  <c r="J27" i="5"/>
  <c r="U26" i="5"/>
  <c r="U19" i="5"/>
  <c r="U21" i="5"/>
  <c r="G27" i="5"/>
  <c r="U23" i="5"/>
  <c r="M26" i="5"/>
  <c r="K58" i="1"/>
  <c r="C88" i="1" s="1"/>
  <c r="K5" i="5" l="1"/>
  <c r="F26" i="1" l="1"/>
  <c r="F24" i="1"/>
  <c r="F25" i="1" l="1"/>
  <c r="K8" i="5" l="1"/>
  <c r="F27" i="1"/>
  <c r="K6" i="5" l="1"/>
  <c r="K4" i="5" l="1"/>
  <c r="M6" i="5" s="1"/>
  <c r="M7" i="5" l="1"/>
  <c r="M5" i="5"/>
  <c r="M8" i="5"/>
  <c r="F64" i="1" l="1"/>
  <c r="C84" i="1" l="1"/>
  <c r="M8" i="6" l="1"/>
  <c r="M22" i="6" s="1"/>
  <c r="H26" i="6" s="1"/>
  <c r="N8" i="6" l="1"/>
  <c r="N22" i="6" s="1"/>
  <c r="H27" i="6" s="1"/>
  <c r="C78" i="1" l="1"/>
  <c r="C81" i="1"/>
  <c r="J7" i="3" l="1"/>
  <c r="I7" i="3"/>
  <c r="J12" i="3"/>
  <c r="I12" i="3"/>
  <c r="J11" i="3" l="1"/>
  <c r="I11" i="3"/>
  <c r="I8" i="3"/>
  <c r="J8" i="3"/>
  <c r="G18" i="3"/>
  <c r="J6" i="3"/>
  <c r="I6" i="3"/>
  <c r="I19" i="3" s="1"/>
  <c r="J14" i="3"/>
  <c r="I14" i="3"/>
  <c r="I9" i="3"/>
  <c r="J9" i="3"/>
  <c r="I13" i="3"/>
  <c r="J13" i="3"/>
  <c r="I10" i="3"/>
  <c r="J10" i="3"/>
  <c r="J16" i="3"/>
  <c r="I16" i="3"/>
  <c r="I15" i="3"/>
  <c r="J15" i="3"/>
  <c r="C70" i="1" l="1"/>
  <c r="C87" i="1" s="1"/>
  <c r="J19" i="3"/>
  <c r="C89" i="1" l="1"/>
  <c r="C90" i="1" s="1"/>
  <c r="D9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Colleen Calhoun</author>
  </authors>
  <commentList>
    <comment ref="C45" authorId="0" shapeId="0" xr:uid="{589845EB-1C1B-458A-BA7F-7ACCC368E50C}">
      <text>
        <r>
          <rPr>
            <b/>
            <sz val="9"/>
            <color indexed="81"/>
            <rFont val="Tahoma"/>
            <family val="2"/>
          </rPr>
          <t>Colleen Calhoun:</t>
        </r>
        <r>
          <rPr>
            <sz val="9"/>
            <color indexed="81"/>
            <rFont val="Tahoma"/>
            <family val="2"/>
          </rPr>
          <t xml:space="preserve">
Source: Flash Reports (Billed &amp; Adjustments)</t>
        </r>
      </text>
    </comment>
    <comment ref="E45" authorId="0" shapeId="0" xr:uid="{F6841F77-5840-440B-984B-1C168E82EF3B}">
      <text>
        <r>
          <rPr>
            <b/>
            <sz val="9"/>
            <color indexed="81"/>
            <rFont val="Tahoma"/>
            <family val="2"/>
          </rPr>
          <t>Colleen Calhoun:</t>
        </r>
        <r>
          <rPr>
            <sz val="9"/>
            <color indexed="81"/>
            <rFont val="Tahoma"/>
            <family val="2"/>
          </rPr>
          <t xml:space="preserve">
Mid-month Unbilled Revenue receivable codes:
L5, L6, L7, L9</t>
        </r>
      </text>
    </comment>
    <comment ref="E56" authorId="0" shapeId="0" xr:uid="{22E36EBD-04CD-41CE-A577-91AD664BE4AA}">
      <text>
        <r>
          <rPr>
            <b/>
            <sz val="9"/>
            <color indexed="81"/>
            <rFont val="Tahoma"/>
            <family val="2"/>
          </rPr>
          <t>Colleen Calhoun:</t>
        </r>
        <r>
          <rPr>
            <sz val="9"/>
            <color indexed="81"/>
            <rFont val="Tahoma"/>
            <family val="2"/>
          </rPr>
          <t xml:space="preserve">
Preliminary UBR with reduction file. Receivable codes L6, L7, reduced L9, and (L5 x %reduction)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Laura van Eykeren</author>
  </authors>
  <commentList>
    <comment ref="C2" authorId="0" shapeId="0" xr:uid="{93712083-6E5C-414F-B0AC-22CD1620558C}">
      <text>
        <r>
          <rPr>
            <b/>
            <sz val="9"/>
            <color indexed="81"/>
            <rFont val="Tahoma"/>
            <family val="2"/>
          </rPr>
          <t>Laura van Eykeren:</t>
        </r>
        <r>
          <rPr>
            <sz val="9"/>
            <color indexed="81"/>
            <rFont val="Tahoma"/>
            <family val="2"/>
          </rPr>
          <t xml:space="preserve">
Query: CIS Billed Revenue by Range grouped by rec code  rate components and  rate effective dates
Run 1st of month until Class A bill date
Use X2, X3, X4 rec codes only
To exclude older rate effective dates? TBD</t>
        </r>
      </text>
    </comment>
    <comment ref="C5" authorId="0" shapeId="0" xr:uid="{CBD2B77C-A9C4-459F-A171-20D87EDF21E7}">
      <text>
        <r>
          <rPr>
            <b/>
            <sz val="9"/>
            <color indexed="81"/>
            <rFont val="Tahoma"/>
            <family val="2"/>
          </rPr>
          <t>Laura van Eykeren:</t>
        </r>
        <r>
          <rPr>
            <sz val="9"/>
            <color indexed="81"/>
            <rFont val="Tahoma"/>
            <family val="2"/>
          </rPr>
          <t xml:space="preserve">
Query: CIS Billed Revenue by Range grouped by rec code  rate components and  rate effective dates
Run 1st of month until Class A bill date
Use X2, X3, X4 rec codes only
To exclude older rate effective dates? TBD</t>
        </r>
      </text>
    </comment>
    <comment ref="G17" authorId="0" shapeId="0" xr:uid="{7A38249D-7846-4CBA-8DF4-56F80D9FF6BD}">
      <text>
        <r>
          <rPr>
            <b/>
            <sz val="9"/>
            <color indexed="81"/>
            <rFont val="Tahoma"/>
            <family val="2"/>
          </rPr>
          <t>Laura van Eykeren:</t>
        </r>
        <r>
          <rPr>
            <sz val="9"/>
            <color indexed="81"/>
            <rFont val="Tahoma"/>
            <family val="2"/>
          </rPr>
          <t xml:space="preserve">
Estimated GA rate x Estimated kWh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Tina Li</author>
    <author>Colleen Calhoun</author>
    <author>Cristina Birceanu</author>
  </authors>
  <commentList>
    <comment ref="B5" authorId="0" shapeId="0" xr:uid="{710416D2-BC7E-492E-B057-DFCA5432B6B4}">
      <text>
        <r>
          <rPr>
            <b/>
            <sz val="9"/>
            <color indexed="81"/>
            <rFont val="Tahoma"/>
            <family val="2"/>
          </rPr>
          <t>Tina Li:</t>
        </r>
        <r>
          <rPr>
            <sz val="9"/>
            <color indexed="81"/>
            <rFont val="Tahoma"/>
            <family val="2"/>
          </rPr>
          <t xml:space="preserve">
final AQEW from STPF for energy</t>
        </r>
      </text>
    </comment>
    <comment ref="E5" authorId="1" shapeId="0" xr:uid="{7CFF3EF3-083B-410E-955A-32FD2381450F}">
      <text>
        <r>
          <rPr>
            <sz val="9"/>
            <color indexed="81"/>
            <rFont val="Tahoma"/>
            <family val="2"/>
          </rPr>
          <t xml:space="preserve">
Pertains to Class B customers and Embedded Generation.</t>
        </r>
      </text>
    </comment>
    <comment ref="B30" authorId="1" shapeId="0" xr:uid="{8E29CC66-9CF3-43B9-941E-FDE2F55F626F}">
      <text>
        <r>
          <rPr>
            <b/>
            <sz val="9"/>
            <color indexed="81"/>
            <rFont val="Tahoma"/>
            <family val="2"/>
          </rPr>
          <t>Colleen Calhoun:</t>
        </r>
        <r>
          <rPr>
            <sz val="9"/>
            <color indexed="81"/>
            <rFont val="Tahoma"/>
            <family val="2"/>
          </rPr>
          <t xml:space="preserve">
Includes both DP and MP records.</t>
        </r>
      </text>
    </comment>
    <comment ref="C30" authorId="1" shapeId="0" xr:uid="{C657CAEB-9DD5-4A1B-9F68-9C216BB62478}">
      <text>
        <r>
          <rPr>
            <b/>
            <sz val="9"/>
            <color indexed="81"/>
            <rFont val="Tahoma"/>
            <family val="2"/>
          </rPr>
          <t>Colleen Calhoun:</t>
        </r>
        <r>
          <rPr>
            <sz val="9"/>
            <color indexed="81"/>
            <rFont val="Tahoma"/>
            <family val="2"/>
          </rPr>
          <t xml:space="preserve">
Includes both DP and MP records.</t>
        </r>
      </text>
    </comment>
    <comment ref="D30" authorId="1" shapeId="0" xr:uid="{DF497420-540C-4E2A-BA0C-B7FA7F3AD829}">
      <text>
        <r>
          <rPr>
            <b/>
            <sz val="9"/>
            <color indexed="81"/>
            <rFont val="Tahoma"/>
            <family val="2"/>
          </rPr>
          <t>Colleen Calhoun:</t>
        </r>
        <r>
          <rPr>
            <sz val="9"/>
            <color indexed="81"/>
            <rFont val="Tahoma"/>
            <family val="2"/>
          </rPr>
          <t xml:space="preserve">
Includes both DP and MP records.</t>
        </r>
      </text>
    </comment>
    <comment ref="B48" authorId="1" shapeId="0" xr:uid="{914770E3-C8E2-4467-A9CA-36CC32E2E823}">
      <text>
        <r>
          <rPr>
            <b/>
            <sz val="9"/>
            <color indexed="81"/>
            <rFont val="Tahoma"/>
            <family val="2"/>
          </rPr>
          <t>Colleen Calhoun:</t>
        </r>
        <r>
          <rPr>
            <sz val="9"/>
            <color indexed="81"/>
            <rFont val="Tahoma"/>
            <family val="2"/>
          </rPr>
          <t xml:space="preserve">
Includes Embedded Generation</t>
        </r>
      </text>
    </comment>
    <comment ref="C48" authorId="1" shapeId="0" xr:uid="{EF0FC2EE-87F1-48E4-9A5E-D3F62969BA79}">
      <text>
        <r>
          <rPr>
            <b/>
            <sz val="9"/>
            <color indexed="81"/>
            <rFont val="Tahoma"/>
            <family val="2"/>
          </rPr>
          <t>Colleen Calhoun:</t>
        </r>
        <r>
          <rPr>
            <sz val="9"/>
            <color indexed="81"/>
            <rFont val="Tahoma"/>
            <family val="2"/>
          </rPr>
          <t xml:space="preserve">
Includes Embedded Generation</t>
        </r>
      </text>
    </comment>
    <comment ref="D48" authorId="1" shapeId="0" xr:uid="{FEA5BD9E-B76B-4375-AE46-384AA3C5E3E3}">
      <text>
        <r>
          <rPr>
            <b/>
            <sz val="9"/>
            <color indexed="81"/>
            <rFont val="Tahoma"/>
            <family val="2"/>
          </rPr>
          <t>Colleen Calhoun:</t>
        </r>
        <r>
          <rPr>
            <sz val="9"/>
            <color indexed="81"/>
            <rFont val="Tahoma"/>
            <family val="2"/>
          </rPr>
          <t xml:space="preserve">
Includes Embedded Generation</t>
        </r>
      </text>
    </comment>
    <comment ref="F64" authorId="2" shapeId="0" xr:uid="{6116EA6D-72D2-4A4E-8ADC-8E83BF4C5C6A}">
      <text>
        <r>
          <rPr>
            <b/>
            <sz val="9"/>
            <color indexed="81"/>
            <rFont val="Tahoma"/>
            <family val="2"/>
          </rPr>
          <t>Cristina Birceanu:</t>
        </r>
        <r>
          <rPr>
            <sz val="9"/>
            <color indexed="81"/>
            <rFont val="Tahoma"/>
            <family val="2"/>
          </rPr>
          <t xml:space="preserve">
 Jan. 2019 ST-PF: AQEW + Embedded Gen. - Class A</t>
        </r>
      </text>
    </comment>
    <comment ref="G64" authorId="2" shapeId="0" xr:uid="{BE25981B-DDE5-4F16-8E27-36097E30E493}">
      <text>
        <r>
          <rPr>
            <b/>
            <sz val="9"/>
            <color indexed="81"/>
            <rFont val="Tahoma"/>
            <family val="2"/>
          </rPr>
          <t>Cristina Birceanu:</t>
        </r>
        <r>
          <rPr>
            <sz val="9"/>
            <color indexed="81"/>
            <rFont val="Tahoma"/>
            <family val="2"/>
          </rPr>
          <t xml:space="preserve">
to check if this amount is captured in Jan. ST-PF</t>
        </r>
      </text>
    </comment>
  </commentList>
</comments>
</file>

<file path=xl/sharedStrings.xml><?xml version="1.0" encoding="utf-8"?>
<sst xmlns="http://schemas.openxmlformats.org/spreadsheetml/2006/main" count="588" uniqueCount="319">
  <si>
    <t>Note 3</t>
  </si>
  <si>
    <t>GA Billing Rate</t>
  </si>
  <si>
    <t xml:space="preserve">GA is billed on the </t>
  </si>
  <si>
    <t>Note 4</t>
  </si>
  <si>
    <t>Analysis of Expected GA Amount</t>
  </si>
  <si>
    <t>Year</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</si>
  <si>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</si>
  <si>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</si>
  <si>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</si>
  <si>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</si>
  <si>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</si>
  <si>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</si>
  <si>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</si>
  <si>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</si>
  <si>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</si>
  <si>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Variance ($)</t>
  </si>
  <si>
    <t>F</t>
  </si>
  <si>
    <t>G</t>
  </si>
  <si>
    <t>H</t>
  </si>
  <si>
    <t>I = F-G+H</t>
  </si>
  <si>
    <t>J</t>
  </si>
  <si>
    <t>K = I*J</t>
  </si>
  <si>
    <t>L</t>
  </si>
  <si>
    <t>M = I*L</t>
  </si>
  <si>
    <t>=M-K</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</si>
  <si>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</si>
  <si>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</si>
  <si>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</si>
  <si>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</si>
  <si>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</si>
  <si>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</si>
  <si>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</si>
  <si>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</si>
  <si>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</si>
  <si>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</si>
  <si>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</si>
  <si>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</si>
  <si>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</si>
  <si>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1st Estimate</t>
  </si>
  <si>
    <t>Calculated Loss Factor</t>
  </si>
  <si>
    <t xml:space="preserve">Note 5 </t>
  </si>
  <si>
    <t xml:space="preserve">Reconciling Items </t>
  </si>
  <si>
    <t xml:space="preserve"> Item</t>
  </si>
  <si>
    <t>Amount</t>
  </si>
  <si>
    <t>Explanation</t>
  </si>
  <si>
    <t xml:space="preserve"> Net Change in Principal Balance in the GL (i.e. Transactions in the Year)</t>
  </si>
  <si>
    <t>1a</t>
  </si>
  <si>
    <t>True-up of GA Charges based on Actual Non-RPP Volumes - prior year</t>
  </si>
  <si>
    <t>1b</t>
  </si>
  <si>
    <t>True-up of GA Charges based on Actual Non-RPP Volumes - current year</t>
  </si>
  <si>
    <t>2a</t>
  </si>
  <si>
    <t>Remove prior year end unbilled to actual revenue differences</t>
  </si>
  <si>
    <t>2b</t>
  </si>
  <si>
    <t>Add current year end unbilled to actual revenue differences</t>
  </si>
  <si>
    <t>3a</t>
  </si>
  <si>
    <t>Remove difference between prior year accrual/forecast to actual from long term load transfers</t>
  </si>
  <si>
    <t>3b</t>
  </si>
  <si>
    <t>Add difference between current year accrual/forecast to actual from long term load transfers</t>
  </si>
  <si>
    <t>Remove GA balances pertaining to Class A customers</t>
  </si>
  <si>
    <t>Significant prior period billing adjustments recorded in current year</t>
  </si>
  <si>
    <t>Differences in GA IESO posted rate and rate charged on IESO invoice</t>
  </si>
  <si>
    <t>Differences in actual system losses and billed TLFs</t>
  </si>
  <si>
    <t>Note 6</t>
  </si>
  <si>
    <t>Adjusted Net Change in Principal Balance in the GL</t>
  </si>
  <si>
    <t>Net Change in Expected GA Balance in the Year Per Analysis</t>
  </si>
  <si>
    <t>Unresolved Difference</t>
  </si>
  <si>
    <t>Unresolved Difference as % of Expected GA Payments to IESO</t>
  </si>
  <si>
    <t>Month</t>
  </si>
  <si>
    <t>1st Estimate GA</t>
  </si>
  <si>
    <t>2nd Estimate GA</t>
  </si>
  <si>
    <t>Actual GA</t>
  </si>
  <si>
    <t>2018 GA Rates</t>
  </si>
  <si>
    <t>$/kWh</t>
  </si>
  <si>
    <t>Kwh submitted</t>
  </si>
  <si>
    <t>Actual UBR Billed (latter half of load month) kWh</t>
  </si>
  <si>
    <t>kWh Actual (accrued for UBR)</t>
  </si>
  <si>
    <t>Estimated GA Rate</t>
  </si>
  <si>
    <t>Actual GA Rate</t>
  </si>
  <si>
    <t>Settled Amount including initial true up</t>
  </si>
  <si>
    <t>Actual Billed (load month) GA Amount</t>
  </si>
  <si>
    <t>Actual True-Up [$] based on Actual UBR minus estimated UBR</t>
  </si>
  <si>
    <t>November</t>
  </si>
  <si>
    <t>Total</t>
  </si>
  <si>
    <t>Actual UBR kWh</t>
  </si>
  <si>
    <t>Estimated GA Amount</t>
  </si>
  <si>
    <t>Actual GA Amount</t>
  </si>
  <si>
    <t>True-Up</t>
  </si>
  <si>
    <t>Based on CIS Billed Revenue Query</t>
  </si>
  <si>
    <t>Note 2</t>
  </si>
  <si>
    <t>Consumption Data Excluding for Loss Factor (Data to agree with RRR as applicable)</t>
  </si>
  <si>
    <t>Total Metered excluding WMP</t>
  </si>
  <si>
    <t>C = A+B</t>
  </si>
  <si>
    <t>kWh</t>
  </si>
  <si>
    <t xml:space="preserve">RPP </t>
  </si>
  <si>
    <t>A</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</si>
  <si>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</si>
  <si>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</si>
  <si>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</si>
  <si>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</si>
  <si>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</si>
  <si>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</si>
  <si>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</si>
  <si>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Source:</t>
  </si>
  <si>
    <t>http://www.ieso.ca/sector-participants/settlements/global-adjustment-for-class-b</t>
  </si>
  <si>
    <t>Settled-to-date Amount</t>
  </si>
  <si>
    <t>GA RPP true-up was done monthly and Dec 2018 was not included in the 1589 balance  (see Tab "Rec Item 1a&amp;b - GA Trueup") $220,196 payment to IESO.</t>
  </si>
  <si>
    <t>GA RPP true-up was done monthly and Dec 2017 true-up (payment from IESO) was included in the 1589 balance disposed in 2019 IRM (see Tab "Rec Item 1a&amp;b - GA Trueup") $145,888 payment from IESO.</t>
  </si>
  <si>
    <t xml:space="preserve">Input cells </t>
  </si>
  <si>
    <t>Allocation Method for Class B RSVA-Global Adjustment.</t>
  </si>
  <si>
    <t>remove wmp</t>
  </si>
  <si>
    <t>remove WMP</t>
  </si>
  <si>
    <t>Class B (Non RPP and Non Class A) RSVA GA Analysis - Allocation Method</t>
  </si>
  <si>
    <t>Billed Class B Non-RPP Spot</t>
  </si>
  <si>
    <t>Actual Month</t>
  </si>
  <si>
    <t>Previous Month</t>
  </si>
  <si>
    <t>UBR trued-up</t>
  </si>
  <si>
    <t>kWh True-up</t>
  </si>
  <si>
    <t>UBR true-up</t>
  </si>
  <si>
    <t>First Estimate GA Rate</t>
  </si>
  <si>
    <t>Actual  GA Rate</t>
  </si>
  <si>
    <t>Retail - Final</t>
  </si>
  <si>
    <t>Class B Non-RPP</t>
  </si>
  <si>
    <t>Est. Variance</t>
  </si>
  <si>
    <t>kWh *</t>
  </si>
  <si>
    <t>Unbilled kWh</t>
  </si>
  <si>
    <t>$</t>
  </si>
  <si>
    <t>@ 1st Estimate GA</t>
  </si>
  <si>
    <t>@ Actual GA</t>
  </si>
  <si>
    <t>Retail less Final</t>
  </si>
  <si>
    <t>M=N+BxG-(CxH at previous month rate)</t>
  </si>
  <si>
    <t>N</t>
  </si>
  <si>
    <t>B</t>
  </si>
  <si>
    <t>J=E x G</t>
  </si>
  <si>
    <t>K=E x H</t>
  </si>
  <si>
    <t>L=K-J</t>
  </si>
  <si>
    <t>Billed 1st estimate (query)+UBR true-up</t>
  </si>
  <si>
    <t>Query - Billed</t>
  </si>
  <si>
    <t>Billed Average Rate</t>
  </si>
  <si>
    <t>1st estimate</t>
  </si>
  <si>
    <t>Difference</t>
  </si>
  <si>
    <t>A-B</t>
  </si>
  <si>
    <t>2018 Global Adjustment Analysis</t>
  </si>
  <si>
    <r>
      <t xml:space="preserve">A - </t>
    </r>
    <r>
      <rPr>
        <sz val="10"/>
        <color rgb="FFFF0000"/>
        <rFont val="Times New Roman"/>
        <family val="1"/>
      </rPr>
      <t>Done</t>
    </r>
  </si>
  <si>
    <r>
      <t>B</t>
    </r>
    <r>
      <rPr>
        <sz val="10"/>
        <color rgb="FFFF0000"/>
        <rFont val="Times New Roman"/>
        <family val="1"/>
      </rPr>
      <t>- Done</t>
    </r>
  </si>
  <si>
    <r>
      <t xml:space="preserve">C </t>
    </r>
    <r>
      <rPr>
        <sz val="10"/>
        <color rgb="FFFF0000"/>
        <rFont val="Times New Roman"/>
        <family val="1"/>
      </rPr>
      <t>- Done</t>
    </r>
  </si>
  <si>
    <r>
      <t>D=B-C</t>
    </r>
    <r>
      <rPr>
        <sz val="10"/>
        <color rgb="FFFF0000"/>
        <rFont val="Times New Roman"/>
        <family val="1"/>
      </rPr>
      <t xml:space="preserve"> - Done</t>
    </r>
  </si>
  <si>
    <r>
      <t xml:space="preserve">E=A+B-C </t>
    </r>
    <r>
      <rPr>
        <sz val="10"/>
        <color rgb="FFFF0000"/>
        <rFont val="Times New Roman"/>
        <family val="1"/>
      </rPr>
      <t>- Done</t>
    </r>
  </si>
  <si>
    <r>
      <t xml:space="preserve">G </t>
    </r>
    <r>
      <rPr>
        <sz val="10"/>
        <color rgb="FFFF0000"/>
        <rFont val="Times New Roman"/>
        <family val="1"/>
      </rPr>
      <t>- Done</t>
    </r>
  </si>
  <si>
    <r>
      <t>H</t>
    </r>
    <r>
      <rPr>
        <sz val="10"/>
        <color rgb="FFFF0000"/>
        <rFont val="Times New Roman"/>
        <family val="1"/>
      </rPr>
      <t xml:space="preserve"> - Done</t>
    </r>
  </si>
  <si>
    <r>
      <t>I=G-H</t>
    </r>
    <r>
      <rPr>
        <sz val="10"/>
        <color rgb="FFFF0000"/>
        <rFont val="Times New Roman"/>
        <family val="1"/>
      </rPr>
      <t xml:space="preserve"> - Done</t>
    </r>
  </si>
  <si>
    <r>
      <t>F</t>
    </r>
    <r>
      <rPr>
        <sz val="10"/>
        <color rgb="FFFF0000"/>
        <rFont val="Times New Roman"/>
        <family val="1"/>
      </rPr>
      <t xml:space="preserve">  - Done</t>
    </r>
  </si>
  <si>
    <t>2018 IRM Rate Continuity Schedule Amount</t>
  </si>
  <si>
    <t>Alectra Utilities - Guelph Rate Zone 2020 IRM Application EB-2019-0018</t>
  </si>
  <si>
    <t>IESO Invoice Adjustment Analysis</t>
  </si>
  <si>
    <t>1. Expected CT148 Calculated vs. per IESO Invoices</t>
  </si>
  <si>
    <t>Loads pertaining to Class B (CT148)</t>
  </si>
  <si>
    <t>IESO Actual GA Rate on website</t>
  </si>
  <si>
    <t>Expected GA Charges Class B CT148 $  (Calculated)</t>
  </si>
  <si>
    <t>CT 148 $ per IESO Invoice</t>
  </si>
  <si>
    <t>RPP (Including Loss Factor) Billed Consumption adjusted for Unbilled</t>
  </si>
  <si>
    <t>Estimated RPP Proportion</t>
  </si>
  <si>
    <t>Adjustments pertaining to RPP</t>
  </si>
  <si>
    <t>Adjustments pertaining to non-RPP Class B</t>
  </si>
  <si>
    <t>%</t>
  </si>
  <si>
    <t>C</t>
  </si>
  <si>
    <t>D=A+B-C</t>
  </si>
  <si>
    <t>F=D X E</t>
  </si>
  <si>
    <t>H = G - F</t>
  </si>
  <si>
    <t>I</t>
  </si>
  <si>
    <t>J = I / D</t>
  </si>
  <si>
    <t>K = H x J</t>
  </si>
  <si>
    <t>L = H - K</t>
  </si>
  <si>
    <t>December true-up</t>
  </si>
  <si>
    <t>2. STPP, STPF and IESO Monthly Invoice $ Reconciliation for CT148</t>
  </si>
  <si>
    <t>Payment to IESO; included in Continuity Schedule cell BF29</t>
  </si>
  <si>
    <t>Note: the STPP, STPF and IESO Invoices include the entire month data as at month end</t>
  </si>
  <si>
    <t>Estimated non-RPP Proportion</t>
  </si>
  <si>
    <t>IESO Monthly invoice = Current month STPP + Last Month STPF - Last Month STPP</t>
  </si>
  <si>
    <t>Current Month STPP CT148 $</t>
  </si>
  <si>
    <t>Last Month STPF CT148 $</t>
  </si>
  <si>
    <t>Last Month STPP CT148 $</t>
  </si>
  <si>
    <t>Net for the month</t>
  </si>
  <si>
    <t>IESO Invoice CT148 $</t>
  </si>
  <si>
    <t>F = D-E</t>
  </si>
  <si>
    <t>3. STPP, STPF and Loads pertaining to Class B kWh Reconciliation</t>
  </si>
  <si>
    <t>Current Month STPP CT148 kWh</t>
  </si>
  <si>
    <t>Last Month STPF CT148 kWh</t>
  </si>
  <si>
    <t>Last Month STPP CT148 kWh</t>
  </si>
  <si>
    <t>Net for the month (kWh)</t>
  </si>
  <si>
    <t>Loads pertaining to Class B (Calculated in Table 1)</t>
  </si>
  <si>
    <t>Difference (kWh)</t>
  </si>
  <si>
    <t>F=D-E</t>
  </si>
  <si>
    <t>Global Adjustment Adjustments in 2018</t>
  </si>
  <si>
    <t>Legend:</t>
  </si>
  <si>
    <t>Applies to 2018</t>
  </si>
  <si>
    <t>- charge, + credit</t>
  </si>
  <si>
    <t>Applies to various other years</t>
  </si>
  <si>
    <t>IESO Charge Type</t>
  </si>
  <si>
    <t>Value</t>
  </si>
  <si>
    <t>Statement</t>
  </si>
  <si>
    <t>Description</t>
  </si>
  <si>
    <t>Applicable to</t>
  </si>
  <si>
    <t>Jan 2018 ST-P-P</t>
  </si>
  <si>
    <t>Adjustment of Global Adjustment for 10/2016, Total Adjusted Amount - $-551217.59, Total Distribution (MWh) - 8384313.564</t>
  </si>
  <si>
    <t>Class B</t>
  </si>
  <si>
    <t>Adjustment of Global Adjustment for 10/2015, Total Adjusted Amount - $815.29, Total Distribution (MWh) - 8628399.29</t>
  </si>
  <si>
    <t>Adjustment of Global Adjustment for 12/2015, Total Adjusted Amount - $1520573.83, Total Distribution (MWh) - 9283635.217</t>
  </si>
  <si>
    <t>Adjustment of Global Adjustment for 01/2016, Total Adjusted Amount - $228327.97, Total Distribution (MWh) - 10238681.478</t>
  </si>
  <si>
    <t>Adjustment of Global Adjustment for 02/2016, Total Adjusted Amount - $-333610.22, Total Distribution (MWh) - 9476993.419</t>
  </si>
  <si>
    <t>Adjustment of Global Adjustment for 03/2016, Total Adjusted Amount - $-409704.41, Total Distribution (MWh) - 9274395.494</t>
  </si>
  <si>
    <t>Adjustment of Global Adjustment for 04/2016, Total Adjusted Amount - $-426214.56, Total Distribution (MWh) - 8601557.64</t>
  </si>
  <si>
    <t>Adjustment of Global Adjustment, Total Adjusted Amount - $-57213.28, Total Distribution (MWh) - 9743882.265</t>
  </si>
  <si>
    <t>Class A</t>
  </si>
  <si>
    <t>Adjustment of Global Adjustment for 06/2016, Total Adjusted Amount - $-370511.89, Total Distribution (MWh) - 9202274.086</t>
  </si>
  <si>
    <t>Adjustment of Global Adjustment for 11/2016, Total Adjusted Amount - $-518482.14, Total Distribution (MWh) - 8578212.921</t>
  </si>
  <si>
    <t>Adjustment of Global Adjustment for 12/2016, Total Adjusted Amount - $-398278.58, Total Distribution (MWh) - 9825550.081</t>
  </si>
  <si>
    <t>Adjustment of Global Adjustment for 05/2016, Total Adjusted Amount - $-401311.77, Total Distribution (MWh) - 8652317.796</t>
  </si>
  <si>
    <t>Adjustment of Global Adjustment for 09/2016, Total Adjusted Amount - $-503428.28, Total Distribution (MWh) - 8992096.573</t>
  </si>
  <si>
    <t>Adjustment of Global Adjustment for 08/2016, Total Adjusted Amount - $-366044.01, Total Distribution (MWh) - 10956699.077</t>
  </si>
  <si>
    <t>Adjustment of Global Adjustment for 07/2016, Total Adjusted Amount - $-393133.45, Total Distribution (MWh) - 10495041.213</t>
  </si>
  <si>
    <t>Adjustment of Global Adjustment for 11/2015, Total Adjusted Amount - $1636248.71, Total Distribution (MWh) - 8680759.324</t>
  </si>
  <si>
    <t>Jan 2018 ST-P-F</t>
  </si>
  <si>
    <t>Slight change in total provincewide kWh for current month</t>
  </si>
  <si>
    <t>Adjustment of Global Adjustment, Total Adjusted Amount - $-57213.28, Total Distribution (MWh) - 9743337.279</t>
  </si>
  <si>
    <t>Feb 2018 ST-P-P</t>
  </si>
  <si>
    <t>Adjustment of Global Adjustment, Total Adjusted Amount - $-5053280.44, Total Distribution (MWh) - 8180130.014</t>
  </si>
  <si>
    <t>Feb 2018 ST-P-F</t>
  </si>
  <si>
    <t>Adjustment of Global Adjustment, Total Adjusted Amount - $-5053280.44, Total Distribution (MWh) - 8180122.027</t>
  </si>
  <si>
    <t>Mar 2018 ST-P-P</t>
  </si>
  <si>
    <t>Adjustment of Global Adjustment, Total Adjusted Amount - $-4454479.65, Total Distribution (MWh) - 8502169.957</t>
  </si>
  <si>
    <t>Mar 2018 ST-P-F</t>
  </si>
  <si>
    <t>Adjustment of Global Adjustment, Total Adjusted Amount - $-1876349.71, Total Distribution (MWh) - 8502162.578</t>
  </si>
  <si>
    <t>April 2018 ST-P-P</t>
  </si>
  <si>
    <t>Adjustment of Global Adjustment, Total Adjusted Amount - $-43057.48, Total Distribution (MWh) - 7837148.776</t>
  </si>
  <si>
    <t>April 2018 ST-P-F</t>
  </si>
  <si>
    <t>Adjustment of Global Adjustment, Total Adjusted Amount - $-43834.35, Total Distribution (MWh) - 7836940.453</t>
  </si>
  <si>
    <t>May 2018 ST-P-P</t>
  </si>
  <si>
    <t>Issue 837 - Adjustment to Global Adjustment CT 147 for trade date April 30, 2018</t>
  </si>
  <si>
    <t>Issue 837 - Adjustment to Global Adjustment CT 148 for trade date April 30, 2018</t>
  </si>
  <si>
    <t>Adjustment of Global Adjustment, Total Adjusted Amount - $-479973.99, Total Distribution (MWh) - 7729903.495</t>
  </si>
  <si>
    <t>May 2018 ST-P-F</t>
  </si>
  <si>
    <t>Adjustment of Global Adjustment, Total Adjusted Amount - $-479973.99, Total Distribution (MWh) - 7729916.364</t>
  </si>
  <si>
    <t>June 2018 ST-P-P</t>
  </si>
  <si>
    <t>Adjustment of Global Adjustment for 05/2018, Total Adjusted Amount - $-5257153.2, Total Distribution (MWh) - 7729916.364</t>
  </si>
  <si>
    <t>Issue-835 Adjustment of Class B Global Adjustment due to under-reported Class A load for September 2017</t>
  </si>
  <si>
    <t>Adjustment of Global Adjustment, Total Adjusted Amount - $-290095.16, Total Distribution (MWh) - 8104808.542</t>
  </si>
  <si>
    <t>Issue-835 Adjustment of Class B Global Adjustment due to under-reported Class A load for October 2017</t>
  </si>
  <si>
    <t>June 2018 ST-P-F</t>
  </si>
  <si>
    <t>Adjustment of Global Adjustment, Total Adjusted Amount - $-290095.16, Total Distribution (MWh) - 8104751.095</t>
  </si>
  <si>
    <t>Adjustment of Global Adjustment for 05/2018, Total Adjusted Amount - $-10514306.4, Total Distribution (MWh) - 7729916.364</t>
  </si>
  <si>
    <t>July 2018 ST-P-P</t>
  </si>
  <si>
    <t>Adjustment of Global Adjustment, Total Adjusted Amount - $-438880.88, Total Distribution (MWh) - 9583527.878</t>
  </si>
  <si>
    <t>July 2018 ST-P-F</t>
  </si>
  <si>
    <t>Adjustment of Global Adjustment, Total Adjusted Amount - $-438880.88, Total Distribution (MWh) - 9586334.709</t>
  </si>
  <si>
    <t>August 2018 ST-P-P</t>
  </si>
  <si>
    <t>Adjustment of Global Adjustment, Total Adjusted Amount - $2468997.76, Total Distribution (MWh) - 9406257.651</t>
  </si>
  <si>
    <t>September 2018 ST-P-P</t>
  </si>
  <si>
    <t>Issue 860: Reversal of CT 147 for trade date 08/31/2018 that appeared on the September 26, 2018 preliminary settlement statement (PSS)</t>
  </si>
  <si>
    <t>Adjustment of Global Adjustment, Total Adjusted Amount - $356320.35, Total Distribution (MWh) - 7959696.53</t>
  </si>
  <si>
    <t>Issue 860: Reversal of CT 148 for trade date 08/31/2018 that appeared on the September 26, 2018 preliminary settlement statement (PSS)</t>
  </si>
  <si>
    <t>September 2018 ST-P-F</t>
  </si>
  <si>
    <t>Issue 860: Reversal of CT 147 for trade date 08/31/2018 that appeared on the September 26, 2018 final settlement statement (FSS)</t>
  </si>
  <si>
    <t>Adjustment of Global Adjustment, Total Adjusted Amount - $356320.35, Total Distribution (MWh) - 7948337.146</t>
  </si>
  <si>
    <t>Issue 860: Reversal of CT 148 for trade date 08/31/2018 that appeared on the September 26, 2018 final settlement statement (FSS)</t>
  </si>
  <si>
    <t>October 2018 ST-P-P</t>
  </si>
  <si>
    <t>Adjustment of Global Adjustment, Total Adjusted Amount - $-4860.35, Total Distribution (MWh) - 7605074.466</t>
  </si>
  <si>
    <t>October 2018 ST-P-F</t>
  </si>
  <si>
    <t>November 2018 ST-P-P</t>
  </si>
  <si>
    <t>Adjustment of Global Adjustment, Total Adjusted Amount - $4794.48, Total Distribution (MWh) - 7668202.27</t>
  </si>
  <si>
    <t>November 2018 ST-P-F</t>
  </si>
  <si>
    <t>Adjustment of Global Adjustment, Total Adjusted Amount - $4794.48, Total Distribution (MWh) - 8129996.362</t>
  </si>
  <si>
    <t>December 2018 ST-P-P</t>
  </si>
  <si>
    <t>Adjustment of Global Adjustment, Total Adjusted Amount - $-603108.97, Total Distribution (MWh) - 8695097.125</t>
  </si>
  <si>
    <t>December 2018 ST-P-F</t>
  </si>
  <si>
    <t>Adjustment of Global Adjustment, Total Adjusted Amount - $-603108.97, Total Distribution (MWh) - 8685675.198</t>
  </si>
  <si>
    <t>Remove December 2017 true-up that was billed in Jan 2018 STPP</t>
  </si>
  <si>
    <t xml:space="preserve">2018 IESO adjustments pertaining to RPP  -  Please see  Tab IESO Invoice Adjustments 2018, Table 4, cell H26; </t>
  </si>
  <si>
    <t>Difference between UBR calculated at GA first estimate rate vs. GA weighted average rate</t>
  </si>
  <si>
    <t>Posted</t>
  </si>
  <si>
    <t>2018 IESO adjustments pertaining to non-RPP -Tab IESO Invoice Adjustments 2018,  cell H27</t>
  </si>
  <si>
    <t>The billing cycle is not on a calendar month for most customers; our billing system uses a weighted average daily rate for applying Global Adjustment to bills</t>
  </si>
  <si>
    <t>The billing cycle is not on a calendar month</t>
  </si>
  <si>
    <t>December 2018 UBR:Difference between UBR calculated at GA first estimate rate vs. GA weighted average rate - please see Tab. GA Detailed Analysis, Table 5</t>
  </si>
  <si>
    <t>December 2017 UBR: Difference between UBR calculated at GA first estimate rate vs. GA weighted average rate - please see Tab. GA Detailed Analysis, Table 5</t>
  </si>
  <si>
    <t xml:space="preserve">AQEW </t>
  </si>
  <si>
    <t>EG</t>
  </si>
  <si>
    <t xml:space="preserve">Class A </t>
  </si>
  <si>
    <t>UBR at 1st Estimate $</t>
  </si>
  <si>
    <t>Alectra's proposal to allocate the IESO adjustments between RPP and non-RPP</t>
  </si>
  <si>
    <t>Table 4 - Alectra's Proposal</t>
  </si>
  <si>
    <t xml:space="preserve">GRZ 2019 IRM (EB-2018-0036) 2017 IESO adjustments pertaining to RPP booked as a debit in 1589 on December 2018 -  Please see file Guelph_IESO Invoice Adjustments Analysis, Tab IESO Invoice Adjustments 2017, Table 4, cell H25; </t>
  </si>
  <si>
    <t>GRZ corrected the query for UBR and reconciled kWhs for GA true-up for 2017 and Jan. to May 2018; the result was that the amount of $113,562 pertaining to  2017 RPP GA true-up was debited to 1589.</t>
  </si>
  <si>
    <t>GRZ 2019 IRM (EB-2018-0036) 2017 IESO adjustments pertaining to non-RPP -  Please see file Guelph_IESO Invoice Adjustments Analysis, Tab IESO Invoice Adjustments 2017, Table 4, cell H26</t>
  </si>
  <si>
    <t>Account 1589 Global Adjustment (GA) Analysis Workform</t>
  </si>
  <si>
    <t>Input cells</t>
  </si>
  <si>
    <t>Drop down cells</t>
  </si>
  <si>
    <t>Note 1</t>
  </si>
  <si>
    <t>Year(s) Requested for Disposition</t>
  </si>
  <si>
    <t>GA Billing Rate Description</t>
  </si>
  <si>
    <t>GA true-up</t>
  </si>
  <si>
    <t>GA</t>
  </si>
  <si>
    <t>Queried $</t>
  </si>
  <si>
    <t>Queried kWh</t>
  </si>
  <si>
    <t>L2</t>
  </si>
  <si>
    <t>L3</t>
  </si>
  <si>
    <t>L4</t>
  </si>
  <si>
    <t>L5</t>
  </si>
  <si>
    <t>L6</t>
  </si>
  <si>
    <t>L7</t>
  </si>
  <si>
    <t>L9</t>
  </si>
  <si>
    <t>Non-RPP Class B GA</t>
  </si>
  <si>
    <t>Posted ^</t>
  </si>
  <si>
    <t>@ 1st Estimate GA rate</t>
  </si>
  <si>
    <t xml:space="preserve">July </t>
  </si>
  <si>
    <t>Correction to UBR for RPP consumption</t>
  </si>
  <si>
    <t>The Difference Between the Actual UBR and UBR calculated at 1st Estimate GA Rate</t>
  </si>
  <si>
    <t>Table 5</t>
  </si>
  <si>
    <t xml:space="preserve">Total: </t>
  </si>
  <si>
    <t>Monthly average GA rate billed to customers in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</si>
</sst>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 #,##0_-;\-* #,##0_-;_-* &quot;-&quot;??_-;_-@_-"/>
    <numFmt numFmtId="165" formatCode="0.00000"/>
    <numFmt numFmtId="166" formatCode="_-&quot;$&quot;* #,##0.00_-;\-&quot;$&quot;* #,##0.00_-;_-&quot;$&quot;* &quot;-&quot;??_-;_-@_-"/>
    <numFmt numFmtId="167" formatCode="_-&quot;$&quot;* #,##0_-;\-&quot;$&quot;* #,##0_-;_-&quot;$&quot;* &quot;-&quot;??_-;_-@_-"/>
    <numFmt numFmtId="168" formatCode="0.0000"/>
    <numFmt numFmtId="169" formatCode="0.0%"/>
    <numFmt numFmtId="170" formatCode="_(* #,##0_);_(* \(#,##0\);_(* &quot;-&quot;??_);_(@_)"/>
    <numFmt numFmtId="171" formatCode="&quot;$&quot;#,##0.00000"/>
    <numFmt numFmtId="172" formatCode="&quot;$&quot;#,##0.00"/>
    <numFmt numFmtId="173" formatCode="_(&quot;$&quot;* #,##0.00000_);_(&quot;$&quot;* \(#,##0.00000\);_(&quot;$&quot;* &quot;-&quot;??_);_(@_)"/>
    <numFmt numFmtId="174" formatCode="_-* #,##0.00_-;\-* #,##0.00_-;_-* &quot;-&quot;??_-;_-@_-"/>
    <numFmt numFmtId="175" formatCode="&quot;$&quot;#,##0.00000_);[Red]\(&quot;$&quot;#,##0.00000\)"/>
    <numFmt numFmtId="176" formatCode="&quot;$&quot;#,##0.00000;[Red]\-&quot;$&quot;#,##0.00000"/>
    <numFmt numFmtId="177" formatCode="&quot;$&quot;#,##0.00;[Red]&quot;$&quot;#,##0.00"/>
    <numFmt numFmtId="178" formatCode="&quot;$&quot;#,##0;[Red]\-&quot;$&quot;#,##0"/>
    <numFmt numFmtId="179" formatCode="&quot;$&quot;#,##0.00;[Red]\-&quot;$&quot;#,##0.00"/>
    <numFmt numFmtId="182" formatCode="&quot;$&quot;#,##0;[Red]&quot;$&quot;#,##0"/>
  </numFmts>
  <fonts count="57">
    <font>
      <sz val="11"/>
      <color theme="1"/>
      <name val="Calibri"/>
      <family val="2"/>
      <scheme val="minor"/>
    </font>
    <font>
      <sz val="11"/>
      <color theme="1"/>
      <name val="Calibri"/>
      <family val="2"/>
      <scheme val="minor"/>
    </font>
    <font>
      <sz val="11"/>
      <color theme="1"/>
      <name val="Arial"/>
      <family val="2"/>
    </font>
    <font>
      <b/>
      <u/>
      <sz val="11"/>
      <color theme="1"/>
      <name val="Arial"/>
      <family val="2"/>
    </font>
    <font>
      <b/>
      <sz val="11"/>
      <color theme="1"/>
      <name val="Arial"/>
      <family val="2"/>
    </font>
    <font>
      <sz val="11"/>
      <name val="Arial"/>
      <family val="2"/>
    </font>
    <font>
      <b/>
      <u/>
      <sz val="11"/>
      <name val="Arial"/>
      <family val="2"/>
    </font>
    <font>
      <b/>
      <sz val="11"/>
      <name val="Arial"/>
      <family val="2"/>
    </font>
    <font>
      <sz val="11"/>
      <color rgb="FFFF0000"/>
      <name val="Arial"/>
      <family val="2"/>
    </font>
    <font>
      <sz val="12"/>
      <color theme="1"/>
      <name val="Arial"/>
      <family val="2"/>
    </font>
    <font>
      <b/>
      <sz val="12"/>
      <color theme="1"/>
      <name val="Arial"/>
      <family val="2"/>
    </font>
    <font>
      <b/>
      <u/>
      <sz val="12"/>
      <color theme="1"/>
      <name val="Arial"/>
      <family val="2"/>
    </font>
    <font>
      <b/>
      <sz val="11"/>
      <color theme="1"/>
      <name val="Calibri"/>
      <family val="2"/>
      <scheme val="minor"/>
    </font>
    <font>
      <b/>
      <sz val="14"/>
      <color theme="1"/>
      <name val="Calibri"/>
      <family val="2"/>
      <scheme val="minor"/>
    </font>
    <font>
      <sz val="10"/>
      <name val="Arial"/>
      <family val="2"/>
    </font>
    <font>
      <sz val="10"/>
      <color indexed="63"/>
      <name val="Arial"/>
      <family val="2"/>
    </font>
    <font>
      <sz val="10"/>
      <color rgb="FF000000"/>
      <name val="Arial"/>
      <family val="2"/>
    </font>
    <font>
      <b/>
      <sz val="10"/>
      <name val="Arial"/>
      <family val="2"/>
    </font>
    <font>
      <sz val="10"/>
      <color rgb="FF333333"/>
      <name val="Arial"/>
      <family val="2"/>
    </font>
    <font>
      <b/>
      <sz val="9"/>
      <color indexed="81"/>
      <name val="Tahoma"/>
      <family val="2"/>
    </font>
    <font>
      <sz val="9"/>
      <color indexed="81"/>
      <name val="Tahoma"/>
      <family val="2"/>
    </font>
    <font>
      <sz val="10"/>
      <color theme="1"/>
      <name val="Arial"/>
      <family val="2"/>
    </font>
    <font>
      <b/>
      <sz val="14"/>
      <color rgb="FFFF0000"/>
      <name val="Calibri"/>
      <family val="2"/>
      <scheme val="minor"/>
    </font>
    <font>
      <b/>
      <sz val="11"/>
      <color rgb="FFFF0000"/>
      <name val="Arial"/>
      <family val="2"/>
    </font>
    <font>
      <u/>
      <sz val="11"/>
      <color theme="10"/>
      <name val="Calibri"/>
      <family val="2"/>
      <scheme val="minor"/>
    </font>
    <font>
      <u/>
      <sz val="12"/>
      <color theme="10"/>
      <name val="Arial"/>
      <family val="2"/>
    </font>
    <font>
      <b/>
      <sz val="12"/>
      <color rgb="FFFF0000"/>
      <name val="Arial"/>
      <family val="2"/>
    </font>
    <font>
      <sz val="11"/>
      <color rgb="FFFF0000"/>
      <name val="Calibri"/>
      <family val="2"/>
      <scheme val="minor"/>
    </font>
    <font>
      <b/>
      <sz val="14"/>
      <name val="Times New Roman"/>
      <family val="1"/>
    </font>
    <font>
      <sz val="10"/>
      <name val="Times New Roman"/>
      <family val="1"/>
    </font>
    <font>
      <sz val="10"/>
      <color indexed="8"/>
      <name val="Times New Roman"/>
      <family val="1"/>
    </font>
    <font>
      <sz val="10"/>
      <color rgb="FF0070C0"/>
      <name val="Times New Roman"/>
      <family val="1"/>
    </font>
    <font>
      <sz val="11"/>
      <color indexed="8"/>
      <name val="Times New Roman"/>
      <family val="1"/>
    </font>
    <font>
      <sz val="11"/>
      <name val="Times New Roman"/>
      <family val="1"/>
    </font>
    <font>
      <b/>
      <sz val="11"/>
      <color indexed="8"/>
      <name val="Times New Roman"/>
      <family val="1"/>
    </font>
    <font>
      <b/>
      <sz val="10"/>
      <color indexed="8"/>
      <name val="Times New Roman"/>
      <family val="1"/>
    </font>
    <font>
      <b/>
      <sz val="10"/>
      <name val="Times New Roman"/>
      <family val="1"/>
    </font>
    <font>
      <b/>
      <sz val="11"/>
      <name val="Times New Roman"/>
      <family val="1"/>
    </font>
    <font>
      <sz val="13.2"/>
      <color rgb="FF1E7D83"/>
      <name val="Inherit"/>
    </font>
    <font>
      <sz val="11"/>
      <color rgb="FF333333"/>
      <name val="Whitney SSm A"/>
    </font>
    <font>
      <b/>
      <sz val="10"/>
      <color rgb="FFFF0000"/>
      <name val="Times New Roman"/>
      <family val="1"/>
    </font>
    <font>
      <sz val="10"/>
      <color rgb="FFFF0000"/>
      <name val="Times New Roman"/>
      <family val="1"/>
    </font>
    <font>
      <sz val="12"/>
      <color theme="8" tint="-0.249977111117893"/>
      <name val="Arial"/>
      <family val="2"/>
    </font>
    <font>
      <sz val="11"/>
      <name val="Calibri"/>
      <family val="2"/>
      <scheme val="minor"/>
    </font>
    <font>
      <b/>
      <sz val="11"/>
      <color theme="8" tint="-0.249977111117893"/>
      <name val="Calibri"/>
      <family val="2"/>
      <scheme val="minor"/>
    </font>
    <font>
      <b/>
      <sz val="12"/>
      <color theme="8" tint="-0.249977111117893"/>
      <name val="Arial"/>
      <family val="2"/>
    </font>
    <font>
      <sz val="11"/>
      <color theme="8" tint="-0.249977111117893"/>
      <name val="Calibri"/>
      <family val="2"/>
      <scheme val="minor"/>
    </font>
    <font>
      <sz val="12"/>
      <color rgb="FFFF0000"/>
      <name val="Arial"/>
      <family val="2"/>
    </font>
    <font>
      <sz val="14"/>
      <color theme="1"/>
      <name val="Arial"/>
      <family val="2"/>
    </font>
    <font>
      <b/>
      <sz val="9"/>
      <color theme="1"/>
      <name val="Arial"/>
      <family val="2"/>
    </font>
    <font>
      <sz val="9"/>
      <color theme="1"/>
      <name val="Arial"/>
      <family val="2"/>
    </font>
    <font>
      <sz val="11"/>
      <color theme="0"/>
      <name val="Calibri"/>
      <family val="2"/>
      <scheme val="minor"/>
    </font>
    <font>
      <b/>
      <sz val="12"/>
      <color theme="0"/>
      <name val="Arial"/>
      <family val="2"/>
    </font>
    <font>
      <b/>
      <sz val="11"/>
      <color theme="0"/>
      <name val="Arial"/>
      <family val="2"/>
    </font>
    <font>
      <b/>
      <sz val="12"/>
      <name val="Arial"/>
      <family val="2"/>
    </font>
    <font>
      <sz val="12"/>
      <name val="Arial"/>
      <family val="2"/>
    </font>
    <font>
      <sz val="11"/>
      <color theme="0"/>
      <name val="Arial"/>
      <family val="2"/>
    </font>
  </fonts>
  <fills count="1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indexed="9"/>
        <bgColor indexed="64"/>
      </patternFill>
    </fill>
    <fill>
      <patternFill patternType="solid">
        <fgColor rgb="FFF4F4F4"/>
        <bgColor indexed="64"/>
      </patternFill>
    </fill>
    <fill>
      <patternFill patternType="solid">
        <fgColor rgb="FFFFC000"/>
        <bgColor indexed="64"/>
      </patternFill>
    </fill>
    <fill>
      <patternFill patternType="solid">
        <fgColor theme="7"/>
        <bgColor indexed="64"/>
      </patternFill>
    </fill>
    <fill>
      <patternFill patternType="solid">
        <fgColor theme="4"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9" fontId="14" fillId="0" borderId="0" applyFont="0" applyFill="0" applyBorder="0" applyAlignment="0" applyProtection="0"/>
    <xf numFmtId="0" fontId="24" fillId="0" borderId="0" applyNumberFormat="0" applyFill="0" applyBorder="0" applyAlignment="0" applyProtection="0"/>
    <xf numFmtId="0" fontId="14" fillId="0" borderId="0"/>
    <xf numFmtId="174" fontId="14" fillId="0" borderId="0" applyFont="0" applyFill="0" applyBorder="0" applyAlignment="0" applyProtection="0"/>
    <xf numFmtId="174" fontId="1" fillId="0" borderId="0" applyFont="0" applyFill="0" applyBorder="0" applyAlignment="0" applyProtection="0"/>
    <xf numFmtId="0" fontId="1" fillId="0" borderId="0"/>
    <xf numFmtId="174" fontId="1" fillId="0" borderId="0" applyFont="0" applyFill="0" applyBorder="0" applyAlignment="0" applyProtection="0"/>
  </cellStyleXfs>
  <cellXfs count="471">
    <xf numFmtId="0" fontId="0" fillId="0" borderId="0" xfId="0"/>
    <xf numFmtId="0" fontId="2" fillId="0" borderId="0" xfId="0" applyFont="1"/>
    <xf numFmtId="0" fontId="3" fillId="0" borderId="0" xfId="0" applyFont="1"/>
    <xf numFmtId="0" fontId="4" fillId="0" borderId="0" xfId="0" applyFont="1"/>
    <xf numFmtId="0" fontId="2" fillId="2" borderId="1" xfId="0" applyFont="1" applyFill="1" applyBorder="1" applyProtection="1">
      <protection locked="0"/>
    </xf>
    <xf numFmtId="0" fontId="5" fillId="0" borderId="0" xfId="0" applyFont="1" applyFill="1"/>
    <xf numFmtId="0" fontId="2" fillId="0" borderId="0" xfId="0" applyFont="1" applyFill="1"/>
    <xf numFmtId="0" fontId="4" fillId="0" borderId="0" xfId="0" applyFont="1" applyFill="1" applyBorder="1" applyAlignment="1">
      <alignment wrapText="1"/>
    </xf>
    <xf numFmtId="0" fontId="6" fillId="0" borderId="0" xfId="0" applyFont="1"/>
    <xf numFmtId="0" fontId="4" fillId="3" borderId="2" xfId="0" applyFont="1" applyFill="1" applyBorder="1" applyAlignment="1" applyProtection="1">
      <alignment horizontal="center"/>
      <protection locked="0"/>
    </xf>
    <xf numFmtId="0" fontId="5" fillId="0" borderId="3" xfId="0" applyFont="1" applyFill="1" applyBorder="1" applyAlignment="1"/>
    <xf numFmtId="0" fontId="4" fillId="0" borderId="0" xfId="0" applyFont="1" applyFill="1" applyBorder="1" applyAlignment="1"/>
    <xf numFmtId="0" fontId="4" fillId="0" borderId="0" xfId="0" applyFont="1" applyAlignment="1">
      <alignment wrapText="1"/>
    </xf>
    <xf numFmtId="0" fontId="4" fillId="0" borderId="4" xfId="0" applyFont="1" applyBorder="1" applyAlignment="1">
      <alignment wrapText="1"/>
    </xf>
    <xf numFmtId="0" fontId="7" fillId="0" borderId="5" xfId="0" applyFont="1" applyBorder="1" applyAlignment="1">
      <alignment horizontal="center" wrapText="1"/>
    </xf>
    <xf numFmtId="0" fontId="7" fillId="0" borderId="6" xfId="0" applyFont="1" applyFill="1" applyBorder="1" applyAlignment="1">
      <alignment horizontal="center" wrapText="1"/>
    </xf>
    <xf numFmtId="0" fontId="7" fillId="0" borderId="7" xfId="0" applyFont="1" applyFill="1" applyBorder="1" applyAlignment="1">
      <alignment horizontal="center" wrapText="1"/>
    </xf>
    <xf numFmtId="0" fontId="7" fillId="0" borderId="8" xfId="0" applyFont="1" applyBorder="1" applyAlignment="1">
      <alignment horizontal="center" wrapText="1"/>
    </xf>
    <xf numFmtId="0" fontId="4" fillId="0" borderId="8" xfId="0" applyFont="1" applyBorder="1" applyAlignment="1">
      <alignment horizontal="center" wrapText="1"/>
    </xf>
    <xf numFmtId="0" fontId="7" fillId="0" borderId="9" xfId="0" applyFont="1" applyBorder="1" applyAlignment="1">
      <alignment horizontal="center" wrapText="1"/>
    </xf>
    <xf numFmtId="0" fontId="4" fillId="0" borderId="10" xfId="0" applyFont="1" applyBorder="1" applyAlignment="1">
      <alignment horizontal="center" wrapText="1"/>
    </xf>
    <xf numFmtId="0" fontId="7" fillId="0" borderId="11" xfId="0" applyFont="1" applyBorder="1" applyAlignment="1">
      <alignment horizontal="center" wrapText="1"/>
    </xf>
    <xf numFmtId="0" fontId="7" fillId="0" borderId="12" xfId="0" applyFont="1" applyBorder="1" applyAlignment="1">
      <alignment horizontal="center" wrapText="1"/>
    </xf>
    <xf numFmtId="0" fontId="7" fillId="0" borderId="12" xfId="0" quotePrefix="1" applyFont="1" applyBorder="1" applyAlignment="1">
      <alignment horizontal="center" wrapText="1"/>
    </xf>
    <xf numFmtId="0" fontId="7" fillId="0" borderId="13" xfId="0" quotePrefix="1" applyFont="1" applyBorder="1" applyAlignment="1">
      <alignment horizontal="center" wrapText="1"/>
    </xf>
    <xf numFmtId="0" fontId="2" fillId="0" borderId="14" xfId="0" applyFont="1" applyBorder="1"/>
    <xf numFmtId="164" fontId="2" fillId="3" borderId="15" xfId="1" applyNumberFormat="1" applyFont="1" applyFill="1" applyBorder="1" applyProtection="1">
      <protection locked="0"/>
    </xf>
    <xf numFmtId="164" fontId="2" fillId="3" borderId="1" xfId="1" applyNumberFormat="1" applyFont="1" applyFill="1" applyBorder="1" applyProtection="1">
      <protection locked="0"/>
    </xf>
    <xf numFmtId="164" fontId="2" fillId="0" borderId="1" xfId="1" applyNumberFormat="1" applyFont="1" applyFill="1" applyBorder="1"/>
    <xf numFmtId="165" fontId="2" fillId="0" borderId="1" xfId="0" applyNumberFormat="1" applyFont="1" applyFill="1" applyBorder="1"/>
    <xf numFmtId="167" fontId="2" fillId="0" borderId="1" xfId="2" applyNumberFormat="1" applyFont="1" applyFill="1" applyBorder="1"/>
    <xf numFmtId="167" fontId="2" fillId="0" borderId="1" xfId="2" applyNumberFormat="1" applyFont="1" applyBorder="1"/>
    <xf numFmtId="167" fontId="2" fillId="0" borderId="16" xfId="2" applyNumberFormat="1" applyFont="1" applyBorder="1"/>
    <xf numFmtId="164" fontId="2" fillId="3" borderId="17" xfId="1" applyNumberFormat="1" applyFont="1" applyFill="1" applyBorder="1" applyProtection="1">
      <protection locked="0"/>
    </xf>
    <xf numFmtId="0" fontId="7" fillId="0" borderId="18" xfId="0" applyFont="1" applyBorder="1" applyAlignment="1">
      <alignment wrapText="1"/>
    </xf>
    <xf numFmtId="164" fontId="4" fillId="0" borderId="19" xfId="1" applyNumberFormat="1" applyFont="1" applyBorder="1"/>
    <xf numFmtId="0" fontId="4" fillId="0" borderId="19" xfId="0" applyFont="1" applyBorder="1"/>
    <xf numFmtId="167" fontId="4" fillId="0" borderId="19" xfId="2" applyNumberFormat="1" applyFont="1" applyBorder="1"/>
    <xf numFmtId="167" fontId="4" fillId="0" borderId="20" xfId="2" applyNumberFormat="1" applyFont="1" applyBorder="1"/>
    <xf numFmtId="0" fontId="5" fillId="0" borderId="0" xfId="0" applyFont="1"/>
    <xf numFmtId="0" fontId="5" fillId="0" borderId="0" xfId="0" applyFont="1" applyAlignment="1">
      <alignment horizontal="right"/>
    </xf>
    <xf numFmtId="168" fontId="4" fillId="0" borderId="0" xfId="3" applyNumberFormat="1" applyFont="1" applyFill="1"/>
    <xf numFmtId="0" fontId="2" fillId="0" borderId="1" xfId="0" applyFont="1" applyBorder="1"/>
    <xf numFmtId="0" fontId="4" fillId="0" borderId="1" xfId="0" applyFont="1" applyBorder="1" applyAlignment="1">
      <alignment horizontal="center"/>
    </xf>
    <xf numFmtId="0" fontId="7" fillId="0" borderId="21" xfId="0" applyFont="1" applyBorder="1" applyAlignment="1">
      <alignment horizontal="center" wrapText="1"/>
    </xf>
    <xf numFmtId="167" fontId="2" fillId="0" borderId="0" xfId="0" applyNumberFormat="1" applyFont="1"/>
    <xf numFmtId="167" fontId="2" fillId="3" borderId="21" xfId="0" applyNumberFormat="1" applyFont="1" applyFill="1" applyBorder="1" applyAlignment="1" applyProtection="1">
      <alignment horizontal="center"/>
      <protection locked="0"/>
    </xf>
    <xf numFmtId="0" fontId="5" fillId="0" borderId="1" xfId="0" applyFont="1" applyFill="1" applyBorder="1" applyAlignment="1">
      <alignment horizontal="right"/>
    </xf>
    <xf numFmtId="0" fontId="5" fillId="0" borderId="1" xfId="0" applyFont="1" applyFill="1" applyBorder="1" applyAlignment="1">
      <alignment wrapText="1"/>
    </xf>
    <xf numFmtId="167" fontId="5" fillId="0" borderId="0" xfId="0" applyNumberFormat="1" applyFont="1" applyFill="1"/>
    <xf numFmtId="167" fontId="5" fillId="0" borderId="0" xfId="0" applyNumberFormat="1" applyFont="1" applyFill="1" applyBorder="1"/>
    <xf numFmtId="0" fontId="2" fillId="0" borderId="1" xfId="0" applyFont="1" applyBorder="1" applyAlignment="1">
      <alignment horizontal="right"/>
    </xf>
    <xf numFmtId="0" fontId="5" fillId="4" borderId="1" xfId="0" applyFont="1" applyFill="1" applyBorder="1" applyAlignment="1">
      <alignment wrapText="1"/>
    </xf>
    <xf numFmtId="0" fontId="2" fillId="0" borderId="0" xfId="0" applyFont="1" applyBorder="1"/>
    <xf numFmtId="0" fontId="2" fillId="0" borderId="1" xfId="0" applyFont="1" applyFill="1" applyBorder="1" applyAlignment="1">
      <alignment wrapText="1"/>
    </xf>
    <xf numFmtId="166" fontId="2" fillId="0" borderId="0" xfId="4" applyFont="1"/>
    <xf numFmtId="0" fontId="7" fillId="0" borderId="0" xfId="0" applyFont="1" applyBorder="1" applyAlignment="1">
      <alignment wrapText="1"/>
    </xf>
    <xf numFmtId="167" fontId="2" fillId="0" borderId="0" xfId="4" applyNumberFormat="1" applyFont="1"/>
    <xf numFmtId="0" fontId="7" fillId="0" borderId="0" xfId="0" applyFont="1" applyAlignment="1">
      <alignment wrapText="1"/>
    </xf>
    <xf numFmtId="167" fontId="2" fillId="0" borderId="0" xfId="4" applyNumberFormat="1" applyFont="1" applyBorder="1"/>
    <xf numFmtId="169" fontId="2" fillId="0" borderId="24" xfId="3" applyNumberFormat="1" applyFont="1" applyBorder="1"/>
    <xf numFmtId="0" fontId="8" fillId="0" borderId="0" xfId="0" applyFont="1"/>
    <xf numFmtId="0" fontId="9" fillId="0" borderId="0" xfId="0" applyFont="1"/>
    <xf numFmtId="0" fontId="10" fillId="0" borderId="0" xfId="0" applyFont="1"/>
    <xf numFmtId="0" fontId="11" fillId="0" borderId="0" xfId="0" applyFont="1"/>
    <xf numFmtId="17" fontId="9" fillId="0" borderId="0" xfId="0" applyNumberFormat="1" applyFont="1"/>
    <xf numFmtId="0" fontId="10" fillId="0" borderId="0" xfId="0" applyFont="1" applyAlignment="1">
      <alignment wrapText="1"/>
    </xf>
    <xf numFmtId="165" fontId="9" fillId="0" borderId="0" xfId="0" applyNumberFormat="1" applyFont="1"/>
    <xf numFmtId="170" fontId="2" fillId="3" borderId="1" xfId="1" applyNumberFormat="1" applyFont="1" applyFill="1" applyBorder="1" applyProtection="1">
      <protection locked="0"/>
    </xf>
    <xf numFmtId="0" fontId="13" fillId="5" borderId="1" xfId="0" applyFont="1" applyFill="1" applyBorder="1" applyAlignment="1">
      <alignment horizontal="center" vertical="center" wrapText="1"/>
    </xf>
    <xf numFmtId="4" fontId="0" fillId="5" borderId="1" xfId="0" applyNumberFormat="1" applyFill="1" applyBorder="1" applyAlignment="1">
      <alignment horizontal="center" vertical="center" wrapText="1"/>
    </xf>
    <xf numFmtId="4" fontId="14" fillId="5" borderId="1" xfId="0" applyNumberFormat="1" applyFont="1" applyFill="1" applyBorder="1" applyAlignment="1">
      <alignment horizontal="center" vertical="center" wrapText="1"/>
    </xf>
    <xf numFmtId="171" fontId="12" fillId="5" borderId="1" xfId="0" applyNumberFormat="1" applyFont="1" applyFill="1" applyBorder="1" applyAlignment="1">
      <alignment horizontal="center" vertical="center" wrapText="1"/>
    </xf>
    <xf numFmtId="171" fontId="14" fillId="5" borderId="1" xfId="0" applyNumberFormat="1" applyFont="1" applyFill="1" applyBorder="1" applyAlignment="1">
      <alignment horizontal="center" vertical="center" wrapText="1"/>
    </xf>
    <xf numFmtId="172" fontId="14" fillId="5" borderId="1" xfId="0" applyNumberFormat="1" applyFont="1" applyFill="1" applyBorder="1" applyAlignment="1">
      <alignment horizontal="center" vertical="center" wrapText="1"/>
    </xf>
    <xf numFmtId="172" fontId="13" fillId="5" borderId="1" xfId="0" applyNumberFormat="1" applyFont="1" applyFill="1" applyBorder="1" applyAlignment="1">
      <alignment horizontal="center" vertical="center" wrapText="1"/>
    </xf>
    <xf numFmtId="0" fontId="14" fillId="0" borderId="1" xfId="0" applyFont="1" applyFill="1" applyBorder="1"/>
    <xf numFmtId="4" fontId="0" fillId="0" borderId="1" xfId="0" applyNumberFormat="1" applyFill="1" applyBorder="1"/>
    <xf numFmtId="4" fontId="0" fillId="6" borderId="1" xfId="0" applyNumberFormat="1" applyFill="1" applyBorder="1"/>
    <xf numFmtId="171" fontId="15" fillId="0" borderId="1" xfId="0" applyNumberFormat="1" applyFont="1" applyFill="1" applyBorder="1" applyAlignment="1">
      <alignment wrapText="1"/>
    </xf>
    <xf numFmtId="172" fontId="0" fillId="0" borderId="1" xfId="0" applyNumberFormat="1" applyFill="1" applyBorder="1"/>
    <xf numFmtId="4" fontId="0" fillId="0" borderId="0" xfId="0" applyNumberFormat="1" applyFill="1" applyBorder="1"/>
    <xf numFmtId="171" fontId="16" fillId="0" borderId="0" xfId="2" applyNumberFormat="1" applyFont="1"/>
    <xf numFmtId="0" fontId="0" fillId="0" borderId="0" xfId="0" applyFill="1"/>
    <xf numFmtId="4" fontId="0" fillId="0" borderId="0" xfId="0" applyNumberFormat="1" applyFill="1"/>
    <xf numFmtId="171" fontId="18" fillId="0" borderId="0" xfId="0" applyNumberFormat="1" applyFont="1" applyFill="1" applyBorder="1" applyAlignment="1">
      <alignment wrapText="1"/>
    </xf>
    <xf numFmtId="172" fontId="0" fillId="0" borderId="0" xfId="0" applyNumberFormat="1" applyFill="1"/>
    <xf numFmtId="172" fontId="14" fillId="0" borderId="0" xfId="0" applyNumberFormat="1" applyFont="1" applyFill="1"/>
    <xf numFmtId="172" fontId="12" fillId="0" borderId="25" xfId="0" applyNumberFormat="1" applyFont="1" applyFill="1" applyBorder="1"/>
    <xf numFmtId="0" fontId="14" fillId="0" borderId="0" xfId="0" applyFont="1"/>
    <xf numFmtId="0" fontId="6" fillId="0" borderId="0" xfId="0" applyFont="1" applyBorder="1" applyAlignment="1">
      <alignment vertical="center"/>
    </xf>
    <xf numFmtId="0" fontId="7" fillId="0" borderId="0" xfId="0" applyFont="1" applyBorder="1" applyAlignment="1">
      <alignment vertical="center"/>
    </xf>
    <xf numFmtId="0" fontId="5" fillId="0" borderId="1" xfId="0" applyFont="1" applyBorder="1" applyAlignment="1">
      <alignment horizontal="left" vertical="center"/>
    </xf>
    <xf numFmtId="9" fontId="5" fillId="0" borderId="1" xfId="5" applyFont="1" applyBorder="1" applyAlignment="1">
      <alignment horizontal="right" vertical="center"/>
    </xf>
    <xf numFmtId="169" fontId="5" fillId="0" borderId="1" xfId="5" applyNumberFormat="1" applyFont="1" applyBorder="1" applyAlignment="1">
      <alignment horizontal="right" vertical="center"/>
    </xf>
    <xf numFmtId="0" fontId="23" fillId="0" borderId="0" xfId="0" applyFont="1" applyBorder="1" applyAlignment="1">
      <alignment vertical="center"/>
    </xf>
    <xf numFmtId="0" fontId="25" fillId="0" borderId="0" xfId="6" applyFont="1"/>
    <xf numFmtId="0" fontId="26" fillId="0" borderId="0" xfId="0" applyFont="1" applyAlignment="1">
      <alignment horizontal="right"/>
    </xf>
    <xf numFmtId="0" fontId="0" fillId="0" borderId="1" xfId="0" applyBorder="1"/>
    <xf numFmtId="43" fontId="0" fillId="0" borderId="1" xfId="1" applyFont="1" applyBorder="1"/>
    <xf numFmtId="173" fontId="0" fillId="0" borderId="1" xfId="2" applyNumberFormat="1" applyFont="1" applyBorder="1"/>
    <xf numFmtId="0" fontId="14" fillId="0" borderId="0" xfId="7" applyAlignment="1">
      <alignment vertical="center"/>
    </xf>
    <xf numFmtId="0" fontId="17" fillId="0" borderId="0" xfId="7" applyFont="1" applyAlignment="1">
      <alignment horizontal="center" vertical="center"/>
    </xf>
    <xf numFmtId="0" fontId="14" fillId="0" borderId="0" xfId="7" applyFill="1" applyAlignment="1">
      <alignment vertical="center"/>
    </xf>
    <xf numFmtId="40" fontId="14" fillId="0" borderId="0" xfId="7" applyNumberFormat="1" applyAlignment="1">
      <alignment vertical="center"/>
    </xf>
    <xf numFmtId="0" fontId="28" fillId="3" borderId="27" xfId="0" applyFont="1" applyFill="1" applyBorder="1" applyAlignment="1">
      <alignment horizontal="center" vertical="center"/>
    </xf>
    <xf numFmtId="0" fontId="28" fillId="3" borderId="0" xfId="0" applyFont="1" applyFill="1" applyBorder="1" applyAlignment="1">
      <alignment horizontal="center" vertical="center"/>
    </xf>
    <xf numFmtId="0" fontId="29" fillId="0" borderId="0" xfId="0" applyFont="1"/>
    <xf numFmtId="0" fontId="29" fillId="0" borderId="0" xfId="0" applyFont="1" applyFill="1"/>
    <xf numFmtId="0" fontId="29" fillId="0" borderId="28" xfId="0" applyFont="1" applyBorder="1" applyAlignment="1">
      <alignment horizontal="centerContinuous" vertical="center"/>
    </xf>
    <xf numFmtId="0" fontId="29" fillId="0" borderId="29" xfId="0" applyFont="1" applyBorder="1" applyAlignment="1">
      <alignment horizontal="centerContinuous" vertical="center"/>
    </xf>
    <xf numFmtId="0" fontId="30" fillId="0" borderId="22" xfId="0" applyFont="1" applyBorder="1" applyAlignment="1">
      <alignment horizontal="centerContinuous"/>
    </xf>
    <xf numFmtId="0" fontId="29" fillId="0" borderId="22" xfId="0" applyFont="1" applyBorder="1" applyAlignment="1">
      <alignment horizontal="centerContinuous"/>
    </xf>
    <xf numFmtId="0" fontId="29" fillId="0" borderId="15" xfId="0" applyFont="1" applyBorder="1" applyAlignment="1">
      <alignment horizontal="centerContinuous"/>
    </xf>
    <xf numFmtId="0" fontId="29" fillId="0" borderId="1" xfId="0" applyFont="1" applyBorder="1" applyAlignment="1">
      <alignment horizontal="centerContinuous" vertical="center"/>
    </xf>
    <xf numFmtId="0" fontId="30" fillId="0" borderId="1" xfId="0" applyFont="1" applyBorder="1" applyAlignment="1">
      <alignment horizontal="centerContinuous"/>
    </xf>
    <xf numFmtId="170" fontId="31" fillId="3" borderId="15" xfId="0" applyNumberFormat="1" applyFont="1" applyFill="1" applyBorder="1" applyAlignment="1">
      <alignment vertical="center"/>
    </xf>
    <xf numFmtId="0" fontId="29" fillId="0" borderId="1" xfId="0" applyFont="1" applyBorder="1" applyAlignment="1">
      <alignment horizontal="center" vertical="center"/>
    </xf>
    <xf numFmtId="9" fontId="29" fillId="0" borderId="1" xfId="5" applyFont="1" applyBorder="1" applyAlignment="1">
      <alignment horizontal="right" vertical="center"/>
    </xf>
    <xf numFmtId="169" fontId="29" fillId="0" borderId="1" xfId="5" applyNumberFormat="1" applyFont="1" applyBorder="1" applyAlignment="1">
      <alignment horizontal="right" vertical="center"/>
    </xf>
    <xf numFmtId="170" fontId="29" fillId="0" borderId="15" xfId="0" applyNumberFormat="1" applyFont="1" applyBorder="1" applyAlignment="1">
      <alignment vertical="center"/>
    </xf>
    <xf numFmtId="0" fontId="29" fillId="0" borderId="2" xfId="0" applyFont="1" applyBorder="1" applyAlignment="1">
      <alignment horizontal="centerContinuous" vertical="center"/>
    </xf>
    <xf numFmtId="0" fontId="30" fillId="0" borderId="2" xfId="0" applyFont="1" applyBorder="1" applyAlignment="1">
      <alignment horizontal="centerContinuous" vertical="center"/>
    </xf>
    <xf numFmtId="170" fontId="31" fillId="3" borderId="17" xfId="0" applyNumberFormat="1" applyFont="1" applyFill="1" applyBorder="1" applyAlignment="1">
      <alignment vertical="center"/>
    </xf>
    <xf numFmtId="0" fontId="29" fillId="0" borderId="2" xfId="0" applyFont="1" applyBorder="1" applyAlignment="1">
      <alignment horizontal="center" vertical="center"/>
    </xf>
    <xf numFmtId="169" fontId="29" fillId="0" borderId="2" xfId="5" applyNumberFormat="1" applyFont="1" applyBorder="1" applyAlignment="1">
      <alignment horizontal="right" vertical="center"/>
    </xf>
    <xf numFmtId="0" fontId="29" fillId="0" borderId="4" xfId="0" applyFont="1" applyBorder="1" applyAlignment="1">
      <alignment horizontal="centerContinuous" vertical="center"/>
    </xf>
    <xf numFmtId="0" fontId="29" fillId="0" borderId="7" xfId="0" applyFont="1" applyBorder="1" applyAlignment="1">
      <alignment horizontal="centerContinuous" vertical="center"/>
    </xf>
    <xf numFmtId="0" fontId="30" fillId="0" borderId="7" xfId="0" applyFont="1" applyBorder="1" applyAlignment="1">
      <alignment horizontal="centerContinuous" vertical="center"/>
    </xf>
    <xf numFmtId="170" fontId="29" fillId="0" borderId="30" xfId="0" applyNumberFormat="1" applyFont="1" applyFill="1" applyBorder="1" applyAlignment="1">
      <alignment vertical="center"/>
    </xf>
    <xf numFmtId="0" fontId="29" fillId="0" borderId="27" xfId="0" applyFont="1" applyBorder="1" applyAlignment="1">
      <alignment horizontal="center" vertical="center"/>
    </xf>
    <xf numFmtId="169" fontId="29" fillId="0" borderId="27" xfId="5" applyNumberFormat="1" applyFont="1" applyFill="1" applyBorder="1" applyAlignment="1">
      <alignment horizontal="right" vertical="center"/>
    </xf>
    <xf numFmtId="0" fontId="29" fillId="0" borderId="0" xfId="0" applyFont="1" applyBorder="1" applyAlignment="1">
      <alignment horizontal="centerContinuous" vertical="center"/>
    </xf>
    <xf numFmtId="170" fontId="29" fillId="0" borderId="0" xfId="0" applyNumberFormat="1" applyFont="1" applyFill="1" applyBorder="1" applyAlignment="1">
      <alignment horizontal="centerContinuous" vertical="center"/>
    </xf>
    <xf numFmtId="170" fontId="29" fillId="0" borderId="0" xfId="7" applyNumberFormat="1" applyFont="1" applyAlignment="1">
      <alignment vertical="center"/>
    </xf>
    <xf numFmtId="0" fontId="29" fillId="0" borderId="0" xfId="7" applyFont="1" applyAlignment="1">
      <alignment vertical="center"/>
    </xf>
    <xf numFmtId="174" fontId="29" fillId="0" borderId="0" xfId="7" applyNumberFormat="1" applyFont="1" applyAlignment="1">
      <alignment vertical="center"/>
    </xf>
    <xf numFmtId="0" fontId="29" fillId="0" borderId="0" xfId="7" applyFont="1" applyFill="1" applyAlignment="1">
      <alignment vertical="center"/>
    </xf>
    <xf numFmtId="0" fontId="29" fillId="0" borderId="21" xfId="7" applyFont="1" applyBorder="1" applyAlignment="1">
      <alignment horizontal="centerContinuous" vertical="center"/>
    </xf>
    <xf numFmtId="0" fontId="29" fillId="0" borderId="22" xfId="7" applyFont="1" applyBorder="1" applyAlignment="1">
      <alignment horizontal="centerContinuous" vertical="center"/>
    </xf>
    <xf numFmtId="0" fontId="29" fillId="0" borderId="23" xfId="7" applyFont="1" applyBorder="1" applyAlignment="1">
      <alignment horizontal="centerContinuous" vertical="center"/>
    </xf>
    <xf numFmtId="0" fontId="29" fillId="0" borderId="0" xfId="7" applyFont="1" applyBorder="1" applyAlignment="1">
      <alignment horizontal="centerContinuous" vertical="center"/>
    </xf>
    <xf numFmtId="0" fontId="14" fillId="0" borderId="0" xfId="7" applyAlignment="1">
      <alignment vertical="center" wrapText="1"/>
    </xf>
    <xf numFmtId="0" fontId="29" fillId="0" borderId="31" xfId="7" applyFont="1" applyBorder="1" applyAlignment="1">
      <alignment horizontal="center" wrapText="1"/>
    </xf>
    <xf numFmtId="0" fontId="29" fillId="0" borderId="32" xfId="7" applyFont="1" applyBorder="1" applyAlignment="1">
      <alignment horizontal="center" wrapText="1"/>
    </xf>
    <xf numFmtId="0" fontId="29" fillId="0" borderId="2" xfId="7" applyFont="1" applyBorder="1" applyAlignment="1">
      <alignment horizontal="center" vertical="top" wrapText="1"/>
    </xf>
    <xf numFmtId="0" fontId="29" fillId="0" borderId="17" xfId="7" applyFont="1" applyBorder="1" applyAlignment="1">
      <alignment horizontal="center" wrapText="1"/>
    </xf>
    <xf numFmtId="0" fontId="29" fillId="0" borderId="2" xfId="7" applyFont="1" applyBorder="1" applyAlignment="1">
      <alignment horizontal="center" wrapText="1"/>
    </xf>
    <xf numFmtId="0" fontId="29" fillId="0" borderId="0" xfId="7" applyFont="1" applyBorder="1" applyAlignment="1">
      <alignment horizontal="center" wrapText="1"/>
    </xf>
    <xf numFmtId="0" fontId="29" fillId="0" borderId="33" xfId="7" applyFont="1" applyBorder="1" applyAlignment="1">
      <alignment horizontal="center" vertical="top" wrapText="1"/>
    </xf>
    <xf numFmtId="0" fontId="29" fillId="0" borderId="28" xfId="7" applyFont="1" applyBorder="1" applyAlignment="1">
      <alignment horizontal="center" vertical="top" wrapText="1"/>
    </xf>
    <xf numFmtId="0" fontId="29" fillId="0" borderId="34" xfId="7" applyFont="1" applyBorder="1" applyAlignment="1">
      <alignment horizontal="center" vertical="top" wrapText="1"/>
    </xf>
    <xf numFmtId="0" fontId="29" fillId="0" borderId="33" xfId="7" quotePrefix="1" applyFont="1" applyBorder="1" applyAlignment="1">
      <alignment horizontal="center" vertical="top" wrapText="1"/>
    </xf>
    <xf numFmtId="0" fontId="29" fillId="0" borderId="0" xfId="7" applyFont="1" applyBorder="1" applyAlignment="1">
      <alignment horizontal="center" vertical="top" wrapText="1"/>
    </xf>
    <xf numFmtId="0" fontId="29" fillId="0" borderId="0" xfId="7" applyFont="1" applyBorder="1" applyAlignment="1">
      <alignment horizontal="center" vertical="top"/>
    </xf>
    <xf numFmtId="17" fontId="14" fillId="0" borderId="0" xfId="7" applyNumberFormat="1" applyAlignment="1">
      <alignment vertical="center"/>
    </xf>
    <xf numFmtId="170" fontId="33" fillId="3" borderId="0" xfId="8" applyNumberFormat="1" applyFont="1" applyFill="1" applyBorder="1" applyAlignment="1">
      <alignment vertical="center"/>
    </xf>
    <xf numFmtId="170" fontId="32" fillId="3" borderId="0" xfId="8" applyNumberFormat="1" applyFont="1" applyFill="1" applyBorder="1" applyAlignment="1">
      <alignment vertical="center"/>
    </xf>
    <xf numFmtId="6" fontId="32" fillId="0" borderId="31" xfId="8" applyNumberFormat="1" applyFont="1" applyBorder="1" applyAlignment="1">
      <alignment vertical="center"/>
    </xf>
    <xf numFmtId="6" fontId="32" fillId="0" borderId="0" xfId="8" applyNumberFormat="1" applyFont="1" applyBorder="1" applyAlignment="1">
      <alignment vertical="center"/>
    </xf>
    <xf numFmtId="170" fontId="32" fillId="3" borderId="31" xfId="8" applyNumberFormat="1" applyFont="1" applyFill="1" applyBorder="1" applyAlignment="1">
      <alignment vertical="center"/>
    </xf>
    <xf numFmtId="170" fontId="33" fillId="3" borderId="32" xfId="8" applyNumberFormat="1" applyFont="1" applyFill="1" applyBorder="1" applyAlignment="1">
      <alignment vertical="center"/>
    </xf>
    <xf numFmtId="170" fontId="32" fillId="3" borderId="36" xfId="8" applyNumberFormat="1" applyFont="1" applyFill="1" applyBorder="1" applyAlignment="1">
      <alignment vertical="center"/>
    </xf>
    <xf numFmtId="6" fontId="32" fillId="3" borderId="31" xfId="8" applyNumberFormat="1" applyFont="1" applyFill="1" applyBorder="1" applyAlignment="1">
      <alignment vertical="center"/>
    </xf>
    <xf numFmtId="175" fontId="29" fillId="8" borderId="37" xfId="7" applyNumberFormat="1" applyFont="1" applyFill="1" applyBorder="1" applyAlignment="1">
      <alignment vertical="center"/>
    </xf>
    <xf numFmtId="175" fontId="29" fillId="8" borderId="31" xfId="7" applyNumberFormat="1" applyFont="1" applyFill="1" applyBorder="1" applyAlignment="1">
      <alignment vertical="center"/>
    </xf>
    <xf numFmtId="175" fontId="29" fillId="8" borderId="32" xfId="7" applyNumberFormat="1" applyFont="1" applyFill="1" applyBorder="1" applyAlignment="1">
      <alignment vertical="center"/>
    </xf>
    <xf numFmtId="170" fontId="32" fillId="3" borderId="26" xfId="8" applyNumberFormat="1" applyFont="1" applyFill="1" applyBorder="1" applyAlignment="1">
      <alignment vertical="center"/>
    </xf>
    <xf numFmtId="170" fontId="33" fillId="3" borderId="38" xfId="8" applyNumberFormat="1" applyFont="1" applyFill="1" applyBorder="1" applyAlignment="1">
      <alignment vertical="center"/>
    </xf>
    <xf numFmtId="170" fontId="33" fillId="3" borderId="35" xfId="8" applyNumberFormat="1" applyFont="1" applyFill="1" applyBorder="1" applyAlignment="1">
      <alignment vertical="center"/>
    </xf>
    <xf numFmtId="170" fontId="32" fillId="3" borderId="25" xfId="8" applyNumberFormat="1" applyFont="1" applyFill="1" applyBorder="1" applyAlignment="1">
      <alignment vertical="center"/>
    </xf>
    <xf numFmtId="170" fontId="32" fillId="3" borderId="3" xfId="8" applyNumberFormat="1" applyFont="1" applyFill="1" applyBorder="1" applyAlignment="1">
      <alignment vertical="center"/>
    </xf>
    <xf numFmtId="175" fontId="29" fillId="8" borderId="38" xfId="7" applyNumberFormat="1" applyFont="1" applyFill="1" applyBorder="1" applyAlignment="1">
      <alignment vertical="center"/>
    </xf>
    <xf numFmtId="175" fontId="29" fillId="8" borderId="26" xfId="7" applyNumberFormat="1" applyFont="1" applyFill="1" applyBorder="1" applyAlignment="1">
      <alignment vertical="center"/>
    </xf>
    <xf numFmtId="175" fontId="29" fillId="8" borderId="35" xfId="7" applyNumberFormat="1" applyFont="1" applyFill="1" applyBorder="1" applyAlignment="1">
      <alignment vertical="center"/>
    </xf>
    <xf numFmtId="6" fontId="32" fillId="0" borderId="26" xfId="8" applyNumberFormat="1" applyFont="1" applyBorder="1" applyAlignment="1">
      <alignment vertical="center"/>
    </xf>
    <xf numFmtId="170" fontId="29" fillId="0" borderId="33" xfId="7" applyNumberFormat="1" applyFont="1" applyBorder="1" applyAlignment="1">
      <alignment vertical="center"/>
    </xf>
    <xf numFmtId="175" fontId="29" fillId="8" borderId="33" xfId="7" applyNumberFormat="1" applyFont="1" applyFill="1" applyBorder="1" applyAlignment="1">
      <alignment vertical="center"/>
    </xf>
    <xf numFmtId="6" fontId="32" fillId="0" borderId="33" xfId="8" applyNumberFormat="1" applyFont="1" applyBorder="1" applyAlignment="1">
      <alignment vertical="center"/>
    </xf>
    <xf numFmtId="6" fontId="34" fillId="0" borderId="33" xfId="8" applyNumberFormat="1" applyFont="1" applyBorder="1" applyAlignment="1">
      <alignment vertical="center"/>
    </xf>
    <xf numFmtId="6" fontId="34" fillId="0" borderId="0" xfId="8" applyNumberFormat="1" applyFont="1" applyFill="1" applyBorder="1" applyAlignment="1">
      <alignment vertical="center"/>
    </xf>
    <xf numFmtId="6" fontId="17" fillId="0" borderId="0" xfId="7" applyNumberFormat="1" applyFont="1" applyAlignment="1">
      <alignment vertical="center"/>
    </xf>
    <xf numFmtId="178" fontId="29" fillId="0" borderId="0" xfId="7" applyNumberFormat="1" applyFont="1" applyAlignment="1">
      <alignment vertical="center"/>
    </xf>
    <xf numFmtId="170" fontId="29" fillId="0" borderId="23" xfId="7" quotePrefix="1" applyNumberFormat="1" applyFont="1" applyBorder="1" applyAlignment="1">
      <alignment vertical="center"/>
    </xf>
    <xf numFmtId="170" fontId="29" fillId="0" borderId="23" xfId="7" applyNumberFormat="1" applyFont="1" applyBorder="1" applyAlignment="1">
      <alignment horizontal="right" vertical="center"/>
    </xf>
    <xf numFmtId="6" fontId="34" fillId="0" borderId="0" xfId="8" applyNumberFormat="1" applyFont="1" applyBorder="1" applyAlignment="1">
      <alignment vertical="center"/>
    </xf>
    <xf numFmtId="6" fontId="14" fillId="0" borderId="0" xfId="7" applyNumberFormat="1" applyAlignment="1">
      <alignment vertical="center"/>
    </xf>
    <xf numFmtId="10" fontId="29" fillId="0" borderId="0" xfId="7" applyNumberFormat="1" applyFont="1" applyAlignment="1">
      <alignment vertical="center"/>
    </xf>
    <xf numFmtId="179" fontId="29" fillId="0" borderId="0" xfId="7" applyNumberFormat="1" applyFont="1" applyAlignment="1">
      <alignment vertical="center"/>
    </xf>
    <xf numFmtId="170" fontId="29" fillId="0" borderId="0" xfId="7" quotePrefix="1" applyNumberFormat="1" applyFont="1" applyBorder="1" applyAlignment="1">
      <alignment vertical="center"/>
    </xf>
    <xf numFmtId="170" fontId="29" fillId="0" borderId="0" xfId="7" applyNumberFormat="1" applyFont="1" applyBorder="1" applyAlignment="1">
      <alignment horizontal="right" vertical="center"/>
    </xf>
    <xf numFmtId="170" fontId="29" fillId="0" borderId="0" xfId="7" applyNumberFormat="1" applyFont="1" applyBorder="1" applyAlignment="1">
      <alignment vertical="center"/>
    </xf>
    <xf numFmtId="6" fontId="35" fillId="0" borderId="0" xfId="8" applyNumberFormat="1" applyFont="1" applyFill="1" applyBorder="1" applyAlignment="1">
      <alignment vertical="center"/>
    </xf>
    <xf numFmtId="10" fontId="14" fillId="0" borderId="0" xfId="7" applyNumberFormat="1" applyAlignment="1">
      <alignment vertical="center"/>
    </xf>
    <xf numFmtId="0" fontId="17" fillId="0" borderId="0" xfId="7" applyFont="1" applyAlignment="1">
      <alignment vertical="center"/>
    </xf>
    <xf numFmtId="40" fontId="0" fillId="0" borderId="0" xfId="0" applyNumberFormat="1" applyFill="1"/>
    <xf numFmtId="179" fontId="0" fillId="0" borderId="0" xfId="0" applyNumberFormat="1" applyFill="1"/>
    <xf numFmtId="166" fontId="29" fillId="0" borderId="0" xfId="4" applyFont="1" applyFill="1" applyBorder="1" applyAlignment="1">
      <alignment vertical="center"/>
    </xf>
    <xf numFmtId="166" fontId="36" fillId="0" borderId="0" xfId="4" applyFont="1" applyFill="1" applyBorder="1" applyAlignment="1">
      <alignment vertical="center"/>
    </xf>
    <xf numFmtId="0" fontId="37" fillId="0" borderId="0" xfId="0" quotePrefix="1" applyFont="1" applyAlignment="1">
      <alignment vertical="center"/>
    </xf>
    <xf numFmtId="170" fontId="17" fillId="0" borderId="0" xfId="9" applyNumberFormat="1" applyFont="1" applyAlignment="1">
      <alignment vertical="center"/>
    </xf>
    <xf numFmtId="0" fontId="14" fillId="0" borderId="0" xfId="7" applyBorder="1" applyAlignment="1">
      <alignment vertical="center"/>
    </xf>
    <xf numFmtId="0" fontId="38" fillId="0" borderId="0" xfId="0" applyFont="1" applyBorder="1" applyAlignment="1">
      <alignment horizontal="center" vertical="center"/>
    </xf>
    <xf numFmtId="0" fontId="0" fillId="0" borderId="0" xfId="0" applyBorder="1" applyAlignment="1">
      <alignment horizontal="center"/>
    </xf>
    <xf numFmtId="0" fontId="39" fillId="9" borderId="0" xfId="0" applyFont="1" applyFill="1" applyBorder="1" applyAlignment="1">
      <alignment horizontal="center" vertical="top" wrapText="1"/>
    </xf>
    <xf numFmtId="0" fontId="39" fillId="0" borderId="0" xfId="0" applyFont="1" applyBorder="1" applyAlignment="1">
      <alignment horizontal="center" vertical="top" wrapText="1"/>
    </xf>
    <xf numFmtId="40" fontId="39" fillId="0" borderId="0" xfId="0" applyNumberFormat="1" applyFont="1" applyBorder="1" applyAlignment="1">
      <alignment horizontal="center" vertical="top" wrapText="1"/>
    </xf>
    <xf numFmtId="40" fontId="39" fillId="9" borderId="0" xfId="0" applyNumberFormat="1" applyFont="1" applyFill="1" applyBorder="1" applyAlignment="1">
      <alignment horizontal="center" vertical="top" wrapText="1"/>
    </xf>
    <xf numFmtId="4" fontId="39" fillId="9" borderId="0" xfId="0" applyNumberFormat="1" applyFont="1" applyFill="1" applyBorder="1" applyAlignment="1">
      <alignment horizontal="center" vertical="top" wrapText="1"/>
    </xf>
    <xf numFmtId="0" fontId="14" fillId="0" borderId="0" xfId="7" applyBorder="1"/>
    <xf numFmtId="0" fontId="14" fillId="0" borderId="0" xfId="7"/>
    <xf numFmtId="0" fontId="14" fillId="0" borderId="0" xfId="7" applyFill="1"/>
    <xf numFmtId="40" fontId="14" fillId="0" borderId="0" xfId="7" applyNumberFormat="1"/>
    <xf numFmtId="0" fontId="5" fillId="0" borderId="19" xfId="0" applyFont="1" applyBorder="1" applyAlignment="1">
      <alignment horizontal="left" vertical="center"/>
    </xf>
    <xf numFmtId="4" fontId="0" fillId="0" borderId="0" xfId="0" applyNumberFormat="1"/>
    <xf numFmtId="0" fontId="40" fillId="0" borderId="0" xfId="0" applyFont="1"/>
    <xf numFmtId="6" fontId="32" fillId="0" borderId="0" xfId="8" applyNumberFormat="1" applyFont="1" applyFill="1" applyBorder="1" applyAlignment="1">
      <alignment vertical="center"/>
    </xf>
    <xf numFmtId="10" fontId="35" fillId="0" borderId="0" xfId="8" applyNumberFormat="1" applyFont="1" applyFill="1" applyBorder="1" applyAlignment="1">
      <alignment vertical="center"/>
    </xf>
    <xf numFmtId="0" fontId="27" fillId="0" borderId="0" xfId="0" applyFont="1" applyAlignment="1">
      <alignment horizontal="center" vertical="center"/>
    </xf>
    <xf numFmtId="0" fontId="0" fillId="0" borderId="0" xfId="0"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0" fillId="0" borderId="0" xfId="0" applyAlignment="1">
      <alignment wrapText="1"/>
    </xf>
    <xf numFmtId="0" fontId="39" fillId="9" borderId="0" xfId="0" applyFont="1" applyFill="1" applyAlignment="1">
      <alignment vertical="top" wrapText="1" indent="1"/>
    </xf>
    <xf numFmtId="0" fontId="10" fillId="0" borderId="1" xfId="0" quotePrefix="1" applyFont="1" applyBorder="1" applyAlignment="1">
      <alignment horizontal="center" vertical="center" wrapText="1"/>
    </xf>
    <xf numFmtId="0" fontId="10" fillId="4" borderId="1" xfId="0" applyFont="1" applyFill="1" applyBorder="1" applyAlignment="1">
      <alignment horizontal="center" vertical="center" wrapText="1"/>
    </xf>
    <xf numFmtId="0" fontId="12" fillId="0" borderId="1" xfId="0" applyFont="1" applyBorder="1" applyAlignment="1">
      <alignment horizontal="center" vertical="center"/>
    </xf>
    <xf numFmtId="0" fontId="10" fillId="0" borderId="1" xfId="0" applyFont="1" applyBorder="1" applyAlignment="1">
      <alignment horizontal="center" wrapText="1"/>
    </xf>
    <xf numFmtId="0" fontId="10" fillId="0" borderId="1" xfId="0" applyFont="1" applyFill="1" applyBorder="1" applyAlignment="1">
      <alignment horizontal="center" wrapText="1"/>
    </xf>
    <xf numFmtId="17" fontId="9" fillId="4" borderId="1" xfId="0" applyNumberFormat="1" applyFont="1" applyFill="1" applyBorder="1"/>
    <xf numFmtId="179" fontId="9" fillId="4" borderId="1" xfId="0" applyNumberFormat="1" applyFont="1" applyFill="1" applyBorder="1"/>
    <xf numFmtId="44" fontId="9" fillId="0" borderId="1" xfId="0" applyNumberFormat="1" applyFont="1" applyBorder="1"/>
    <xf numFmtId="3" fontId="9" fillId="0" borderId="1" xfId="0" applyNumberFormat="1" applyFont="1" applyBorder="1"/>
    <xf numFmtId="10" fontId="9" fillId="0" borderId="1" xfId="0" applyNumberFormat="1" applyFont="1" applyBorder="1"/>
    <xf numFmtId="0" fontId="0" fillId="0" borderId="0" xfId="0" applyBorder="1"/>
    <xf numFmtId="17" fontId="10" fillId="4" borderId="1" xfId="0" applyNumberFormat="1" applyFont="1" applyFill="1" applyBorder="1"/>
    <xf numFmtId="174" fontId="10" fillId="0" borderId="1" xfId="0" applyNumberFormat="1" applyFont="1" applyBorder="1"/>
    <xf numFmtId="17" fontId="10" fillId="0" borderId="0" xfId="0" applyNumberFormat="1" applyFont="1" applyFill="1" applyBorder="1"/>
    <xf numFmtId="174" fontId="10" fillId="0" borderId="0" xfId="0" applyNumberFormat="1" applyFont="1" applyFill="1" applyBorder="1"/>
    <xf numFmtId="8" fontId="10" fillId="0" borderId="0" xfId="0" applyNumberFormat="1" applyFont="1" applyFill="1" applyBorder="1"/>
    <xf numFmtId="0" fontId="43" fillId="0" borderId="0" xfId="0" applyFont="1"/>
    <xf numFmtId="0" fontId="44" fillId="0" borderId="0" xfId="0" applyFont="1"/>
    <xf numFmtId="0" fontId="27" fillId="0" borderId="0" xfId="0" applyFont="1" applyAlignment="1">
      <alignment horizontal="center"/>
    </xf>
    <xf numFmtId="0" fontId="10" fillId="0" borderId="1" xfId="0" applyFont="1" applyBorder="1" applyAlignment="1">
      <alignment wrapText="1"/>
    </xf>
    <xf numFmtId="0" fontId="45" fillId="0" borderId="0" xfId="0" applyFont="1" applyFill="1" applyBorder="1" applyAlignment="1">
      <alignment horizontal="center" wrapText="1"/>
    </xf>
    <xf numFmtId="0" fontId="10" fillId="0" borderId="0" xfId="0" applyFont="1" applyFill="1" applyBorder="1" applyAlignment="1">
      <alignment wrapText="1"/>
    </xf>
    <xf numFmtId="44" fontId="9" fillId="2" borderId="1" xfId="1" applyNumberFormat="1" applyFont="1" applyFill="1" applyBorder="1"/>
    <xf numFmtId="44" fontId="9" fillId="0" borderId="1" xfId="1" applyNumberFormat="1" applyFont="1" applyBorder="1"/>
    <xf numFmtId="179" fontId="9" fillId="2" borderId="1" xfId="1" applyNumberFormat="1" applyFont="1" applyFill="1" applyBorder="1"/>
    <xf numFmtId="44" fontId="46" fillId="0" borderId="0" xfId="2" applyFont="1" applyFill="1" applyBorder="1"/>
    <xf numFmtId="0" fontId="0" fillId="0" borderId="0" xfId="0" applyFill="1" applyBorder="1"/>
    <xf numFmtId="0" fontId="12" fillId="0" borderId="0" xfId="0" applyFont="1"/>
    <xf numFmtId="44" fontId="10" fillId="0" borderId="1" xfId="0" applyNumberFormat="1" applyFont="1" applyBorder="1"/>
    <xf numFmtId="44" fontId="10" fillId="0" borderId="1" xfId="1" applyNumberFormat="1" applyFont="1" applyBorder="1"/>
    <xf numFmtId="43" fontId="44" fillId="0" borderId="0" xfId="0" applyNumberFormat="1" applyFont="1" applyFill="1" applyBorder="1"/>
    <xf numFmtId="0" fontId="12" fillId="0" borderId="0" xfId="0" applyFont="1" applyFill="1" applyBorder="1"/>
    <xf numFmtId="44" fontId="46" fillId="0" borderId="0" xfId="0" applyNumberFormat="1" applyFont="1"/>
    <xf numFmtId="0" fontId="46" fillId="0" borderId="0" xfId="0" applyFont="1"/>
    <xf numFmtId="0" fontId="44" fillId="0" borderId="0" xfId="0" applyFont="1" applyFill="1" applyBorder="1"/>
    <xf numFmtId="44" fontId="46" fillId="0" borderId="0" xfId="0" applyNumberFormat="1" applyFont="1" applyFill="1" applyBorder="1"/>
    <xf numFmtId="43" fontId="9" fillId="2" borderId="1" xfId="1" applyFont="1" applyFill="1" applyBorder="1"/>
    <xf numFmtId="43" fontId="9" fillId="0" borderId="1" xfId="1" applyFont="1" applyBorder="1"/>
    <xf numFmtId="174" fontId="9" fillId="0" borderId="1" xfId="0" applyNumberFormat="1" applyFont="1" applyBorder="1"/>
    <xf numFmtId="43" fontId="9" fillId="0" borderId="1" xfId="0" applyNumberFormat="1" applyFont="1" applyBorder="1"/>
    <xf numFmtId="43" fontId="10" fillId="0" borderId="1" xfId="0" applyNumberFormat="1" applyFont="1" applyBorder="1"/>
    <xf numFmtId="17" fontId="10" fillId="4" borderId="0" xfId="0" applyNumberFormat="1" applyFont="1" applyFill="1" applyBorder="1"/>
    <xf numFmtId="43" fontId="10" fillId="0" borderId="0" xfId="0" applyNumberFormat="1" applyFont="1" applyBorder="1"/>
    <xf numFmtId="174" fontId="10" fillId="0" borderId="0" xfId="0" applyNumberFormat="1" applyFont="1" applyBorder="1"/>
    <xf numFmtId="43" fontId="47" fillId="2" borderId="1" xfId="1" applyFont="1" applyFill="1" applyBorder="1"/>
    <xf numFmtId="43" fontId="9" fillId="2" borderId="1" xfId="1" quotePrefix="1" applyFont="1" applyFill="1" applyBorder="1"/>
    <xf numFmtId="0" fontId="27" fillId="0" borderId="0" xfId="0" applyFont="1"/>
    <xf numFmtId="43" fontId="0" fillId="0" borderId="0" xfId="0" applyNumberFormat="1"/>
    <xf numFmtId="0" fontId="48" fillId="0" borderId="0" xfId="0" applyFont="1"/>
    <xf numFmtId="0" fontId="49" fillId="0" borderId="0" xfId="0" applyFont="1" applyAlignment="1">
      <alignment horizontal="right"/>
    </xf>
    <xf numFmtId="0" fontId="50" fillId="0" borderId="1" xfId="0" applyFont="1" applyFill="1" applyBorder="1"/>
    <xf numFmtId="0" fontId="9" fillId="0" borderId="0" xfId="0" quotePrefix="1" applyFont="1"/>
    <xf numFmtId="0" fontId="50" fillId="10" borderId="1" xfId="0" applyFont="1" applyFill="1" applyBorder="1"/>
    <xf numFmtId="0" fontId="9" fillId="0" borderId="1" xfId="0" applyFont="1" applyBorder="1" applyAlignment="1">
      <alignment horizontal="center" vertical="center" wrapText="1"/>
    </xf>
    <xf numFmtId="0" fontId="21" fillId="0" borderId="1" xfId="0" applyFont="1" applyFill="1" applyBorder="1"/>
    <xf numFmtId="44" fontId="21" fillId="0" borderId="1" xfId="0" applyNumberFormat="1" applyFont="1" applyFill="1" applyBorder="1"/>
    <xf numFmtId="0" fontId="0" fillId="10" borderId="1" xfId="0" applyFill="1" applyBorder="1"/>
    <xf numFmtId="0" fontId="21" fillId="0" borderId="1" xfId="0" applyFont="1" applyBorder="1"/>
    <xf numFmtId="44" fontId="21" fillId="0" borderId="1" xfId="1" applyNumberFormat="1" applyFont="1" applyFill="1" applyBorder="1"/>
    <xf numFmtId="0" fontId="21" fillId="10" borderId="1" xfId="0" applyFont="1" applyFill="1" applyBorder="1"/>
    <xf numFmtId="43" fontId="21" fillId="0" borderId="1" xfId="1" applyFont="1" applyFill="1" applyBorder="1"/>
    <xf numFmtId="0" fontId="43" fillId="0" borderId="1" xfId="0" applyFont="1" applyFill="1" applyBorder="1"/>
    <xf numFmtId="0" fontId="0" fillId="0" borderId="1" xfId="0" applyFill="1" applyBorder="1"/>
    <xf numFmtId="0" fontId="0" fillId="4" borderId="1" xfId="0" applyFill="1" applyBorder="1"/>
    <xf numFmtId="0" fontId="0" fillId="4" borderId="0" xfId="0" applyFill="1"/>
    <xf numFmtId="0" fontId="0" fillId="4" borderId="0" xfId="0" applyFont="1" applyFill="1"/>
    <xf numFmtId="2" fontId="0" fillId="0" borderId="1" xfId="0" applyNumberFormat="1" applyFill="1" applyBorder="1"/>
    <xf numFmtId="0" fontId="21" fillId="11" borderId="1" xfId="0" applyFont="1" applyFill="1" applyBorder="1"/>
    <xf numFmtId="0" fontId="9" fillId="0" borderId="1" xfId="0" applyFont="1" applyBorder="1" applyAlignment="1">
      <alignment horizontal="left" vertical="center"/>
    </xf>
    <xf numFmtId="8" fontId="10" fillId="0" borderId="1" xfId="0" applyNumberFormat="1" applyFont="1" applyFill="1" applyBorder="1"/>
    <xf numFmtId="44" fontId="0" fillId="0" borderId="0" xfId="0" applyNumberFormat="1"/>
    <xf numFmtId="168" fontId="2" fillId="0" borderId="0" xfId="0" applyNumberFormat="1" applyFont="1"/>
    <xf numFmtId="44" fontId="2" fillId="0" borderId="0" xfId="0" applyNumberFormat="1" applyFont="1"/>
    <xf numFmtId="10" fontId="0" fillId="0" borderId="0" xfId="0" applyNumberFormat="1"/>
    <xf numFmtId="43" fontId="2" fillId="0" borderId="0" xfId="0" applyNumberFormat="1" applyFont="1"/>
    <xf numFmtId="4" fontId="2" fillId="0" borderId="0" xfId="0" applyNumberFormat="1" applyFont="1"/>
    <xf numFmtId="6" fontId="32" fillId="3" borderId="26" xfId="8" applyNumberFormat="1" applyFont="1" applyFill="1" applyBorder="1" applyAlignment="1">
      <alignment vertical="center"/>
    </xf>
    <xf numFmtId="0" fontId="29" fillId="0" borderId="43" xfId="7" applyFont="1" applyBorder="1" applyAlignment="1">
      <alignment horizontal="center" vertical="top"/>
    </xf>
    <xf numFmtId="0" fontId="29" fillId="0" borderId="19" xfId="7" applyFont="1" applyBorder="1" applyAlignment="1">
      <alignment horizontal="center" vertical="top"/>
    </xf>
    <xf numFmtId="0" fontId="29" fillId="0" borderId="19" xfId="7" quotePrefix="1" applyFont="1" applyBorder="1" applyAlignment="1">
      <alignment horizontal="center" vertical="top"/>
    </xf>
    <xf numFmtId="43" fontId="0" fillId="0" borderId="0" xfId="1" applyFont="1" applyBorder="1"/>
    <xf numFmtId="43" fontId="0" fillId="0" borderId="1" xfId="1" applyFont="1" applyBorder="1" applyAlignment="1">
      <alignment horizontal="left"/>
    </xf>
    <xf numFmtId="0" fontId="27" fillId="0" borderId="0" xfId="0" applyFont="1" applyBorder="1"/>
    <xf numFmtId="43" fontId="27" fillId="0" borderId="0" xfId="1" applyFont="1" applyBorder="1"/>
    <xf numFmtId="166" fontId="27" fillId="0" borderId="0" xfId="4" applyFont="1" applyBorder="1"/>
    <xf numFmtId="0" fontId="0" fillId="0" borderId="0" xfId="0" applyBorder="1" applyAlignment="1">
      <alignment horizontal="left"/>
    </xf>
    <xf numFmtId="0" fontId="0" fillId="0" borderId="0" xfId="0" quotePrefix="1" applyFill="1" applyBorder="1"/>
    <xf numFmtId="15" fontId="35" fillId="0" borderId="0" xfId="8" applyNumberFormat="1" applyFont="1" applyFill="1" applyBorder="1" applyAlignment="1">
      <alignment vertical="center"/>
    </xf>
    <xf numFmtId="172" fontId="0" fillId="0" borderId="0" xfId="0" applyNumberFormat="1"/>
    <xf numFmtId="171" fontId="39" fillId="9" borderId="0" xfId="0" applyNumberFormat="1" applyFont="1" applyFill="1" applyBorder="1" applyAlignment="1">
      <alignment horizontal="center" vertical="top" wrapText="1"/>
    </xf>
    <xf numFmtId="43" fontId="0" fillId="0" borderId="15" xfId="0" applyNumberFormat="1" applyFill="1" applyBorder="1"/>
    <xf numFmtId="171" fontId="39" fillId="9" borderId="1" xfId="0" applyNumberFormat="1" applyFont="1" applyFill="1" applyBorder="1" applyAlignment="1">
      <alignment horizontal="center" vertical="top" wrapText="1"/>
    </xf>
    <xf numFmtId="0" fontId="27" fillId="0" borderId="1" xfId="0" applyFont="1" applyBorder="1"/>
    <xf numFmtId="3" fontId="5" fillId="0" borderId="0" xfId="0" applyNumberFormat="1" applyFont="1" applyFill="1"/>
    <xf numFmtId="44" fontId="9" fillId="0" borderId="1" xfId="0" applyNumberFormat="1" applyFont="1" applyFill="1" applyBorder="1"/>
    <xf numFmtId="10" fontId="2" fillId="0" borderId="0" xfId="0" applyNumberFormat="1" applyFont="1"/>
    <xf numFmtId="3" fontId="2" fillId="0" borderId="0" xfId="0" applyNumberFormat="1" applyFont="1"/>
    <xf numFmtId="43" fontId="9" fillId="0" borderId="1" xfId="0" applyNumberFormat="1" applyFont="1" applyFill="1" applyBorder="1"/>
    <xf numFmtId="37" fontId="9" fillId="0" borderId="1" xfId="0" applyNumberFormat="1" applyFont="1" applyFill="1" applyBorder="1"/>
    <xf numFmtId="0" fontId="52" fillId="13" borderId="1" xfId="0" applyFont="1" applyFill="1" applyBorder="1" applyAlignment="1">
      <alignment horizontal="center" vertical="center"/>
    </xf>
    <xf numFmtId="0" fontId="52" fillId="13" borderId="1" xfId="0" applyFont="1" applyFill="1" applyBorder="1" applyAlignment="1">
      <alignment horizontal="center" vertical="center" wrapText="1"/>
    </xf>
    <xf numFmtId="0" fontId="51" fillId="13" borderId="0" xfId="0" applyFont="1" applyFill="1"/>
    <xf numFmtId="0" fontId="53" fillId="13" borderId="1" xfId="0" applyFont="1" applyFill="1" applyBorder="1" applyAlignment="1">
      <alignment horizontal="center" wrapText="1"/>
    </xf>
    <xf numFmtId="174" fontId="42" fillId="0" borderId="1" xfId="9" applyFont="1" applyFill="1" applyBorder="1"/>
    <xf numFmtId="165" fontId="9" fillId="0" borderId="1" xfId="0" applyNumberFormat="1" applyFont="1" applyFill="1" applyBorder="1"/>
    <xf numFmtId="179" fontId="9" fillId="0" borderId="1" xfId="0" applyNumberFormat="1" applyFont="1" applyFill="1" applyBorder="1"/>
    <xf numFmtId="3" fontId="9" fillId="0" borderId="1" xfId="0" applyNumberFormat="1" applyFont="1" applyFill="1" applyBorder="1"/>
    <xf numFmtId="10" fontId="9" fillId="0" borderId="1" xfId="0" applyNumberFormat="1" applyFont="1" applyFill="1" applyBorder="1"/>
    <xf numFmtId="179" fontId="9" fillId="0" borderId="2" xfId="0" applyNumberFormat="1" applyFont="1" applyFill="1" applyBorder="1"/>
    <xf numFmtId="44" fontId="9" fillId="0" borderId="2" xfId="0" applyNumberFormat="1" applyFont="1" applyFill="1" applyBorder="1"/>
    <xf numFmtId="10" fontId="9" fillId="0" borderId="2" xfId="0" applyNumberFormat="1" applyFont="1" applyFill="1" applyBorder="1"/>
    <xf numFmtId="174" fontId="10" fillId="0" borderId="1" xfId="0" applyNumberFormat="1" applyFont="1" applyFill="1" applyBorder="1"/>
    <xf numFmtId="174" fontId="10" fillId="0" borderId="2" xfId="0" applyNumberFormat="1" applyFont="1" applyFill="1" applyBorder="1"/>
    <xf numFmtId="44" fontId="10" fillId="0" borderId="1" xfId="0" applyNumberFormat="1" applyFont="1" applyFill="1" applyBorder="1"/>
    <xf numFmtId="8" fontId="10" fillId="0" borderId="2" xfId="0" applyNumberFormat="1" applyFont="1" applyFill="1" applyBorder="1"/>
    <xf numFmtId="0" fontId="54" fillId="0" borderId="1" xfId="0" applyFont="1" applyBorder="1" applyAlignment="1">
      <alignment horizontal="center" vertical="center" wrapText="1"/>
    </xf>
    <xf numFmtId="174" fontId="55" fillId="0" borderId="1" xfId="9" applyFont="1" applyBorder="1"/>
    <xf numFmtId="174" fontId="55" fillId="0" borderId="1" xfId="9" applyFont="1" applyFill="1" applyBorder="1"/>
    <xf numFmtId="0" fontId="17" fillId="0" borderId="0" xfId="7" applyFont="1" applyAlignment="1">
      <alignment horizontal="center" vertical="center"/>
    </xf>
    <xf numFmtId="0" fontId="2" fillId="0" borderId="0" xfId="10" applyFont="1"/>
    <xf numFmtId="0" fontId="6" fillId="0" borderId="0" xfId="10" applyFont="1"/>
    <xf numFmtId="0" fontId="5" fillId="0" borderId="0" xfId="10" applyFont="1"/>
    <xf numFmtId="0" fontId="7" fillId="3" borderId="1" xfId="10" applyFont="1" applyFill="1" applyBorder="1" applyAlignment="1">
      <alignment horizontal="left" vertical="center"/>
    </xf>
    <xf numFmtId="0" fontId="7" fillId="2" borderId="1" xfId="10" applyFont="1" applyFill="1" applyBorder="1" applyAlignment="1">
      <alignment horizontal="left" vertical="center"/>
    </xf>
    <xf numFmtId="0" fontId="7" fillId="0" borderId="0" xfId="10" applyFont="1" applyFill="1" applyBorder="1" applyAlignment="1">
      <alignment horizontal="left" vertical="center"/>
    </xf>
    <xf numFmtId="0" fontId="7" fillId="3" borderId="1" xfId="10" applyFont="1" applyFill="1" applyBorder="1" applyAlignment="1">
      <alignment horizontal="center" vertical="center"/>
    </xf>
    <xf numFmtId="0" fontId="5" fillId="0" borderId="1" xfId="10" applyFont="1" applyBorder="1" applyAlignment="1">
      <alignment horizontal="left" vertical="center"/>
    </xf>
    <xf numFmtId="164" fontId="5" fillId="0" borderId="1" xfId="11" applyNumberFormat="1" applyFont="1" applyFill="1" applyBorder="1" applyAlignment="1">
      <alignment vertical="center"/>
    </xf>
    <xf numFmtId="0" fontId="5" fillId="0" borderId="1" xfId="10" applyFont="1" applyBorder="1" applyAlignment="1">
      <alignment horizontal="center" vertical="center"/>
    </xf>
    <xf numFmtId="0" fontId="5" fillId="14" borderId="1" xfId="10" applyFont="1" applyFill="1" applyBorder="1" applyAlignment="1">
      <alignment horizontal="left" vertical="center"/>
    </xf>
    <xf numFmtId="164" fontId="5" fillId="3" borderId="1" xfId="11" applyNumberFormat="1" applyFont="1" applyFill="1" applyBorder="1" applyAlignment="1">
      <alignment vertical="center"/>
    </xf>
    <xf numFmtId="0" fontId="5" fillId="14" borderId="1" xfId="10" applyFont="1" applyFill="1" applyBorder="1" applyAlignment="1">
      <alignment horizontal="center" vertical="center"/>
    </xf>
    <xf numFmtId="169" fontId="5" fillId="14" borderId="1" xfId="5" applyNumberFormat="1" applyFont="1" applyFill="1" applyBorder="1" applyAlignment="1">
      <alignment horizontal="right" vertical="center"/>
    </xf>
    <xf numFmtId="0" fontId="2" fillId="3" borderId="1" xfId="0" applyFont="1" applyFill="1" applyBorder="1" applyAlignment="1" applyProtection="1">
      <alignment horizontal="left" wrapText="1"/>
      <protection locked="0"/>
    </xf>
    <xf numFmtId="0" fontId="0" fillId="0" borderId="1" xfId="0" applyBorder="1" applyAlignment="1">
      <alignment horizontal="left" wrapText="1"/>
    </xf>
    <xf numFmtId="0" fontId="2" fillId="3" borderId="21" xfId="0" applyFont="1" applyFill="1" applyBorder="1" applyAlignment="1" applyProtection="1">
      <alignment horizontal="left" wrapText="1"/>
      <protection locked="0"/>
    </xf>
    <xf numFmtId="0" fontId="0" fillId="0" borderId="22" xfId="0" applyBorder="1" applyAlignment="1">
      <alignment horizontal="left" wrapText="1"/>
    </xf>
    <xf numFmtId="0" fontId="0" fillId="0" borderId="15" xfId="0" applyBorder="1" applyAlignment="1">
      <alignment horizontal="left" wrapText="1"/>
    </xf>
    <xf numFmtId="0" fontId="2" fillId="3" borderId="22" xfId="0" applyFont="1" applyFill="1" applyBorder="1" applyAlignment="1" applyProtection="1">
      <alignment horizontal="left" wrapText="1"/>
      <protection locked="0"/>
    </xf>
    <xf numFmtId="0" fontId="2" fillId="3" borderId="15" xfId="0" applyFont="1" applyFill="1" applyBorder="1" applyAlignment="1" applyProtection="1">
      <alignment horizontal="left" wrapText="1"/>
      <protection locked="0"/>
    </xf>
    <xf numFmtId="0" fontId="7" fillId="0" borderId="1" xfId="10" applyFont="1" applyBorder="1" applyAlignment="1">
      <alignment horizontal="left" vertical="center"/>
    </xf>
    <xf numFmtId="0" fontId="2" fillId="0" borderId="21" xfId="10" applyFont="1" applyBorder="1" applyAlignment="1">
      <alignment horizontal="center"/>
    </xf>
    <xf numFmtId="0" fontId="2" fillId="0" borderId="15" xfId="10" applyFont="1" applyBorder="1" applyAlignment="1">
      <alignment horizontal="center"/>
    </xf>
    <xf numFmtId="0" fontId="5" fillId="0" borderId="23"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xf numFmtId="0" fontId="0" fillId="0" borderId="0" xfId="0" applyAlignment="1"/>
    <xf numFmtId="167" fontId="4" fillId="0" borderId="0" xfId="4" applyNumberFormat="1" applyFont="1" applyBorder="1" applyAlignment="1">
      <alignment horizontal="left" wrapText="1"/>
    </xf>
    <xf numFmtId="0" fontId="7" fillId="0" borderId="1" xfId="0" applyFont="1" applyBorder="1" applyAlignment="1">
      <alignment horizontal="center"/>
    </xf>
    <xf numFmtId="0" fontId="4" fillId="0" borderId="21" xfId="0" applyFont="1" applyBorder="1" applyAlignment="1">
      <alignment horizontal="center" wrapText="1"/>
    </xf>
    <xf numFmtId="0" fontId="4" fillId="0" borderId="22" xfId="0" applyFont="1" applyBorder="1" applyAlignment="1">
      <alignment horizontal="center" wrapText="1"/>
    </xf>
    <xf numFmtId="0" fontId="7" fillId="0" borderId="21" xfId="0" applyFont="1" applyBorder="1" applyAlignment="1">
      <alignment horizontal="center"/>
    </xf>
    <xf numFmtId="0" fontId="7" fillId="0" borderId="22" xfId="0" applyFont="1" applyBorder="1" applyAlignment="1">
      <alignment horizontal="center"/>
    </xf>
    <xf numFmtId="0" fontId="7" fillId="0" borderId="15" xfId="0" applyFont="1" applyBorder="1" applyAlignment="1">
      <alignment horizontal="center"/>
    </xf>
    <xf numFmtId="0" fontId="17" fillId="0" borderId="0" xfId="7" applyFont="1" applyAlignment="1">
      <alignment horizontal="center" vertical="center"/>
    </xf>
    <xf numFmtId="0" fontId="53" fillId="13" borderId="4" xfId="0" applyFont="1" applyFill="1" applyBorder="1" applyAlignment="1">
      <alignment horizontal="right" wrapText="1"/>
    </xf>
    <xf numFmtId="0" fontId="56" fillId="13" borderId="30" xfId="0" applyFont="1" applyFill="1" applyBorder="1" applyAlignment="1">
      <alignment horizontal="right" wrapText="1"/>
    </xf>
    <xf numFmtId="0" fontId="53" fillId="13" borderId="39" xfId="0" applyFont="1" applyFill="1" applyBorder="1" applyAlignment="1">
      <alignment horizontal="right"/>
    </xf>
    <xf numFmtId="0" fontId="53" fillId="13" borderId="40" xfId="0" applyFont="1" applyFill="1" applyBorder="1" applyAlignment="1">
      <alignment horizontal="right"/>
    </xf>
    <xf numFmtId="0" fontId="53" fillId="13" borderId="41" xfId="0" applyFont="1" applyFill="1" applyBorder="1" applyAlignment="1">
      <alignment horizontal="right"/>
    </xf>
    <xf numFmtId="0" fontId="53" fillId="13" borderId="42" xfId="0" applyFont="1" applyFill="1" applyBorder="1" applyAlignment="1">
      <alignment horizontal="right"/>
    </xf>
    <xf numFmtId="0" fontId="14" fillId="15" borderId="1" xfId="0" applyFont="1" applyFill="1" applyBorder="1"/>
    <xf numFmtId="4" fontId="17" fillId="15" borderId="1" xfId="0" applyNumberFormat="1" applyFont="1" applyFill="1" applyBorder="1"/>
    <xf numFmtId="171" fontId="18" fillId="15" borderId="1" xfId="0" applyNumberFormat="1" applyFont="1" applyFill="1" applyBorder="1" applyAlignment="1">
      <alignment wrapText="1"/>
    </xf>
    <xf numFmtId="172" fontId="0" fillId="15" borderId="1" xfId="0" applyNumberFormat="1" applyFill="1" applyBorder="1"/>
    <xf numFmtId="43" fontId="43" fillId="0" borderId="1" xfId="1" applyFont="1" applyBorder="1"/>
    <xf numFmtId="0" fontId="17" fillId="0" borderId="0" xfId="0" applyFont="1" applyFill="1" applyBorder="1" applyAlignment="1">
      <alignment wrapText="1"/>
    </xf>
    <xf numFmtId="172" fontId="0" fillId="0" borderId="0" xfId="0" applyNumberFormat="1" applyFill="1" applyBorder="1"/>
    <xf numFmtId="0" fontId="13" fillId="0" borderId="0" xfId="0" applyFont="1" applyFill="1" applyBorder="1"/>
    <xf numFmtId="171" fontId="12" fillId="0" borderId="0" xfId="0" applyNumberFormat="1" applyFont="1" applyFill="1" applyBorder="1"/>
    <xf numFmtId="171" fontId="0" fillId="0" borderId="0" xfId="0" applyNumberFormat="1" applyFill="1" applyBorder="1"/>
    <xf numFmtId="172" fontId="13" fillId="0" borderId="0" xfId="0" applyNumberFormat="1" applyFont="1" applyFill="1" applyBorder="1"/>
    <xf numFmtId="0" fontId="13" fillId="5" borderId="0" xfId="0" applyFont="1" applyFill="1" applyBorder="1" applyAlignment="1">
      <alignment horizontal="center" vertical="center" wrapText="1"/>
    </xf>
    <xf numFmtId="4" fontId="0" fillId="5" borderId="0" xfId="0" applyNumberFormat="1" applyFill="1" applyBorder="1" applyAlignment="1">
      <alignment horizontal="center" vertical="center" wrapText="1"/>
    </xf>
    <xf numFmtId="4" fontId="14" fillId="5" borderId="0" xfId="0" applyNumberFormat="1" applyFont="1" applyFill="1" applyBorder="1" applyAlignment="1">
      <alignment horizontal="center" vertical="center" wrapText="1"/>
    </xf>
    <xf numFmtId="171" fontId="12" fillId="5" borderId="0" xfId="0" applyNumberFormat="1" applyFont="1" applyFill="1" applyBorder="1" applyAlignment="1">
      <alignment horizontal="center" vertical="center" wrapText="1"/>
    </xf>
    <xf numFmtId="171" fontId="14" fillId="5" borderId="0" xfId="0" applyNumberFormat="1" applyFont="1" applyFill="1" applyBorder="1" applyAlignment="1">
      <alignment horizontal="center" vertical="center" wrapText="1"/>
    </xf>
    <xf numFmtId="172" fontId="14" fillId="5" borderId="0" xfId="0" applyNumberFormat="1" applyFont="1" applyFill="1" applyBorder="1" applyAlignment="1">
      <alignment horizontal="center" vertical="center" wrapText="1"/>
    </xf>
    <xf numFmtId="172" fontId="13" fillId="5" borderId="0" xfId="0" applyNumberFormat="1" applyFont="1" applyFill="1" applyBorder="1" applyAlignment="1">
      <alignment horizontal="center" vertical="center" wrapText="1"/>
    </xf>
    <xf numFmtId="17" fontId="21" fillId="0" borderId="0" xfId="0" applyNumberFormat="1" applyFont="1" applyFill="1" applyBorder="1"/>
    <xf numFmtId="4" fontId="14" fillId="0" borderId="0" xfId="0" applyNumberFormat="1" applyFont="1" applyFill="1" applyBorder="1"/>
    <xf numFmtId="171" fontId="21" fillId="0" borderId="0" xfId="0" applyNumberFormat="1" applyFont="1" applyFill="1" applyBorder="1"/>
    <xf numFmtId="171" fontId="14" fillId="0" borderId="0" xfId="0" applyNumberFormat="1" applyFont="1" applyFill="1" applyBorder="1"/>
    <xf numFmtId="172" fontId="14" fillId="0" borderId="0" xfId="0" applyNumberFormat="1" applyFont="1" applyFill="1" applyBorder="1"/>
    <xf numFmtId="172" fontId="21" fillId="0" borderId="0" xfId="0" applyNumberFormat="1" applyFont="1" applyFill="1" applyBorder="1"/>
    <xf numFmtId="0" fontId="22" fillId="0" borderId="0" xfId="0" applyFont="1" applyFill="1" applyBorder="1"/>
    <xf numFmtId="172" fontId="0" fillId="7" borderId="1" xfId="0" applyNumberFormat="1" applyFill="1" applyBorder="1"/>
    <xf numFmtId="0" fontId="4" fillId="0" borderId="0" xfId="0" applyFont="1" applyBorder="1" applyAlignment="1">
      <alignment horizontal="center"/>
    </xf>
    <xf numFmtId="0" fontId="4" fillId="0" borderId="0" xfId="0" applyFont="1" applyBorder="1" applyAlignment="1">
      <alignment wrapText="1"/>
    </xf>
    <xf numFmtId="0" fontId="4" fillId="0" borderId="0" xfId="0" applyFont="1" applyFill="1" applyBorder="1" applyAlignment="1">
      <alignment horizontal="center" wrapText="1"/>
    </xf>
    <xf numFmtId="0" fontId="9" fillId="0" borderId="0" xfId="0" applyFont="1" applyBorder="1"/>
    <xf numFmtId="0" fontId="10" fillId="0" borderId="0" xfId="0" applyFont="1" applyAlignment="1">
      <alignment horizontal="center" vertical="center" wrapText="1"/>
    </xf>
    <xf numFmtId="17" fontId="9" fillId="0" borderId="0" xfId="0" applyNumberFormat="1" applyFont="1" applyFill="1" applyBorder="1"/>
    <xf numFmtId="17" fontId="9" fillId="0" borderId="29" xfId="0" applyNumberFormat="1" applyFont="1" applyBorder="1"/>
    <xf numFmtId="165" fontId="9" fillId="0" borderId="29" xfId="0" applyNumberFormat="1" applyFont="1" applyBorder="1"/>
    <xf numFmtId="0" fontId="5" fillId="0" borderId="8" xfId="0" applyFont="1" applyBorder="1" applyAlignment="1">
      <alignment horizontal="left" vertical="center"/>
    </xf>
    <xf numFmtId="6" fontId="34" fillId="0" borderId="1" xfId="8" applyNumberFormat="1" applyFont="1" applyFill="1" applyBorder="1" applyAlignment="1">
      <alignment vertical="center"/>
    </xf>
    <xf numFmtId="6" fontId="34" fillId="0" borderId="1" xfId="8" applyNumberFormat="1" applyFont="1" applyBorder="1" applyAlignment="1">
      <alignment vertical="center"/>
    </xf>
    <xf numFmtId="182" fontId="34" fillId="7" borderId="33" xfId="8" applyNumberFormat="1" applyFont="1" applyFill="1" applyBorder="1" applyAlignment="1">
      <alignment vertical="center"/>
    </xf>
    <xf numFmtId="0" fontId="36" fillId="12" borderId="23" xfId="7" applyFont="1" applyFill="1" applyBorder="1" applyAlignment="1">
      <alignment vertical="center"/>
    </xf>
    <xf numFmtId="172" fontId="36" fillId="12" borderId="23" xfId="7" applyNumberFormat="1" applyFont="1" applyFill="1" applyBorder="1" applyAlignment="1">
      <alignment vertical="center"/>
    </xf>
    <xf numFmtId="172" fontId="36" fillId="12" borderId="17" xfId="7" applyNumberFormat="1" applyFont="1" applyFill="1" applyBorder="1" applyAlignment="1">
      <alignment vertical="center"/>
    </xf>
    <xf numFmtId="166" fontId="14" fillId="0" borderId="29" xfId="7" applyNumberFormat="1" applyBorder="1" applyAlignment="1">
      <alignment vertical="center"/>
    </xf>
    <xf numFmtId="166" fontId="0" fillId="0" borderId="29" xfId="0" applyNumberFormat="1" applyBorder="1"/>
    <xf numFmtId="172" fontId="0" fillId="0" borderId="34" xfId="0" applyNumberFormat="1" applyBorder="1"/>
    <xf numFmtId="0" fontId="14" fillId="0" borderId="2" xfId="7" applyBorder="1" applyAlignment="1">
      <alignment vertical="center"/>
    </xf>
    <xf numFmtId="15" fontId="36" fillId="0" borderId="2" xfId="7" applyNumberFormat="1" applyFont="1" applyFill="1" applyBorder="1" applyAlignment="1">
      <alignment vertical="center"/>
    </xf>
    <xf numFmtId="7" fontId="0" fillId="0" borderId="23" xfId="0" applyNumberFormat="1" applyFill="1" applyBorder="1"/>
    <xf numFmtId="7" fontId="0" fillId="0" borderId="23" xfId="0" applyNumberFormat="1" applyBorder="1"/>
    <xf numFmtId="172" fontId="0" fillId="0" borderId="17" xfId="0" applyNumberFormat="1" applyBorder="1"/>
    <xf numFmtId="0" fontId="36" fillId="0" borderId="0" xfId="7" applyFont="1" applyAlignment="1">
      <alignment vertical="center"/>
    </xf>
    <xf numFmtId="0" fontId="12" fillId="0" borderId="21" xfId="0" applyFont="1" applyBorder="1"/>
    <xf numFmtId="0" fontId="12" fillId="0" borderId="22" xfId="0" applyFont="1" applyBorder="1" applyAlignment="1">
      <alignment horizontal="left"/>
    </xf>
    <xf numFmtId="0" fontId="12" fillId="0" borderId="22" xfId="0" applyFont="1" applyFill="1" applyBorder="1"/>
    <xf numFmtId="0" fontId="12" fillId="0" borderId="15" xfId="0" applyFont="1" applyBorder="1"/>
    <xf numFmtId="0" fontId="27" fillId="0" borderId="1" xfId="0" applyFont="1" applyFill="1" applyBorder="1"/>
    <xf numFmtId="166" fontId="27" fillId="0" borderId="22" xfId="4" applyFont="1" applyFill="1" applyBorder="1"/>
    <xf numFmtId="43" fontId="27" fillId="0" borderId="1" xfId="1" applyFont="1" applyFill="1" applyBorder="1" applyAlignment="1">
      <alignment horizontal="left"/>
    </xf>
    <xf numFmtId="166" fontId="27" fillId="0" borderId="15" xfId="4" applyFont="1" applyFill="1" applyBorder="1"/>
    <xf numFmtId="15" fontId="12" fillId="0" borderId="33" xfId="0" applyNumberFormat="1" applyFont="1" applyFill="1" applyBorder="1"/>
    <xf numFmtId="0" fontId="36" fillId="0" borderId="21" xfId="7" applyFont="1" applyBorder="1" applyAlignment="1">
      <alignment horizontal="center" vertical="center" wrapText="1"/>
    </xf>
    <xf numFmtId="0" fontId="36" fillId="0" borderId="22" xfId="7" applyFont="1" applyBorder="1" applyAlignment="1">
      <alignment horizontal="center" vertical="center" wrapText="1"/>
    </xf>
    <xf numFmtId="0" fontId="36" fillId="0" borderId="15" xfId="7" applyFont="1" applyBorder="1" applyAlignment="1">
      <alignment horizontal="center" vertical="center" wrapText="1"/>
    </xf>
    <xf numFmtId="6" fontId="17" fillId="0" borderId="33" xfId="7" applyNumberFormat="1" applyFont="1" applyBorder="1" applyAlignment="1">
      <alignment vertical="center"/>
    </xf>
    <xf numFmtId="0" fontId="14" fillId="0" borderId="17" xfId="7" applyBorder="1" applyAlignment="1">
      <alignment vertical="center" wrapText="1"/>
    </xf>
    <xf numFmtId="0" fontId="14" fillId="0" borderId="37" xfId="7" applyBorder="1" applyAlignment="1">
      <alignment vertical="center"/>
    </xf>
    <xf numFmtId="6" fontId="34" fillId="0" borderId="0" xfId="8" applyNumberFormat="1" applyFont="1" applyFill="1" applyBorder="1" applyAlignment="1">
      <alignment horizontal="right" vertical="center"/>
    </xf>
    <xf numFmtId="177" fontId="14" fillId="0" borderId="33" xfId="7" applyNumberFormat="1" applyBorder="1" applyAlignment="1">
      <alignment vertical="center"/>
    </xf>
    <xf numFmtId="176" fontId="14" fillId="0" borderId="37" xfId="7" applyNumberFormat="1" applyBorder="1" applyAlignment="1">
      <alignment vertical="center"/>
    </xf>
    <xf numFmtId="176" fontId="14" fillId="0" borderId="34" xfId="7" applyNumberFormat="1" applyBorder="1" applyAlignment="1">
      <alignment vertical="center"/>
    </xf>
    <xf numFmtId="0" fontId="14" fillId="0" borderId="34" xfId="7" applyBorder="1" applyAlignment="1">
      <alignment vertical="center" wrapText="1"/>
    </xf>
    <xf numFmtId="0" fontId="29" fillId="0" borderId="31" xfId="7" applyFont="1" applyBorder="1" applyAlignment="1">
      <alignment horizontal="center" vertical="top" wrapText="1"/>
    </xf>
    <xf numFmtId="8" fontId="32" fillId="0" borderId="31" xfId="8" applyNumberFormat="1" applyFont="1" applyBorder="1" applyAlignment="1">
      <alignment vertical="center"/>
    </xf>
    <xf numFmtId="8" fontId="32" fillId="0" borderId="33" xfId="8" applyNumberFormat="1" applyFont="1" applyBorder="1" applyAlignment="1">
      <alignment vertical="center"/>
    </xf>
    <xf numFmtId="40" fontId="14" fillId="0" borderId="2" xfId="7" applyNumberFormat="1" applyBorder="1" applyAlignment="1">
      <alignment horizontal="center" vertical="center" wrapText="1"/>
    </xf>
    <xf numFmtId="40" fontId="14" fillId="0" borderId="33" xfId="7" applyNumberFormat="1" applyBorder="1" applyAlignment="1">
      <alignment horizontal="center" vertical="center"/>
    </xf>
    <xf numFmtId="40" fontId="14" fillId="0" borderId="31" xfId="7" applyNumberFormat="1" applyBorder="1" applyAlignment="1">
      <alignment vertical="center"/>
    </xf>
    <xf numFmtId="6" fontId="32" fillId="0" borderId="31" xfId="8" applyNumberFormat="1" applyFont="1" applyFill="1" applyBorder="1" applyAlignment="1">
      <alignment vertical="center"/>
    </xf>
    <xf numFmtId="0" fontId="14" fillId="0" borderId="2" xfId="7" applyBorder="1" applyAlignment="1">
      <alignment horizontal="center" vertical="center" wrapText="1"/>
    </xf>
    <xf numFmtId="0" fontId="14" fillId="0" borderId="33" xfId="7" applyBorder="1" applyAlignment="1">
      <alignment horizontal="center" vertical="center" wrapText="1"/>
    </xf>
    <xf numFmtId="0" fontId="14" fillId="0" borderId="31" xfId="7" applyBorder="1" applyAlignment="1">
      <alignment vertical="center" wrapText="1"/>
    </xf>
    <xf numFmtId="176" fontId="14" fillId="0" borderId="31" xfId="7" applyNumberFormat="1" applyBorder="1" applyAlignment="1">
      <alignment vertical="center"/>
    </xf>
    <xf numFmtId="176" fontId="14" fillId="0" borderId="33" xfId="7" applyNumberFormat="1" applyBorder="1" applyAlignment="1">
      <alignment vertical="center"/>
    </xf>
    <xf numFmtId="0" fontId="14" fillId="0" borderId="33" xfId="7" applyBorder="1" applyAlignment="1">
      <alignment horizontal="center" vertical="center"/>
    </xf>
    <xf numFmtId="0" fontId="14" fillId="0" borderId="31" xfId="7" applyBorder="1" applyAlignment="1">
      <alignment vertical="center"/>
    </xf>
    <xf numFmtId="8" fontId="14" fillId="0" borderId="0" xfId="7" applyNumberFormat="1" applyAlignment="1">
      <alignment vertical="center"/>
    </xf>
  </cellXfs>
  <cellStyles count="12">
    <cellStyle name="Comma" xfId="1" builtinId="3"/>
    <cellStyle name="Comma 2" xfId="8" xr:uid="{F2F87937-0ACC-440A-B055-5FBEBF020ADC}"/>
    <cellStyle name="Comma 2 5" xfId="11" xr:uid="{79338BC8-91B8-40CD-93FE-6B7DDA6FB984}"/>
    <cellStyle name="Comma 3" xfId="9" xr:uid="{80537898-CADA-4CDC-BE75-96D9C23C7365}"/>
    <cellStyle name="Currency" xfId="2" builtinId="4"/>
    <cellStyle name="Currency 2" xfId="4" xr:uid="{07884DCA-DE97-45ED-8124-CA608BD22073}"/>
    <cellStyle name="Hyperlink" xfId="6" builtinId="8"/>
    <cellStyle name="Normal" xfId="0" builtinId="0"/>
    <cellStyle name="Normal 2" xfId="7" xr:uid="{4982FC35-59DF-4772-A071-AB6409CEB011}"/>
    <cellStyle name="Normal 3 9" xfId="10" xr:uid="{BC808D40-61D4-433E-A1EB-ED1637209801}"/>
    <cellStyle name="Percent" xfId="3" builtinId="5"/>
    <cellStyle name="Percent 2" xfId="5" xr:uid="{E1C785C8-7BEC-4A26-95A1-955C3A6F2F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312083</xdr:colOff>
      <xdr:row>0</xdr:row>
      <xdr:rowOff>0</xdr:rowOff>
    </xdr:from>
    <xdr:to>
      <xdr:col>5</xdr:col>
      <xdr:colOff>300607</xdr:colOff>
      <xdr:row>9</xdr:row>
      <xdr:rowOff>0</xdr:rowOff>
    </xdr:to>
    <xdr:pic>
      <xdr:nvPicPr>
        <xdr:cNvPr id="2" name="Picture 1">
          <a:extLst>
            <a:ext uri="{FF2B5EF4-FFF2-40B4-BE49-F238E27FC236}">
              <a16:creationId xmlns:a16="http://schemas.microsoft.com/office/drawing/2014/main" id="{338A1141-307B-4B68-A9D3-A2699A000DFF}"/>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312083" y="0"/>
          <a:ext cx="6551249"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E05E5E12-31EF-44DC-8C95-B802999DC3C5}"/>
            </a:ext>
          </a:extLst>
        </xdr:cNvPr>
        <xdr:cNvSpPr/>
      </xdr:nvSpPr>
      <xdr:spPr>
        <a:xfrm>
          <a:off x="28575" y="695325"/>
          <a:ext cx="6305550"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57FCFDE4-A11F-47DB-847A-9E9D85885E81}"/>
            </a:ext>
          </a:extLst>
        </xdr:cNvPr>
        <xdr:cNvSpPr/>
      </xdr:nvSpPr>
      <xdr:spPr>
        <a:xfrm>
          <a:off x="609600" y="123825"/>
          <a:ext cx="321643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702F41D7-5A9E-4DC4-AEC1-8B75242C0DC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11906</xdr:colOff>
      <xdr:row>33</xdr:row>
      <xdr:rowOff>35719</xdr:rowOff>
    </xdr:from>
    <xdr:to>
      <xdr:col>9</xdr:col>
      <xdr:colOff>753495</xdr:colOff>
      <xdr:row>40</xdr:row>
      <xdr:rowOff>4423</xdr:rowOff>
    </xdr:to>
    <xdr:sp macro="" textlink="">
      <xdr:nvSpPr>
        <xdr:cNvPr id="7" name="TextBox 6">
          <a:extLst>
            <a:ext uri="{FF2B5EF4-FFF2-40B4-BE49-F238E27FC236}">
              <a16:creationId xmlns:a16="http://schemas.microsoft.com/office/drawing/2014/main" id="{7EE9A4BF-53B6-460E-A8F4-1E2C515DE2CB}"/>
            </a:ext>
          </a:extLst>
        </xdr:cNvPr>
        <xdr:cNvSpPr txBox="1"/>
      </xdr:nvSpPr>
      <xdr:spPr>
        <a:xfrm>
          <a:off x="619125" y="6512719"/>
          <a:ext cx="11457214" cy="130220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anose="020B0604020202020204" pitchFamily="34" charset="0"/>
              <a:ea typeface="+mn-ea"/>
              <a:cs typeface="Arial" panose="020B0604020202020204" pitchFamily="34" charset="0"/>
            </a:rPr>
            <a:t>Guelph RZ </a:t>
          </a:r>
          <a:r>
            <a:rPr lang="en-CA" sz="1100" baseline="0">
              <a:solidFill>
                <a:schemeClr val="dk1"/>
              </a:solidFill>
              <a:effectLst/>
              <a:latin typeface="Arial" panose="020B0604020202020204" pitchFamily="34" charset="0"/>
              <a:ea typeface="+mn-ea"/>
              <a:cs typeface="Arial" panose="020B0604020202020204" pitchFamily="34" charset="0"/>
            </a:rPr>
            <a:t>bills customers based on the GA first estimate, and the IESO charges GA based on actual GA rates. Guelph RZ applies GA first estimate on all billing and unbilled revenue transactions for non-RPP Class B customers in each customer class. </a:t>
          </a:r>
          <a:endParaRPr lang="en-CA">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6497</xdr:colOff>
      <xdr:row>35</xdr:row>
      <xdr:rowOff>123825</xdr:rowOff>
    </xdr:from>
    <xdr:to>
      <xdr:col>15</xdr:col>
      <xdr:colOff>360693</xdr:colOff>
      <xdr:row>59</xdr:row>
      <xdr:rowOff>113480</xdr:rowOff>
    </xdr:to>
    <xdr:pic>
      <xdr:nvPicPr>
        <xdr:cNvPr id="2" name="Picture 1">
          <a:extLst>
            <a:ext uri="{FF2B5EF4-FFF2-40B4-BE49-F238E27FC236}">
              <a16:creationId xmlns:a16="http://schemas.microsoft.com/office/drawing/2014/main" id="{73AAA866-6F00-49E4-AFB9-895CB20543ED}"/>
            </a:ext>
          </a:extLst>
        </xdr:cNvPr>
        <xdr:cNvPicPr>
          <a:picLocks noChangeAspect="1"/>
        </xdr:cNvPicPr>
      </xdr:nvPicPr>
      <xdr:blipFill>
        <a:blip xmlns:r="http://schemas.openxmlformats.org/officeDocument/2006/relationships" r:embed="rId1"/>
        <a:stretch>
          <a:fillRect/>
        </a:stretch>
      </xdr:blipFill>
      <xdr:spPr>
        <a:xfrm>
          <a:off x="7559822" y="7734300"/>
          <a:ext cx="7497946" cy="4180655"/>
        </a:xfrm>
        <a:prstGeom prst="rect">
          <a:avLst/>
        </a:prstGeom>
      </xdr:spPr>
    </xdr:pic>
    <xdr:clientData/>
  </xdr:twoCellAnchor>
  <xdr:twoCellAnchor editAs="oneCell">
    <xdr:from>
      <xdr:col>0</xdr:col>
      <xdr:colOff>0</xdr:colOff>
      <xdr:row>35</xdr:row>
      <xdr:rowOff>123825</xdr:rowOff>
    </xdr:from>
    <xdr:to>
      <xdr:col>7</xdr:col>
      <xdr:colOff>824690</xdr:colOff>
      <xdr:row>59</xdr:row>
      <xdr:rowOff>103956</xdr:rowOff>
    </xdr:to>
    <xdr:pic>
      <xdr:nvPicPr>
        <xdr:cNvPr id="3" name="Picture 2">
          <a:extLst>
            <a:ext uri="{FF2B5EF4-FFF2-40B4-BE49-F238E27FC236}">
              <a16:creationId xmlns:a16="http://schemas.microsoft.com/office/drawing/2014/main" id="{5300074C-22C9-41E5-A299-CC99C228345C}"/>
            </a:ext>
          </a:extLst>
        </xdr:cNvPr>
        <xdr:cNvPicPr>
          <a:picLocks noChangeAspect="1"/>
        </xdr:cNvPicPr>
      </xdr:nvPicPr>
      <xdr:blipFill>
        <a:blip xmlns:r="http://schemas.openxmlformats.org/officeDocument/2006/relationships" r:embed="rId2"/>
        <a:stretch>
          <a:fillRect/>
        </a:stretch>
      </xdr:blipFill>
      <xdr:spPr>
        <a:xfrm>
          <a:off x="0" y="7381875"/>
          <a:ext cx="7435040" cy="48950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123826</xdr:colOff>
      <xdr:row>23</xdr:row>
      <xdr:rowOff>97630</xdr:rowOff>
    </xdr:from>
    <xdr:to>
      <xdr:col>14</xdr:col>
      <xdr:colOff>576263</xdr:colOff>
      <xdr:row>29</xdr:row>
      <xdr:rowOff>107156</xdr:rowOff>
    </xdr:to>
    <xdr:sp macro="" textlink="">
      <xdr:nvSpPr>
        <xdr:cNvPr id="2" name="TextBox 1">
          <a:extLst>
            <a:ext uri="{FF2B5EF4-FFF2-40B4-BE49-F238E27FC236}">
              <a16:creationId xmlns:a16="http://schemas.microsoft.com/office/drawing/2014/main" id="{B33D95F6-49D2-488D-8EC2-6C1348552F4A}"/>
            </a:ext>
          </a:extLst>
        </xdr:cNvPr>
        <xdr:cNvSpPr txBox="1"/>
      </xdr:nvSpPr>
      <xdr:spPr>
        <a:xfrm>
          <a:off x="14089857" y="6919911"/>
          <a:ext cx="3036094" cy="161687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Total Difference $ represent the IESO</a:t>
          </a:r>
          <a:r>
            <a:rPr lang="en-US" sz="1100" baseline="0"/>
            <a:t> Invoice adjustments in addition to the expected GA charges based on the actual GA rates</a:t>
          </a:r>
          <a:endParaRPr lang="en-US" sz="1100"/>
        </a:p>
      </xdr:txBody>
    </xdr:sp>
    <xdr:clientData/>
  </xdr:twoCellAnchor>
  <xdr:twoCellAnchor>
    <xdr:from>
      <xdr:col>8</xdr:col>
      <xdr:colOff>685803</xdr:colOff>
      <xdr:row>22</xdr:row>
      <xdr:rowOff>57152</xdr:rowOff>
    </xdr:from>
    <xdr:to>
      <xdr:col>12</xdr:col>
      <xdr:colOff>119063</xdr:colOff>
      <xdr:row>24</xdr:row>
      <xdr:rowOff>261937</xdr:rowOff>
    </xdr:to>
    <xdr:cxnSp macro="">
      <xdr:nvCxnSpPr>
        <xdr:cNvPr id="3" name="Straight Arrow Connector 2">
          <a:extLst>
            <a:ext uri="{FF2B5EF4-FFF2-40B4-BE49-F238E27FC236}">
              <a16:creationId xmlns:a16="http://schemas.microsoft.com/office/drawing/2014/main" id="{7294F7BD-314C-4914-9120-59DE17DB43DB}"/>
            </a:ext>
          </a:extLst>
        </xdr:cNvPr>
        <xdr:cNvCxnSpPr/>
      </xdr:nvCxnSpPr>
      <xdr:spPr>
        <a:xfrm flipH="1" flipV="1">
          <a:off x="10889459" y="6677027"/>
          <a:ext cx="3195635" cy="621504"/>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72FEE-E2E3-42BC-8A20-3CC2700F02CF}">
  <dimension ref="A1:S91"/>
  <sheetViews>
    <sheetView tabSelected="1" view="pageBreakPreview" zoomScale="60" zoomScaleNormal="80" workbookViewId="0">
      <selection activeCell="A10" sqref="A10"/>
    </sheetView>
  </sheetViews>
  <sheetFormatPr defaultRowHeight="15"/>
  <cols>
    <col min="2" max="2" width="34.42578125" bestFit="1" customWidth="1"/>
    <col min="3" max="3" width="19.28515625" customWidth="1"/>
    <col min="4" max="4" width="17.85546875" customWidth="1"/>
    <col min="5" max="5" width="17.7109375" customWidth="1"/>
    <col min="6" max="6" width="24.5703125" customWidth="1"/>
    <col min="7" max="7" width="12.7109375" customWidth="1"/>
    <col min="8" max="8" width="18.7109375" customWidth="1"/>
    <col min="9" max="9" width="15.28515625" customWidth="1"/>
    <col min="10" max="10" width="19" customWidth="1"/>
    <col min="11" max="11" width="19.28515625" customWidth="1"/>
  </cols>
  <sheetData>
    <row r="1" spans="1:7">
      <c r="A1" s="344"/>
      <c r="B1" s="344"/>
      <c r="C1" s="344"/>
      <c r="D1" s="344"/>
      <c r="E1" s="344"/>
      <c r="F1" s="344"/>
      <c r="G1" s="344"/>
    </row>
    <row r="2" spans="1:7">
      <c r="A2" s="344"/>
      <c r="B2" s="344"/>
      <c r="C2" s="344"/>
      <c r="D2" s="344"/>
      <c r="E2" s="344"/>
      <c r="F2" s="344"/>
      <c r="G2" s="344"/>
    </row>
    <row r="3" spans="1:7">
      <c r="A3" s="344"/>
      <c r="B3" s="344"/>
      <c r="C3" s="344"/>
      <c r="D3" s="344"/>
      <c r="E3" s="344"/>
      <c r="F3" s="344"/>
      <c r="G3" s="344"/>
    </row>
    <row r="4" spans="1:7">
      <c r="A4" s="344"/>
      <c r="B4" s="344"/>
      <c r="C4" s="344"/>
      <c r="D4" s="344"/>
      <c r="E4" s="344"/>
      <c r="F4" s="344"/>
      <c r="G4" s="344"/>
    </row>
    <row r="5" spans="1:7">
      <c r="A5" s="344"/>
      <c r="B5" s="344"/>
      <c r="C5" s="344"/>
      <c r="D5" s="344"/>
      <c r="E5" s="344"/>
      <c r="F5" s="344"/>
      <c r="G5" s="344"/>
    </row>
    <row r="6" spans="1:7">
      <c r="A6" s="344"/>
      <c r="B6" s="344"/>
      <c r="C6" s="344"/>
      <c r="D6" s="344"/>
      <c r="E6" s="344"/>
      <c r="F6" s="344"/>
      <c r="G6" s="344"/>
    </row>
    <row r="7" spans="1:7">
      <c r="A7" s="344"/>
      <c r="B7" s="344"/>
      <c r="C7" s="344"/>
      <c r="D7" s="344"/>
      <c r="E7" s="344"/>
      <c r="F7" s="344"/>
      <c r="G7" s="344"/>
    </row>
    <row r="8" spans="1:7">
      <c r="A8" s="344"/>
      <c r="B8" s="344"/>
      <c r="C8" s="344"/>
      <c r="D8" s="344"/>
      <c r="E8" s="344"/>
      <c r="F8" s="344"/>
      <c r="G8" s="344"/>
    </row>
    <row r="9" spans="1:7">
      <c r="A9" s="344"/>
      <c r="B9" s="344"/>
      <c r="C9" s="344"/>
      <c r="D9" s="344"/>
      <c r="E9" s="344"/>
      <c r="F9" s="344"/>
      <c r="G9" s="344"/>
    </row>
    <row r="10" spans="1:7">
      <c r="A10" s="344"/>
      <c r="B10" s="344"/>
      <c r="C10" s="344"/>
      <c r="D10" s="344"/>
      <c r="E10" s="344"/>
      <c r="F10" s="344"/>
      <c r="G10" s="344"/>
    </row>
    <row r="11" spans="1:7">
      <c r="A11" s="344"/>
      <c r="B11" s="344"/>
      <c r="C11" s="344"/>
      <c r="D11" s="344"/>
      <c r="E11" s="344"/>
      <c r="F11" s="344"/>
      <c r="G11" s="344"/>
    </row>
    <row r="12" spans="1:7">
      <c r="A12" s="345" t="s">
        <v>293</v>
      </c>
      <c r="B12" s="346"/>
      <c r="C12" s="345"/>
      <c r="D12" s="344"/>
      <c r="E12" s="344"/>
      <c r="F12" s="344"/>
      <c r="G12" s="344"/>
    </row>
    <row r="13" spans="1:7">
      <c r="A13" s="346"/>
      <c r="B13" s="346"/>
      <c r="C13" s="346"/>
      <c r="D13" s="344"/>
      <c r="E13" s="344"/>
      <c r="F13" s="344"/>
      <c r="G13" s="344"/>
    </row>
    <row r="14" spans="1:7">
      <c r="A14" s="346"/>
      <c r="B14" s="346" t="s">
        <v>294</v>
      </c>
      <c r="C14" s="347"/>
      <c r="D14" s="346"/>
      <c r="E14" s="346"/>
      <c r="F14" s="346"/>
      <c r="G14" s="344"/>
    </row>
    <row r="15" spans="1:7">
      <c r="A15" s="346"/>
      <c r="B15" s="346" t="s">
        <v>295</v>
      </c>
      <c r="C15" s="348"/>
      <c r="D15" s="346"/>
      <c r="E15" s="346"/>
      <c r="F15" s="346"/>
      <c r="G15" s="344"/>
    </row>
    <row r="16" spans="1:7">
      <c r="A16" s="346"/>
      <c r="B16" s="349"/>
      <c r="C16" s="349"/>
      <c r="D16" s="346"/>
      <c r="E16" s="346"/>
      <c r="F16" s="346"/>
      <c r="G16" s="344"/>
    </row>
    <row r="17" spans="1:19">
      <c r="A17" s="346" t="s">
        <v>296</v>
      </c>
      <c r="B17" s="349" t="s">
        <v>297</v>
      </c>
      <c r="C17" s="350">
        <v>2018</v>
      </c>
      <c r="D17" s="346"/>
      <c r="E17" s="346"/>
      <c r="F17" s="346"/>
      <c r="G17" s="344"/>
    </row>
    <row r="21" spans="1:19" s="1" customFormat="1">
      <c r="A21" s="39" t="s">
        <v>88</v>
      </c>
      <c r="B21" s="90" t="s">
        <v>89</v>
      </c>
      <c r="C21" s="91"/>
      <c r="D21" s="91"/>
      <c r="E21" s="91"/>
      <c r="F21" s="95"/>
      <c r="I21" s="5"/>
      <c r="J21" s="5"/>
      <c r="K21" s="5"/>
      <c r="L21" s="5"/>
      <c r="M21" s="5"/>
      <c r="N21" s="5"/>
      <c r="O21" s="5"/>
      <c r="P21" s="5"/>
      <c r="Q21" s="5"/>
      <c r="R21" s="5"/>
      <c r="S21" s="5"/>
    </row>
    <row r="22" spans="1:19" s="1" customFormat="1">
      <c r="A22" s="39"/>
      <c r="B22" s="365" t="s">
        <v>5</v>
      </c>
      <c r="C22" s="365"/>
      <c r="D22" s="350">
        <v>2018</v>
      </c>
      <c r="E22" s="366"/>
      <c r="F22" s="367"/>
      <c r="G22" s="5"/>
      <c r="H22" s="5"/>
      <c r="I22" s="5"/>
      <c r="J22" s="5"/>
      <c r="K22" s="5"/>
      <c r="L22" s="5"/>
      <c r="M22" s="5"/>
      <c r="N22" s="5"/>
      <c r="O22" s="5"/>
      <c r="P22" s="5"/>
      <c r="Q22" s="5"/>
    </row>
    <row r="23" spans="1:19" s="1" customFormat="1" ht="14.25">
      <c r="A23" s="39"/>
      <c r="B23" s="351" t="s">
        <v>90</v>
      </c>
      <c r="C23" s="351" t="s">
        <v>91</v>
      </c>
      <c r="D23" s="352">
        <v>1671900470.2055221</v>
      </c>
      <c r="E23" s="353" t="s">
        <v>92</v>
      </c>
      <c r="F23" s="93">
        <v>1</v>
      </c>
      <c r="G23" s="5"/>
      <c r="H23" s="318"/>
      <c r="I23" s="5"/>
      <c r="J23" s="5"/>
      <c r="K23" s="5"/>
      <c r="L23" s="5"/>
      <c r="M23" s="5"/>
      <c r="N23" s="5"/>
      <c r="O23" s="5"/>
      <c r="P23" s="5"/>
      <c r="Q23" s="5"/>
    </row>
    <row r="24" spans="1:19" s="1" customFormat="1" ht="14.25">
      <c r="B24" s="354" t="s">
        <v>93</v>
      </c>
      <c r="C24" s="354" t="s">
        <v>94</v>
      </c>
      <c r="D24" s="355">
        <v>532946021.6768927</v>
      </c>
      <c r="E24" s="356" t="s">
        <v>92</v>
      </c>
      <c r="F24" s="357">
        <f>IFERROR(D24/D23,0)</f>
        <v>0.31876659596332257</v>
      </c>
    </row>
    <row r="25" spans="1:19" s="1" customFormat="1" ht="14.25">
      <c r="B25" s="351" t="s">
        <v>95</v>
      </c>
      <c r="C25" s="351" t="s">
        <v>96</v>
      </c>
      <c r="D25" s="352">
        <f>D23-D24</f>
        <v>1138954448.5286293</v>
      </c>
      <c r="E25" s="353" t="s">
        <v>92</v>
      </c>
      <c r="F25" s="94">
        <f>IFERROR(D25/D23,0)</f>
        <v>0.68123340403667743</v>
      </c>
      <c r="H25" s="320"/>
    </row>
    <row r="26" spans="1:19" s="1" customFormat="1" ht="14.25">
      <c r="B26" s="354" t="s">
        <v>97</v>
      </c>
      <c r="C26" s="354" t="s">
        <v>98</v>
      </c>
      <c r="D26" s="355">
        <v>779216989.89999986</v>
      </c>
      <c r="E26" s="356" t="s">
        <v>92</v>
      </c>
      <c r="F26" s="357">
        <f>IFERROR(D26/D23,0)</f>
        <v>0.46606661328602467</v>
      </c>
    </row>
    <row r="27" spans="1:19" s="1" customFormat="1" ht="14.25">
      <c r="B27" s="354" t="s">
        <v>99</v>
      </c>
      <c r="C27" s="354" t="s">
        <v>100</v>
      </c>
      <c r="D27" s="355">
        <f>D25-D26</f>
        <v>359737458.62862945</v>
      </c>
      <c r="E27" s="356" t="s">
        <v>92</v>
      </c>
      <c r="F27" s="357">
        <f>IFERROR(D27/D23,0)</f>
        <v>0.2151667907506527</v>
      </c>
      <c r="G27" s="53"/>
      <c r="H27" s="53"/>
    </row>
    <row r="28" spans="1:19" s="1" customFormat="1" ht="34.5" customHeight="1">
      <c r="B28" s="368" t="s">
        <v>101</v>
      </c>
      <c r="C28" s="368"/>
      <c r="D28" s="368"/>
      <c r="E28" s="368"/>
      <c r="F28" s="368"/>
      <c r="G28" s="369"/>
      <c r="H28" s="369"/>
    </row>
    <row r="29" spans="1:19">
      <c r="A29" s="1" t="s">
        <v>0</v>
      </c>
      <c r="B29" s="2" t="s">
        <v>1</v>
      </c>
      <c r="C29" s="1"/>
      <c r="D29" s="1"/>
      <c r="E29" s="1"/>
      <c r="F29" s="1"/>
      <c r="G29" s="1"/>
      <c r="H29" s="1"/>
      <c r="I29" s="1"/>
      <c r="J29" s="1"/>
      <c r="K29" s="1"/>
    </row>
    <row r="30" spans="1:19">
      <c r="A30" s="1"/>
      <c r="B30" s="2"/>
      <c r="C30" s="1"/>
      <c r="D30" s="1"/>
      <c r="E30" s="1"/>
      <c r="F30" s="1"/>
      <c r="G30" s="1"/>
      <c r="H30" s="1"/>
      <c r="I30" s="1"/>
      <c r="J30" s="1"/>
      <c r="K30" s="1"/>
    </row>
    <row r="31" spans="1:19">
      <c r="A31" s="1"/>
      <c r="B31" s="3" t="s">
        <v>2</v>
      </c>
      <c r="C31" s="4" t="s">
        <v>38</v>
      </c>
      <c r="D31" s="1"/>
      <c r="E31" s="5"/>
      <c r="F31" s="6"/>
      <c r="G31" s="6"/>
      <c r="H31" s="6"/>
      <c r="I31" s="6"/>
      <c r="J31" s="6"/>
      <c r="K31" s="6"/>
    </row>
    <row r="32" spans="1:19">
      <c r="A32" s="1"/>
      <c r="B32" s="1"/>
      <c r="C32" s="1"/>
      <c r="D32" s="1"/>
      <c r="E32" s="5"/>
      <c r="F32" s="6"/>
      <c r="G32" s="6"/>
      <c r="H32" s="6"/>
      <c r="I32" s="6"/>
      <c r="J32" s="6"/>
      <c r="K32" s="6"/>
    </row>
    <row r="33" spans="1:11">
      <c r="A33" s="1"/>
      <c r="B33" s="370" t="s">
        <v>298</v>
      </c>
      <c r="C33" s="371"/>
      <c r="D33" s="371"/>
      <c r="E33" s="371"/>
      <c r="F33" s="371"/>
      <c r="G33" s="1"/>
      <c r="H33" s="1"/>
      <c r="I33" s="1"/>
      <c r="J33" s="1"/>
      <c r="K33" s="1"/>
    </row>
    <row r="34" spans="1:11">
      <c r="A34" s="1"/>
      <c r="B34" s="7"/>
      <c r="C34" s="7"/>
      <c r="D34" s="7"/>
      <c r="E34" s="7"/>
      <c r="F34" s="7"/>
      <c r="G34" s="7"/>
      <c r="H34" s="7"/>
      <c r="I34" s="1"/>
      <c r="J34" s="1"/>
      <c r="K34" s="1"/>
    </row>
    <row r="35" spans="1:11">
      <c r="A35" s="1"/>
      <c r="B35" s="7"/>
      <c r="C35" s="7"/>
      <c r="D35" s="7"/>
      <c r="E35" s="7"/>
      <c r="F35" s="7"/>
      <c r="G35" s="7"/>
      <c r="H35" s="7"/>
      <c r="I35" s="1"/>
      <c r="J35" s="1"/>
      <c r="K35" s="1"/>
    </row>
    <row r="36" spans="1:11">
      <c r="A36" s="1"/>
      <c r="B36" s="7"/>
      <c r="C36" s="7"/>
      <c r="D36" s="7"/>
      <c r="E36" s="7"/>
      <c r="F36" s="7"/>
      <c r="G36" s="7"/>
      <c r="H36" s="7"/>
      <c r="I36" s="1"/>
      <c r="J36" s="1"/>
      <c r="K36" s="1"/>
    </row>
    <row r="37" spans="1:11">
      <c r="A37" s="1"/>
      <c r="B37" s="7"/>
      <c r="C37" s="7"/>
      <c r="D37" s="7"/>
      <c r="E37" s="7"/>
      <c r="F37" s="7"/>
      <c r="G37" s="7"/>
      <c r="H37" s="7"/>
      <c r="I37" s="1"/>
      <c r="J37" s="1"/>
      <c r="K37" s="1"/>
    </row>
    <row r="38" spans="1:11">
      <c r="A38" s="1"/>
      <c r="B38" s="7"/>
      <c r="C38" s="7"/>
      <c r="D38" s="7"/>
      <c r="E38" s="7"/>
      <c r="F38" s="7"/>
      <c r="G38" s="7"/>
      <c r="H38" s="7"/>
      <c r="I38" s="1"/>
      <c r="J38" s="1"/>
      <c r="K38" s="1"/>
    </row>
    <row r="39" spans="1:11">
      <c r="A39" s="1"/>
      <c r="B39" s="7"/>
      <c r="C39" s="7"/>
      <c r="D39" s="7"/>
      <c r="E39" s="7"/>
      <c r="F39" s="7"/>
      <c r="G39" s="7"/>
      <c r="H39" s="7"/>
      <c r="I39" s="1"/>
      <c r="J39" s="1"/>
      <c r="K39" s="1"/>
    </row>
    <row r="40" spans="1:11">
      <c r="A40" s="6"/>
      <c r="B40" s="7"/>
      <c r="C40" s="7"/>
      <c r="D40" s="7"/>
      <c r="E40" s="7"/>
      <c r="F40" s="7"/>
      <c r="G40" s="7"/>
      <c r="H40" s="7"/>
      <c r="I40" s="6"/>
      <c r="J40" s="6"/>
      <c r="K40" s="6"/>
    </row>
    <row r="41" spans="1:11">
      <c r="A41" s="1"/>
      <c r="B41" s="1"/>
      <c r="C41" s="1"/>
      <c r="D41" s="1"/>
      <c r="E41" s="1"/>
      <c r="F41" s="1"/>
      <c r="G41" s="1"/>
      <c r="H41" s="1"/>
      <c r="I41" s="1"/>
      <c r="J41" s="1"/>
      <c r="K41" s="1"/>
    </row>
    <row r="42" spans="1:11">
      <c r="A42" s="1" t="s">
        <v>3</v>
      </c>
      <c r="B42" s="8" t="s">
        <v>4</v>
      </c>
      <c r="C42" s="2"/>
      <c r="D42" s="1"/>
      <c r="E42" s="1"/>
      <c r="F42" s="1"/>
      <c r="G42" s="1"/>
      <c r="H42" s="1"/>
      <c r="I42" s="1"/>
      <c r="J42" s="1"/>
      <c r="K42" s="1"/>
    </row>
    <row r="43" spans="1:11" ht="15.75" thickBot="1">
      <c r="A43" s="1"/>
      <c r="B43" s="3" t="s">
        <v>5</v>
      </c>
      <c r="C43" s="9">
        <v>2018</v>
      </c>
      <c r="D43" s="5"/>
      <c r="E43" s="5"/>
      <c r="F43" s="10"/>
      <c r="G43" s="11"/>
      <c r="H43" s="11"/>
      <c r="I43" s="11"/>
      <c r="J43" s="11"/>
      <c r="K43" s="11"/>
    </row>
    <row r="44" spans="1:11" ht="90.75" thickBot="1">
      <c r="A44" s="12"/>
      <c r="B44" s="13" t="s">
        <v>6</v>
      </c>
      <c r="C44" s="14" t="s">
        <v>7</v>
      </c>
      <c r="D44" s="15" t="s">
        <v>8</v>
      </c>
      <c r="E44" s="16" t="s">
        <v>9</v>
      </c>
      <c r="F44" s="17" t="s">
        <v>10</v>
      </c>
      <c r="G44" s="18" t="s">
        <v>11</v>
      </c>
      <c r="H44" s="18" t="s">
        <v>12</v>
      </c>
      <c r="I44" s="18" t="s">
        <v>13</v>
      </c>
      <c r="J44" s="18" t="s">
        <v>14</v>
      </c>
      <c r="K44" s="19" t="s">
        <v>15</v>
      </c>
    </row>
    <row r="45" spans="1:11">
      <c r="A45" s="12"/>
      <c r="B45" s="20"/>
      <c r="C45" s="21" t="s">
        <v>16</v>
      </c>
      <c r="D45" s="21" t="s">
        <v>17</v>
      </c>
      <c r="E45" s="22" t="s">
        <v>18</v>
      </c>
      <c r="F45" s="22" t="s">
        <v>19</v>
      </c>
      <c r="G45" s="22" t="s">
        <v>20</v>
      </c>
      <c r="H45" s="23" t="s">
        <v>21</v>
      </c>
      <c r="I45" s="22" t="s">
        <v>22</v>
      </c>
      <c r="J45" s="23" t="s">
        <v>23</v>
      </c>
      <c r="K45" s="24" t="s">
        <v>24</v>
      </c>
    </row>
    <row r="46" spans="1:11">
      <c r="A46" s="1"/>
      <c r="B46" s="25" t="s">
        <v>25</v>
      </c>
      <c r="C46" s="26">
        <v>33367896.029999997</v>
      </c>
      <c r="D46" s="26">
        <v>33115104.5</v>
      </c>
      <c r="E46" s="27">
        <v>23548236.979999997</v>
      </c>
      <c r="F46" s="28">
        <f>C46-D46+E46</f>
        <v>23801028.509999994</v>
      </c>
      <c r="G46" s="29">
        <v>8.7770000000000001E-2</v>
      </c>
      <c r="H46" s="30">
        <f>F46*G46</f>
        <v>2089016.2723226994</v>
      </c>
      <c r="I46" s="29">
        <v>6.7360000000000003E-2</v>
      </c>
      <c r="J46" s="31">
        <f>F46*I46</f>
        <v>1603237.2804335996</v>
      </c>
      <c r="K46" s="32">
        <f>J46-H46</f>
        <v>-485778.99188909982</v>
      </c>
    </row>
    <row r="47" spans="1:11">
      <c r="A47" s="1"/>
      <c r="B47" s="25" t="s">
        <v>26</v>
      </c>
      <c r="C47" s="26">
        <v>33760539.750000007</v>
      </c>
      <c r="D47" s="26">
        <f>E46</f>
        <v>23548236.979999997</v>
      </c>
      <c r="E47" s="27">
        <v>21111720.32</v>
      </c>
      <c r="F47" s="28">
        <f t="shared" ref="F47:F57" si="0">C47-D47+E47</f>
        <v>31324023.090000011</v>
      </c>
      <c r="G47" s="29">
        <v>7.3329999999999992E-2</v>
      </c>
      <c r="H47" s="30">
        <f t="shared" ref="H47:H57" si="1">F47*G47</f>
        <v>2296990.6131897005</v>
      </c>
      <c r="I47" s="29">
        <v>8.1670000000000006E-2</v>
      </c>
      <c r="J47" s="31">
        <f t="shared" ref="J47:J57" si="2">F47*I47</f>
        <v>2558232.9657603013</v>
      </c>
      <c r="K47" s="32">
        <f t="shared" ref="K47:K57" si="3">J47-H47</f>
        <v>261242.35257060081</v>
      </c>
    </row>
    <row r="48" spans="1:11">
      <c r="A48" s="1"/>
      <c r="B48" s="25" t="s">
        <v>27</v>
      </c>
      <c r="C48" s="26">
        <v>33077199.209999993</v>
      </c>
      <c r="D48" s="26">
        <f>E47</f>
        <v>21111720.32</v>
      </c>
      <c r="E48" s="27">
        <v>24388101.960000001</v>
      </c>
      <c r="F48" s="28">
        <f t="shared" si="0"/>
        <v>36353580.849999994</v>
      </c>
      <c r="G48" s="29">
        <v>7.8769999999999993E-2</v>
      </c>
      <c r="H48" s="30">
        <f t="shared" si="1"/>
        <v>2863571.5635544993</v>
      </c>
      <c r="I48" s="29">
        <v>9.4810000000000005E-2</v>
      </c>
      <c r="J48" s="31">
        <f t="shared" si="2"/>
        <v>3446683.0003884998</v>
      </c>
      <c r="K48" s="32">
        <f t="shared" si="3"/>
        <v>583111.43683400052</v>
      </c>
    </row>
    <row r="49" spans="1:11">
      <c r="A49" s="1"/>
      <c r="B49" s="25" t="s">
        <v>28</v>
      </c>
      <c r="C49" s="26">
        <v>31382197.970000003</v>
      </c>
      <c r="D49" s="26">
        <f t="shared" ref="D49:D57" si="4">E48</f>
        <v>24388101.960000001</v>
      </c>
      <c r="E49" s="27">
        <v>22181727.719999999</v>
      </c>
      <c r="F49" s="28">
        <f t="shared" si="0"/>
        <v>29175823.73</v>
      </c>
      <c r="G49" s="29">
        <v>9.8099999999999993E-2</v>
      </c>
      <c r="H49" s="30">
        <f t="shared" si="1"/>
        <v>2862148.3079129998</v>
      </c>
      <c r="I49" s="29">
        <v>9.9589999999999998E-2</v>
      </c>
      <c r="J49" s="31">
        <f t="shared" si="2"/>
        <v>2905620.2852706998</v>
      </c>
      <c r="K49" s="32">
        <f t="shared" si="3"/>
        <v>43471.977357700001</v>
      </c>
    </row>
    <row r="50" spans="1:11">
      <c r="A50" s="1"/>
      <c r="B50" s="25" t="s">
        <v>29</v>
      </c>
      <c r="C50" s="26">
        <v>36708619.150000006</v>
      </c>
      <c r="D50" s="26">
        <f t="shared" si="4"/>
        <v>22181727.719999999</v>
      </c>
      <c r="E50" s="27">
        <v>23209094.890000004</v>
      </c>
      <c r="F50" s="28">
        <f t="shared" si="0"/>
        <v>37735986.320000008</v>
      </c>
      <c r="G50" s="29">
        <v>9.3920000000000003E-2</v>
      </c>
      <c r="H50" s="30">
        <f t="shared" si="1"/>
        <v>3544163.8351744008</v>
      </c>
      <c r="I50" s="29">
        <v>0.10793000000000001</v>
      </c>
      <c r="J50" s="31">
        <f t="shared" si="2"/>
        <v>4072845.0035176012</v>
      </c>
      <c r="K50" s="32">
        <f t="shared" si="3"/>
        <v>528681.16834320035</v>
      </c>
    </row>
    <row r="51" spans="1:11">
      <c r="A51" s="1"/>
      <c r="B51" s="25" t="s">
        <v>30</v>
      </c>
      <c r="C51" s="26">
        <v>31525927.220000006</v>
      </c>
      <c r="D51" s="26">
        <f t="shared" si="4"/>
        <v>23209094.890000004</v>
      </c>
      <c r="E51" s="27">
        <v>22196009.779999997</v>
      </c>
      <c r="F51" s="28">
        <f t="shared" si="0"/>
        <v>30512842.109999999</v>
      </c>
      <c r="G51" s="29">
        <v>0.13336000000000001</v>
      </c>
      <c r="H51" s="30">
        <f t="shared" si="1"/>
        <v>4069192.6237896001</v>
      </c>
      <c r="I51" s="29">
        <v>0.11896</v>
      </c>
      <c r="J51" s="31">
        <f t="shared" si="2"/>
        <v>3629807.6974056</v>
      </c>
      <c r="K51" s="32">
        <f t="shared" si="3"/>
        <v>-439384.92638400011</v>
      </c>
    </row>
    <row r="52" spans="1:11">
      <c r="A52" s="1"/>
      <c r="B52" s="25" t="s">
        <v>31</v>
      </c>
      <c r="C52" s="27">
        <v>31394699.230000004</v>
      </c>
      <c r="D52" s="26">
        <f t="shared" si="4"/>
        <v>22196009.779999997</v>
      </c>
      <c r="E52" s="27">
        <v>23162789.739999998</v>
      </c>
      <c r="F52" s="28">
        <f t="shared" si="0"/>
        <v>32361479.190000005</v>
      </c>
      <c r="G52" s="29">
        <v>8.5019999999999998E-2</v>
      </c>
      <c r="H52" s="30">
        <f t="shared" si="1"/>
        <v>2751372.9607338002</v>
      </c>
      <c r="I52" s="29">
        <v>7.7370000000000008E-2</v>
      </c>
      <c r="J52" s="31">
        <f t="shared" si="2"/>
        <v>2503807.6449303008</v>
      </c>
      <c r="K52" s="32">
        <f t="shared" si="3"/>
        <v>-247565.31580349943</v>
      </c>
    </row>
    <row r="53" spans="1:11">
      <c r="A53" s="1"/>
      <c r="B53" s="25" t="s">
        <v>32</v>
      </c>
      <c r="C53" s="27">
        <v>33669953.189999998</v>
      </c>
      <c r="D53" s="26">
        <f t="shared" si="4"/>
        <v>23162789.739999998</v>
      </c>
      <c r="E53" s="27">
        <v>21464530.709999997</v>
      </c>
      <c r="F53" s="28">
        <f t="shared" si="0"/>
        <v>31971694.159999996</v>
      </c>
      <c r="G53" s="29">
        <v>7.7900000000000011E-2</v>
      </c>
      <c r="H53" s="30">
        <f t="shared" si="1"/>
        <v>2490594.9750640001</v>
      </c>
      <c r="I53" s="29">
        <v>7.4900000000000008E-2</v>
      </c>
      <c r="J53" s="31">
        <f t="shared" si="2"/>
        <v>2394679.8925839998</v>
      </c>
      <c r="K53" s="32">
        <f t="shared" si="3"/>
        <v>-95915.082480000332</v>
      </c>
    </row>
    <row r="54" spans="1:11">
      <c r="A54" s="1"/>
      <c r="B54" s="25" t="s">
        <v>33</v>
      </c>
      <c r="C54" s="27">
        <v>27061112.600000001</v>
      </c>
      <c r="D54" s="26">
        <f t="shared" si="4"/>
        <v>21464530.709999997</v>
      </c>
      <c r="E54" s="27">
        <v>19789980.659999996</v>
      </c>
      <c r="F54" s="28">
        <f t="shared" si="0"/>
        <v>25386562.550000001</v>
      </c>
      <c r="G54" s="29">
        <v>8.4239999999999995E-2</v>
      </c>
      <c r="H54" s="30">
        <f t="shared" si="1"/>
        <v>2138564.0292119998</v>
      </c>
      <c r="I54" s="29">
        <v>8.584E-2</v>
      </c>
      <c r="J54" s="31">
        <f t="shared" si="2"/>
        <v>2179182.529292</v>
      </c>
      <c r="K54" s="32">
        <f t="shared" si="3"/>
        <v>40618.500080000143</v>
      </c>
    </row>
    <row r="55" spans="1:11">
      <c r="A55" s="1"/>
      <c r="B55" s="25" t="s">
        <v>34</v>
      </c>
      <c r="C55" s="27">
        <v>31394961.699999999</v>
      </c>
      <c r="D55" s="26">
        <f t="shared" si="4"/>
        <v>19789980.659999996</v>
      </c>
      <c r="E55" s="27">
        <v>21082925.59</v>
      </c>
      <c r="F55" s="28">
        <f t="shared" si="0"/>
        <v>32687906.630000003</v>
      </c>
      <c r="G55" s="29">
        <v>8.9209999999999998E-2</v>
      </c>
      <c r="H55" s="30">
        <f t="shared" si="1"/>
        <v>2916088.1504623001</v>
      </c>
      <c r="I55" s="29">
        <v>0.12059</v>
      </c>
      <c r="J55" s="31">
        <f t="shared" si="2"/>
        <v>3941834.6605117004</v>
      </c>
      <c r="K55" s="32">
        <f t="shared" si="3"/>
        <v>1025746.5100494004</v>
      </c>
    </row>
    <row r="56" spans="1:11">
      <c r="A56" s="1"/>
      <c r="B56" s="25" t="s">
        <v>35</v>
      </c>
      <c r="C56" s="27">
        <v>27030331.550000004</v>
      </c>
      <c r="D56" s="26">
        <f t="shared" si="4"/>
        <v>21082925.59</v>
      </c>
      <c r="E56" s="68">
        <v>24055451.627867389</v>
      </c>
      <c r="F56" s="28">
        <f t="shared" si="0"/>
        <v>30002857.587867394</v>
      </c>
      <c r="G56" s="29">
        <v>0.12235</v>
      </c>
      <c r="H56" s="30">
        <f t="shared" si="1"/>
        <v>3670849.6258755755</v>
      </c>
      <c r="I56" s="29">
        <v>9.8549999999999999E-2</v>
      </c>
      <c r="J56" s="31">
        <f t="shared" si="2"/>
        <v>2956781.6152843316</v>
      </c>
      <c r="K56" s="32">
        <f t="shared" si="3"/>
        <v>-714068.01059124386</v>
      </c>
    </row>
    <row r="57" spans="1:11">
      <c r="A57" s="1"/>
      <c r="B57" s="25" t="s">
        <v>36</v>
      </c>
      <c r="C57" s="33">
        <v>28815169.18999999</v>
      </c>
      <c r="D57" s="26">
        <f t="shared" si="4"/>
        <v>24055451.627867389</v>
      </c>
      <c r="E57" s="27">
        <v>26920932.380000006</v>
      </c>
      <c r="F57" s="28">
        <f t="shared" si="0"/>
        <v>31680649.942132607</v>
      </c>
      <c r="G57" s="29">
        <v>9.1980000000000006E-2</v>
      </c>
      <c r="H57" s="30">
        <f t="shared" si="1"/>
        <v>2913986.1816773573</v>
      </c>
      <c r="I57" s="29">
        <v>7.4040000000000009E-2</v>
      </c>
      <c r="J57" s="31">
        <f t="shared" si="2"/>
        <v>2345635.3217154983</v>
      </c>
      <c r="K57" s="32">
        <f t="shared" si="3"/>
        <v>-568350.85996185895</v>
      </c>
    </row>
    <row r="58" spans="1:11" ht="45.75" thickBot="1">
      <c r="A58" s="1"/>
      <c r="B58" s="34" t="s">
        <v>37</v>
      </c>
      <c r="C58" s="35">
        <f>SUM(C46:C57)</f>
        <v>379188606.79000002</v>
      </c>
      <c r="D58" s="35">
        <f>SUM(D46:D57)</f>
        <v>279305674.47786742</v>
      </c>
      <c r="E58" s="35">
        <f>SUM(E46:E57)</f>
        <v>273111502.35786742</v>
      </c>
      <c r="F58" s="35">
        <f>SUM(F46:F57)</f>
        <v>372994434.66999996</v>
      </c>
      <c r="G58" s="36"/>
      <c r="H58" s="37">
        <f>SUM(H46:H57)</f>
        <v>34606539.13896893</v>
      </c>
      <c r="I58" s="36"/>
      <c r="J58" s="37">
        <f>SUM(J46:J57)</f>
        <v>34538347.897094131</v>
      </c>
      <c r="K58" s="38">
        <f>SUM(K46:K57)</f>
        <v>-68191.241874800297</v>
      </c>
    </row>
    <row r="59" spans="1:11">
      <c r="A59" s="1"/>
      <c r="B59" s="1"/>
      <c r="C59" s="1"/>
      <c r="D59" s="1"/>
      <c r="E59" s="1"/>
      <c r="F59" s="1"/>
      <c r="G59" s="39"/>
      <c r="H59" s="39"/>
      <c r="I59" s="39"/>
      <c r="J59" s="40"/>
    </row>
    <row r="60" spans="1:11" hidden="1">
      <c r="A60" s="1"/>
      <c r="B60" s="1"/>
      <c r="C60" s="1"/>
      <c r="D60" s="1"/>
      <c r="E60" s="1"/>
      <c r="F60" s="1"/>
      <c r="G60" s="1"/>
    </row>
    <row r="61" spans="1:11" hidden="1">
      <c r="A61" s="1"/>
      <c r="B61" s="1"/>
      <c r="C61" s="1"/>
      <c r="D61" s="1"/>
      <c r="E61" s="1"/>
      <c r="F61" s="1"/>
      <c r="G61" s="1"/>
    </row>
    <row r="62" spans="1:11" hidden="1">
      <c r="A62" s="1"/>
      <c r="B62" s="1"/>
      <c r="C62" s="1"/>
      <c r="D62" s="1"/>
      <c r="E62" s="1"/>
      <c r="F62" s="1"/>
      <c r="G62" s="1"/>
    </row>
    <row r="63" spans="1:11">
      <c r="A63" s="1"/>
      <c r="B63" s="1"/>
      <c r="C63" s="1"/>
      <c r="D63" s="1"/>
      <c r="E63" s="1"/>
      <c r="F63" s="299"/>
      <c r="G63" s="1"/>
      <c r="H63" s="372"/>
      <c r="I63" s="372"/>
      <c r="J63" s="372"/>
    </row>
    <row r="64" spans="1:11">
      <c r="A64" s="1"/>
      <c r="B64" s="1"/>
      <c r="C64" s="372" t="s">
        <v>39</v>
      </c>
      <c r="D64" s="372"/>
      <c r="E64" s="372"/>
      <c r="F64" s="41">
        <f>IFERROR(F58/D27,0)</f>
        <v>1.0368518087938576</v>
      </c>
      <c r="G64" s="1"/>
      <c r="H64" s="1"/>
      <c r="I64" s="1"/>
      <c r="J64" s="1"/>
    </row>
    <row r="65" spans="1:12">
      <c r="A65" s="1"/>
      <c r="B65" s="1"/>
      <c r="C65" s="1"/>
      <c r="D65" s="1"/>
      <c r="E65" s="1"/>
      <c r="F65" s="300"/>
      <c r="G65" s="1"/>
      <c r="H65" s="1"/>
      <c r="I65" s="296"/>
      <c r="J65" s="297"/>
      <c r="L65" s="298"/>
    </row>
    <row r="66" spans="1:12">
      <c r="A66" s="1" t="s">
        <v>40</v>
      </c>
      <c r="B66" s="8" t="s">
        <v>41</v>
      </c>
      <c r="C66" s="3"/>
      <c r="D66" s="1"/>
      <c r="E66" s="1"/>
      <c r="F66" s="1"/>
      <c r="G66" s="1"/>
      <c r="H66" s="1"/>
      <c r="I66" s="321"/>
      <c r="J66" s="1"/>
    </row>
    <row r="67" spans="1:12">
      <c r="A67" s="1"/>
      <c r="B67" s="2"/>
      <c r="C67" s="3"/>
      <c r="D67" s="1"/>
      <c r="E67" s="1"/>
      <c r="F67" s="1"/>
      <c r="G67" s="1"/>
      <c r="H67" s="1"/>
      <c r="I67" s="1"/>
      <c r="J67" s="1"/>
    </row>
    <row r="68" spans="1:12">
      <c r="A68" s="42"/>
      <c r="B68" s="43" t="s">
        <v>42</v>
      </c>
      <c r="C68" s="44" t="s">
        <v>43</v>
      </c>
      <c r="D68" s="373" t="s">
        <v>44</v>
      </c>
      <c r="E68" s="373"/>
      <c r="F68" s="373"/>
      <c r="G68" s="373"/>
      <c r="H68" s="373"/>
      <c r="I68" s="1"/>
      <c r="J68" s="45"/>
    </row>
    <row r="69" spans="1:12" ht="30.75" customHeight="1">
      <c r="A69" s="374" t="s">
        <v>45</v>
      </c>
      <c r="B69" s="375"/>
      <c r="C69" s="46">
        <v>-2229900.3100003023</v>
      </c>
      <c r="D69" s="376"/>
      <c r="E69" s="377"/>
      <c r="F69" s="377"/>
      <c r="G69" s="377"/>
      <c r="H69" s="378"/>
      <c r="I69" s="1"/>
      <c r="J69" s="45"/>
    </row>
    <row r="70" spans="1:12" ht="43.5">
      <c r="A70" s="47" t="s">
        <v>46</v>
      </c>
      <c r="B70" s="48" t="s">
        <v>47</v>
      </c>
      <c r="C70" s="46">
        <f>'Rec Item 1a&amp;b - GA Trueup'!I19</f>
        <v>145887.61191949993</v>
      </c>
      <c r="D70" s="358" t="s">
        <v>106</v>
      </c>
      <c r="E70" s="358"/>
      <c r="F70" s="358"/>
      <c r="G70" s="358"/>
      <c r="H70" s="358"/>
      <c r="I70" s="1"/>
      <c r="J70" s="45"/>
    </row>
    <row r="71" spans="1:12" ht="43.5">
      <c r="A71" s="47" t="s">
        <v>48</v>
      </c>
      <c r="B71" s="48" t="s">
        <v>49</v>
      </c>
      <c r="C71" s="46">
        <f>-'Rec Item 1a&amp;b - GA Trueup'!I34</f>
        <v>220196.06607519975</v>
      </c>
      <c r="D71" s="358" t="s">
        <v>105</v>
      </c>
      <c r="E71" s="358"/>
      <c r="F71" s="358"/>
      <c r="G71" s="358"/>
      <c r="H71" s="358"/>
      <c r="I71" s="5"/>
      <c r="J71" s="49"/>
    </row>
    <row r="72" spans="1:12" ht="29.25">
      <c r="A72" s="47" t="s">
        <v>50</v>
      </c>
      <c r="B72" s="48" t="s">
        <v>51</v>
      </c>
      <c r="C72" s="46"/>
      <c r="D72" s="358"/>
      <c r="E72" s="358"/>
      <c r="F72" s="358"/>
      <c r="G72" s="358"/>
      <c r="H72" s="358"/>
      <c r="I72" s="5"/>
      <c r="J72" s="49"/>
    </row>
    <row r="73" spans="1:12" ht="29.25">
      <c r="A73" s="47" t="s">
        <v>52</v>
      </c>
      <c r="B73" s="48" t="s">
        <v>53</v>
      </c>
      <c r="C73" s="46"/>
      <c r="D73" s="360"/>
      <c r="E73" s="363"/>
      <c r="F73" s="363"/>
      <c r="G73" s="363"/>
      <c r="H73" s="364"/>
      <c r="I73" s="5"/>
      <c r="J73" s="50"/>
    </row>
    <row r="74" spans="1:12" ht="43.5">
      <c r="A74" s="47" t="s">
        <v>54</v>
      </c>
      <c r="B74" s="48" t="s">
        <v>55</v>
      </c>
      <c r="C74" s="46"/>
      <c r="D74" s="358"/>
      <c r="E74" s="358"/>
      <c r="F74" s="358"/>
      <c r="G74" s="358"/>
      <c r="H74" s="358"/>
      <c r="I74" s="5"/>
      <c r="J74" s="50"/>
    </row>
    <row r="75" spans="1:12" ht="43.5">
      <c r="A75" s="47" t="s">
        <v>56</v>
      </c>
      <c r="B75" s="48" t="s">
        <v>57</v>
      </c>
      <c r="C75" s="46"/>
      <c r="D75" s="358"/>
      <c r="E75" s="358"/>
      <c r="F75" s="358"/>
      <c r="G75" s="358"/>
      <c r="H75" s="358"/>
      <c r="I75" s="5"/>
      <c r="J75" s="50"/>
    </row>
    <row r="76" spans="1:12" ht="29.25">
      <c r="A76" s="47">
        <v>4</v>
      </c>
      <c r="B76" s="48" t="s">
        <v>58</v>
      </c>
      <c r="C76" s="46"/>
      <c r="D76" s="358"/>
      <c r="E76" s="358"/>
      <c r="F76" s="358"/>
      <c r="G76" s="358"/>
      <c r="H76" s="358"/>
      <c r="I76" s="5"/>
      <c r="J76" s="50"/>
    </row>
    <row r="77" spans="1:12" ht="54" customHeight="1">
      <c r="A77" s="47">
        <v>5</v>
      </c>
      <c r="B77" s="48" t="s">
        <v>59</v>
      </c>
      <c r="C77" s="46"/>
      <c r="D77" s="358"/>
      <c r="E77" s="358"/>
      <c r="F77" s="358"/>
      <c r="G77" s="358"/>
      <c r="H77" s="358"/>
      <c r="I77" s="5"/>
      <c r="J77" s="50"/>
    </row>
    <row r="78" spans="1:12" ht="43.5" customHeight="1">
      <c r="A78" s="51">
        <v>6</v>
      </c>
      <c r="B78" s="52" t="s">
        <v>60</v>
      </c>
      <c r="C78" s="46">
        <f>-'IESO Invoice Adjustment 2018'!H27</f>
        <v>131591.06373657181</v>
      </c>
      <c r="D78" s="358" t="s">
        <v>279</v>
      </c>
      <c r="E78" s="358"/>
      <c r="F78" s="358"/>
      <c r="G78" s="358"/>
      <c r="H78" s="358"/>
      <c r="I78" s="1"/>
      <c r="J78" s="53"/>
    </row>
    <row r="79" spans="1:12" ht="29.25">
      <c r="A79" s="51">
        <v>7</v>
      </c>
      <c r="B79" s="54" t="s">
        <v>61</v>
      </c>
      <c r="C79" s="46"/>
      <c r="D79" s="358"/>
      <c r="E79" s="358"/>
      <c r="F79" s="358"/>
      <c r="G79" s="358"/>
      <c r="H79" s="358"/>
      <c r="I79" s="1"/>
      <c r="J79" s="1"/>
    </row>
    <row r="80" spans="1:12" ht="53.25" customHeight="1">
      <c r="A80" s="51">
        <v>8</v>
      </c>
      <c r="B80" s="52" t="s">
        <v>60</v>
      </c>
      <c r="C80" s="46">
        <v>-414492.76489347266</v>
      </c>
      <c r="D80" s="360" t="s">
        <v>290</v>
      </c>
      <c r="E80" s="363"/>
      <c r="F80" s="363"/>
      <c r="G80" s="363"/>
      <c r="H80" s="364"/>
      <c r="I80" s="1"/>
      <c r="J80" s="1"/>
    </row>
    <row r="81" spans="1:10" ht="46.5" customHeight="1">
      <c r="A81" s="51">
        <v>9</v>
      </c>
      <c r="B81" s="52" t="s">
        <v>60</v>
      </c>
      <c r="C81" s="46">
        <f>-'IESO Invoice Adjustment 2018'!$H$26</f>
        <v>223074.77703343262</v>
      </c>
      <c r="D81" s="358" t="s">
        <v>276</v>
      </c>
      <c r="E81" s="358"/>
      <c r="F81" s="358"/>
      <c r="G81" s="358"/>
      <c r="H81" s="358"/>
      <c r="I81" s="1"/>
      <c r="J81" s="1"/>
    </row>
    <row r="82" spans="1:10" ht="46.5" customHeight="1">
      <c r="A82" s="51">
        <v>10</v>
      </c>
      <c r="B82" s="52" t="s">
        <v>277</v>
      </c>
      <c r="C82" s="46">
        <f>+'GA Detailed Analysis'!E32</f>
        <v>195289.60140499985</v>
      </c>
      <c r="D82" s="360" t="s">
        <v>283</v>
      </c>
      <c r="E82" s="361"/>
      <c r="F82" s="361"/>
      <c r="G82" s="361"/>
      <c r="H82" s="362"/>
      <c r="I82" s="1"/>
      <c r="J82" s="1"/>
    </row>
    <row r="83" spans="1:10" ht="52.5" customHeight="1">
      <c r="A83" s="51">
        <v>11</v>
      </c>
      <c r="B83" s="52" t="s">
        <v>277</v>
      </c>
      <c r="C83" s="46">
        <f>+'GA Detailed Analysis'!E33</f>
        <v>194532.88968759961</v>
      </c>
      <c r="D83" s="358" t="s">
        <v>282</v>
      </c>
      <c r="E83" s="358"/>
      <c r="F83" s="358"/>
      <c r="G83" s="358"/>
      <c r="H83" s="358"/>
      <c r="I83" s="1"/>
      <c r="J83" s="1"/>
    </row>
    <row r="84" spans="1:10" ht="52.5" customHeight="1">
      <c r="A84" s="51">
        <v>12</v>
      </c>
      <c r="B84" s="52" t="s">
        <v>281</v>
      </c>
      <c r="C84" s="46">
        <f>+'GA Detailed Analysis'!Q28</f>
        <v>687910.36725153029</v>
      </c>
      <c r="D84" s="360" t="s">
        <v>280</v>
      </c>
      <c r="E84" s="361"/>
      <c r="F84" s="361"/>
      <c r="G84" s="361"/>
      <c r="H84" s="362"/>
      <c r="I84" s="1"/>
      <c r="J84" s="1"/>
    </row>
    <row r="85" spans="1:10" ht="52.5" customHeight="1">
      <c r="A85" s="51">
        <v>13</v>
      </c>
      <c r="B85" s="52" t="s">
        <v>60</v>
      </c>
      <c r="C85" s="46">
        <v>819662.02706347615</v>
      </c>
      <c r="D85" s="358" t="s">
        <v>292</v>
      </c>
      <c r="E85" s="359"/>
      <c r="F85" s="359"/>
      <c r="G85" s="359"/>
      <c r="H85" s="359"/>
      <c r="I85" s="1"/>
      <c r="J85" s="1"/>
    </row>
    <row r="86" spans="1:10" ht="52.5" customHeight="1">
      <c r="A86" s="51">
        <v>14</v>
      </c>
      <c r="B86" s="52" t="s">
        <v>314</v>
      </c>
      <c r="C86" s="46">
        <v>-113562.39742580336</v>
      </c>
      <c r="D86" s="358" t="s">
        <v>291</v>
      </c>
      <c r="E86" s="359"/>
      <c r="F86" s="359"/>
      <c r="G86" s="359"/>
      <c r="H86" s="359"/>
      <c r="I86" s="1"/>
      <c r="J86" s="1"/>
    </row>
    <row r="87" spans="1:10" ht="30">
      <c r="A87" s="1" t="s">
        <v>62</v>
      </c>
      <c r="B87" s="12" t="s">
        <v>63</v>
      </c>
      <c r="C87" s="59">
        <f>SUM(C69:C86)</f>
        <v>-139811.06814726815</v>
      </c>
      <c r="D87" s="55"/>
      <c r="E87" s="55"/>
      <c r="F87" s="55"/>
      <c r="G87" s="55"/>
      <c r="H87" s="1"/>
      <c r="I87" s="1"/>
      <c r="J87" s="1"/>
    </row>
    <row r="88" spans="1:10" ht="30">
      <c r="A88" s="1"/>
      <c r="B88" s="56" t="s">
        <v>64</v>
      </c>
      <c r="C88" s="57">
        <f>K58</f>
        <v>-68191.241874800297</v>
      </c>
      <c r="D88" s="55"/>
      <c r="E88" s="55"/>
      <c r="F88" s="55"/>
      <c r="G88" s="55"/>
      <c r="H88" s="1"/>
      <c r="I88" s="1"/>
      <c r="J88" s="1"/>
    </row>
    <row r="89" spans="1:10">
      <c r="A89" s="1"/>
      <c r="B89" s="58" t="s">
        <v>65</v>
      </c>
      <c r="C89" s="59">
        <f>C87-C88</f>
        <v>-71619.82627246785</v>
      </c>
      <c r="D89" s="1"/>
      <c r="E89" s="1"/>
      <c r="F89" s="1"/>
      <c r="G89" s="1"/>
      <c r="H89" s="1"/>
      <c r="I89" s="1"/>
      <c r="J89" s="1"/>
    </row>
    <row r="90" spans="1:10" ht="30.75" thickBot="1">
      <c r="A90" s="1"/>
      <c r="B90" s="58" t="s">
        <v>66</v>
      </c>
      <c r="C90" s="60">
        <f>IF(ISERROR(C89/J58),0,C89/J58)</f>
        <v>-2.0736320823988674E-3</v>
      </c>
      <c r="D90" s="61" t="str">
        <f>IF(AND(C90&lt;0.01,C90&gt;-0.01),"","Unresolved differences of greater than + or - 1% should be explained")</f>
        <v/>
      </c>
      <c r="E90" s="1"/>
      <c r="F90" s="5"/>
      <c r="G90" s="6"/>
      <c r="H90" s="6"/>
      <c r="I90" s="6"/>
      <c r="J90" s="6"/>
    </row>
    <row r="91" spans="1:10" ht="15.75" thickTop="1">
      <c r="C91" s="295"/>
    </row>
  </sheetData>
  <mergeCells count="26">
    <mergeCell ref="D86:H86"/>
    <mergeCell ref="B22:C22"/>
    <mergeCell ref="E22:F22"/>
    <mergeCell ref="B28:H28"/>
    <mergeCell ref="D75:H75"/>
    <mergeCell ref="B33:F33"/>
    <mergeCell ref="H63:J63"/>
    <mergeCell ref="C64:E64"/>
    <mergeCell ref="D68:H68"/>
    <mergeCell ref="A69:B69"/>
    <mergeCell ref="D69:H69"/>
    <mergeCell ref="D70:H70"/>
    <mergeCell ref="D71:H71"/>
    <mergeCell ref="D72:H72"/>
    <mergeCell ref="D73:H73"/>
    <mergeCell ref="D74:H74"/>
    <mergeCell ref="D85:H85"/>
    <mergeCell ref="D84:H84"/>
    <mergeCell ref="D83:H83"/>
    <mergeCell ref="D76:H76"/>
    <mergeCell ref="D77:H77"/>
    <mergeCell ref="D78:H78"/>
    <mergeCell ref="D79:H79"/>
    <mergeCell ref="D80:H80"/>
    <mergeCell ref="D81:H81"/>
    <mergeCell ref="D82:H82"/>
  </mergeCells>
  <dataValidations count="1">
    <dataValidation type="list" sqref="C31" xr:uid="{1E6A3F6A-6240-4D6E-AFB0-3F741E9ED90D}">
      <formula1>"1st Estimate, 2nd Estimate, Actual"</formula1>
    </dataValidation>
  </dataValidations>
  <pageMargins left="0.7" right="0.7" top="0.75" bottom="0.75" header="0.3" footer="0.3"/>
  <pageSetup paperSize="3" scale="61" orientation="landscape" r:id="rId1"/>
  <rowBreaks count="1" manualBreakCount="1">
    <brk id="64"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70ECA-1D15-4763-81EF-734078469A74}">
  <dimension ref="A1:J35"/>
  <sheetViews>
    <sheetView workbookViewId="0">
      <selection activeCell="N15" sqref="N15"/>
    </sheetView>
  </sheetViews>
  <sheetFormatPr defaultRowHeight="15"/>
  <cols>
    <col min="2" max="3" width="14.28515625" bestFit="1" customWidth="1"/>
    <col min="4" max="4" width="13.85546875" bestFit="1" customWidth="1"/>
    <col min="5" max="6" width="10" bestFit="1" customWidth="1"/>
    <col min="7" max="8" width="13.85546875" bestFit="1" customWidth="1"/>
    <col min="9" max="9" width="26" customWidth="1"/>
    <col min="10" max="10" width="18.42578125" bestFit="1" customWidth="1"/>
  </cols>
  <sheetData>
    <row r="1" spans="1:10" ht="18.75">
      <c r="A1" s="393" t="s">
        <v>299</v>
      </c>
      <c r="B1" s="81"/>
      <c r="C1" s="81"/>
      <c r="D1" s="81"/>
      <c r="E1" s="394"/>
      <c r="F1" s="395"/>
      <c r="G1" s="392"/>
      <c r="H1" s="392"/>
      <c r="I1" s="396"/>
    </row>
    <row r="2" spans="1:10" ht="38.25" hidden="1">
      <c r="A2" s="397">
        <v>2016</v>
      </c>
      <c r="B2" s="398" t="s">
        <v>73</v>
      </c>
      <c r="C2" s="399" t="s">
        <v>83</v>
      </c>
      <c r="D2" s="399" t="s">
        <v>75</v>
      </c>
      <c r="E2" s="400" t="s">
        <v>76</v>
      </c>
      <c r="F2" s="401" t="s">
        <v>77</v>
      </c>
      <c r="G2" s="402" t="s">
        <v>84</v>
      </c>
      <c r="H2" s="402" t="s">
        <v>85</v>
      </c>
      <c r="I2" s="403" t="s">
        <v>86</v>
      </c>
    </row>
    <row r="3" spans="1:10" hidden="1">
      <c r="A3" s="404" t="s">
        <v>36</v>
      </c>
      <c r="B3" s="81">
        <v>38163452.100000001</v>
      </c>
      <c r="C3" s="405">
        <v>21264463.860000003</v>
      </c>
      <c r="D3" s="405"/>
      <c r="E3" s="406"/>
      <c r="F3" s="407"/>
      <c r="G3" s="408"/>
      <c r="H3" s="408"/>
      <c r="I3" s="409"/>
      <c r="J3" s="89"/>
    </row>
    <row r="4" spans="1:10" ht="18.75">
      <c r="A4" s="410" t="s">
        <v>87</v>
      </c>
      <c r="B4" s="81"/>
      <c r="C4" s="81"/>
      <c r="D4" s="81"/>
      <c r="E4" s="394"/>
      <c r="F4" s="395"/>
      <c r="G4" s="392"/>
      <c r="H4" s="392"/>
      <c r="I4" s="396"/>
    </row>
    <row r="5" spans="1:10" ht="75">
      <c r="A5" s="69">
        <v>2017</v>
      </c>
      <c r="B5" s="70" t="s">
        <v>73</v>
      </c>
      <c r="C5" s="71" t="s">
        <v>74</v>
      </c>
      <c r="D5" s="71" t="s">
        <v>75</v>
      </c>
      <c r="E5" s="72" t="s">
        <v>76</v>
      </c>
      <c r="F5" s="73" t="s">
        <v>77</v>
      </c>
      <c r="G5" s="74" t="s">
        <v>78</v>
      </c>
      <c r="H5" s="74" t="s">
        <v>79</v>
      </c>
      <c r="I5" s="75" t="s">
        <v>80</v>
      </c>
    </row>
    <row r="6" spans="1:10">
      <c r="A6" s="76" t="s">
        <v>25</v>
      </c>
      <c r="B6" s="77">
        <v>46009323.420000002</v>
      </c>
      <c r="C6" s="77">
        <v>26251504.239999995</v>
      </c>
      <c r="D6" s="78">
        <f>B6+C6-C3</f>
        <v>50996363.799999997</v>
      </c>
      <c r="E6" s="79">
        <v>8.677E-2</v>
      </c>
      <c r="F6" s="79">
        <f>82.27/1000</f>
        <v>8.2269999999999996E-2</v>
      </c>
      <c r="G6" s="80">
        <v>3785187.0377634</v>
      </c>
      <c r="H6" s="80">
        <f>D6*F6</f>
        <v>4195470.8498259997</v>
      </c>
      <c r="I6" s="80">
        <f>H6-G6</f>
        <v>410283.8120625997</v>
      </c>
      <c r="J6" t="str">
        <f>IF(H6&gt;G6,"Payment from IESO","payment to IESO")</f>
        <v>Payment from IESO</v>
      </c>
    </row>
    <row r="7" spans="1:10">
      <c r="A7" s="76" t="s">
        <v>26</v>
      </c>
      <c r="B7" s="77">
        <v>41951279.310000002</v>
      </c>
      <c r="C7" s="77">
        <v>22367555.519999996</v>
      </c>
      <c r="D7" s="78">
        <f t="shared" ref="D7:D15" si="0">B7+C7-C6</f>
        <v>38067330.590000004</v>
      </c>
      <c r="E7" s="79">
        <v>8.43E-2</v>
      </c>
      <c r="F7" s="79">
        <f>86.39/1000</f>
        <v>8.6389999999999995E-2</v>
      </c>
      <c r="G7" s="80">
        <v>3624171.0195908998</v>
      </c>
      <c r="H7" s="80">
        <f t="shared" ref="H7:H16" si="1">D7*F7</f>
        <v>3288636.6896700999</v>
      </c>
      <c r="I7" s="80">
        <f>H7-G7</f>
        <v>-335534.32992079994</v>
      </c>
      <c r="J7" t="str">
        <f t="shared" ref="J7:J17" si="2">IF(H7&gt;G7,"Payment from IESO","payment to IESO")</f>
        <v>payment to IESO</v>
      </c>
    </row>
    <row r="8" spans="1:10">
      <c r="A8" s="76" t="s">
        <v>27</v>
      </c>
      <c r="B8" s="77">
        <v>50191187.590000004</v>
      </c>
      <c r="C8" s="77">
        <v>19720330.319999997</v>
      </c>
      <c r="D8" s="78">
        <f t="shared" si="0"/>
        <v>47543962.390000001</v>
      </c>
      <c r="E8" s="79">
        <v>6.8860000000000005E-2</v>
      </c>
      <c r="F8" s="79">
        <f>71.35/1000</f>
        <v>7.1349999999999997E-2</v>
      </c>
      <c r="G8" s="80">
        <v>3581141.2345465003</v>
      </c>
      <c r="H8" s="80">
        <f t="shared" si="1"/>
        <v>3392261.7165264999</v>
      </c>
      <c r="I8" s="80">
        <f t="shared" ref="I8" si="3">H8-G8</f>
        <v>-188879.51802000031</v>
      </c>
      <c r="J8" t="str">
        <f t="shared" si="2"/>
        <v>payment to IESO</v>
      </c>
    </row>
    <row r="9" spans="1:10">
      <c r="A9" s="76" t="s">
        <v>28</v>
      </c>
      <c r="B9" s="77">
        <v>35981326.339999996</v>
      </c>
      <c r="C9" s="77">
        <v>23978743.390000015</v>
      </c>
      <c r="D9" s="78">
        <f t="shared" si="0"/>
        <v>40239739.410000011</v>
      </c>
      <c r="E9" s="79">
        <v>0.10218000000000001</v>
      </c>
      <c r="F9" s="79">
        <f>107.78/1000</f>
        <v>0.10778</v>
      </c>
      <c r="G9" s="80">
        <v>3878067.3529251995</v>
      </c>
      <c r="H9" s="80">
        <f t="shared" si="1"/>
        <v>4337039.113609801</v>
      </c>
      <c r="I9" s="80">
        <f>H9-G9</f>
        <v>458971.7606846015</v>
      </c>
      <c r="J9" t="str">
        <f t="shared" si="2"/>
        <v>Payment from IESO</v>
      </c>
    </row>
    <row r="10" spans="1:10">
      <c r="A10" s="76" t="s">
        <v>29</v>
      </c>
      <c r="B10" s="77">
        <v>42862231.719999999</v>
      </c>
      <c r="C10" s="77">
        <v>17285944.309999991</v>
      </c>
      <c r="D10" s="78">
        <f>B10+C10-C9</f>
        <v>36169432.639999971</v>
      </c>
      <c r="E10" s="79">
        <v>0.12776000000000001</v>
      </c>
      <c r="F10" s="79">
        <f>123.07/1000</f>
        <v>0.12307</v>
      </c>
      <c r="G10" s="80">
        <v>5275054.8577803997</v>
      </c>
      <c r="H10" s="80">
        <f t="shared" si="1"/>
        <v>4451372.0750047965</v>
      </c>
      <c r="I10" s="80">
        <f t="shared" ref="I10:I11" si="4">H10-G10</f>
        <v>-823682.78277560323</v>
      </c>
      <c r="J10" t="str">
        <f t="shared" si="2"/>
        <v>payment to IESO</v>
      </c>
    </row>
    <row r="11" spans="1:10">
      <c r="A11" s="76" t="s">
        <v>30</v>
      </c>
      <c r="B11" s="77">
        <v>34873658.479999997</v>
      </c>
      <c r="C11" s="81">
        <v>23428339.590000011</v>
      </c>
      <c r="D11" s="78">
        <f t="shared" si="0"/>
        <v>41016053.76000002</v>
      </c>
      <c r="E11" s="82">
        <f>125.63/1000</f>
        <v>0.12562999999999999</v>
      </c>
      <c r="F11" s="79">
        <f>118.48/1000</f>
        <v>0.11848</v>
      </c>
      <c r="G11" s="80">
        <v>4131831.0567103997</v>
      </c>
      <c r="H11" s="80">
        <f>D11*F11</f>
        <v>4859582.0494848024</v>
      </c>
      <c r="I11" s="80">
        <f t="shared" si="4"/>
        <v>727750.99277440272</v>
      </c>
      <c r="J11" t="str">
        <f t="shared" si="2"/>
        <v>Payment from IESO</v>
      </c>
    </row>
    <row r="12" spans="1:10">
      <c r="A12" s="76" t="s">
        <v>31</v>
      </c>
      <c r="B12" s="77">
        <v>42291201.659999996</v>
      </c>
      <c r="C12" s="77">
        <v>24789047.840000004</v>
      </c>
      <c r="D12" s="78">
        <f t="shared" si="0"/>
        <v>43651909.909999989</v>
      </c>
      <c r="E12" s="79">
        <v>0.10197000000000001</v>
      </c>
      <c r="F12" s="79">
        <f>112.8/1000</f>
        <v>0.1128</v>
      </c>
      <c r="G12" s="80">
        <v>4770447.5472479993</v>
      </c>
      <c r="H12" s="80">
        <f>D12*F12</f>
        <v>4923935.4378479989</v>
      </c>
      <c r="I12" s="80">
        <f>H12-G12</f>
        <v>153487.89059999958</v>
      </c>
      <c r="J12" t="str">
        <f t="shared" si="2"/>
        <v>Payment from IESO</v>
      </c>
    </row>
    <row r="13" spans="1:10">
      <c r="A13" s="76" t="s">
        <v>32</v>
      </c>
      <c r="B13" s="77">
        <v>46053694.589999996</v>
      </c>
      <c r="C13" s="77">
        <v>20170905.130000006</v>
      </c>
      <c r="D13" s="78">
        <f t="shared" si="0"/>
        <v>41435551.879999995</v>
      </c>
      <c r="E13" s="79">
        <f>104.76/1000</f>
        <v>0.10476000000000001</v>
      </c>
      <c r="F13" s="79">
        <f>101.09/1000</f>
        <v>0.10109</v>
      </c>
      <c r="G13" s="80">
        <v>4655567.9861030998</v>
      </c>
      <c r="H13" s="80">
        <f t="shared" si="1"/>
        <v>4188719.9395491993</v>
      </c>
      <c r="I13" s="80">
        <f t="shared" ref="I13:I14" si="5">H13-G13</f>
        <v>-466848.04655390047</v>
      </c>
      <c r="J13" t="str">
        <f t="shared" si="2"/>
        <v>payment to IESO</v>
      </c>
    </row>
    <row r="14" spans="1:10">
      <c r="A14" s="76" t="s">
        <v>33</v>
      </c>
      <c r="B14" s="77">
        <v>40314060.140000008</v>
      </c>
      <c r="C14" s="77">
        <v>25962448.679999996</v>
      </c>
      <c r="D14" s="78">
        <f>B14+C14-C13</f>
        <v>46105603.689999998</v>
      </c>
      <c r="E14" s="79">
        <f>98.95/1000</f>
        <v>9.8949999999999996E-2</v>
      </c>
      <c r="F14" s="79">
        <f>88.64/1000</f>
        <v>8.8639999999999997E-2</v>
      </c>
      <c r="G14" s="80">
        <v>3573438.2908096006</v>
      </c>
      <c r="H14" s="80">
        <f t="shared" si="1"/>
        <v>4086800.7110815998</v>
      </c>
      <c r="I14" s="80">
        <f t="shared" si="5"/>
        <v>513362.4202719992</v>
      </c>
      <c r="J14" t="str">
        <f t="shared" si="2"/>
        <v>Payment from IESO</v>
      </c>
    </row>
    <row r="15" spans="1:10">
      <c r="A15" s="76" t="s">
        <v>34</v>
      </c>
      <c r="B15" s="77">
        <v>41825474.409999996</v>
      </c>
      <c r="C15" s="77">
        <v>23337393.079999991</v>
      </c>
      <c r="D15" s="78">
        <f t="shared" si="0"/>
        <v>39200418.809999987</v>
      </c>
      <c r="E15" s="79">
        <v>0.11973</v>
      </c>
      <c r="F15" s="79">
        <f>125.63/1000</f>
        <v>0.12562999999999999</v>
      </c>
      <c r="G15" s="80">
        <v>5254534.3501282996</v>
      </c>
      <c r="H15" s="80">
        <f t="shared" si="1"/>
        <v>4924748.6151002981</v>
      </c>
      <c r="I15" s="80">
        <f>H15-G15</f>
        <v>-329785.73502800148</v>
      </c>
      <c r="J15" t="str">
        <f t="shared" si="2"/>
        <v>payment to IESO</v>
      </c>
    </row>
    <row r="16" spans="1:10">
      <c r="A16" s="76" t="s">
        <v>81</v>
      </c>
      <c r="B16" s="77">
        <v>39696378.059999995</v>
      </c>
      <c r="C16" s="77">
        <v>21264463.860000003</v>
      </c>
      <c r="D16" s="78">
        <f>B16+C16-C15</f>
        <v>37623448.840000011</v>
      </c>
      <c r="E16" s="79">
        <v>9.6689999999999998E-2</v>
      </c>
      <c r="F16" s="79">
        <f>97.04/1000</f>
        <v>9.7040000000000001E-2</v>
      </c>
      <c r="G16" s="80">
        <v>3852136.5269423993</v>
      </c>
      <c r="H16" s="80">
        <f t="shared" si="1"/>
        <v>3650979.4754336011</v>
      </c>
      <c r="I16" s="80">
        <f t="shared" ref="I16" si="6">H16-G16</f>
        <v>-201157.05150879826</v>
      </c>
      <c r="J16" t="str">
        <f t="shared" si="2"/>
        <v>payment to IESO</v>
      </c>
    </row>
    <row r="17" spans="1:10">
      <c r="A17" s="76" t="s">
        <v>36</v>
      </c>
      <c r="B17" s="77">
        <v>41999774.209999993</v>
      </c>
      <c r="C17" s="77">
        <v>25847467.620000001</v>
      </c>
      <c r="D17" s="78">
        <f>B17+C17-C16</f>
        <v>46582777.969999999</v>
      </c>
      <c r="E17" s="79">
        <v>9.6689999999999998E-2</v>
      </c>
      <c r="F17" s="79">
        <f>92.07/1000</f>
        <v>9.2069999999999999E-2</v>
      </c>
      <c r="G17" s="80">
        <f>E17*B17</f>
        <v>4060958.1683648992</v>
      </c>
      <c r="H17" s="80">
        <f>D17*F17</f>
        <v>4288876.3676979002</v>
      </c>
      <c r="I17" s="80">
        <f>H17-G17</f>
        <v>227918.19933300093</v>
      </c>
      <c r="J17" t="str">
        <f t="shared" si="2"/>
        <v>Payment from IESO</v>
      </c>
    </row>
    <row r="18" spans="1:10">
      <c r="A18" s="386" t="s">
        <v>82</v>
      </c>
      <c r="B18" s="387">
        <f>SUM(B6:B17)</f>
        <v>504049589.92999995</v>
      </c>
      <c r="C18" s="387">
        <f>SUM(C6:C17)</f>
        <v>274404143.57999998</v>
      </c>
      <c r="D18" s="387">
        <f>SUM(D6:D17)</f>
        <v>508632593.69000006</v>
      </c>
      <c r="E18" s="388"/>
      <c r="F18" s="388"/>
      <c r="G18" s="389">
        <f>SUM(G6:G17)</f>
        <v>50442535.428913102</v>
      </c>
      <c r="H18" s="389">
        <f>SUM(H6:H17)</f>
        <v>50588423.040832601</v>
      </c>
      <c r="I18" s="411">
        <f>H18-G18</f>
        <v>145887.61191949993</v>
      </c>
    </row>
    <row r="19" spans="1:10" ht="15.75" hidden="1" thickBot="1">
      <c r="A19" s="83"/>
      <c r="B19" s="84"/>
      <c r="C19" s="84"/>
      <c r="D19" s="84"/>
      <c r="E19" s="85"/>
      <c r="F19" s="85"/>
      <c r="G19" s="86"/>
      <c r="H19" s="87"/>
      <c r="I19" s="88">
        <f>SUM(I6:I17)</f>
        <v>145887.61191949993</v>
      </c>
      <c r="J19" t="str">
        <f>IF(I19&gt;0,"Payment from IeSO","payment to IESO")</f>
        <v>Payment from IeSO</v>
      </c>
    </row>
    <row r="22" spans="1:10" ht="75">
      <c r="A22" s="69">
        <v>2018</v>
      </c>
      <c r="B22" s="70" t="s">
        <v>73</v>
      </c>
      <c r="C22" s="71" t="s">
        <v>74</v>
      </c>
      <c r="D22" s="71" t="s">
        <v>75</v>
      </c>
      <c r="E22" s="72" t="s">
        <v>76</v>
      </c>
      <c r="F22" s="73" t="s">
        <v>77</v>
      </c>
      <c r="G22" s="74" t="s">
        <v>104</v>
      </c>
      <c r="H22" s="74" t="s">
        <v>79</v>
      </c>
      <c r="I22" s="75" t="s">
        <v>80</v>
      </c>
      <c r="J22" s="391"/>
    </row>
    <row r="23" spans="1:10">
      <c r="A23" s="98" t="s">
        <v>25</v>
      </c>
      <c r="B23" s="99">
        <v>56569523.429999992</v>
      </c>
      <c r="C23" s="99">
        <v>30429369.419999998</v>
      </c>
      <c r="D23" s="78">
        <v>59479867.349999994</v>
      </c>
      <c r="E23" s="100">
        <v>6.3700000000000007E-2</v>
      </c>
      <c r="F23" s="100">
        <v>6.7360000000000003E-2</v>
      </c>
      <c r="G23" s="80">
        <f>E23*B23</f>
        <v>3603478.6424909998</v>
      </c>
      <c r="H23" s="80">
        <f>D23*F23</f>
        <v>4006563.8646959998</v>
      </c>
      <c r="I23" s="80">
        <f>H23-G23</f>
        <v>403085.222205</v>
      </c>
      <c r="J23" t="str">
        <f t="shared" ref="J23:J35" si="7">IF(H23&gt;G23,"Payment from IESO","Payment to IESO")</f>
        <v>Payment from IESO</v>
      </c>
    </row>
    <row r="24" spans="1:10">
      <c r="A24" s="98" t="s">
        <v>26</v>
      </c>
      <c r="B24" s="99">
        <v>40556702.599999994</v>
      </c>
      <c r="C24" s="99">
        <v>24644704.530000001</v>
      </c>
      <c r="D24" s="78">
        <f>B24+C24-C23</f>
        <v>34772037.709999993</v>
      </c>
      <c r="E24" s="100">
        <v>7.7049999999999993E-2</v>
      </c>
      <c r="F24" s="100">
        <v>8.1670000000000006E-2</v>
      </c>
      <c r="G24" s="80">
        <f t="shared" ref="G24:G34" si="8">E24*B24</f>
        <v>3124893.9353299993</v>
      </c>
      <c r="H24" s="80">
        <f t="shared" ref="H24:H34" si="9">D24*F24</f>
        <v>2839832.3197756996</v>
      </c>
      <c r="I24" s="80">
        <f t="shared" ref="I24:I27" si="10">H24-G24</f>
        <v>-285061.61555429967</v>
      </c>
      <c r="J24" t="str">
        <f t="shared" si="7"/>
        <v>Payment to IESO</v>
      </c>
    </row>
    <row r="25" spans="1:10">
      <c r="A25" s="98" t="s">
        <v>27</v>
      </c>
      <c r="B25" s="99">
        <v>53934499.249999993</v>
      </c>
      <c r="C25" s="99">
        <v>26988020.199999996</v>
      </c>
      <c r="D25" s="78">
        <f t="shared" ref="D25:D32" si="11">B25+C25-C24</f>
        <v>56277814.919999987</v>
      </c>
      <c r="E25" s="100">
        <v>8.5949999999999999E-2</v>
      </c>
      <c r="F25" s="100">
        <v>9.4810000000000005E-2</v>
      </c>
      <c r="G25" s="80">
        <f t="shared" si="8"/>
        <v>4635670.2105374997</v>
      </c>
      <c r="H25" s="80">
        <f t="shared" si="9"/>
        <v>5335699.6325651994</v>
      </c>
      <c r="I25" s="80">
        <f t="shared" si="10"/>
        <v>700029.42202769965</v>
      </c>
      <c r="J25" t="str">
        <f t="shared" si="7"/>
        <v>Payment from IESO</v>
      </c>
    </row>
    <row r="26" spans="1:10">
      <c r="A26" s="98" t="s">
        <v>28</v>
      </c>
      <c r="B26" s="99">
        <v>35163117.450000003</v>
      </c>
      <c r="C26" s="99">
        <v>22934217.219999999</v>
      </c>
      <c r="D26" s="78">
        <f t="shared" si="11"/>
        <v>31109314.470000006</v>
      </c>
      <c r="E26" s="100">
        <v>0.10074</v>
      </c>
      <c r="F26" s="100">
        <v>9.9589999999999998E-2</v>
      </c>
      <c r="G26" s="80">
        <f t="shared" si="8"/>
        <v>3542332.4519130001</v>
      </c>
      <c r="H26" s="80">
        <f t="shared" si="9"/>
        <v>3098176.6280673007</v>
      </c>
      <c r="I26" s="80">
        <f t="shared" si="10"/>
        <v>-444155.82384569943</v>
      </c>
      <c r="J26" t="str">
        <f t="shared" si="7"/>
        <v>Payment to IESO</v>
      </c>
    </row>
    <row r="27" spans="1:10">
      <c r="A27" s="98" t="s">
        <v>29</v>
      </c>
      <c r="B27" s="99">
        <v>50874921.529999994</v>
      </c>
      <c r="C27" s="99">
        <v>24193863.060000002</v>
      </c>
      <c r="D27" s="78">
        <f t="shared" si="11"/>
        <v>52134567.370000005</v>
      </c>
      <c r="E27" s="100">
        <v>0.13199</v>
      </c>
      <c r="F27" s="100">
        <v>0.10793000000000001</v>
      </c>
      <c r="G27" s="80">
        <f t="shared" si="8"/>
        <v>6714980.8927446986</v>
      </c>
      <c r="H27" s="80">
        <f t="shared" si="9"/>
        <v>5626883.8562441012</v>
      </c>
      <c r="I27" s="80">
        <f t="shared" si="10"/>
        <v>-1088097.0365005974</v>
      </c>
      <c r="J27" t="str">
        <f t="shared" si="7"/>
        <v>Payment to IESO</v>
      </c>
    </row>
    <row r="28" spans="1:10">
      <c r="A28" s="98" t="s">
        <v>30</v>
      </c>
      <c r="B28" s="99">
        <v>38291731.07</v>
      </c>
      <c r="C28" s="99">
        <v>23110535.5</v>
      </c>
      <c r="D28" s="78">
        <f t="shared" si="11"/>
        <v>37208403.509999998</v>
      </c>
      <c r="E28" s="100">
        <v>0.10238999999999999</v>
      </c>
      <c r="F28" s="100">
        <v>0.11896</v>
      </c>
      <c r="G28" s="80">
        <f t="shared" si="8"/>
        <v>3920690.3442572998</v>
      </c>
      <c r="H28" s="80">
        <f t="shared" si="9"/>
        <v>4426311.6815495994</v>
      </c>
      <c r="I28" s="80">
        <f>H28-G28</f>
        <v>505621.33729229961</v>
      </c>
      <c r="J28" t="str">
        <f t="shared" si="7"/>
        <v>Payment from IESO</v>
      </c>
    </row>
    <row r="29" spans="1:10">
      <c r="A29" s="98" t="s">
        <v>313</v>
      </c>
      <c r="B29" s="99">
        <v>47240242.680000007</v>
      </c>
      <c r="C29" s="99">
        <v>27404310.539999999</v>
      </c>
      <c r="D29" s="78">
        <f t="shared" si="11"/>
        <v>51534017.719999999</v>
      </c>
      <c r="E29" s="100">
        <v>8.1230000000000011E-2</v>
      </c>
      <c r="F29" s="100">
        <v>7.7370000000000008E-2</v>
      </c>
      <c r="G29" s="80">
        <f t="shared" si="8"/>
        <v>3837324.9128964012</v>
      </c>
      <c r="H29" s="80">
        <f t="shared" si="9"/>
        <v>3987186.9509964003</v>
      </c>
      <c r="I29" s="80">
        <f>H29-G29</f>
        <v>149862.03809999907</v>
      </c>
      <c r="J29" t="str">
        <f t="shared" si="7"/>
        <v>Payment from IESO</v>
      </c>
    </row>
    <row r="30" spans="1:10">
      <c r="A30" s="98" t="s">
        <v>32</v>
      </c>
      <c r="B30" s="99">
        <v>53137660.060000002</v>
      </c>
      <c r="C30" s="99">
        <v>30050554.590000004</v>
      </c>
      <c r="D30" s="78">
        <f t="shared" si="11"/>
        <v>55783904.110000007</v>
      </c>
      <c r="E30" s="100">
        <v>7.324E-2</v>
      </c>
      <c r="F30" s="100">
        <v>7.4900000000000008E-2</v>
      </c>
      <c r="G30" s="80">
        <f t="shared" si="8"/>
        <v>3891802.2227944001</v>
      </c>
      <c r="H30" s="80">
        <f t="shared" si="9"/>
        <v>4178214.4178390009</v>
      </c>
      <c r="I30" s="80">
        <f>H30-G30</f>
        <v>286412.19504460087</v>
      </c>
      <c r="J30" t="str">
        <f t="shared" si="7"/>
        <v>Payment from IESO</v>
      </c>
    </row>
    <row r="31" spans="1:10">
      <c r="A31" s="98" t="s">
        <v>33</v>
      </c>
      <c r="B31" s="99">
        <v>40416553.200000003</v>
      </c>
      <c r="C31" s="99">
        <v>25348339.879999999</v>
      </c>
      <c r="D31" s="78">
        <f t="shared" si="11"/>
        <v>35714338.489999995</v>
      </c>
      <c r="E31" s="100">
        <v>8.6599999999999996E-2</v>
      </c>
      <c r="F31" s="100">
        <v>8.584E-2</v>
      </c>
      <c r="G31" s="80">
        <f t="shared" si="8"/>
        <v>3500073.5071200002</v>
      </c>
      <c r="H31" s="80">
        <f t="shared" si="9"/>
        <v>3065718.8159815995</v>
      </c>
      <c r="I31" s="80">
        <f>H31-G31</f>
        <v>-434354.6911384007</v>
      </c>
      <c r="J31" t="str">
        <f t="shared" si="7"/>
        <v>Payment to IESO</v>
      </c>
    </row>
    <row r="32" spans="1:10">
      <c r="A32" s="98" t="s">
        <v>34</v>
      </c>
      <c r="B32" s="99">
        <v>53737551.369999997</v>
      </c>
      <c r="C32" s="99">
        <v>24644897.889999997</v>
      </c>
      <c r="D32" s="78">
        <f t="shared" si="11"/>
        <v>53034109.379999995</v>
      </c>
      <c r="E32" s="100">
        <v>0.11998</v>
      </c>
      <c r="F32" s="100">
        <v>0.12059</v>
      </c>
      <c r="G32" s="80">
        <f t="shared" si="8"/>
        <v>6447431.4133725995</v>
      </c>
      <c r="H32" s="80">
        <f t="shared" si="9"/>
        <v>6395383.2501341999</v>
      </c>
      <c r="I32" s="80">
        <f>H32-G32</f>
        <v>-52048.163238399662</v>
      </c>
      <c r="J32" t="str">
        <f t="shared" si="7"/>
        <v>Payment to IESO</v>
      </c>
    </row>
    <row r="33" spans="1:10">
      <c r="A33" s="98" t="s">
        <v>81</v>
      </c>
      <c r="B33" s="99">
        <v>39457654.880000003</v>
      </c>
      <c r="C33" s="390">
        <v>30021089.240000002</v>
      </c>
      <c r="D33" s="78">
        <f>B33+C33-C32</f>
        <v>44833846.230000004</v>
      </c>
      <c r="E33" s="100">
        <v>0.10540000000000001</v>
      </c>
      <c r="F33" s="100">
        <v>9.8549999999999999E-2</v>
      </c>
      <c r="G33" s="80">
        <f t="shared" si="8"/>
        <v>4158836.8243520004</v>
      </c>
      <c r="H33" s="80">
        <f t="shared" si="9"/>
        <v>4418375.5459665004</v>
      </c>
      <c r="I33" s="80">
        <f t="shared" ref="I33" si="12">H33-G33</f>
        <v>259538.72161450004</v>
      </c>
      <c r="J33" t="str">
        <f t="shared" si="7"/>
        <v>Payment from IESO</v>
      </c>
    </row>
    <row r="34" spans="1:10">
      <c r="A34" s="98" t="s">
        <v>36</v>
      </c>
      <c r="B34" s="99">
        <v>36698003.359999999</v>
      </c>
      <c r="C34" s="99">
        <v>25376730.280000001</v>
      </c>
      <c r="D34" s="78">
        <f>B34+C34-C33</f>
        <v>32053644.399999999</v>
      </c>
      <c r="E34" s="100">
        <v>7.0669999999999997E-2</v>
      </c>
      <c r="F34" s="100">
        <v>7.4040000000000009E-2</v>
      </c>
      <c r="G34" s="80">
        <f t="shared" si="8"/>
        <v>2593447.8974512001</v>
      </c>
      <c r="H34" s="80">
        <f t="shared" si="9"/>
        <v>2373251.8313760003</v>
      </c>
      <c r="I34" s="411">
        <f>H34-G34</f>
        <v>-220196.06607519975</v>
      </c>
      <c r="J34" t="str">
        <f t="shared" si="7"/>
        <v>Payment to IESO</v>
      </c>
    </row>
    <row r="35" spans="1:10">
      <c r="D35" s="214"/>
      <c r="G35" s="313"/>
      <c r="H35" s="313"/>
      <c r="I35" s="392"/>
      <c r="J35" s="235"/>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10B3A-0B4B-4318-9641-623263B10EFC}">
  <dimension ref="A1:Z46"/>
  <sheetViews>
    <sheetView workbookViewId="0">
      <selection activeCell="Q28" sqref="Q28"/>
    </sheetView>
  </sheetViews>
  <sheetFormatPr defaultColWidth="9.140625" defaultRowHeight="12.75"/>
  <cols>
    <col min="1" max="1" width="9.5703125" style="210" bestFit="1" customWidth="1"/>
    <col min="2" max="3" width="15.7109375" style="210" customWidth="1"/>
    <col min="4" max="4" width="15" style="210" customWidth="1"/>
    <col min="5" max="5" width="13.42578125" style="210" customWidth="1"/>
    <col min="6" max="6" width="14" style="210" bestFit="1" customWidth="1"/>
    <col min="7" max="8" width="15.7109375" style="210" customWidth="1"/>
    <col min="9" max="10" width="12.7109375" style="210" customWidth="1"/>
    <col min="11" max="11" width="18.85546875" style="210" customWidth="1"/>
    <col min="12" max="16" width="15.7109375" style="210" customWidth="1"/>
    <col min="17" max="17" width="13.5703125" style="210" bestFit="1" customWidth="1"/>
    <col min="18" max="18" width="15.42578125" style="210" bestFit="1" customWidth="1"/>
    <col min="19" max="19" width="19.5703125" style="211" customWidth="1"/>
    <col min="20" max="20" width="14.28515625" style="212" bestFit="1" customWidth="1"/>
    <col min="21" max="21" width="14.28515625" style="210" bestFit="1" customWidth="1"/>
    <col min="22" max="22" width="11.42578125" style="210" bestFit="1" customWidth="1"/>
    <col min="23" max="23" width="21.42578125" style="210" bestFit="1" customWidth="1"/>
    <col min="24" max="25" width="9.140625" style="210"/>
    <col min="26" max="26" width="12.5703125" style="210" bestFit="1" customWidth="1"/>
    <col min="27" max="16384" width="9.140625" style="210"/>
  </cols>
  <sheetData>
    <row r="1" spans="1:21" s="101" customFormat="1" ht="13.5" thickBot="1">
      <c r="B1" s="379" t="s">
        <v>141</v>
      </c>
      <c r="C1" s="379"/>
      <c r="D1" s="379"/>
      <c r="E1" s="379"/>
      <c r="F1" s="379"/>
      <c r="G1" s="379"/>
      <c r="H1" s="379"/>
      <c r="I1" s="379"/>
      <c r="J1" s="379"/>
      <c r="K1" s="379"/>
      <c r="L1" s="379"/>
      <c r="M1" s="379"/>
      <c r="N1" s="379"/>
      <c r="O1" s="343"/>
      <c r="P1" s="343"/>
      <c r="Q1" s="102"/>
      <c r="R1" s="102"/>
      <c r="S1" s="103"/>
      <c r="T1" s="104"/>
    </row>
    <row r="2" spans="1:21" s="101" customFormat="1" ht="19.5" thickBot="1">
      <c r="B2" s="105" t="s">
        <v>107</v>
      </c>
      <c r="C2" s="106"/>
      <c r="D2" s="106"/>
      <c r="E2" s="106"/>
      <c r="F2" s="106"/>
      <c r="G2" s="106"/>
      <c r="H2" s="106"/>
      <c r="I2" s="107"/>
      <c r="J2" s="107"/>
      <c r="K2" s="215"/>
      <c r="L2" s="107"/>
      <c r="M2" s="107"/>
      <c r="N2" s="107"/>
      <c r="O2" s="107"/>
      <c r="P2" s="107"/>
      <c r="Q2" s="107"/>
      <c r="R2" s="107"/>
      <c r="S2" s="108"/>
      <c r="T2" s="104"/>
    </row>
    <row r="3" spans="1:21" s="101" customFormat="1">
      <c r="B3" s="109" t="s">
        <v>108</v>
      </c>
      <c r="C3" s="110"/>
      <c r="D3" s="110"/>
      <c r="E3" s="110"/>
      <c r="F3" s="110"/>
      <c r="G3" s="110"/>
      <c r="H3" s="110"/>
      <c r="I3" s="111"/>
      <c r="J3" s="112"/>
      <c r="K3" s="112"/>
      <c r="L3" s="112"/>
      <c r="M3" s="113"/>
      <c r="N3" s="107"/>
      <c r="O3" s="107"/>
      <c r="P3" s="107"/>
      <c r="Q3" s="107"/>
      <c r="R3" s="107"/>
      <c r="T3" s="104"/>
    </row>
    <row r="4" spans="1:21" s="101" customFormat="1" ht="14.25">
      <c r="B4" s="114" t="str">
        <f>+'2018 Analysis'!B23</f>
        <v>Total Metered excluding WMP</v>
      </c>
      <c r="C4" s="114"/>
      <c r="D4" s="114"/>
      <c r="E4" s="114"/>
      <c r="F4" s="114"/>
      <c r="G4" s="114"/>
      <c r="H4" s="114"/>
      <c r="I4" s="115"/>
      <c r="J4" s="92" t="s">
        <v>91</v>
      </c>
      <c r="K4" s="116">
        <f>K5+K6</f>
        <v>1671900470.2055221</v>
      </c>
      <c r="L4" s="117" t="s">
        <v>92</v>
      </c>
      <c r="M4" s="118">
        <v>1</v>
      </c>
      <c r="N4" s="107" t="s">
        <v>109</v>
      </c>
      <c r="O4" s="107"/>
      <c r="P4" s="107"/>
      <c r="Q4" s="107"/>
      <c r="R4" s="107"/>
      <c r="S4" s="108"/>
      <c r="T4" s="104"/>
    </row>
    <row r="5" spans="1:21" s="101" customFormat="1" ht="14.25">
      <c r="B5" s="114" t="str">
        <f>+'2018 Analysis'!B24</f>
        <v xml:space="preserve">RPP </v>
      </c>
      <c r="C5" s="114"/>
      <c r="D5" s="114"/>
      <c r="E5" s="114"/>
      <c r="F5" s="114"/>
      <c r="G5" s="114"/>
      <c r="H5" s="114"/>
      <c r="I5" s="115"/>
      <c r="J5" s="92" t="s">
        <v>94</v>
      </c>
      <c r="K5" s="116">
        <f>+'2018 Analysis'!D24</f>
        <v>532946021.6768927</v>
      </c>
      <c r="L5" s="117" t="s">
        <v>92</v>
      </c>
      <c r="M5" s="119">
        <f>K5/K4</f>
        <v>0.31876659596332257</v>
      </c>
      <c r="N5" s="107"/>
      <c r="O5" s="107"/>
      <c r="P5" s="107"/>
      <c r="Q5" s="107"/>
      <c r="R5" s="107"/>
      <c r="S5" s="108"/>
      <c r="T5" s="104"/>
    </row>
    <row r="6" spans="1:21" s="101" customFormat="1" ht="14.25">
      <c r="B6" s="114" t="str">
        <f>+'2018 Analysis'!B25</f>
        <v>Non RPP</v>
      </c>
      <c r="C6" s="114"/>
      <c r="D6" s="114"/>
      <c r="E6" s="114"/>
      <c r="F6" s="114"/>
      <c r="G6" s="114"/>
      <c r="H6" s="114"/>
      <c r="I6" s="115"/>
      <c r="J6" s="92" t="s">
        <v>96</v>
      </c>
      <c r="K6" s="120">
        <f>K7+K8</f>
        <v>1138954448.5286293</v>
      </c>
      <c r="L6" s="117" t="s">
        <v>92</v>
      </c>
      <c r="M6" s="119">
        <f>K6/K4</f>
        <v>0.68123340403667743</v>
      </c>
      <c r="N6" s="107" t="s">
        <v>110</v>
      </c>
      <c r="O6" s="107"/>
      <c r="P6" s="107"/>
      <c r="Q6" s="107"/>
      <c r="R6" s="107"/>
      <c r="S6" s="108"/>
      <c r="T6" s="104"/>
    </row>
    <row r="7" spans="1:21" s="101" customFormat="1" ht="15" thickBot="1">
      <c r="B7" s="121" t="str">
        <f>+'2018 Analysis'!B26</f>
        <v>Non-RPP Class A</v>
      </c>
      <c r="C7" s="121"/>
      <c r="D7" s="121"/>
      <c r="E7" s="121"/>
      <c r="F7" s="121"/>
      <c r="G7" s="121"/>
      <c r="H7" s="121"/>
      <c r="I7" s="122"/>
      <c r="J7" s="213" t="s">
        <v>98</v>
      </c>
      <c r="K7" s="123">
        <f>+'2018 Analysis'!D26</f>
        <v>779216989.89999986</v>
      </c>
      <c r="L7" s="124" t="s">
        <v>92</v>
      </c>
      <c r="M7" s="125">
        <f>K7/K4</f>
        <v>0.46606661328602467</v>
      </c>
      <c r="N7" s="107"/>
      <c r="O7" s="107"/>
      <c r="P7" s="107"/>
      <c r="Q7" s="107"/>
      <c r="R7" s="107"/>
      <c r="S7" s="108"/>
      <c r="T7" s="104"/>
    </row>
    <row r="8" spans="1:21" s="101" customFormat="1" ht="15" thickBot="1">
      <c r="B8" s="126" t="str">
        <f>+'2018 Analysis'!B27</f>
        <v>Non-RPP Class B*</v>
      </c>
      <c r="C8" s="127"/>
      <c r="D8" s="127"/>
      <c r="E8" s="127"/>
      <c r="F8" s="127"/>
      <c r="G8" s="127"/>
      <c r="H8" s="127"/>
      <c r="I8" s="128"/>
      <c r="J8" s="420" t="s">
        <v>100</v>
      </c>
      <c r="K8" s="129">
        <f>+'2018 Analysis'!D27</f>
        <v>359737458.62862945</v>
      </c>
      <c r="L8" s="130" t="s">
        <v>92</v>
      </c>
      <c r="M8" s="131">
        <f>K8/K4</f>
        <v>0.2151667907506527</v>
      </c>
      <c r="N8" s="132"/>
      <c r="O8" s="132"/>
      <c r="P8" s="132"/>
      <c r="Q8" s="132"/>
      <c r="R8" s="132"/>
      <c r="S8" s="133"/>
      <c r="T8" s="104"/>
    </row>
    <row r="9" spans="1:21" s="101" customFormat="1">
      <c r="B9" s="134"/>
      <c r="C9" s="134"/>
      <c r="D9" s="134"/>
      <c r="E9" s="134"/>
      <c r="F9" s="134"/>
      <c r="G9" s="134"/>
      <c r="H9" s="134"/>
      <c r="I9" s="135"/>
      <c r="J9" s="135"/>
      <c r="K9" s="136"/>
      <c r="L9" s="135"/>
      <c r="M9" s="135"/>
      <c r="N9" s="135"/>
      <c r="O9" s="135"/>
      <c r="P9" s="135"/>
      <c r="Q9" s="135"/>
      <c r="R9" s="135"/>
      <c r="S9" s="137"/>
      <c r="T9" s="104"/>
    </row>
    <row r="10" spans="1:21" s="101" customFormat="1">
      <c r="B10" s="138" t="s">
        <v>111</v>
      </c>
      <c r="C10" s="139"/>
      <c r="D10" s="139"/>
      <c r="E10" s="139"/>
      <c r="F10" s="139"/>
      <c r="G10" s="140"/>
      <c r="H10" s="140"/>
      <c r="I10" s="139"/>
      <c r="J10" s="139"/>
      <c r="K10" s="139"/>
      <c r="L10" s="139"/>
      <c r="M10" s="139"/>
      <c r="N10" s="141"/>
      <c r="O10" s="141"/>
      <c r="P10" s="141"/>
      <c r="Q10" s="141"/>
      <c r="R10" s="141"/>
      <c r="T10" s="104"/>
    </row>
    <row r="11" spans="1:21" s="142" customFormat="1" ht="25.5">
      <c r="B11" s="143" t="s">
        <v>112</v>
      </c>
      <c r="C11" s="143" t="s">
        <v>113</v>
      </c>
      <c r="D11" s="143" t="s">
        <v>114</v>
      </c>
      <c r="E11" s="143" t="s">
        <v>115</v>
      </c>
      <c r="F11" s="144" t="s">
        <v>116</v>
      </c>
      <c r="G11" s="145" t="s">
        <v>117</v>
      </c>
      <c r="H11" s="146" t="s">
        <v>118</v>
      </c>
      <c r="I11" s="147" t="s">
        <v>119</v>
      </c>
      <c r="J11" s="147" t="s">
        <v>120</v>
      </c>
      <c r="K11" s="143" t="s">
        <v>121</v>
      </c>
      <c r="L11" s="143" t="s">
        <v>121</v>
      </c>
      <c r="M11" s="143" t="s">
        <v>122</v>
      </c>
      <c r="N11" s="148"/>
      <c r="O11" s="148"/>
      <c r="P11" s="148"/>
    </row>
    <row r="12" spans="1:21" s="142" customFormat="1" ht="38.25">
      <c r="B12" s="149" t="s">
        <v>123</v>
      </c>
      <c r="C12" s="149" t="s">
        <v>124</v>
      </c>
      <c r="D12" s="149" t="s">
        <v>124</v>
      </c>
      <c r="E12" s="149" t="s">
        <v>92</v>
      </c>
      <c r="F12" s="150"/>
      <c r="G12" s="149" t="s">
        <v>125</v>
      </c>
      <c r="H12" s="151" t="s">
        <v>72</v>
      </c>
      <c r="I12" s="149" t="s">
        <v>72</v>
      </c>
      <c r="J12" s="149" t="s">
        <v>72</v>
      </c>
      <c r="K12" s="152" t="s">
        <v>126</v>
      </c>
      <c r="L12" s="152" t="s">
        <v>127</v>
      </c>
      <c r="M12" s="149" t="s">
        <v>128</v>
      </c>
      <c r="N12" s="153"/>
      <c r="O12" s="153"/>
      <c r="P12" s="153"/>
      <c r="Q12" s="147" t="s">
        <v>129</v>
      </c>
      <c r="R12" s="459" t="s">
        <v>130</v>
      </c>
      <c r="S12" s="463"/>
      <c r="T12" s="463"/>
      <c r="U12" s="449"/>
    </row>
    <row r="13" spans="1:21" s="101" customFormat="1" ht="64.5" thickBot="1">
      <c r="B13" s="302" t="s">
        <v>142</v>
      </c>
      <c r="C13" s="302" t="s">
        <v>143</v>
      </c>
      <c r="D13" s="302" t="s">
        <v>144</v>
      </c>
      <c r="E13" s="302" t="s">
        <v>145</v>
      </c>
      <c r="F13" s="303" t="s">
        <v>146</v>
      </c>
      <c r="G13" s="303" t="s">
        <v>150</v>
      </c>
      <c r="H13" s="303" t="s">
        <v>147</v>
      </c>
      <c r="I13" s="303" t="s">
        <v>148</v>
      </c>
      <c r="J13" s="303" t="s">
        <v>149</v>
      </c>
      <c r="K13" s="304" t="s">
        <v>132</v>
      </c>
      <c r="L13" s="304" t="s">
        <v>133</v>
      </c>
      <c r="M13" s="303" t="s">
        <v>134</v>
      </c>
      <c r="N13" s="154"/>
      <c r="O13" s="154"/>
      <c r="P13" s="154"/>
      <c r="Q13" s="149" t="s">
        <v>135</v>
      </c>
      <c r="R13" s="460" t="s">
        <v>136</v>
      </c>
      <c r="S13" s="464" t="s">
        <v>137</v>
      </c>
      <c r="T13" s="468" t="s">
        <v>138</v>
      </c>
      <c r="U13" s="455" t="s">
        <v>318</v>
      </c>
    </row>
    <row r="14" spans="1:21" s="101" customFormat="1" ht="15">
      <c r="A14" s="155">
        <v>43070</v>
      </c>
      <c r="B14" s="160"/>
      <c r="C14" s="156"/>
      <c r="D14" s="161"/>
      <c r="E14" s="162"/>
      <c r="F14" s="157"/>
      <c r="G14" s="163"/>
      <c r="H14" s="164"/>
      <c r="I14" s="165"/>
      <c r="J14" s="166"/>
      <c r="K14" s="158"/>
      <c r="L14" s="158"/>
      <c r="M14" s="158"/>
      <c r="N14" s="154"/>
      <c r="O14" s="154"/>
      <c r="P14" s="154"/>
      <c r="Q14" s="456"/>
      <c r="R14" s="461"/>
      <c r="S14" s="465"/>
      <c r="T14" s="469"/>
      <c r="U14" s="450"/>
    </row>
    <row r="15" spans="1:21" s="101" customFormat="1" ht="15">
      <c r="A15" s="155">
        <v>43101</v>
      </c>
      <c r="B15" s="160">
        <f>'2018 Analysis'!C46</f>
        <v>33367896.029999997</v>
      </c>
      <c r="C15" s="156">
        <f>'2018 Analysis'!E46</f>
        <v>23548236.979999997</v>
      </c>
      <c r="D15" s="161">
        <f>'2018 Analysis'!D46</f>
        <v>33115104.5</v>
      </c>
      <c r="E15" s="162">
        <f>C15-D15</f>
        <v>-9566867.5200000033</v>
      </c>
      <c r="F15" s="157">
        <f>B15+C15-D15</f>
        <v>23801028.50999999</v>
      </c>
      <c r="G15" s="163">
        <f>C15*H15-D15*'GA Rates'!B16</f>
        <v>-711859.65886040055</v>
      </c>
      <c r="H15" s="164">
        <v>8.7770000000000001E-2</v>
      </c>
      <c r="I15" s="165">
        <v>6.7360000000000003E-2</v>
      </c>
      <c r="J15" s="166">
        <f>+H15-I15</f>
        <v>2.0409999999999998E-2</v>
      </c>
      <c r="K15" s="158">
        <f t="shared" ref="K15:K26" si="0">+F15*H15</f>
        <v>2089016.2723226992</v>
      </c>
      <c r="L15" s="158">
        <f>F15*I15</f>
        <v>1603237.2804335994</v>
      </c>
      <c r="M15" s="158">
        <f>+L15-K15</f>
        <v>-485778.99188909982</v>
      </c>
      <c r="N15" s="159"/>
      <c r="O15" s="159"/>
      <c r="P15" s="159"/>
      <c r="Q15" s="457">
        <f>R15+C15*H15-D15*'GA Rates'!B16</f>
        <v>2282325.5611396004</v>
      </c>
      <c r="R15" s="158">
        <v>2994185.2200000011</v>
      </c>
      <c r="S15" s="466">
        <f>R15/B15</f>
        <v>8.9732514669430344E-2</v>
      </c>
      <c r="T15" s="466">
        <f>H15</f>
        <v>8.7770000000000001E-2</v>
      </c>
      <c r="U15" s="453"/>
    </row>
    <row r="16" spans="1:21" s="101" customFormat="1" ht="15">
      <c r="A16" s="155">
        <v>43132</v>
      </c>
      <c r="B16" s="160">
        <f>'2018 Analysis'!C47</f>
        <v>33760539.750000007</v>
      </c>
      <c r="C16" s="156">
        <f>'2018 Analysis'!E47</f>
        <v>21111720.32</v>
      </c>
      <c r="D16" s="161">
        <f>'2018 Analysis'!D47</f>
        <v>23548236.979999997</v>
      </c>
      <c r="E16" s="162">
        <f t="shared" ref="E16:E27" si="1">C16-D16</f>
        <v>-2436516.6599999964</v>
      </c>
      <c r="F16" s="157">
        <f t="shared" ref="F16:F25" si="2">B16+C16-D16</f>
        <v>31324023.090000011</v>
      </c>
      <c r="G16" s="163">
        <f t="shared" ref="G16:G26" si="3">C16*H16-D16*H15</f>
        <v>-518706.3086689997</v>
      </c>
      <c r="H16" s="164">
        <v>7.3329999999999992E-2</v>
      </c>
      <c r="I16" s="165">
        <v>8.1670000000000006E-2</v>
      </c>
      <c r="J16" s="166">
        <f t="shared" ref="J16:J26" si="4">+H16-I16</f>
        <v>-8.3400000000000141E-3</v>
      </c>
      <c r="K16" s="158">
        <f t="shared" si="0"/>
        <v>2296990.6131897005</v>
      </c>
      <c r="L16" s="158">
        <f t="shared" ref="L16:L26" si="5">F16*I16</f>
        <v>2558232.9657603013</v>
      </c>
      <c r="M16" s="158">
        <f t="shared" ref="M16:M26" si="6">+L16-K16</f>
        <v>261242.35257060081</v>
      </c>
      <c r="N16" s="159"/>
      <c r="O16" s="159"/>
      <c r="P16" s="159"/>
      <c r="Q16" s="457">
        <f>R16+C16*H16-D16*H15</f>
        <v>2409117.3713309998</v>
      </c>
      <c r="R16" s="158">
        <v>2927823.68</v>
      </c>
      <c r="S16" s="466">
        <f>R16/B16</f>
        <v>8.6723248552328006E-2</v>
      </c>
      <c r="T16" s="466">
        <f>H16</f>
        <v>7.3329999999999992E-2</v>
      </c>
      <c r="U16" s="453">
        <f>AVERAGE(T15:T16)</f>
        <v>8.0549999999999997E-2</v>
      </c>
    </row>
    <row r="17" spans="1:25" s="101" customFormat="1" ht="15">
      <c r="A17" s="155">
        <v>43160</v>
      </c>
      <c r="B17" s="160">
        <f>'2018 Analysis'!C48</f>
        <v>33077199.209999993</v>
      </c>
      <c r="C17" s="156">
        <f>'2018 Analysis'!E48</f>
        <v>24388101.960000001</v>
      </c>
      <c r="D17" s="161">
        <f>'2018 Analysis'!D48</f>
        <v>21111720.32</v>
      </c>
      <c r="E17" s="162">
        <f t="shared" si="1"/>
        <v>3276381.6400000006</v>
      </c>
      <c r="F17" s="157">
        <f t="shared" si="2"/>
        <v>36353580.849999994</v>
      </c>
      <c r="G17" s="163">
        <f t="shared" si="3"/>
        <v>372928.34032359999</v>
      </c>
      <c r="H17" s="164">
        <v>7.8769999999999993E-2</v>
      </c>
      <c r="I17" s="165">
        <v>9.4810000000000005E-2</v>
      </c>
      <c r="J17" s="166">
        <f t="shared" si="4"/>
        <v>-1.6040000000000013E-2</v>
      </c>
      <c r="K17" s="158">
        <f t="shared" si="0"/>
        <v>2863571.5635544993</v>
      </c>
      <c r="L17" s="158">
        <f t="shared" si="5"/>
        <v>3446683.0003884998</v>
      </c>
      <c r="M17" s="158">
        <f t="shared" si="6"/>
        <v>583111.43683400052</v>
      </c>
      <c r="N17" s="159"/>
      <c r="O17" s="159"/>
      <c r="P17" s="159"/>
      <c r="Q17" s="457">
        <f>R17+C17*H17-D17*H16</f>
        <v>2910144.8103235997</v>
      </c>
      <c r="R17" s="158">
        <v>2537216.4700000002</v>
      </c>
      <c r="S17" s="466">
        <f>R17/B17</f>
        <v>7.6705904084918466E-2</v>
      </c>
      <c r="T17" s="466">
        <f>H17</f>
        <v>7.8769999999999993E-2</v>
      </c>
      <c r="U17" s="453">
        <f>AVERAGE(T16:T17)</f>
        <v>7.6049999999999993E-2</v>
      </c>
    </row>
    <row r="18" spans="1:25" s="101" customFormat="1" ht="15">
      <c r="A18" s="155">
        <v>43191</v>
      </c>
      <c r="B18" s="160">
        <f>'2018 Analysis'!C49</f>
        <v>31382197.970000003</v>
      </c>
      <c r="C18" s="156">
        <f>'2018 Analysis'!E49</f>
        <v>22181727.719999999</v>
      </c>
      <c r="D18" s="161">
        <f>'2018 Analysis'!D49</f>
        <v>24388101.960000001</v>
      </c>
      <c r="E18" s="162">
        <f t="shared" si="1"/>
        <v>-2206374.2400000021</v>
      </c>
      <c r="F18" s="157">
        <f t="shared" si="2"/>
        <v>29175823.729999997</v>
      </c>
      <c r="G18" s="163">
        <f t="shared" si="3"/>
        <v>254976.69794279989</v>
      </c>
      <c r="H18" s="164">
        <v>9.8099999999999993E-2</v>
      </c>
      <c r="I18" s="165">
        <v>9.9589999999999998E-2</v>
      </c>
      <c r="J18" s="166">
        <f t="shared" si="4"/>
        <v>-1.4900000000000052E-3</v>
      </c>
      <c r="K18" s="158">
        <f t="shared" si="0"/>
        <v>2862148.3079129993</v>
      </c>
      <c r="L18" s="158">
        <f t="shared" si="5"/>
        <v>2905620.2852706998</v>
      </c>
      <c r="M18" s="158">
        <f t="shared" si="6"/>
        <v>43471.977357700467</v>
      </c>
      <c r="N18" s="159"/>
      <c r="O18" s="159"/>
      <c r="P18" s="159"/>
      <c r="Q18" s="457">
        <f>R18+C18*H18-D18*H17</f>
        <v>2707679.5979428003</v>
      </c>
      <c r="R18" s="158">
        <v>2452702.9</v>
      </c>
      <c r="S18" s="466">
        <f>R18/B18</f>
        <v>7.8155867295996148E-2</v>
      </c>
      <c r="T18" s="466">
        <f>H18</f>
        <v>9.8099999999999993E-2</v>
      </c>
      <c r="U18" s="453">
        <f>AVERAGE(T17:T18)</f>
        <v>8.8434999999999986E-2</v>
      </c>
    </row>
    <row r="19" spans="1:25" s="101" customFormat="1" ht="15">
      <c r="A19" s="155">
        <v>43221</v>
      </c>
      <c r="B19" s="160">
        <f>'2018 Analysis'!C50</f>
        <v>36708619.150000006</v>
      </c>
      <c r="C19" s="156">
        <f>'2018 Analysis'!E50</f>
        <v>23209094.890000004</v>
      </c>
      <c r="D19" s="161">
        <f>'2018 Analysis'!D50</f>
        <v>22181727.719999999</v>
      </c>
      <c r="E19" s="162">
        <f t="shared" si="1"/>
        <v>1027367.1700000055</v>
      </c>
      <c r="F19" s="157">
        <f t="shared" si="2"/>
        <v>37735986.320000008</v>
      </c>
      <c r="G19" s="163">
        <f t="shared" si="3"/>
        <v>3770.7027368005365</v>
      </c>
      <c r="H19" s="164">
        <v>9.3920000000000003E-2</v>
      </c>
      <c r="I19" s="165">
        <v>0.10793000000000001</v>
      </c>
      <c r="J19" s="166">
        <f t="shared" si="4"/>
        <v>-1.4010000000000009E-2</v>
      </c>
      <c r="K19" s="158">
        <f t="shared" si="0"/>
        <v>3544163.8351744008</v>
      </c>
      <c r="L19" s="158">
        <f t="shared" si="5"/>
        <v>4072845.0035176012</v>
      </c>
      <c r="M19" s="158">
        <f t="shared" si="6"/>
        <v>528681.16834320035</v>
      </c>
      <c r="N19" s="159"/>
      <c r="O19" s="159"/>
      <c r="P19" s="159"/>
      <c r="Q19" s="457">
        <f>R19+C19*H19-D19*H18</f>
        <v>3448242.5227368008</v>
      </c>
      <c r="R19" s="158">
        <v>3444471.8200000008</v>
      </c>
      <c r="S19" s="466">
        <f>R19/B19</f>
        <v>9.3832780958746587E-2</v>
      </c>
      <c r="T19" s="466">
        <f>H19</f>
        <v>9.3920000000000003E-2</v>
      </c>
      <c r="U19" s="453">
        <f t="shared" ref="U17:U26" si="7">AVERAGE(T18:T19)</f>
        <v>9.6009999999999998E-2</v>
      </c>
    </row>
    <row r="20" spans="1:25" s="101" customFormat="1" ht="15">
      <c r="A20" s="155">
        <v>43252</v>
      </c>
      <c r="B20" s="160">
        <f>'2018 Analysis'!C51</f>
        <v>31525927.220000006</v>
      </c>
      <c r="C20" s="156">
        <f>'2018 Analysis'!E51</f>
        <v>22196009.779999997</v>
      </c>
      <c r="D20" s="161">
        <f>'2018 Analysis'!D51</f>
        <v>23209094.890000004</v>
      </c>
      <c r="E20" s="162">
        <f t="shared" si="1"/>
        <v>-1013085.1100000069</v>
      </c>
      <c r="F20" s="157">
        <f t="shared" si="2"/>
        <v>30512842.109999996</v>
      </c>
      <c r="G20" s="163">
        <f t="shared" si="3"/>
        <v>780261.67219199939</v>
      </c>
      <c r="H20" s="164">
        <v>0.13336000000000001</v>
      </c>
      <c r="I20" s="165">
        <v>0.11896</v>
      </c>
      <c r="J20" s="166">
        <f t="shared" si="4"/>
        <v>1.440000000000001E-2</v>
      </c>
      <c r="K20" s="158">
        <f t="shared" si="0"/>
        <v>4069192.6237895996</v>
      </c>
      <c r="L20" s="158">
        <f t="shared" si="5"/>
        <v>3629807.6974055995</v>
      </c>
      <c r="M20" s="158">
        <f t="shared" si="6"/>
        <v>-439384.92638400011</v>
      </c>
      <c r="N20" s="159"/>
      <c r="O20" s="159"/>
      <c r="P20" s="159"/>
      <c r="Q20" s="457">
        <f>R20+C20*H20-D20*H19</f>
        <v>3163622.7721919995</v>
      </c>
      <c r="R20" s="158">
        <v>2383361.1</v>
      </c>
      <c r="S20" s="466">
        <f>R20/B20</f>
        <v>7.560003178869229E-2</v>
      </c>
      <c r="T20" s="466">
        <f>H20</f>
        <v>0.13336000000000001</v>
      </c>
      <c r="U20" s="453">
        <f t="shared" si="7"/>
        <v>0.11364</v>
      </c>
    </row>
    <row r="21" spans="1:25" s="101" customFormat="1" ht="15">
      <c r="A21" s="155">
        <v>43282</v>
      </c>
      <c r="B21" s="160">
        <f>'2018 Analysis'!C52</f>
        <v>31394699.230000004</v>
      </c>
      <c r="C21" s="156">
        <f>'2018 Analysis'!E52</f>
        <v>23162789.739999998</v>
      </c>
      <c r="D21" s="161">
        <f>'2018 Analysis'!D52</f>
        <v>22196009.779999997</v>
      </c>
      <c r="E21" s="162">
        <f t="shared" si="1"/>
        <v>966779.96000000089</v>
      </c>
      <c r="F21" s="157">
        <f t="shared" si="2"/>
        <v>32361479.190000001</v>
      </c>
      <c r="G21" s="163">
        <f t="shared" si="3"/>
        <v>-990759.48056599987</v>
      </c>
      <c r="H21" s="164">
        <v>8.5019999999999998E-2</v>
      </c>
      <c r="I21" s="165">
        <v>7.7370000000000008E-2</v>
      </c>
      <c r="J21" s="166">
        <f t="shared" si="4"/>
        <v>7.6499999999999901E-3</v>
      </c>
      <c r="K21" s="158">
        <f t="shared" si="0"/>
        <v>2751372.9607338002</v>
      </c>
      <c r="L21" s="158">
        <f t="shared" si="5"/>
        <v>2503807.6449303003</v>
      </c>
      <c r="M21" s="158">
        <f t="shared" si="6"/>
        <v>-247565.31580349989</v>
      </c>
      <c r="N21" s="159"/>
      <c r="O21" s="159"/>
      <c r="P21" s="159"/>
      <c r="Q21" s="457">
        <f>R21+C21*H21-D21*H20</f>
        <v>2889898.2894339995</v>
      </c>
      <c r="R21" s="158">
        <v>3880657.7699999991</v>
      </c>
      <c r="S21" s="466">
        <f>R21/B21</f>
        <v>0.12360869398907118</v>
      </c>
      <c r="T21" s="466">
        <f>H21</f>
        <v>8.5019999999999998E-2</v>
      </c>
      <c r="U21" s="453">
        <f t="shared" si="7"/>
        <v>0.10919000000000001</v>
      </c>
    </row>
    <row r="22" spans="1:25" s="101" customFormat="1" ht="15">
      <c r="A22" s="155">
        <v>43313</v>
      </c>
      <c r="B22" s="160">
        <f>'2018 Analysis'!C53</f>
        <v>33669953.189999998</v>
      </c>
      <c r="C22" s="156">
        <f>'2018 Analysis'!E53</f>
        <v>21464530.709999997</v>
      </c>
      <c r="D22" s="161">
        <f>'2018 Analysis'!D53</f>
        <v>23162789.739999998</v>
      </c>
      <c r="E22" s="162">
        <f t="shared" si="1"/>
        <v>-1698259.0300000012</v>
      </c>
      <c r="F22" s="157">
        <f>B22+C22-D22</f>
        <v>31971694.159999993</v>
      </c>
      <c r="G22" s="163">
        <f t="shared" si="3"/>
        <v>-297213.44138579979</v>
      </c>
      <c r="H22" s="164">
        <v>7.7900000000000011E-2</v>
      </c>
      <c r="I22" s="165">
        <v>7.4900000000000008E-2</v>
      </c>
      <c r="J22" s="166">
        <f t="shared" si="4"/>
        <v>3.0000000000000027E-3</v>
      </c>
      <c r="K22" s="158">
        <f t="shared" si="0"/>
        <v>2490594.9750639996</v>
      </c>
      <c r="L22" s="158">
        <f t="shared" si="5"/>
        <v>2394679.8925839998</v>
      </c>
      <c r="M22" s="158">
        <f t="shared" si="6"/>
        <v>-95915.082479999866</v>
      </c>
      <c r="N22" s="216"/>
      <c r="O22" s="216"/>
      <c r="P22" s="216"/>
      <c r="Q22" s="457">
        <f>R22+C22*H22-D22*H21</f>
        <v>2847818.3986142008</v>
      </c>
      <c r="R22" s="158">
        <v>3145031.8400000003</v>
      </c>
      <c r="S22" s="466">
        <f>R22/B22</f>
        <v>9.3407668916334494E-2</v>
      </c>
      <c r="T22" s="466">
        <f>H22</f>
        <v>7.7900000000000011E-2</v>
      </c>
      <c r="U22" s="453">
        <f t="shared" si="7"/>
        <v>8.1460000000000005E-2</v>
      </c>
    </row>
    <row r="23" spans="1:25" s="101" customFormat="1" ht="15">
      <c r="A23" s="155">
        <v>43344</v>
      </c>
      <c r="B23" s="160">
        <f>'2018 Analysis'!C54</f>
        <v>27061112.600000001</v>
      </c>
      <c r="C23" s="156">
        <f>'2018 Analysis'!E54</f>
        <v>19789980.659999996</v>
      </c>
      <c r="D23" s="161">
        <f>'2018 Analysis'!D54</f>
        <v>21464530.709999997</v>
      </c>
      <c r="E23" s="162">
        <f t="shared" si="1"/>
        <v>-1674550.0500000007</v>
      </c>
      <c r="F23" s="157">
        <f>B23+C23-D23</f>
        <v>25386562.550000001</v>
      </c>
      <c r="G23" s="163">
        <f t="shared" si="3"/>
        <v>-4978.9715106005315</v>
      </c>
      <c r="H23" s="164">
        <v>8.4239999999999995E-2</v>
      </c>
      <c r="I23" s="165">
        <v>8.584E-2</v>
      </c>
      <c r="J23" s="166">
        <f t="shared" si="4"/>
        <v>-1.6000000000000042E-3</v>
      </c>
      <c r="K23" s="158">
        <f t="shared" si="0"/>
        <v>2138564.0292119998</v>
      </c>
      <c r="L23" s="158">
        <f t="shared" si="5"/>
        <v>2179182.529292</v>
      </c>
      <c r="M23" s="158">
        <f t="shared" si="6"/>
        <v>40618.500080000143</v>
      </c>
      <c r="N23" s="216"/>
      <c r="O23" s="216"/>
      <c r="P23" s="216"/>
      <c r="Q23" s="457">
        <f>R23+C23*H23-D23*H22</f>
        <v>2139670.6784893996</v>
      </c>
      <c r="R23" s="462">
        <v>2144649.6500000004</v>
      </c>
      <c r="S23" s="466">
        <f>R23/B23</f>
        <v>7.925208699660044E-2</v>
      </c>
      <c r="T23" s="466">
        <f>H23</f>
        <v>8.4239999999999995E-2</v>
      </c>
      <c r="U23" s="453">
        <f t="shared" si="7"/>
        <v>8.1070000000000003E-2</v>
      </c>
    </row>
    <row r="24" spans="1:25" s="101" customFormat="1" ht="15">
      <c r="A24" s="155">
        <v>43374</v>
      </c>
      <c r="B24" s="160">
        <f>'2018 Analysis'!C55</f>
        <v>31394961.699999999</v>
      </c>
      <c r="C24" s="156">
        <f>'2018 Analysis'!E55</f>
        <v>21082925.59</v>
      </c>
      <c r="D24" s="161">
        <f>'2018 Analysis'!D55</f>
        <v>19789980.659999996</v>
      </c>
      <c r="E24" s="162">
        <f t="shared" si="1"/>
        <v>1292944.9300000034</v>
      </c>
      <c r="F24" s="157">
        <f t="shared" si="2"/>
        <v>32687906.630000003</v>
      </c>
      <c r="G24" s="163">
        <f t="shared" si="3"/>
        <v>213699.8210855003</v>
      </c>
      <c r="H24" s="164">
        <v>8.9209999999999998E-2</v>
      </c>
      <c r="I24" s="165">
        <v>0.12059</v>
      </c>
      <c r="J24" s="166">
        <f t="shared" si="4"/>
        <v>-3.1380000000000005E-2</v>
      </c>
      <c r="K24" s="158">
        <f t="shared" si="0"/>
        <v>2916088.1504623001</v>
      </c>
      <c r="L24" s="158">
        <f t="shared" si="5"/>
        <v>3941834.6605117004</v>
      </c>
      <c r="M24" s="158">
        <f t="shared" si="6"/>
        <v>1025746.5100494004</v>
      </c>
      <c r="N24" s="216"/>
      <c r="O24" s="216"/>
      <c r="P24" s="216"/>
      <c r="Q24" s="457">
        <f>R24+C24*H24-D24*H23</f>
        <v>2815913.7210855</v>
      </c>
      <c r="R24" s="158">
        <v>2602213.8999999994</v>
      </c>
      <c r="S24" s="466">
        <f>R24/B24</f>
        <v>8.2886353704327009E-2</v>
      </c>
      <c r="T24" s="466">
        <f>H24</f>
        <v>8.9209999999999998E-2</v>
      </c>
      <c r="U24" s="453">
        <f t="shared" si="7"/>
        <v>8.6724999999999997E-2</v>
      </c>
    </row>
    <row r="25" spans="1:25" s="101" customFormat="1" ht="15">
      <c r="A25" s="155">
        <v>43405</v>
      </c>
      <c r="B25" s="160">
        <f>'2018 Analysis'!C56</f>
        <v>27030331.550000004</v>
      </c>
      <c r="C25" s="156">
        <f>'2018 Analysis'!E56</f>
        <v>24055451.627867389</v>
      </c>
      <c r="D25" s="161">
        <f>'2018 Analysis'!D56</f>
        <v>21082925.59</v>
      </c>
      <c r="E25" s="162">
        <f t="shared" si="1"/>
        <v>2972526.0378673896</v>
      </c>
      <c r="F25" s="157">
        <f t="shared" si="2"/>
        <v>30002857.587867398</v>
      </c>
      <c r="G25" s="163">
        <f t="shared" si="3"/>
        <v>1062376.7147856751</v>
      </c>
      <c r="H25" s="164">
        <v>0.12235</v>
      </c>
      <c r="I25" s="165">
        <v>9.8549999999999999E-2</v>
      </c>
      <c r="J25" s="166">
        <f t="shared" si="4"/>
        <v>2.3800000000000002E-2</v>
      </c>
      <c r="K25" s="158">
        <f t="shared" si="0"/>
        <v>3670849.6258755759</v>
      </c>
      <c r="L25" s="158">
        <f t="shared" si="5"/>
        <v>2956781.6152843321</v>
      </c>
      <c r="M25" s="158">
        <f t="shared" si="6"/>
        <v>-714068.01059124386</v>
      </c>
      <c r="N25" s="216"/>
      <c r="O25" s="216"/>
      <c r="P25" s="216"/>
      <c r="Q25" s="457">
        <f>R25+C25*H25-D25*H24</f>
        <v>3467991.7947856747</v>
      </c>
      <c r="R25" s="158">
        <v>2405615.0799999996</v>
      </c>
      <c r="S25" s="466">
        <f>R25/B25</f>
        <v>8.8996876547746198E-2</v>
      </c>
      <c r="T25" s="466">
        <f>H25</f>
        <v>0.12235</v>
      </c>
      <c r="U25" s="453">
        <f t="shared" si="7"/>
        <v>0.10578</v>
      </c>
    </row>
    <row r="26" spans="1:25" s="101" customFormat="1" ht="15.75" thickBot="1">
      <c r="A26" s="155">
        <v>43435</v>
      </c>
      <c r="B26" s="167">
        <f>'2018 Analysis'!C57</f>
        <v>28815169.18999999</v>
      </c>
      <c r="C26" s="168">
        <f>'2018 Analysis'!E57</f>
        <v>26920932.380000006</v>
      </c>
      <c r="D26" s="169">
        <f>'2018 Analysis'!D57</f>
        <v>24055451.627867389</v>
      </c>
      <c r="E26" s="170">
        <f>C26-D26</f>
        <v>2865480.7521326169</v>
      </c>
      <c r="F26" s="171">
        <f>B26+C26-D26</f>
        <v>31680649.942132603</v>
      </c>
      <c r="G26" s="301">
        <f t="shared" si="3"/>
        <v>-466997.14635717403</v>
      </c>
      <c r="H26" s="172">
        <v>9.1980000000000006E-2</v>
      </c>
      <c r="I26" s="173">
        <v>7.4040000000000009E-2</v>
      </c>
      <c r="J26" s="174">
        <f t="shared" si="4"/>
        <v>1.7939999999999998E-2</v>
      </c>
      <c r="K26" s="175">
        <f t="shared" si="0"/>
        <v>2913986.1816773568</v>
      </c>
      <c r="L26" s="175">
        <f t="shared" si="5"/>
        <v>2345635.3217154983</v>
      </c>
      <c r="M26" s="175">
        <f t="shared" si="6"/>
        <v>-568350.85996185848</v>
      </c>
      <c r="N26" s="216"/>
      <c r="O26" s="216"/>
      <c r="P26" s="216"/>
      <c r="Q26" s="458">
        <f>R26+C26*H26-D26*H25</f>
        <v>2836203.2536428259</v>
      </c>
      <c r="R26" s="178">
        <v>3303200.3999999994</v>
      </c>
      <c r="S26" s="467">
        <f>R26/B26</f>
        <v>0.1146340796481022</v>
      </c>
      <c r="T26" s="467">
        <f>H26</f>
        <v>9.1980000000000006E-2</v>
      </c>
      <c r="U26" s="454">
        <f t="shared" si="7"/>
        <v>0.10716500000000001</v>
      </c>
    </row>
    <row r="27" spans="1:25" s="101" customFormat="1" ht="15">
      <c r="B27" s="176">
        <f>SUM(B15:B26)</f>
        <v>379188606.79000002</v>
      </c>
      <c r="C27" s="176">
        <f>SUM(C15:C26)</f>
        <v>273111502.35786742</v>
      </c>
      <c r="D27" s="176">
        <f>SUM(D15:D26)</f>
        <v>279305674.47786742</v>
      </c>
      <c r="E27" s="176">
        <f t="shared" si="1"/>
        <v>-6194172.1200000048</v>
      </c>
      <c r="F27" s="176">
        <f>SUM(F15:F26)</f>
        <v>372994434.66999996</v>
      </c>
      <c r="G27" s="176">
        <f>SUM(G15:G26)</f>
        <v>-302501.05828259932</v>
      </c>
      <c r="H27" s="177">
        <f>AVERAGE(H15:H26)</f>
        <v>9.2995833333333333E-2</v>
      </c>
      <c r="I27" s="177">
        <f>AVERAGE(I15:I26)</f>
        <v>9.1800833333333345E-2</v>
      </c>
      <c r="J27" s="177">
        <f>AVERAGE(J15:J26)</f>
        <v>1.1949999999999958E-3</v>
      </c>
      <c r="K27" s="178">
        <f>SUM(K15:K26)</f>
        <v>34606539.13896893</v>
      </c>
      <c r="L27" s="178">
        <f>SUM(L15:L26)</f>
        <v>34538347.897094131</v>
      </c>
      <c r="M27" s="179">
        <f>L27-K27</f>
        <v>-68191.241874799132</v>
      </c>
      <c r="N27" s="180" t="s">
        <v>94</v>
      </c>
      <c r="O27" s="180"/>
      <c r="P27" s="451" t="s">
        <v>317</v>
      </c>
      <c r="Q27" s="452">
        <f>SUM(Q15:Q26)</f>
        <v>33918628.771717399</v>
      </c>
      <c r="R27" s="448">
        <f>SUM(R15:R26)</f>
        <v>34221129.829999998</v>
      </c>
      <c r="S27" s="181"/>
    </row>
    <row r="28" spans="1:25" s="101" customFormat="1" ht="14.25">
      <c r="B28" s="135"/>
      <c r="C28" s="135"/>
      <c r="D28" s="135"/>
      <c r="E28" s="134"/>
      <c r="F28" s="135"/>
      <c r="G28" s="182"/>
      <c r="H28" s="182"/>
      <c r="I28" s="135"/>
      <c r="J28" s="135"/>
      <c r="K28" s="183"/>
      <c r="L28" s="135"/>
      <c r="M28" s="184" t="s">
        <v>151</v>
      </c>
      <c r="N28" s="421">
        <f>+'2018 Analysis'!C69</f>
        <v>-2229900.3100003023</v>
      </c>
      <c r="O28" s="180" t="s">
        <v>131</v>
      </c>
      <c r="Q28" s="423">
        <f>-Q27+K27</f>
        <v>687910.36725153029</v>
      </c>
      <c r="S28" s="185"/>
      <c r="T28" s="104"/>
      <c r="V28" s="186"/>
    </row>
    <row r="29" spans="1:25" s="101" customFormat="1" ht="14.25">
      <c r="B29" s="435" t="s">
        <v>316</v>
      </c>
      <c r="C29" s="187"/>
      <c r="D29" s="188"/>
      <c r="E29" s="188"/>
      <c r="I29" s="135"/>
      <c r="J29" s="135"/>
      <c r="K29" s="189"/>
      <c r="L29" s="135"/>
      <c r="M29" s="190" t="s">
        <v>139</v>
      </c>
      <c r="N29" s="422">
        <f>M27-N28</f>
        <v>2161709.0681255031</v>
      </c>
      <c r="O29" s="180" t="s">
        <v>140</v>
      </c>
      <c r="Q29" s="470"/>
      <c r="T29" s="104"/>
    </row>
    <row r="30" spans="1:25" s="101" customFormat="1" ht="27.75" customHeight="1">
      <c r="B30" s="445" t="s">
        <v>315</v>
      </c>
      <c r="C30" s="446"/>
      <c r="D30" s="446"/>
      <c r="E30" s="447"/>
      <c r="I30" s="135"/>
      <c r="J30" s="135"/>
      <c r="K30" s="189"/>
      <c r="L30" s="135"/>
      <c r="M30" s="190"/>
      <c r="N30" s="180"/>
      <c r="O30" s="180"/>
      <c r="P30" s="180"/>
      <c r="Q30" s="180"/>
      <c r="T30" s="104"/>
    </row>
    <row r="31" spans="1:25" s="101" customFormat="1">
      <c r="B31" s="430"/>
      <c r="C31" s="424" t="s">
        <v>278</v>
      </c>
      <c r="D31" s="425" t="s">
        <v>138</v>
      </c>
      <c r="E31" s="426" t="s">
        <v>139</v>
      </c>
      <c r="J31" s="135"/>
      <c r="K31" s="135"/>
      <c r="L31" s="191"/>
      <c r="M31" s="190"/>
      <c r="N31" s="192"/>
      <c r="O31" s="192"/>
      <c r="P31" s="192"/>
      <c r="Q31" s="192"/>
      <c r="R31" s="193"/>
      <c r="T31" s="104"/>
      <c r="Y31" s="194"/>
    </row>
    <row r="32" spans="1:25" s="101" customFormat="1" ht="15">
      <c r="B32" s="431">
        <v>43100</v>
      </c>
      <c r="C32" s="432">
        <v>2973978.02</v>
      </c>
      <c r="D32" s="433">
        <f>D15*'GA Rates'!B16</f>
        <v>2778688.4185950002</v>
      </c>
      <c r="E32" s="434">
        <f>C32-D32</f>
        <v>195289.60140499985</v>
      </c>
      <c r="N32" s="192"/>
      <c r="O32" s="192"/>
      <c r="P32" s="192"/>
      <c r="Q32" s="192"/>
      <c r="R32" s="192"/>
      <c r="S32" s="312">
        <v>43465</v>
      </c>
      <c r="T32" s="104"/>
      <c r="Y32" s="103"/>
    </row>
    <row r="33" spans="1:26" s="101" customFormat="1" ht="15">
      <c r="B33" s="444">
        <v>43465</v>
      </c>
      <c r="C33" s="427">
        <f>+T41</f>
        <v>2670720.25</v>
      </c>
      <c r="D33" s="428">
        <f>+W41</f>
        <v>2476187.3603124004</v>
      </c>
      <c r="E33" s="429">
        <f>C33-D33</f>
        <v>194532.88968759961</v>
      </c>
      <c r="N33" s="192"/>
      <c r="O33" s="192"/>
      <c r="P33" s="192"/>
      <c r="Q33" s="192"/>
      <c r="R33" s="192"/>
      <c r="S33" s="436" t="s">
        <v>300</v>
      </c>
      <c r="T33" s="437" t="s">
        <v>301</v>
      </c>
      <c r="U33" s="438" t="s">
        <v>302</v>
      </c>
      <c r="V33" s="438" t="s">
        <v>38</v>
      </c>
      <c r="W33" s="439" t="s">
        <v>287</v>
      </c>
      <c r="X33" s="235"/>
      <c r="Y33" s="305"/>
      <c r="Z33" s="235"/>
    </row>
    <row r="34" spans="1:26" s="101" customFormat="1" ht="15">
      <c r="B34" s="83"/>
      <c r="C34" s="195"/>
      <c r="D34" s="83"/>
      <c r="E34" s="83"/>
      <c r="F34" s="83"/>
      <c r="G34"/>
      <c r="H34"/>
      <c r="N34" s="192"/>
      <c r="O34" s="192"/>
      <c r="P34" s="192"/>
      <c r="Q34" s="192"/>
      <c r="R34" s="192"/>
      <c r="S34" s="287" t="s">
        <v>303</v>
      </c>
      <c r="T34" s="306">
        <v>117.89000000000001</v>
      </c>
      <c r="U34" s="306">
        <v>1095.96</v>
      </c>
      <c r="V34" s="316">
        <v>9.1980000000000006E-2</v>
      </c>
      <c r="W34" s="315">
        <f>U34*V34</f>
        <v>100.80640080000001</v>
      </c>
      <c r="X34" s="235"/>
      <c r="Y34" s="305"/>
      <c r="Z34" s="235"/>
    </row>
    <row r="35" spans="1:26" s="101" customFormat="1" ht="15">
      <c r="B35" s="83"/>
      <c r="C35" s="196"/>
      <c r="D35" s="196"/>
      <c r="E35" s="196"/>
      <c r="F35" s="196"/>
      <c r="G35"/>
      <c r="H35"/>
      <c r="N35" s="217"/>
      <c r="O35" s="217"/>
      <c r="P35" s="217"/>
      <c r="Q35" s="192"/>
      <c r="R35" s="192"/>
      <c r="S35" s="287" t="s">
        <v>304</v>
      </c>
      <c r="T35" s="306">
        <v>1282920.2800000005</v>
      </c>
      <c r="U35" s="306">
        <v>12622705.799999997</v>
      </c>
      <c r="V35" s="316">
        <v>9.1980000000000006E-2</v>
      </c>
      <c r="W35" s="315">
        <f>U35*V35</f>
        <v>1161036.4794839998</v>
      </c>
      <c r="X35" s="235"/>
      <c r="Y35" s="305"/>
      <c r="Z35" s="235"/>
    </row>
    <row r="36" spans="1:26" s="101" customFormat="1" ht="15">
      <c r="B36" s="83"/>
      <c r="C36" s="196"/>
      <c r="D36" s="83"/>
      <c r="E36" s="83"/>
      <c r="F36" s="83"/>
      <c r="G36"/>
      <c r="H36"/>
      <c r="N36" s="192"/>
      <c r="O36" s="192"/>
      <c r="P36" s="192"/>
      <c r="Q36" s="192"/>
      <c r="R36" s="192"/>
      <c r="S36" s="287" t="s">
        <v>305</v>
      </c>
      <c r="T36" s="306">
        <v>1360240.83</v>
      </c>
      <c r="U36" s="306">
        <v>12752928.520000001</v>
      </c>
      <c r="V36" s="316">
        <v>9.1980000000000006E-2</v>
      </c>
      <c r="W36" s="315">
        <f t="shared" ref="W36:W39" si="8">U36*V36</f>
        <v>1173014.3652696002</v>
      </c>
      <c r="X36" s="235"/>
      <c r="Y36" s="305"/>
      <c r="Z36" s="235"/>
    </row>
    <row r="37" spans="1:26" s="101" customFormat="1" ht="15">
      <c r="B37" s="83"/>
      <c r="C37" s="196"/>
      <c r="D37" s="83"/>
      <c r="E37" s="83"/>
      <c r="F37" s="83"/>
      <c r="G37"/>
      <c r="H37"/>
      <c r="N37" s="186"/>
      <c r="O37" s="186"/>
      <c r="P37" s="186"/>
      <c r="Q37" s="186"/>
      <c r="R37" s="186"/>
      <c r="S37" s="287" t="s">
        <v>306</v>
      </c>
      <c r="T37" s="306">
        <v>2243708.77</v>
      </c>
      <c r="U37" s="306">
        <v>22671907.450000007</v>
      </c>
      <c r="V37" s="316">
        <v>9.1980000000000006E-2</v>
      </c>
      <c r="W37" s="315">
        <f t="shared" si="8"/>
        <v>2085362.0472510008</v>
      </c>
      <c r="X37" s="235"/>
      <c r="Y37" s="305"/>
      <c r="Z37" s="235"/>
    </row>
    <row r="38" spans="1:26" s="101" customFormat="1" ht="15">
      <c r="B38" s="135"/>
      <c r="C38" s="188"/>
      <c r="D38" s="135"/>
      <c r="E38" s="135"/>
      <c r="F38" s="135"/>
      <c r="G38" s="135"/>
      <c r="H38" s="135"/>
      <c r="I38" s="135"/>
      <c r="J38" s="135"/>
      <c r="L38" s="197"/>
      <c r="M38" s="198"/>
      <c r="S38" s="287" t="s">
        <v>307</v>
      </c>
      <c r="T38" s="306">
        <v>71063.960000000006</v>
      </c>
      <c r="U38" s="306">
        <v>772602.30999999994</v>
      </c>
      <c r="V38" s="316">
        <v>9.1980000000000006E-2</v>
      </c>
      <c r="W38" s="315">
        <f t="shared" si="8"/>
        <v>71063.960473800005</v>
      </c>
      <c r="X38" s="235"/>
      <c r="Y38" s="305"/>
      <c r="Z38" s="235"/>
    </row>
    <row r="39" spans="1:26" s="101" customFormat="1" ht="15">
      <c r="B39" s="135"/>
      <c r="C39" s="135"/>
      <c r="D39" s="135"/>
      <c r="E39" s="135"/>
      <c r="F39" s="135"/>
      <c r="G39" s="135"/>
      <c r="H39" s="135"/>
      <c r="I39" s="135"/>
      <c r="J39" s="135"/>
      <c r="L39" s="197"/>
      <c r="M39" s="198"/>
      <c r="S39" s="287" t="s">
        <v>308</v>
      </c>
      <c r="T39" s="306">
        <v>0</v>
      </c>
      <c r="U39" s="306">
        <v>0</v>
      </c>
      <c r="V39" s="316">
        <v>9.1980000000000006E-2</v>
      </c>
      <c r="W39" s="315">
        <f t="shared" si="8"/>
        <v>0</v>
      </c>
      <c r="X39" s="235"/>
      <c r="Y39" s="305"/>
      <c r="Z39" s="235"/>
    </row>
    <row r="40" spans="1:26" s="101" customFormat="1" ht="15">
      <c r="B40" s="199"/>
      <c r="C40" s="199"/>
      <c r="D40" s="199"/>
      <c r="E40" s="199"/>
      <c r="F40" s="199"/>
      <c r="G40" s="199"/>
      <c r="H40" s="199"/>
      <c r="I40" s="194"/>
      <c r="K40" s="194"/>
      <c r="L40" s="200"/>
      <c r="M40" s="186"/>
      <c r="S40" s="287" t="s">
        <v>309</v>
      </c>
      <c r="T40" s="306">
        <v>355947.52000000002</v>
      </c>
      <c r="U40" s="306">
        <v>3476422.6199999996</v>
      </c>
      <c r="V40" s="316">
        <v>9.1980000000000006E-2</v>
      </c>
      <c r="W40" s="315">
        <f>U40*V40</f>
        <v>319761.35258760001</v>
      </c>
      <c r="X40" s="235"/>
      <c r="Y40" s="305"/>
      <c r="Z40" s="235"/>
    </row>
    <row r="41" spans="1:26" s="101" customFormat="1" ht="15">
      <c r="S41" s="440" t="s">
        <v>310</v>
      </c>
      <c r="T41" s="441">
        <f>SUM(T37:T40)</f>
        <v>2670720.25</v>
      </c>
      <c r="U41" s="442">
        <v>0</v>
      </c>
      <c r="V41" s="317"/>
      <c r="W41" s="443">
        <f>SUM(W37:W40)</f>
        <v>2476187.3603124004</v>
      </c>
      <c r="X41" s="307" t="s">
        <v>139</v>
      </c>
      <c r="Y41" s="308"/>
      <c r="Z41" s="309">
        <f>T41-W41</f>
        <v>194532.88968759961</v>
      </c>
    </row>
    <row r="42" spans="1:26" s="101" customFormat="1" ht="17.25">
      <c r="A42" s="201"/>
      <c r="B42" s="202"/>
      <c r="C42" s="202"/>
      <c r="D42" s="202"/>
      <c r="E42" s="202"/>
      <c r="F42" s="202"/>
      <c r="G42" s="202"/>
      <c r="H42" s="202"/>
      <c r="I42" s="203"/>
      <c r="J42" s="204"/>
      <c r="K42" s="203"/>
      <c r="L42" s="203"/>
      <c r="M42" s="203"/>
      <c r="N42" s="203"/>
      <c r="O42" s="203"/>
      <c r="P42" s="203"/>
      <c r="Q42" s="203"/>
      <c r="R42" s="203"/>
      <c r="S42" s="235"/>
      <c r="T42" s="310" t="s">
        <v>311</v>
      </c>
      <c r="U42" s="235"/>
      <c r="V42" s="235">
        <v>0</v>
      </c>
      <c r="W42" s="311" t="s">
        <v>312</v>
      </c>
      <c r="X42" s="235"/>
      <c r="Y42" s="305"/>
      <c r="Z42" s="235"/>
    </row>
    <row r="43" spans="1:26" s="101" customFormat="1" ht="14.25">
      <c r="A43" s="201"/>
      <c r="B43" s="205"/>
      <c r="C43" s="205"/>
      <c r="D43" s="205"/>
      <c r="E43" s="205"/>
      <c r="F43" s="205"/>
      <c r="G43" s="205"/>
      <c r="H43" s="205"/>
      <c r="I43" s="205"/>
      <c r="J43" s="205"/>
      <c r="K43" s="205"/>
      <c r="L43" s="205"/>
      <c r="M43" s="205"/>
      <c r="N43" s="205"/>
      <c r="O43" s="205"/>
      <c r="P43" s="205"/>
      <c r="Q43" s="205"/>
      <c r="R43" s="205"/>
      <c r="S43" s="205"/>
      <c r="T43" s="206"/>
      <c r="U43" s="205"/>
      <c r="V43" s="205"/>
      <c r="W43" s="205"/>
      <c r="X43" s="205"/>
    </row>
    <row r="44" spans="1:26" s="101" customFormat="1" ht="14.25">
      <c r="A44" s="201"/>
      <c r="B44" s="204"/>
      <c r="C44" s="204"/>
      <c r="D44" s="204"/>
      <c r="E44" s="204"/>
      <c r="F44" s="204"/>
      <c r="G44" s="204"/>
      <c r="H44" s="204"/>
      <c r="I44" s="204"/>
      <c r="J44" s="204"/>
      <c r="K44" s="204"/>
      <c r="L44" s="204"/>
      <c r="M44" s="204"/>
      <c r="N44" s="204"/>
      <c r="O44" s="204"/>
      <c r="P44" s="204"/>
      <c r="Q44" s="204"/>
      <c r="R44" s="204"/>
      <c r="S44" s="204"/>
      <c r="T44" s="207"/>
      <c r="U44" s="204"/>
      <c r="V44" s="204"/>
      <c r="W44" s="204"/>
      <c r="X44" s="204"/>
    </row>
    <row r="45" spans="1:26" s="101" customFormat="1" ht="14.25">
      <c r="A45" s="201"/>
      <c r="B45" s="204"/>
      <c r="C45" s="204"/>
      <c r="D45" s="204"/>
      <c r="E45" s="204"/>
      <c r="F45" s="204"/>
      <c r="G45" s="204"/>
      <c r="H45" s="204"/>
      <c r="I45" s="204"/>
      <c r="J45" s="204"/>
      <c r="K45" s="204"/>
      <c r="L45" s="204"/>
      <c r="M45" s="204"/>
      <c r="N45" s="208"/>
      <c r="O45" s="208"/>
      <c r="P45" s="208"/>
      <c r="Q45" s="208"/>
      <c r="R45" s="208"/>
      <c r="S45" s="208"/>
      <c r="T45" s="207"/>
      <c r="U45" s="204"/>
      <c r="V45" s="204"/>
      <c r="W45" s="314"/>
      <c r="X45" s="204"/>
    </row>
    <row r="46" spans="1:26" ht="14.25">
      <c r="A46" s="209"/>
      <c r="B46" s="204"/>
      <c r="C46" s="204"/>
      <c r="D46" s="204"/>
      <c r="E46" s="204"/>
      <c r="F46" s="204"/>
      <c r="G46" s="204"/>
      <c r="H46" s="204"/>
      <c r="I46" s="204"/>
      <c r="J46" s="204"/>
      <c r="K46" s="204"/>
      <c r="L46" s="204"/>
      <c r="M46" s="204"/>
      <c r="N46" s="204"/>
      <c r="O46" s="204"/>
      <c r="P46" s="204"/>
      <c r="Q46" s="204"/>
      <c r="R46" s="204"/>
      <c r="S46" s="208"/>
      <c r="T46" s="207"/>
      <c r="U46" s="204"/>
      <c r="V46" s="204"/>
      <c r="W46" s="204"/>
      <c r="X46" s="208"/>
    </row>
  </sheetData>
  <mergeCells count="2">
    <mergeCell ref="B1:N1"/>
    <mergeCell ref="B30:E30"/>
  </mergeCells>
  <dataValidations count="1">
    <dataValidation type="list" sqref="C11" xr:uid="{EFCFC983-885A-4414-B683-43DDB2081B64}">
      <formula1>"1st Estimate, 2nd Estimate, Actual"</formula1>
    </dataValidation>
  </dataValidations>
  <pageMargins left="0.45" right="0.45" top="0.75" bottom="0.75" header="0.3" footer="0.3"/>
  <pageSetup paperSize="3"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AD1D8-0676-4B83-A884-96C81F2E2D4B}">
  <dimension ref="A1:I29"/>
  <sheetViews>
    <sheetView workbookViewId="0">
      <selection activeCell="J33" sqref="J33"/>
    </sheetView>
  </sheetViews>
  <sheetFormatPr defaultColWidth="9.140625" defaultRowHeight="15"/>
  <cols>
    <col min="1" max="1" width="9.140625" style="62"/>
    <col min="2" max="2" width="16" style="62" customWidth="1"/>
    <col min="3" max="3" width="11.28515625" style="62" hidden="1" customWidth="1"/>
    <col min="4" max="4" width="12.85546875" style="62" customWidth="1"/>
    <col min="5" max="16384" width="9.140625" style="62"/>
  </cols>
  <sheetData>
    <row r="1" spans="1:9" ht="15.75">
      <c r="A1" s="64" t="s">
        <v>71</v>
      </c>
      <c r="C1" s="97"/>
      <c r="D1" s="97" t="s">
        <v>102</v>
      </c>
      <c r="E1" s="96" t="s">
        <v>103</v>
      </c>
    </row>
    <row r="2" spans="1:9" ht="15.75">
      <c r="A2" s="64"/>
    </row>
    <row r="3" spans="1:9" ht="36" customHeight="1">
      <c r="A3" s="416" t="s">
        <v>67</v>
      </c>
      <c r="B3" s="416" t="s">
        <v>68</v>
      </c>
      <c r="C3" s="416" t="s">
        <v>69</v>
      </c>
      <c r="D3" s="416" t="s">
        <v>70</v>
      </c>
      <c r="F3" s="53"/>
      <c r="G3" s="412"/>
      <c r="H3" s="412"/>
      <c r="I3" s="412"/>
    </row>
    <row r="4" spans="1:9" ht="15.75">
      <c r="B4" s="63" t="s">
        <v>72</v>
      </c>
      <c r="C4" s="63" t="s">
        <v>72</v>
      </c>
      <c r="D4" s="63" t="s">
        <v>72</v>
      </c>
      <c r="F4" s="413"/>
      <c r="G4" s="414"/>
      <c r="H4" s="414"/>
      <c r="I4" s="414"/>
    </row>
    <row r="5" spans="1:9" ht="15.75">
      <c r="A5" s="65">
        <v>42736</v>
      </c>
      <c r="B5" s="67">
        <v>6.6869999999999999E-2</v>
      </c>
      <c r="C5" s="67"/>
      <c r="D5" s="67">
        <v>8.2269999999999996E-2</v>
      </c>
      <c r="F5" s="413"/>
      <c r="G5" s="414"/>
      <c r="H5" s="414"/>
      <c r="I5" s="414"/>
    </row>
    <row r="6" spans="1:9" ht="15.75">
      <c r="A6" s="65">
        <v>42767</v>
      </c>
      <c r="B6" s="67">
        <v>0.10559</v>
      </c>
      <c r="C6" s="67"/>
      <c r="D6" s="67">
        <v>8.6389999999999995E-2</v>
      </c>
      <c r="F6" s="413"/>
      <c r="G6" s="414"/>
      <c r="H6" s="414"/>
      <c r="I6" s="414"/>
    </row>
    <row r="7" spans="1:9" ht="15.75">
      <c r="A7" s="65">
        <v>42795</v>
      </c>
      <c r="B7" s="67">
        <v>8.4089999999999998E-2</v>
      </c>
      <c r="C7" s="67"/>
      <c r="D7" s="67">
        <v>7.1349999999999997E-2</v>
      </c>
      <c r="F7" s="413"/>
      <c r="G7" s="414"/>
      <c r="H7" s="414"/>
      <c r="I7" s="414"/>
    </row>
    <row r="8" spans="1:9" ht="15.75">
      <c r="A8" s="65">
        <v>42826</v>
      </c>
      <c r="B8" s="67">
        <v>6.8739999999999996E-2</v>
      </c>
      <c r="C8" s="67"/>
      <c r="D8" s="67">
        <v>0.10778</v>
      </c>
      <c r="F8" s="413"/>
      <c r="G8" s="414"/>
      <c r="H8" s="414"/>
      <c r="I8" s="414"/>
    </row>
    <row r="9" spans="1:9" ht="15.75">
      <c r="A9" s="65">
        <v>42856</v>
      </c>
      <c r="B9" s="67">
        <v>0.10623</v>
      </c>
      <c r="C9" s="67"/>
      <c r="D9" s="67">
        <v>0.12307</v>
      </c>
      <c r="F9" s="413"/>
      <c r="G9" s="414"/>
      <c r="H9" s="414"/>
      <c r="I9" s="414"/>
    </row>
    <row r="10" spans="1:9" ht="15.75">
      <c r="A10" s="65">
        <v>42887</v>
      </c>
      <c r="B10" s="67">
        <v>0.11953999999999999</v>
      </c>
      <c r="C10" s="67"/>
      <c r="D10" s="67">
        <v>0.11848</v>
      </c>
      <c r="F10" s="413"/>
      <c r="G10" s="414"/>
      <c r="H10" s="414"/>
      <c r="I10" s="414"/>
    </row>
    <row r="11" spans="1:9" ht="15.75">
      <c r="A11" s="65">
        <v>42917</v>
      </c>
      <c r="B11" s="67">
        <v>0.10652</v>
      </c>
      <c r="C11" s="67"/>
      <c r="D11" s="67">
        <v>0.1128</v>
      </c>
      <c r="F11" s="413"/>
      <c r="G11" s="414"/>
      <c r="H11" s="414"/>
      <c r="I11" s="414"/>
    </row>
    <row r="12" spans="1:9" ht="15.75">
      <c r="A12" s="65">
        <v>42948</v>
      </c>
      <c r="B12" s="67">
        <v>0.115</v>
      </c>
      <c r="C12" s="67"/>
      <c r="D12" s="67">
        <v>0.10109</v>
      </c>
      <c r="F12" s="413"/>
      <c r="G12" s="414"/>
      <c r="H12" s="414"/>
      <c r="I12" s="414"/>
    </row>
    <row r="13" spans="1:9" ht="15.75">
      <c r="A13" s="65">
        <v>42979</v>
      </c>
      <c r="B13" s="67">
        <v>0.12739</v>
      </c>
      <c r="C13" s="67"/>
      <c r="D13" s="67">
        <v>8.8639999999999997E-2</v>
      </c>
      <c r="F13" s="413"/>
      <c r="G13" s="414"/>
      <c r="H13" s="414"/>
      <c r="I13" s="414"/>
    </row>
    <row r="14" spans="1:9" ht="15.75">
      <c r="A14" s="65">
        <v>43009</v>
      </c>
      <c r="B14" s="67">
        <v>0.10212</v>
      </c>
      <c r="C14" s="67"/>
      <c r="D14" s="67">
        <v>0.12562999999999999</v>
      </c>
      <c r="F14" s="413"/>
      <c r="G14" s="414"/>
      <c r="H14" s="414"/>
      <c r="I14" s="414"/>
    </row>
    <row r="15" spans="1:9" ht="15.75">
      <c r="A15" s="65">
        <v>43040</v>
      </c>
      <c r="B15" s="67">
        <v>0.11164</v>
      </c>
      <c r="C15" s="67"/>
      <c r="D15" s="67">
        <v>9.7040000000000001E-2</v>
      </c>
      <c r="F15" s="413"/>
      <c r="G15" s="414"/>
      <c r="H15" s="414"/>
      <c r="I15" s="414"/>
    </row>
    <row r="16" spans="1:9" ht="15.75">
      <c r="A16" s="418">
        <v>43070</v>
      </c>
      <c r="B16" s="419">
        <v>8.3909999999999998E-2</v>
      </c>
      <c r="C16" s="419"/>
      <c r="D16" s="419">
        <v>9.2069999999999999E-2</v>
      </c>
      <c r="F16" s="413"/>
      <c r="G16" s="414"/>
      <c r="H16" s="414"/>
      <c r="I16" s="414"/>
    </row>
    <row r="17" spans="1:9">
      <c r="A17" s="65">
        <v>43101</v>
      </c>
      <c r="B17" s="67">
        <f>87.77/1000</f>
        <v>8.7770000000000001E-2</v>
      </c>
      <c r="C17" s="67">
        <f>63.7/1000</f>
        <v>6.3700000000000007E-2</v>
      </c>
      <c r="D17" s="67">
        <f>67.36/1000</f>
        <v>6.7360000000000003E-2</v>
      </c>
      <c r="F17" s="53"/>
      <c r="G17" s="415"/>
      <c r="H17" s="415"/>
      <c r="I17" s="415"/>
    </row>
    <row r="18" spans="1:9">
      <c r="A18" s="65">
        <v>43132</v>
      </c>
      <c r="B18" s="67">
        <f>73.33/1000</f>
        <v>7.3329999999999992E-2</v>
      </c>
      <c r="C18" s="67">
        <f>77.05/1000</f>
        <v>7.7049999999999993E-2</v>
      </c>
      <c r="D18" s="67">
        <f>81.67/1000</f>
        <v>8.1670000000000006E-2</v>
      </c>
      <c r="F18" s="53"/>
      <c r="G18" s="415"/>
      <c r="H18" s="415"/>
      <c r="I18" s="415"/>
    </row>
    <row r="19" spans="1:9">
      <c r="A19" s="65">
        <v>43160</v>
      </c>
      <c r="B19" s="67">
        <f>78.77/1000</f>
        <v>7.8769999999999993E-2</v>
      </c>
      <c r="C19" s="67">
        <f>85.95/1000</f>
        <v>8.5949999999999999E-2</v>
      </c>
      <c r="D19" s="67">
        <f>94.81/1000</f>
        <v>9.4810000000000005E-2</v>
      </c>
      <c r="F19" s="53"/>
      <c r="G19" s="415"/>
      <c r="H19" s="415"/>
      <c r="I19" s="415"/>
    </row>
    <row r="20" spans="1:9">
      <c r="A20" s="65">
        <v>43191</v>
      </c>
      <c r="B20" s="67">
        <f>98.1/1000</f>
        <v>9.8099999999999993E-2</v>
      </c>
      <c r="C20" s="67">
        <f>100.74/1000</f>
        <v>0.10074</v>
      </c>
      <c r="D20" s="67">
        <f>99.59/1000</f>
        <v>9.9589999999999998E-2</v>
      </c>
      <c r="F20" s="53"/>
      <c r="G20" s="415"/>
      <c r="H20" s="415"/>
      <c r="I20" s="415"/>
    </row>
    <row r="21" spans="1:9">
      <c r="A21" s="65">
        <v>43221</v>
      </c>
      <c r="B21" s="67">
        <f>93.92/1000</f>
        <v>9.3920000000000003E-2</v>
      </c>
      <c r="C21" s="67">
        <f>131.99/1000</f>
        <v>0.13199</v>
      </c>
      <c r="D21" s="67">
        <f>107.93/1000</f>
        <v>0.10793000000000001</v>
      </c>
      <c r="F21" s="53"/>
      <c r="G21" s="415"/>
      <c r="H21" s="415"/>
      <c r="I21" s="415"/>
    </row>
    <row r="22" spans="1:9">
      <c r="A22" s="65">
        <v>43252</v>
      </c>
      <c r="B22" s="67">
        <f>133.36/1000</f>
        <v>0.13336000000000001</v>
      </c>
      <c r="C22" s="67">
        <f>102.39/1000</f>
        <v>0.10238999999999999</v>
      </c>
      <c r="D22" s="67">
        <f>118.96/1000</f>
        <v>0.11896</v>
      </c>
      <c r="F22" s="53"/>
      <c r="G22" s="415"/>
      <c r="H22" s="415"/>
      <c r="I22" s="415"/>
    </row>
    <row r="23" spans="1:9">
      <c r="A23" s="65">
        <v>43282</v>
      </c>
      <c r="B23" s="67">
        <f>85.02/1000</f>
        <v>8.5019999999999998E-2</v>
      </c>
      <c r="C23" s="67">
        <f>81.23/1000</f>
        <v>8.1230000000000011E-2</v>
      </c>
      <c r="D23" s="67">
        <f>77.37/1000</f>
        <v>7.7370000000000008E-2</v>
      </c>
      <c r="F23" s="53"/>
      <c r="G23" s="415"/>
      <c r="H23" s="415"/>
      <c r="I23" s="415"/>
    </row>
    <row r="24" spans="1:9">
      <c r="A24" s="65">
        <v>43313</v>
      </c>
      <c r="B24" s="67">
        <f>77.9/1000</f>
        <v>7.7900000000000011E-2</v>
      </c>
      <c r="C24" s="67">
        <f>73.24/1000</f>
        <v>7.324E-2</v>
      </c>
      <c r="D24" s="67">
        <f>74.9/1000</f>
        <v>7.4900000000000008E-2</v>
      </c>
      <c r="F24" s="53"/>
      <c r="G24" s="415"/>
      <c r="H24" s="415"/>
      <c r="I24" s="415"/>
    </row>
    <row r="25" spans="1:9">
      <c r="A25" s="65">
        <v>43344</v>
      </c>
      <c r="B25" s="67">
        <f>84.24/1000</f>
        <v>8.4239999999999995E-2</v>
      </c>
      <c r="C25" s="67">
        <f>86.6/1000</f>
        <v>8.6599999999999996E-2</v>
      </c>
      <c r="D25" s="67">
        <f>85.84/1000</f>
        <v>8.584E-2</v>
      </c>
      <c r="F25" s="53"/>
      <c r="G25" s="415"/>
      <c r="H25" s="415"/>
      <c r="I25" s="415"/>
    </row>
    <row r="26" spans="1:9">
      <c r="A26" s="65">
        <v>43374</v>
      </c>
      <c r="B26" s="67">
        <f>89.21/1000</f>
        <v>8.9209999999999998E-2</v>
      </c>
      <c r="C26" s="67">
        <f>119.98/1000</f>
        <v>0.11998</v>
      </c>
      <c r="D26" s="67">
        <f>120.59/1000</f>
        <v>0.12059</v>
      </c>
      <c r="F26" s="53"/>
      <c r="G26" s="415"/>
      <c r="H26" s="415"/>
      <c r="I26" s="415"/>
    </row>
    <row r="27" spans="1:9">
      <c r="A27" s="65">
        <v>43405</v>
      </c>
      <c r="B27" s="67">
        <f>122.35/1000</f>
        <v>0.12235</v>
      </c>
      <c r="C27" s="67">
        <f>105.4/1000</f>
        <v>0.10540000000000001</v>
      </c>
      <c r="D27" s="67">
        <f>98.55/1000</f>
        <v>9.8549999999999999E-2</v>
      </c>
      <c r="F27" s="53"/>
      <c r="G27" s="415"/>
      <c r="H27" s="415"/>
      <c r="I27" s="415"/>
    </row>
    <row r="28" spans="1:9">
      <c r="A28" s="65">
        <v>43435</v>
      </c>
      <c r="B28" s="67">
        <f>91.98/1000</f>
        <v>9.1980000000000006E-2</v>
      </c>
      <c r="C28" s="67">
        <f>70.67/1000</f>
        <v>7.0669999999999997E-2</v>
      </c>
      <c r="D28" s="67">
        <f>74.04/1000</f>
        <v>7.4040000000000009E-2</v>
      </c>
      <c r="F28" s="53"/>
      <c r="G28" s="415"/>
      <c r="H28" s="415"/>
      <c r="I28" s="415"/>
    </row>
    <row r="29" spans="1:9">
      <c r="F29" s="415"/>
      <c r="G29" s="415"/>
      <c r="H29" s="415"/>
      <c r="I29" s="415"/>
    </row>
  </sheetData>
  <mergeCells count="1">
    <mergeCell ref="G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B8E3-D6F0-4701-AE6B-5E4583FA3765}">
  <dimension ref="A1:AH66"/>
  <sheetViews>
    <sheetView zoomScale="80" zoomScaleNormal="80" workbookViewId="0">
      <selection activeCell="I32" sqref="I32"/>
    </sheetView>
  </sheetViews>
  <sheetFormatPr defaultRowHeight="15"/>
  <cols>
    <col min="2" max="2" width="21.28515625" customWidth="1"/>
    <col min="3" max="5" width="20.85546875" bestFit="1" customWidth="1"/>
    <col min="6" max="6" width="20.7109375" bestFit="1" customWidth="1"/>
    <col min="7" max="7" width="19.85546875" bestFit="1" customWidth="1"/>
    <col min="8" max="8" width="19.42578125" bestFit="1" customWidth="1"/>
    <col min="9" max="9" width="21.7109375" customWidth="1"/>
    <col min="10" max="10" width="17.140625" hidden="1" customWidth="1"/>
    <col min="11" max="11" width="19.28515625" customWidth="1"/>
    <col min="12" max="12" width="15.28515625" customWidth="1"/>
    <col min="13" max="13" width="19.85546875" customWidth="1"/>
    <col min="14" max="14" width="18.85546875" customWidth="1"/>
    <col min="15" max="15" width="14.28515625" customWidth="1"/>
  </cols>
  <sheetData>
    <row r="1" spans="1:34" ht="15.75">
      <c r="A1" s="63" t="s">
        <v>152</v>
      </c>
    </row>
    <row r="2" spans="1:34">
      <c r="A2" s="1" t="s">
        <v>153</v>
      </c>
    </row>
    <row r="4" spans="1:34" ht="15.75">
      <c r="A4" s="63" t="s">
        <v>154</v>
      </c>
      <c r="F4" s="218"/>
      <c r="G4" s="219"/>
      <c r="H4" s="218"/>
      <c r="I4" s="219"/>
      <c r="J4" s="219"/>
      <c r="K4" s="218"/>
      <c r="L4" s="219"/>
      <c r="M4" s="219"/>
      <c r="N4" s="219"/>
    </row>
    <row r="5" spans="1:34" ht="90">
      <c r="A5" s="324" t="s">
        <v>67</v>
      </c>
      <c r="B5" s="325" t="s">
        <v>284</v>
      </c>
      <c r="C5" s="325" t="s">
        <v>285</v>
      </c>
      <c r="D5" s="325" t="s">
        <v>286</v>
      </c>
      <c r="E5" s="325" t="s">
        <v>155</v>
      </c>
      <c r="F5" s="325" t="s">
        <v>156</v>
      </c>
      <c r="G5" s="325" t="s">
        <v>157</v>
      </c>
      <c r="H5" s="325" t="s">
        <v>158</v>
      </c>
      <c r="I5" s="325" t="s">
        <v>139</v>
      </c>
      <c r="J5" s="326"/>
      <c r="K5" s="327" t="s">
        <v>159</v>
      </c>
      <c r="L5" s="325" t="s">
        <v>160</v>
      </c>
      <c r="M5" s="325" t="s">
        <v>161</v>
      </c>
      <c r="N5" s="325" t="s">
        <v>162</v>
      </c>
      <c r="R5" s="223"/>
      <c r="S5" s="223"/>
      <c r="T5" s="223"/>
      <c r="W5" s="224"/>
      <c r="X5" s="224"/>
      <c r="Y5" s="224"/>
      <c r="Z5" s="224"/>
      <c r="AA5" s="224"/>
      <c r="AB5" s="224"/>
      <c r="AC5" s="224"/>
      <c r="AD5" s="224"/>
      <c r="AE5" s="224"/>
      <c r="AF5" s="224"/>
      <c r="AG5" s="224"/>
      <c r="AH5" s="224"/>
    </row>
    <row r="6" spans="1:34" ht="15.75">
      <c r="A6" s="220"/>
      <c r="B6" s="225" t="s">
        <v>92</v>
      </c>
      <c r="C6" s="225" t="s">
        <v>92</v>
      </c>
      <c r="D6" s="225" t="s">
        <v>92</v>
      </c>
      <c r="E6" s="225" t="s">
        <v>92</v>
      </c>
      <c r="F6" s="225" t="s">
        <v>72</v>
      </c>
      <c r="G6" s="226" t="s">
        <v>125</v>
      </c>
      <c r="H6" s="221" t="s">
        <v>125</v>
      </c>
      <c r="I6" s="222" t="s">
        <v>125</v>
      </c>
      <c r="K6" s="227" t="s">
        <v>92</v>
      </c>
      <c r="L6" s="227" t="s">
        <v>163</v>
      </c>
      <c r="M6" s="227" t="s">
        <v>125</v>
      </c>
      <c r="N6" s="227" t="s">
        <v>125</v>
      </c>
      <c r="P6" s="235"/>
      <c r="Q6" s="235"/>
      <c r="R6" s="235"/>
      <c r="S6" s="235"/>
      <c r="T6" s="235"/>
      <c r="U6" s="235"/>
    </row>
    <row r="7" spans="1:34" ht="15.75">
      <c r="A7" s="220"/>
      <c r="B7" s="221" t="s">
        <v>94</v>
      </c>
      <c r="C7" s="221" t="s">
        <v>131</v>
      </c>
      <c r="D7" s="221" t="s">
        <v>164</v>
      </c>
      <c r="E7" s="221" t="s">
        <v>165</v>
      </c>
      <c r="F7" s="228" t="s">
        <v>100</v>
      </c>
      <c r="G7" s="228" t="s">
        <v>166</v>
      </c>
      <c r="H7" s="228" t="s">
        <v>17</v>
      </c>
      <c r="I7" s="228" t="s">
        <v>167</v>
      </c>
      <c r="K7" s="229" t="s">
        <v>168</v>
      </c>
      <c r="L7" s="229" t="s">
        <v>169</v>
      </c>
      <c r="M7" s="229" t="s">
        <v>170</v>
      </c>
      <c r="N7" s="229" t="s">
        <v>171</v>
      </c>
      <c r="P7" s="235"/>
      <c r="Q7" s="235"/>
      <c r="R7" s="235"/>
      <c r="S7" s="235"/>
      <c r="T7" s="235"/>
      <c r="U7" s="235"/>
    </row>
    <row r="8" spans="1:34" ht="15.75">
      <c r="A8" s="293" t="s">
        <v>275</v>
      </c>
      <c r="B8" s="340"/>
      <c r="C8" s="340"/>
      <c r="D8" s="340"/>
      <c r="E8" s="341">
        <f>-G50</f>
        <v>1298</v>
      </c>
      <c r="F8" s="329">
        <v>9.2069999999999999E-2</v>
      </c>
      <c r="G8" s="231"/>
      <c r="H8" s="228"/>
      <c r="I8" s="232">
        <f>E8*F8</f>
        <v>119.50686</v>
      </c>
      <c r="K8" s="233"/>
      <c r="L8" s="234">
        <v>0.55861030995710981</v>
      </c>
      <c r="M8" s="232">
        <f>I8*L8</f>
        <v>66.757764106600931</v>
      </c>
      <c r="N8" s="232">
        <f>I8-M8</f>
        <v>52.749095893399073</v>
      </c>
      <c r="P8" s="235"/>
      <c r="Q8" s="235"/>
      <c r="R8" s="235"/>
      <c r="S8" s="235"/>
      <c r="T8" s="235"/>
      <c r="U8" s="235"/>
    </row>
    <row r="9" spans="1:34" ht="15.75">
      <c r="A9" s="230">
        <v>43101</v>
      </c>
      <c r="B9" s="342">
        <v>153174399</v>
      </c>
      <c r="C9" s="342">
        <v>312678</v>
      </c>
      <c r="D9" s="342">
        <v>66331214.000000007</v>
      </c>
      <c r="E9" s="342">
        <f>B9+C9-D9</f>
        <v>87155863</v>
      </c>
      <c r="F9" s="329">
        <v>6.7360000000000003E-2</v>
      </c>
      <c r="G9" s="330">
        <f t="shared" ref="G9:G20" si="0">E9*F9</f>
        <v>5870818.9316800004</v>
      </c>
      <c r="H9" s="330">
        <v>5874062.25</v>
      </c>
      <c r="I9" s="319">
        <f>H9-G9</f>
        <v>3243.3183199996129</v>
      </c>
      <c r="J9" s="83" t="str">
        <f t="shared" ref="J9:J22" si="1">IF(I9&gt;0,"Overcharged","Undercharged")</f>
        <v>Overcharged</v>
      </c>
      <c r="K9" s="331">
        <f>'Rec Item 1a&amp;b - GA Trueup'!D23</f>
        <v>59479867.349999994</v>
      </c>
      <c r="L9" s="332">
        <f>K9/E9</f>
        <v>0.68245400025469305</v>
      </c>
      <c r="M9" s="319">
        <f>I9*L9</f>
        <v>2213.4155615830664</v>
      </c>
      <c r="N9" s="319">
        <f>I9-M9</f>
        <v>1029.9027584165465</v>
      </c>
      <c r="P9" s="235"/>
      <c r="Q9" s="235"/>
      <c r="R9" s="235"/>
      <c r="S9" s="235"/>
      <c r="T9" s="235"/>
      <c r="U9" s="235"/>
    </row>
    <row r="10" spans="1:34" ht="15.75">
      <c r="A10" s="230">
        <v>43132</v>
      </c>
      <c r="B10" s="342">
        <v>135367812</v>
      </c>
      <c r="C10" s="342">
        <v>498015</v>
      </c>
      <c r="D10" s="342">
        <v>60968600.000000007</v>
      </c>
      <c r="E10" s="342">
        <f t="shared" ref="E10:E19" si="2">B10+C10-D10</f>
        <v>74897227</v>
      </c>
      <c r="F10" s="329">
        <v>8.1670000000000006E-2</v>
      </c>
      <c r="G10" s="330">
        <f>E10*F10</f>
        <v>6116856.5290900003</v>
      </c>
      <c r="H10" s="330">
        <v>6116846.2300000004</v>
      </c>
      <c r="I10" s="319">
        <f t="shared" ref="I10:I20" si="3">H10-G10</f>
        <v>-10.299089999869466</v>
      </c>
      <c r="J10" s="83" t="str">
        <f t="shared" si="1"/>
        <v>Undercharged</v>
      </c>
      <c r="K10" s="331">
        <f>'Rec Item 1a&amp;b - GA Trueup'!D24</f>
        <v>34772037.709999993</v>
      </c>
      <c r="L10" s="332">
        <f t="shared" ref="L10:L20" si="4">K10/E10</f>
        <v>0.46426335263386981</v>
      </c>
      <c r="M10" s="319">
        <f t="shared" ref="M10:M21" si="5">I10*L10</f>
        <v>-4.78149005241736</v>
      </c>
      <c r="N10" s="319">
        <f t="shared" ref="N10:N21" si="6">I10-M10</f>
        <v>-5.5175999474521058</v>
      </c>
      <c r="P10" s="235"/>
      <c r="Q10" s="235"/>
      <c r="R10" s="235"/>
      <c r="S10" s="235"/>
      <c r="T10" s="235"/>
      <c r="U10" s="235"/>
    </row>
    <row r="11" spans="1:34" ht="15.75">
      <c r="A11" s="230">
        <v>43160</v>
      </c>
      <c r="B11" s="342">
        <v>144464660</v>
      </c>
      <c r="C11" s="342">
        <v>653373</v>
      </c>
      <c r="D11" s="342">
        <v>66794577.000000007</v>
      </c>
      <c r="E11" s="342">
        <f t="shared" si="2"/>
        <v>78323456</v>
      </c>
      <c r="F11" s="329">
        <v>9.4810000000000005E-2</v>
      </c>
      <c r="G11" s="330">
        <f t="shared" si="0"/>
        <v>7425846.8633600008</v>
      </c>
      <c r="H11" s="330">
        <v>7425580.0899999999</v>
      </c>
      <c r="I11" s="319">
        <f t="shared" si="3"/>
        <v>-266.77336000092328</v>
      </c>
      <c r="J11" s="83" t="str">
        <f>IF(I11&gt;0,"Overcharged","Undercharged")</f>
        <v>Undercharged</v>
      </c>
      <c r="K11" s="331">
        <f>'Rec Item 1a&amp;b - GA Trueup'!D25</f>
        <v>56277814.919999987</v>
      </c>
      <c r="L11" s="332">
        <f t="shared" si="4"/>
        <v>0.7185307926146669</v>
      </c>
      <c r="M11" s="319">
        <f t="shared" si="5"/>
        <v>-191.68487380994128</v>
      </c>
      <c r="N11" s="319">
        <f t="shared" si="6"/>
        <v>-75.088486190981996</v>
      </c>
      <c r="P11" s="235"/>
      <c r="Q11" s="235"/>
      <c r="R11" s="235"/>
      <c r="S11" s="235"/>
      <c r="T11" s="235"/>
      <c r="U11" s="235"/>
    </row>
    <row r="12" spans="1:34" ht="15.75">
      <c r="A12" s="230">
        <v>43191</v>
      </c>
      <c r="B12" s="342">
        <v>134188611</v>
      </c>
      <c r="C12" s="342">
        <v>1499462</v>
      </c>
      <c r="D12" s="342">
        <v>62639604.000000007</v>
      </c>
      <c r="E12" s="342">
        <f t="shared" si="2"/>
        <v>73048469</v>
      </c>
      <c r="F12" s="329">
        <v>9.9589999999999998E-2</v>
      </c>
      <c r="G12" s="330">
        <f t="shared" si="0"/>
        <v>7274897.0277100001</v>
      </c>
      <c r="H12" s="330">
        <v>7275137.71</v>
      </c>
      <c r="I12" s="319">
        <f t="shared" si="3"/>
        <v>240.6822899999097</v>
      </c>
      <c r="J12" s="83" t="str">
        <f t="shared" si="1"/>
        <v>Overcharged</v>
      </c>
      <c r="K12" s="331">
        <f>'Rec Item 1a&amp;b - GA Trueup'!D26</f>
        <v>31109314.470000006</v>
      </c>
      <c r="L12" s="332">
        <f t="shared" si="4"/>
        <v>0.42587223107988759</v>
      </c>
      <c r="M12" s="319">
        <f t="shared" si="5"/>
        <v>102.49990382367805</v>
      </c>
      <c r="N12" s="319">
        <f t="shared" si="6"/>
        <v>138.18238617623166</v>
      </c>
      <c r="P12" s="235"/>
      <c r="Q12" s="235"/>
      <c r="R12" s="235"/>
      <c r="S12" s="235"/>
      <c r="T12" s="235"/>
      <c r="U12" s="235"/>
    </row>
    <row r="13" spans="1:34" ht="15.75">
      <c r="A13" s="230">
        <v>43221</v>
      </c>
      <c r="B13" s="342">
        <v>137785234</v>
      </c>
      <c r="C13" s="342">
        <v>1508625</v>
      </c>
      <c r="D13" s="342">
        <v>67783508.999999985</v>
      </c>
      <c r="E13" s="342">
        <f t="shared" si="2"/>
        <v>71510350.000000015</v>
      </c>
      <c r="F13" s="329">
        <v>0.10793000000000001</v>
      </c>
      <c r="G13" s="330">
        <f t="shared" si="0"/>
        <v>7718112.0755000021</v>
      </c>
      <c r="H13" s="330">
        <v>7718103.1799999997</v>
      </c>
      <c r="I13" s="319">
        <f t="shared" si="3"/>
        <v>-8.8955000024288893</v>
      </c>
      <c r="J13" s="83" t="str">
        <f t="shared" si="1"/>
        <v>Undercharged</v>
      </c>
      <c r="K13" s="331">
        <f>'Rec Item 1a&amp;b - GA Trueup'!D27</f>
        <v>52134567.370000005</v>
      </c>
      <c r="L13" s="332">
        <f t="shared" si="4"/>
        <v>0.72904925468830728</v>
      </c>
      <c r="M13" s="319">
        <f t="shared" si="5"/>
        <v>-6.4852576468506173</v>
      </c>
      <c r="N13" s="319">
        <f t="shared" si="6"/>
        <v>-2.4102423555782719</v>
      </c>
      <c r="P13" s="235"/>
      <c r="Q13" s="235"/>
      <c r="R13" s="235"/>
      <c r="S13" s="235"/>
      <c r="T13" s="235"/>
      <c r="U13" s="235"/>
    </row>
    <row r="14" spans="1:34" ht="15.75">
      <c r="A14" s="230">
        <v>43252</v>
      </c>
      <c r="B14" s="342">
        <v>137868336</v>
      </c>
      <c r="C14" s="342">
        <v>2049469.9999999998</v>
      </c>
      <c r="D14" s="342">
        <v>65117341.000000015</v>
      </c>
      <c r="E14" s="342">
        <f t="shared" si="2"/>
        <v>74800464.999999985</v>
      </c>
      <c r="F14" s="329">
        <v>0.11896</v>
      </c>
      <c r="G14" s="330">
        <f t="shared" si="0"/>
        <v>8898263.3163999971</v>
      </c>
      <c r="H14" s="330">
        <v>8551014.1199999992</v>
      </c>
      <c r="I14" s="319">
        <f t="shared" si="3"/>
        <v>-347249.19639999792</v>
      </c>
      <c r="J14" s="83" t="str">
        <f t="shared" si="1"/>
        <v>Undercharged</v>
      </c>
      <c r="K14" s="331">
        <f>'Rec Item 1a&amp;b - GA Trueup'!D28</f>
        <v>37208403.509999998</v>
      </c>
      <c r="L14" s="332">
        <f t="shared" si="4"/>
        <v>0.49743545725283933</v>
      </c>
      <c r="M14" s="319">
        <f>I14*L14</f>
        <v>-172734.06279191398</v>
      </c>
      <c r="N14" s="319">
        <f>I14-M14</f>
        <v>-174515.13360808394</v>
      </c>
      <c r="P14" s="235"/>
      <c r="Q14" s="235"/>
      <c r="R14" s="235"/>
      <c r="S14" s="235"/>
      <c r="T14" s="235"/>
      <c r="U14" s="235"/>
    </row>
    <row r="15" spans="1:34" ht="15.75">
      <c r="A15" s="230">
        <v>43282</v>
      </c>
      <c r="B15" s="342">
        <v>149344885</v>
      </c>
      <c r="C15" s="342">
        <v>2018554</v>
      </c>
      <c r="D15" s="342">
        <v>67353899</v>
      </c>
      <c r="E15" s="342">
        <f t="shared" si="2"/>
        <v>84009540</v>
      </c>
      <c r="F15" s="329">
        <v>7.7370000000000008E-2</v>
      </c>
      <c r="G15" s="330">
        <f t="shared" si="0"/>
        <v>6499818.1098000007</v>
      </c>
      <c r="H15" s="330">
        <v>6502480.29</v>
      </c>
      <c r="I15" s="319">
        <f t="shared" si="3"/>
        <v>2662.1801999993622</v>
      </c>
      <c r="J15" s="83" t="str">
        <f t="shared" si="1"/>
        <v>Overcharged</v>
      </c>
      <c r="K15" s="331">
        <f>'Rec Item 1a&amp;b - GA Trueup'!D29</f>
        <v>51534017.719999999</v>
      </c>
      <c r="L15" s="332">
        <f t="shared" si="4"/>
        <v>0.61343054276930931</v>
      </c>
      <c r="M15" s="319">
        <f t="shared" si="5"/>
        <v>1633.0626450353172</v>
      </c>
      <c r="N15" s="319">
        <f t="shared" si="6"/>
        <v>1029.117554964045</v>
      </c>
      <c r="P15" s="235"/>
      <c r="Q15" s="235"/>
      <c r="R15" s="235"/>
      <c r="S15" s="235"/>
      <c r="T15" s="235"/>
      <c r="U15" s="235"/>
    </row>
    <row r="16" spans="1:34" ht="15.75">
      <c r="A16" s="230">
        <v>43313</v>
      </c>
      <c r="B16" s="342">
        <v>154043197</v>
      </c>
      <c r="C16" s="342">
        <v>2093400</v>
      </c>
      <c r="D16" s="342">
        <v>72821423.999999985</v>
      </c>
      <c r="E16" s="342">
        <f t="shared" si="2"/>
        <v>83315173.000000015</v>
      </c>
      <c r="F16" s="329">
        <v>7.4900000000000008E-2</v>
      </c>
      <c r="G16" s="330">
        <f t="shared" si="0"/>
        <v>6240306.457700002</v>
      </c>
      <c r="H16" s="330">
        <v>6240218.4199999999</v>
      </c>
      <c r="I16" s="319">
        <f t="shared" si="3"/>
        <v>-88.037700002081692</v>
      </c>
      <c r="J16" s="83" t="str">
        <f t="shared" si="1"/>
        <v>Undercharged</v>
      </c>
      <c r="K16" s="331">
        <f>'Rec Item 1a&amp;b - GA Trueup'!D30</f>
        <v>55783904.110000007</v>
      </c>
      <c r="L16" s="332">
        <f t="shared" si="4"/>
        <v>0.66955276093587413</v>
      </c>
      <c r="M16" s="319">
        <f t="shared" si="5"/>
        <v>-58.945885102838005</v>
      </c>
      <c r="N16" s="319">
        <f t="shared" si="6"/>
        <v>-29.091814899243687</v>
      </c>
      <c r="P16" s="235"/>
      <c r="Q16" s="235"/>
      <c r="R16" s="235"/>
      <c r="S16" s="235"/>
      <c r="T16" s="235"/>
      <c r="U16" s="235"/>
    </row>
    <row r="17" spans="1:22" ht="15.75">
      <c r="A17" s="230">
        <v>43344</v>
      </c>
      <c r="B17" s="342">
        <v>142504368</v>
      </c>
      <c r="C17" s="342">
        <v>1699198</v>
      </c>
      <c r="D17" s="342">
        <v>69615151.999999985</v>
      </c>
      <c r="E17" s="342">
        <f t="shared" si="2"/>
        <v>74588414.000000015</v>
      </c>
      <c r="F17" s="329">
        <v>8.584E-2</v>
      </c>
      <c r="G17" s="330">
        <f t="shared" si="0"/>
        <v>6402669.4577600015</v>
      </c>
      <c r="H17" s="330">
        <v>6403046.9000000004</v>
      </c>
      <c r="I17" s="319">
        <f t="shared" si="3"/>
        <v>377.4422399988398</v>
      </c>
      <c r="J17" s="83" t="str">
        <f t="shared" si="1"/>
        <v>Overcharged</v>
      </c>
      <c r="K17" s="331">
        <f>'Rec Item 1a&amp;b - GA Trueup'!D31</f>
        <v>35714338.489999995</v>
      </c>
      <c r="L17" s="332">
        <f t="shared" si="4"/>
        <v>0.47881884832676541</v>
      </c>
      <c r="M17" s="319">
        <f t="shared" si="5"/>
        <v>180.72645866611907</v>
      </c>
      <c r="N17" s="319">
        <f t="shared" si="6"/>
        <v>196.71578133272072</v>
      </c>
      <c r="P17" s="235"/>
      <c r="Q17" s="235"/>
      <c r="R17" s="235"/>
      <c r="S17" s="235"/>
      <c r="T17" s="235"/>
      <c r="U17" s="235"/>
    </row>
    <row r="18" spans="1:22" ht="15.75">
      <c r="A18" s="230">
        <v>43374</v>
      </c>
      <c r="B18" s="342">
        <v>140456587</v>
      </c>
      <c r="C18" s="342">
        <v>1303877</v>
      </c>
      <c r="D18" s="342">
        <v>70952016</v>
      </c>
      <c r="E18" s="342">
        <f t="shared" si="2"/>
        <v>70808448</v>
      </c>
      <c r="F18" s="329">
        <v>0.12059</v>
      </c>
      <c r="G18" s="330">
        <f t="shared" si="0"/>
        <v>8538790.7443199996</v>
      </c>
      <c r="H18" s="330">
        <v>8538470.3200000003</v>
      </c>
      <c r="I18" s="319">
        <f t="shared" si="3"/>
        <v>-320.42431999929249</v>
      </c>
      <c r="J18" s="83" t="str">
        <f t="shared" si="1"/>
        <v>Undercharged</v>
      </c>
      <c r="K18" s="331">
        <f>'Rec Item 1a&amp;b - GA Trueup'!D32</f>
        <v>53034109.379999995</v>
      </c>
      <c r="L18" s="332">
        <f t="shared" si="4"/>
        <v>0.74897997171184993</v>
      </c>
      <c r="M18" s="319">
        <f t="shared" si="5"/>
        <v>-239.99139812885883</v>
      </c>
      <c r="N18" s="319">
        <f t="shared" si="6"/>
        <v>-80.43292187043366</v>
      </c>
      <c r="P18" s="235"/>
      <c r="Q18" s="235"/>
      <c r="R18" s="235"/>
      <c r="S18" s="235"/>
      <c r="T18" s="235"/>
      <c r="U18" s="235"/>
    </row>
    <row r="19" spans="1:22" ht="15.75">
      <c r="A19" s="230">
        <v>43405</v>
      </c>
      <c r="B19" s="342">
        <v>141345545</v>
      </c>
      <c r="C19" s="342">
        <v>783671</v>
      </c>
      <c r="D19" s="342">
        <v>67335327.000000015</v>
      </c>
      <c r="E19" s="342">
        <f t="shared" si="2"/>
        <v>74793888.999999985</v>
      </c>
      <c r="F19" s="329">
        <v>9.8549999999999999E-2</v>
      </c>
      <c r="G19" s="330">
        <f t="shared" si="0"/>
        <v>7370937.7609499982</v>
      </c>
      <c r="H19" s="330">
        <v>7110057.3099999996</v>
      </c>
      <c r="I19" s="319">
        <f t="shared" si="3"/>
        <v>-260880.45094999857</v>
      </c>
      <c r="J19" s="83" t="str">
        <f t="shared" si="1"/>
        <v>Undercharged</v>
      </c>
      <c r="K19" s="331">
        <f>'Rec Item 1a&amp;b - GA Trueup'!D33</f>
        <v>44833846.230000004</v>
      </c>
      <c r="L19" s="332">
        <f t="shared" si="4"/>
        <v>0.599431943296865</v>
      </c>
      <c r="M19" s="319">
        <f t="shared" si="5"/>
        <v>-156380.07568112013</v>
      </c>
      <c r="N19" s="319">
        <f t="shared" si="6"/>
        <v>-104500.37526887844</v>
      </c>
      <c r="P19" s="235"/>
      <c r="Q19" s="235"/>
      <c r="R19" s="235"/>
      <c r="S19" s="235"/>
      <c r="T19" s="235"/>
      <c r="U19" s="235"/>
    </row>
    <row r="20" spans="1:22" ht="15.75">
      <c r="A20" s="230">
        <v>43435</v>
      </c>
      <c r="B20" s="342">
        <v>136642286</v>
      </c>
      <c r="C20" s="342">
        <v>251938</v>
      </c>
      <c r="D20" s="342">
        <v>59374289.999999993</v>
      </c>
      <c r="E20" s="342">
        <f>B20+C20-D20</f>
        <v>77519934</v>
      </c>
      <c r="F20" s="329">
        <v>7.4040000000000009E-2</v>
      </c>
      <c r="G20" s="330">
        <f t="shared" si="0"/>
        <v>5739575.9133600006</v>
      </c>
      <c r="H20" s="330">
        <v>5987091.0199999996</v>
      </c>
      <c r="I20" s="319">
        <f t="shared" si="3"/>
        <v>247515.10663999896</v>
      </c>
      <c r="J20" s="83" t="str">
        <f t="shared" si="1"/>
        <v>Overcharged</v>
      </c>
      <c r="K20" s="331">
        <f>'Rec Item 1a&amp;b - GA Trueup'!D34</f>
        <v>32053644.399999999</v>
      </c>
      <c r="L20" s="332">
        <f t="shared" si="4"/>
        <v>0.41348905689212789</v>
      </c>
      <c r="M20" s="319">
        <f t="shared" si="5"/>
        <v>102344.78801112763</v>
      </c>
      <c r="N20" s="319">
        <f t="shared" si="6"/>
        <v>145170.31862887135</v>
      </c>
      <c r="P20" s="235"/>
      <c r="Q20" s="235"/>
      <c r="R20" s="235"/>
      <c r="S20" s="235"/>
      <c r="T20" s="235"/>
      <c r="U20" s="235"/>
    </row>
    <row r="21" spans="1:22" ht="15.75">
      <c r="A21" s="230" t="s">
        <v>172</v>
      </c>
      <c r="B21" s="328"/>
      <c r="C21" s="328"/>
      <c r="D21" s="328"/>
      <c r="E21" s="328">
        <f>+G64</f>
        <v>0</v>
      </c>
      <c r="F21" s="329">
        <v>7.4040000000000009E-2</v>
      </c>
      <c r="G21" s="333"/>
      <c r="H21" s="333"/>
      <c r="I21" s="334">
        <f>E21*F21</f>
        <v>0</v>
      </c>
      <c r="J21" s="83" t="str">
        <f t="shared" si="1"/>
        <v>Undercharged</v>
      </c>
      <c r="K21" s="331"/>
      <c r="L21" s="335"/>
      <c r="M21" s="319">
        <f t="shared" si="5"/>
        <v>0</v>
      </c>
      <c r="N21" s="334">
        <f t="shared" si="6"/>
        <v>0</v>
      </c>
      <c r="P21" s="235"/>
      <c r="Q21" s="235"/>
      <c r="R21" s="235"/>
      <c r="S21" s="235"/>
      <c r="T21" s="235"/>
      <c r="U21" s="235"/>
    </row>
    <row r="22" spans="1:22" ht="15.75">
      <c r="A22" s="236" t="s">
        <v>82</v>
      </c>
      <c r="B22" s="336">
        <f>SUM(B9:B20)</f>
        <v>1707185920</v>
      </c>
      <c r="C22" s="336">
        <f t="shared" ref="C22:H22" si="7">SUM(C9:C20)</f>
        <v>14672261</v>
      </c>
      <c r="D22" s="336">
        <f t="shared" si="7"/>
        <v>797086953</v>
      </c>
      <c r="E22" s="336">
        <f>SUM(E9:E21)</f>
        <v>924771228</v>
      </c>
      <c r="F22" s="337"/>
      <c r="G22" s="294">
        <f>SUM(G9:G20)</f>
        <v>84096893.187629998</v>
      </c>
      <c r="H22" s="294">
        <f t="shared" si="7"/>
        <v>83742107.839999989</v>
      </c>
      <c r="I22" s="338">
        <f>SUM(I8:I21)</f>
        <v>-354665.84077000432</v>
      </c>
      <c r="J22" s="83" t="str">
        <f t="shared" si="1"/>
        <v>Undercharged</v>
      </c>
      <c r="K22" s="336">
        <f>SUM(K8:K20)</f>
        <v>543935865.65999997</v>
      </c>
      <c r="L22" s="339"/>
      <c r="M22" s="338">
        <f>SUM(M8:M21)</f>
        <v>-223074.77703343262</v>
      </c>
      <c r="N22" s="338">
        <f>SUM(N8:N21)</f>
        <v>-131591.06373657181</v>
      </c>
      <c r="P22" s="235"/>
      <c r="Q22" s="235"/>
      <c r="R22" s="235"/>
      <c r="S22" s="235"/>
      <c r="T22" s="235"/>
      <c r="U22" s="235"/>
    </row>
    <row r="23" spans="1:22" s="83" customFormat="1" ht="15.75">
      <c r="A23" s="238"/>
      <c r="B23" s="239"/>
      <c r="C23" s="239"/>
      <c r="D23" s="239"/>
      <c r="E23" s="239"/>
      <c r="F23" s="239"/>
      <c r="G23" s="240"/>
      <c r="H23" s="240"/>
      <c r="I23" s="240"/>
      <c r="P23" s="251"/>
      <c r="Q23" s="251"/>
      <c r="R23" s="251"/>
      <c r="S23" s="251"/>
      <c r="T23" s="251"/>
      <c r="U23" s="251"/>
    </row>
    <row r="24" spans="1:22" s="83" customFormat="1" ht="17.25" customHeight="1" thickBot="1">
      <c r="A24" s="238"/>
      <c r="B24" s="239"/>
      <c r="C24" s="239"/>
      <c r="D24" s="239"/>
      <c r="E24" s="239"/>
      <c r="F24" s="239" t="s">
        <v>289</v>
      </c>
      <c r="G24" s="240"/>
      <c r="H24" s="240"/>
      <c r="I24" s="240"/>
      <c r="Q24" s="235"/>
    </row>
    <row r="25" spans="1:22" ht="48.75" customHeight="1" thickBot="1">
      <c r="B25" s="83"/>
      <c r="C25" s="83"/>
      <c r="D25" s="83"/>
      <c r="E25" s="83"/>
      <c r="F25" s="380" t="s">
        <v>288</v>
      </c>
      <c r="G25" s="381"/>
      <c r="H25" s="338">
        <f>+I22</f>
        <v>-354665.84077000432</v>
      </c>
      <c r="I25" s="83"/>
      <c r="J25" s="83"/>
      <c r="K25" s="83"/>
      <c r="L25" s="83"/>
      <c r="M25" s="83"/>
      <c r="N25" s="83"/>
    </row>
    <row r="26" spans="1:22" ht="15.75">
      <c r="A26" s="63" t="s">
        <v>173</v>
      </c>
      <c r="B26" s="83"/>
      <c r="C26" s="83"/>
      <c r="D26" s="83"/>
      <c r="E26" s="83"/>
      <c r="F26" s="382" t="s">
        <v>160</v>
      </c>
      <c r="G26" s="383"/>
      <c r="H26" s="338">
        <f>+M22</f>
        <v>-223074.77703343262</v>
      </c>
      <c r="I26" s="83" t="s">
        <v>174</v>
      </c>
      <c r="J26" s="83"/>
      <c r="K26" s="83"/>
      <c r="L26" s="83"/>
      <c r="M26" s="83"/>
      <c r="N26" s="83"/>
    </row>
    <row r="27" spans="1:22" ht="16.5" thickBot="1">
      <c r="A27" t="s">
        <v>175</v>
      </c>
      <c r="B27" s="83"/>
      <c r="C27" s="83"/>
      <c r="D27" s="83"/>
      <c r="E27" s="83"/>
      <c r="F27" s="384" t="s">
        <v>176</v>
      </c>
      <c r="G27" s="385"/>
      <c r="H27" s="338">
        <f>+N22</f>
        <v>-131591.06373657181</v>
      </c>
      <c r="I27" s="83"/>
      <c r="J27" s="83"/>
      <c r="K27" s="83"/>
      <c r="L27" s="83"/>
      <c r="M27" s="83"/>
      <c r="N27" s="83"/>
    </row>
    <row r="28" spans="1:22">
      <c r="A28" s="241" t="s">
        <v>177</v>
      </c>
      <c r="I28" s="295"/>
    </row>
    <row r="29" spans="1:22">
      <c r="A29" s="242"/>
      <c r="B29" s="243"/>
      <c r="C29" s="243"/>
      <c r="D29" s="243"/>
      <c r="F29" s="243"/>
    </row>
    <row r="30" spans="1:22" s="66" customFormat="1" ht="31.5">
      <c r="A30" s="244"/>
      <c r="B30" s="228" t="s">
        <v>178</v>
      </c>
      <c r="C30" s="228" t="s">
        <v>179</v>
      </c>
      <c r="D30" s="228" t="s">
        <v>180</v>
      </c>
      <c r="E30" s="228" t="s">
        <v>181</v>
      </c>
      <c r="F30" s="228" t="s">
        <v>182</v>
      </c>
      <c r="G30" s="228" t="s">
        <v>139</v>
      </c>
      <c r="H30" s="245"/>
      <c r="I30" s="246"/>
    </row>
    <row r="31" spans="1:22" s="66" customFormat="1" ht="15.75">
      <c r="A31" s="244"/>
      <c r="B31" s="228" t="s">
        <v>94</v>
      </c>
      <c r="C31" s="228" t="s">
        <v>131</v>
      </c>
      <c r="D31" s="228" t="s">
        <v>164</v>
      </c>
      <c r="E31" s="228" t="s">
        <v>165</v>
      </c>
      <c r="F31" s="228" t="s">
        <v>100</v>
      </c>
      <c r="G31" s="228" t="s">
        <v>183</v>
      </c>
      <c r="H31" s="245"/>
      <c r="I31" s="246"/>
      <c r="N31" s="417"/>
      <c r="O31" s="251"/>
      <c r="P31" s="251"/>
      <c r="Q31" s="251"/>
      <c r="R31" s="251"/>
      <c r="S31" s="251"/>
      <c r="T31" s="246"/>
      <c r="U31" s="246"/>
      <c r="V31" s="246"/>
    </row>
    <row r="32" spans="1:22" ht="15.75">
      <c r="A32" s="230">
        <v>43101</v>
      </c>
      <c r="B32" s="247">
        <v>5874552.8900000006</v>
      </c>
      <c r="C32" s="247">
        <v>7684388.0999999996</v>
      </c>
      <c r="D32" s="247">
        <v>7684878.7400000002</v>
      </c>
      <c r="E32" s="248">
        <f>B32+C32-D32</f>
        <v>5874062.25</v>
      </c>
      <c r="F32" s="249">
        <f>H9</f>
        <v>5874062.25</v>
      </c>
      <c r="G32" s="248">
        <f t="shared" ref="G32:G43" si="8">E32-F32</f>
        <v>0</v>
      </c>
      <c r="H32" s="250"/>
      <c r="I32" s="251"/>
      <c r="N32" s="417"/>
      <c r="O32" s="251"/>
      <c r="P32" s="251"/>
      <c r="Q32" s="251"/>
      <c r="R32" s="251"/>
      <c r="S32" s="251"/>
      <c r="T32" s="251"/>
      <c r="U32" s="251"/>
      <c r="V32" s="251"/>
    </row>
    <row r="33" spans="1:22" ht="15.75">
      <c r="A33" s="230">
        <v>43132</v>
      </c>
      <c r="B33" s="247">
        <v>6116518.4799999995</v>
      </c>
      <c r="C33" s="247">
        <v>5874880.6399999997</v>
      </c>
      <c r="D33" s="247">
        <f>B32</f>
        <v>5874552.8900000006</v>
      </c>
      <c r="E33" s="248">
        <f t="shared" ref="E33:E43" si="9">B33+C33-D33</f>
        <v>6116846.2299999986</v>
      </c>
      <c r="F33" s="249">
        <f>H10</f>
        <v>6116846.2300000004</v>
      </c>
      <c r="G33" s="248">
        <f t="shared" si="8"/>
        <v>0</v>
      </c>
      <c r="H33" s="250"/>
      <c r="I33" s="251"/>
      <c r="N33" s="417"/>
      <c r="O33" s="251"/>
      <c r="P33" s="251"/>
      <c r="Q33" s="251"/>
      <c r="R33" s="251"/>
      <c r="S33" s="251"/>
      <c r="T33" s="251"/>
      <c r="U33" s="251"/>
      <c r="V33" s="251"/>
    </row>
    <row r="34" spans="1:22" ht="15.75">
      <c r="A34" s="230">
        <v>43160</v>
      </c>
      <c r="B34" s="247">
        <v>7425415.0199999996</v>
      </c>
      <c r="C34" s="247">
        <v>6116683.5499999998</v>
      </c>
      <c r="D34" s="247">
        <f t="shared" ref="D34:D42" si="10">B33</f>
        <v>6116518.4799999995</v>
      </c>
      <c r="E34" s="248">
        <f t="shared" si="9"/>
        <v>7425580.0900000008</v>
      </c>
      <c r="F34" s="249">
        <f>H11</f>
        <v>7425580.0899999999</v>
      </c>
      <c r="G34" s="248">
        <f t="shared" si="8"/>
        <v>0</v>
      </c>
      <c r="H34" s="250"/>
      <c r="I34" s="251"/>
      <c r="N34" s="417"/>
      <c r="O34" s="251"/>
      <c r="P34" s="251"/>
      <c r="Q34" s="251"/>
      <c r="R34" s="251"/>
      <c r="S34" s="251"/>
      <c r="T34" s="251"/>
      <c r="U34" s="251"/>
      <c r="V34" s="251"/>
    </row>
    <row r="35" spans="1:22" ht="15.75">
      <c r="A35" s="230">
        <v>43191</v>
      </c>
      <c r="B35" s="247">
        <v>7278167.9500000002</v>
      </c>
      <c r="C35" s="247">
        <v>7422384.7799999993</v>
      </c>
      <c r="D35" s="247">
        <f>B34</f>
        <v>7425415.0199999996</v>
      </c>
      <c r="E35" s="248">
        <f t="shared" si="9"/>
        <v>7275137.7100000009</v>
      </c>
      <c r="F35" s="249">
        <f>H12</f>
        <v>7275137.71</v>
      </c>
      <c r="G35" s="248">
        <f t="shared" si="8"/>
        <v>0</v>
      </c>
      <c r="H35" s="250"/>
      <c r="I35" s="251"/>
      <c r="N35" s="417"/>
      <c r="O35" s="251"/>
      <c r="P35" s="251"/>
      <c r="Q35" s="251"/>
      <c r="R35" s="251"/>
      <c r="S35" s="251"/>
      <c r="T35" s="251"/>
      <c r="U35" s="251"/>
      <c r="V35" s="251"/>
    </row>
    <row r="36" spans="1:22" ht="15.75">
      <c r="A36" s="230">
        <v>43221</v>
      </c>
      <c r="B36" s="247">
        <v>7717902.4800000004</v>
      </c>
      <c r="C36" s="247">
        <v>7278493.8799999999</v>
      </c>
      <c r="D36" s="247">
        <f t="shared" si="10"/>
        <v>7278167.9500000002</v>
      </c>
      <c r="E36" s="248">
        <f t="shared" si="9"/>
        <v>7718228.4099999992</v>
      </c>
      <c r="F36" s="249">
        <f>H13</f>
        <v>7718103.1799999997</v>
      </c>
      <c r="G36" s="248">
        <f t="shared" si="8"/>
        <v>125.22999999951571</v>
      </c>
      <c r="H36" s="250"/>
      <c r="I36" s="251"/>
      <c r="N36" s="417"/>
      <c r="O36" s="251"/>
      <c r="P36" s="251"/>
      <c r="Q36" s="251"/>
      <c r="R36" s="251"/>
      <c r="S36" s="251"/>
      <c r="T36" s="251"/>
      <c r="U36" s="251"/>
      <c r="V36" s="251"/>
    </row>
    <row r="37" spans="1:22" ht="15.75">
      <c r="A37" s="230">
        <v>43252</v>
      </c>
      <c r="B37" s="247">
        <v>8551026.9700000007</v>
      </c>
      <c r="C37" s="247">
        <v>7717889.6299999999</v>
      </c>
      <c r="D37" s="247">
        <f t="shared" si="10"/>
        <v>7717902.4800000004</v>
      </c>
      <c r="E37" s="248">
        <f>B37+C37-D37</f>
        <v>8551014.120000001</v>
      </c>
      <c r="F37" s="249">
        <f>H14</f>
        <v>8551014.1199999992</v>
      </c>
      <c r="G37" s="248">
        <f t="shared" si="8"/>
        <v>0</v>
      </c>
      <c r="H37" s="250"/>
      <c r="I37" s="251"/>
      <c r="N37" s="417"/>
      <c r="O37" s="251"/>
      <c r="P37" s="251"/>
      <c r="Q37" s="251"/>
      <c r="R37" s="251"/>
      <c r="S37" s="251"/>
      <c r="T37" s="251"/>
      <c r="U37" s="251"/>
      <c r="V37" s="251"/>
    </row>
    <row r="38" spans="1:22" ht="15.75">
      <c r="A38" s="230">
        <v>43282</v>
      </c>
      <c r="B38" s="247">
        <v>6453046.6299999999</v>
      </c>
      <c r="C38" s="247">
        <v>8600460.629999999</v>
      </c>
      <c r="D38" s="247">
        <f t="shared" si="10"/>
        <v>8551026.9700000007</v>
      </c>
      <c r="E38" s="248">
        <f t="shared" si="9"/>
        <v>6502480.2899999972</v>
      </c>
      <c r="F38" s="249">
        <f>H15</f>
        <v>6502480.29</v>
      </c>
      <c r="G38" s="248">
        <f t="shared" si="8"/>
        <v>0</v>
      </c>
      <c r="H38" s="250"/>
      <c r="I38" s="251"/>
      <c r="N38" s="417"/>
      <c r="O38" s="251"/>
      <c r="P38" s="251"/>
      <c r="Q38" s="251"/>
      <c r="R38" s="251"/>
      <c r="S38" s="251"/>
      <c r="T38" s="251"/>
      <c r="U38" s="251"/>
      <c r="V38" s="251"/>
    </row>
    <row r="39" spans="1:22" ht="15.75">
      <c r="A39" s="230">
        <v>43313</v>
      </c>
      <c r="B39" s="247">
        <v>6242151.2800000003</v>
      </c>
      <c r="C39" s="247">
        <v>6451113.7699999996</v>
      </c>
      <c r="D39" s="247">
        <f t="shared" si="10"/>
        <v>6453046.6299999999</v>
      </c>
      <c r="E39" s="248">
        <f t="shared" si="9"/>
        <v>6240218.4200000009</v>
      </c>
      <c r="F39" s="249">
        <f>H16</f>
        <v>6240218.4199999999</v>
      </c>
      <c r="G39" s="248">
        <f t="shared" si="8"/>
        <v>0</v>
      </c>
      <c r="H39" s="250"/>
      <c r="I39" s="251"/>
      <c r="N39" s="417"/>
      <c r="O39" s="251"/>
      <c r="P39" s="251"/>
      <c r="Q39" s="251"/>
      <c r="R39" s="251"/>
      <c r="S39" s="251"/>
      <c r="T39" s="251"/>
      <c r="U39" s="251"/>
      <c r="V39" s="251"/>
    </row>
    <row r="40" spans="1:22" ht="15.75">
      <c r="A40" s="230">
        <v>43344</v>
      </c>
      <c r="B40" s="247">
        <v>5289041.6199999992</v>
      </c>
      <c r="C40" s="247">
        <v>6242515.2800000012</v>
      </c>
      <c r="D40" s="247">
        <f t="shared" si="10"/>
        <v>6242151.2800000003</v>
      </c>
      <c r="E40" s="248">
        <f t="shared" si="9"/>
        <v>5289405.62</v>
      </c>
      <c r="F40" s="249">
        <f>H17</f>
        <v>6403046.9000000004</v>
      </c>
      <c r="G40" s="248">
        <f t="shared" si="8"/>
        <v>-1113641.2800000003</v>
      </c>
      <c r="H40" s="250"/>
      <c r="I40" s="251"/>
      <c r="N40" s="417"/>
      <c r="O40" s="251"/>
      <c r="P40" s="251"/>
      <c r="Q40" s="251"/>
      <c r="R40" s="251"/>
      <c r="S40" s="251"/>
      <c r="T40" s="251"/>
      <c r="U40" s="251"/>
      <c r="V40" s="251"/>
    </row>
    <row r="41" spans="1:22" ht="15.75">
      <c r="A41" s="230">
        <v>43374</v>
      </c>
      <c r="B41" s="247">
        <v>8529319.5099999998</v>
      </c>
      <c r="C41" s="247">
        <v>6411810.3699999992</v>
      </c>
      <c r="D41" s="247">
        <f t="shared" si="10"/>
        <v>5289041.6199999992</v>
      </c>
      <c r="E41" s="248">
        <f t="shared" si="9"/>
        <v>9652088.2599999998</v>
      </c>
      <c r="F41" s="249">
        <f>H18</f>
        <v>8538470.3200000003</v>
      </c>
      <c r="G41" s="248">
        <f t="shared" si="8"/>
        <v>1113617.9399999995</v>
      </c>
      <c r="H41" s="250"/>
      <c r="I41" s="251"/>
      <c r="N41" s="417"/>
      <c r="O41" s="251"/>
      <c r="P41" s="251"/>
      <c r="Q41" s="251"/>
      <c r="R41" s="251"/>
      <c r="S41" s="251"/>
      <c r="T41" s="251"/>
      <c r="U41" s="251"/>
      <c r="V41" s="251"/>
    </row>
    <row r="42" spans="1:22" ht="15.75">
      <c r="A42" s="230">
        <v>43405</v>
      </c>
      <c r="B42" s="247">
        <v>7109802.3899999997</v>
      </c>
      <c r="C42" s="247">
        <v>8529574.4299999997</v>
      </c>
      <c r="D42" s="247">
        <f t="shared" si="10"/>
        <v>8529319.5099999998</v>
      </c>
      <c r="E42" s="248">
        <f t="shared" si="9"/>
        <v>7110057.3100000005</v>
      </c>
      <c r="F42" s="249">
        <f>H19</f>
        <v>7110057.3099999996</v>
      </c>
      <c r="G42" s="248">
        <f t="shared" si="8"/>
        <v>0</v>
      </c>
      <c r="H42" s="250"/>
      <c r="I42" s="251"/>
      <c r="N42" s="417"/>
      <c r="O42" s="251"/>
      <c r="P42" s="251"/>
      <c r="Q42" s="251"/>
      <c r="R42" s="251"/>
      <c r="S42" s="251"/>
      <c r="T42" s="251"/>
      <c r="U42" s="251"/>
      <c r="V42" s="251"/>
    </row>
    <row r="43" spans="1:22" ht="15.75">
      <c r="A43" s="230">
        <v>43435</v>
      </c>
      <c r="B43" s="247">
        <v>6144678.2799999993</v>
      </c>
      <c r="C43" s="247">
        <v>6952215.1299999999</v>
      </c>
      <c r="D43" s="247">
        <f>B42</f>
        <v>7109802.3899999997</v>
      </c>
      <c r="E43" s="248">
        <f t="shared" si="9"/>
        <v>5987091.0200000005</v>
      </c>
      <c r="F43" s="249">
        <f>H20</f>
        <v>5987091.0199999996</v>
      </c>
      <c r="G43" s="248">
        <f t="shared" si="8"/>
        <v>0</v>
      </c>
      <c r="H43" s="250"/>
      <c r="I43" s="251"/>
      <c r="N43" s="256"/>
      <c r="O43" s="251"/>
      <c r="P43" s="251"/>
      <c r="Q43" s="251"/>
      <c r="R43" s="251"/>
      <c r="S43" s="251"/>
      <c r="T43" s="251"/>
      <c r="U43" s="251"/>
      <c r="V43" s="251"/>
    </row>
    <row r="44" spans="1:22" s="252" customFormat="1" ht="15.75">
      <c r="A44" s="236" t="s">
        <v>82</v>
      </c>
      <c r="B44" s="253">
        <f>SUM(B32:B43)</f>
        <v>82731623.5</v>
      </c>
      <c r="C44" s="253">
        <f t="shared" ref="C44:E44" si="11">SUM(C32:C43)</f>
        <v>85282410.189999998</v>
      </c>
      <c r="D44" s="253">
        <f t="shared" si="11"/>
        <v>84271823.960000008</v>
      </c>
      <c r="E44" s="253">
        <f t="shared" si="11"/>
        <v>83742209.730000004</v>
      </c>
      <c r="F44" s="254">
        <f>SUM(F32:F43)</f>
        <v>83742107.839999989</v>
      </c>
      <c r="G44" s="254">
        <f>SUM(G32:G43)</f>
        <v>101.8899999987334</v>
      </c>
      <c r="H44" s="255"/>
      <c r="I44" s="256"/>
      <c r="N44" s="255"/>
      <c r="O44" s="256"/>
      <c r="P44" s="256"/>
      <c r="Q44" s="256"/>
      <c r="R44" s="256"/>
      <c r="S44" s="256"/>
      <c r="T44" s="256"/>
      <c r="U44" s="256"/>
      <c r="V44" s="256"/>
    </row>
    <row r="45" spans="1:22">
      <c r="F45" s="257"/>
      <c r="G45" s="258"/>
      <c r="H45" s="250"/>
      <c r="I45" s="259"/>
      <c r="N45" s="251"/>
      <c r="O45" s="251"/>
      <c r="P45" s="251"/>
      <c r="Q45" s="251"/>
      <c r="R45" s="251"/>
      <c r="S45" s="251"/>
      <c r="T45" s="251"/>
      <c r="U45" s="251"/>
      <c r="V45" s="251"/>
    </row>
    <row r="46" spans="1:22" ht="15.75">
      <c r="A46" s="63" t="s">
        <v>184</v>
      </c>
      <c r="F46" s="257"/>
      <c r="G46" s="257"/>
      <c r="H46" s="250"/>
      <c r="I46" s="259"/>
      <c r="N46" s="251"/>
      <c r="O46" s="251"/>
      <c r="P46" s="251"/>
      <c r="Q46" s="251"/>
      <c r="R46" s="251"/>
      <c r="S46" s="251"/>
      <c r="T46" s="251"/>
      <c r="U46" s="251"/>
      <c r="V46" s="251"/>
    </row>
    <row r="47" spans="1:22">
      <c r="B47" s="243"/>
      <c r="C47" s="243"/>
      <c r="D47" s="243"/>
      <c r="F47" s="257"/>
      <c r="G47" s="258"/>
      <c r="H47" s="260"/>
      <c r="I47" s="259"/>
    </row>
    <row r="48" spans="1:22" ht="63">
      <c r="A48" s="244"/>
      <c r="B48" s="228" t="s">
        <v>185</v>
      </c>
      <c r="C48" s="228" t="s">
        <v>186</v>
      </c>
      <c r="D48" s="228" t="s">
        <v>187</v>
      </c>
      <c r="E48" s="228" t="s">
        <v>188</v>
      </c>
      <c r="F48" s="221" t="s">
        <v>189</v>
      </c>
      <c r="G48" s="229" t="s">
        <v>190</v>
      </c>
    </row>
    <row r="49" spans="1:8" ht="15.75">
      <c r="A49" s="244"/>
      <c r="B49" s="228" t="s">
        <v>94</v>
      </c>
      <c r="C49" s="228" t="s">
        <v>131</v>
      </c>
      <c r="D49" s="228" t="s">
        <v>164</v>
      </c>
      <c r="E49" s="228" t="s">
        <v>165</v>
      </c>
      <c r="F49" s="229" t="s">
        <v>100</v>
      </c>
      <c r="G49" s="229" t="s">
        <v>191</v>
      </c>
    </row>
    <row r="50" spans="1:8" ht="15.75">
      <c r="A50" s="230">
        <v>43101</v>
      </c>
      <c r="B50" s="261">
        <v>87155863</v>
      </c>
      <c r="C50" s="261">
        <v>83390473</v>
      </c>
      <c r="D50" s="261">
        <v>83391771</v>
      </c>
      <c r="E50" s="262">
        <f>B50+C50-D50</f>
        <v>87154565</v>
      </c>
      <c r="F50" s="263">
        <f>E9</f>
        <v>87155863</v>
      </c>
      <c r="G50" s="264">
        <f t="shared" ref="G50:G61" si="12">E50-F50</f>
        <v>-1298</v>
      </c>
    </row>
    <row r="51" spans="1:8" ht="15.75">
      <c r="A51" s="230">
        <v>43132</v>
      </c>
      <c r="B51" s="261">
        <v>74897227</v>
      </c>
      <c r="C51" s="261">
        <v>87155863</v>
      </c>
      <c r="D51" s="261">
        <f>B50</f>
        <v>87155863</v>
      </c>
      <c r="E51" s="262">
        <f t="shared" ref="E51:E61" si="13">B51+C51-D51</f>
        <v>74897227</v>
      </c>
      <c r="F51" s="263">
        <f>E10</f>
        <v>74897227</v>
      </c>
      <c r="G51" s="264">
        <f t="shared" si="12"/>
        <v>0</v>
      </c>
    </row>
    <row r="52" spans="1:8" ht="15.75">
      <c r="A52" s="230">
        <v>43160</v>
      </c>
      <c r="B52" s="261">
        <v>78323456</v>
      </c>
      <c r="C52" s="261">
        <v>74897227</v>
      </c>
      <c r="D52" s="261">
        <f t="shared" ref="D52:D61" si="14">B51</f>
        <v>74897227</v>
      </c>
      <c r="E52" s="262">
        <f t="shared" si="13"/>
        <v>78323456</v>
      </c>
      <c r="F52" s="263">
        <f>E11</f>
        <v>78323456</v>
      </c>
      <c r="G52" s="264">
        <f t="shared" si="12"/>
        <v>0</v>
      </c>
    </row>
    <row r="53" spans="1:8" ht="15.75">
      <c r="A53" s="230">
        <v>43191</v>
      </c>
      <c r="B53" s="261">
        <v>95635542</v>
      </c>
      <c r="C53" s="261">
        <v>78323456</v>
      </c>
      <c r="D53" s="261">
        <f t="shared" si="14"/>
        <v>78323456</v>
      </c>
      <c r="E53" s="262">
        <f t="shared" si="13"/>
        <v>95635542</v>
      </c>
      <c r="F53" s="263">
        <f>E12</f>
        <v>73048469</v>
      </c>
      <c r="G53" s="264">
        <f t="shared" si="12"/>
        <v>22587073</v>
      </c>
    </row>
    <row r="54" spans="1:8" ht="15.75">
      <c r="A54" s="230">
        <v>43221</v>
      </c>
      <c r="B54" s="261">
        <v>73048469</v>
      </c>
      <c r="C54" s="261">
        <v>73048469</v>
      </c>
      <c r="D54" s="261">
        <f t="shared" si="14"/>
        <v>95635542</v>
      </c>
      <c r="E54" s="262">
        <f t="shared" si="13"/>
        <v>50461396</v>
      </c>
      <c r="F54" s="263">
        <f>E13</f>
        <v>71510350.000000015</v>
      </c>
      <c r="G54" s="264">
        <f t="shared" si="12"/>
        <v>-21048954.000000015</v>
      </c>
    </row>
    <row r="55" spans="1:8" ht="15.75">
      <c r="A55" s="230">
        <v>43252</v>
      </c>
      <c r="B55" s="261">
        <v>74800465</v>
      </c>
      <c r="C55" s="261">
        <v>71510350</v>
      </c>
      <c r="D55" s="261">
        <f t="shared" si="14"/>
        <v>73048469</v>
      </c>
      <c r="E55" s="262">
        <f t="shared" si="13"/>
        <v>73262346</v>
      </c>
      <c r="F55" s="263">
        <f>E14</f>
        <v>74800464.999999985</v>
      </c>
      <c r="G55" s="264">
        <f t="shared" si="12"/>
        <v>-1538118.9999999851</v>
      </c>
    </row>
    <row r="56" spans="1:8" ht="15.75">
      <c r="A56" s="230">
        <v>43282</v>
      </c>
      <c r="B56" s="261">
        <v>84009540.000000015</v>
      </c>
      <c r="C56" s="261">
        <v>74800465</v>
      </c>
      <c r="D56" s="261">
        <f t="shared" si="14"/>
        <v>74800465</v>
      </c>
      <c r="E56" s="262">
        <f t="shared" si="13"/>
        <v>84009540</v>
      </c>
      <c r="F56" s="263">
        <f>E15</f>
        <v>84009540</v>
      </c>
      <c r="G56" s="264">
        <f t="shared" si="12"/>
        <v>0</v>
      </c>
    </row>
    <row r="57" spans="1:8" ht="15.75">
      <c r="A57" s="230">
        <v>43313</v>
      </c>
      <c r="B57" s="261">
        <v>83315173</v>
      </c>
      <c r="C57" s="261">
        <v>84009540.000000015</v>
      </c>
      <c r="D57" s="261">
        <f t="shared" si="14"/>
        <v>84009540.000000015</v>
      </c>
      <c r="E57" s="262">
        <f t="shared" si="13"/>
        <v>83315172.999999985</v>
      </c>
      <c r="F57" s="263">
        <f>E16</f>
        <v>83315173.000000015</v>
      </c>
      <c r="G57" s="264">
        <f t="shared" si="12"/>
        <v>0</v>
      </c>
    </row>
    <row r="58" spans="1:8" ht="15.75">
      <c r="A58" s="230">
        <v>43344</v>
      </c>
      <c r="B58" s="261">
        <v>74588414</v>
      </c>
      <c r="C58" s="261">
        <v>83315173</v>
      </c>
      <c r="D58" s="261">
        <f t="shared" si="14"/>
        <v>83315173</v>
      </c>
      <c r="E58" s="262">
        <f t="shared" si="13"/>
        <v>74588414</v>
      </c>
      <c r="F58" s="263">
        <f>E17</f>
        <v>74588414.000000015</v>
      </c>
      <c r="G58" s="264">
        <f t="shared" si="12"/>
        <v>0</v>
      </c>
    </row>
    <row r="59" spans="1:8" ht="15.75">
      <c r="A59" s="230">
        <v>43374</v>
      </c>
      <c r="B59" s="261">
        <v>70808447.999999985</v>
      </c>
      <c r="C59" s="261">
        <v>74588414</v>
      </c>
      <c r="D59" s="261">
        <f t="shared" si="14"/>
        <v>74588414</v>
      </c>
      <c r="E59" s="262">
        <f t="shared" si="13"/>
        <v>70808448</v>
      </c>
      <c r="F59" s="263">
        <f>E18</f>
        <v>70808448</v>
      </c>
      <c r="G59" s="264">
        <f t="shared" si="12"/>
        <v>0</v>
      </c>
    </row>
    <row r="60" spans="1:8" ht="15.75">
      <c r="A60" s="230">
        <v>43405</v>
      </c>
      <c r="B60" s="261">
        <v>72145545</v>
      </c>
      <c r="C60" s="261">
        <v>70808447.999999985</v>
      </c>
      <c r="D60" s="261">
        <f>B59</f>
        <v>70808447.999999985</v>
      </c>
      <c r="E60" s="262">
        <f t="shared" si="13"/>
        <v>72145545.000000015</v>
      </c>
      <c r="F60" s="263">
        <f>E19</f>
        <v>74793888.999999985</v>
      </c>
      <c r="G60" s="264">
        <f t="shared" si="12"/>
        <v>-2648343.9999999702</v>
      </c>
    </row>
    <row r="61" spans="1:8" ht="15.75">
      <c r="A61" s="230">
        <v>43435</v>
      </c>
      <c r="B61" s="261">
        <v>77519934</v>
      </c>
      <c r="C61" s="261">
        <v>74793889</v>
      </c>
      <c r="D61" s="261">
        <f t="shared" si="14"/>
        <v>72145545</v>
      </c>
      <c r="E61" s="262">
        <f t="shared" si="13"/>
        <v>80168278</v>
      </c>
      <c r="F61" s="263">
        <f>E20</f>
        <v>77519934</v>
      </c>
      <c r="G61" s="264">
        <f t="shared" si="12"/>
        <v>2648344</v>
      </c>
      <c r="H61" s="258"/>
    </row>
    <row r="62" spans="1:8" ht="15.75">
      <c r="A62" s="236" t="s">
        <v>82</v>
      </c>
      <c r="B62" s="265">
        <f>SUM(B50:B61)</f>
        <v>946248076</v>
      </c>
      <c r="C62" s="265">
        <f t="shared" ref="C62:D62" si="15">SUM(C50:C61)</f>
        <v>930641767</v>
      </c>
      <c r="D62" s="265">
        <f t="shared" si="15"/>
        <v>952119913</v>
      </c>
      <c r="E62" s="265">
        <f>SUM(E50:E61)</f>
        <v>924769930</v>
      </c>
      <c r="F62" s="237">
        <f>E22</f>
        <v>924771228</v>
      </c>
      <c r="G62" s="265">
        <f>E62-F62</f>
        <v>-1298</v>
      </c>
    </row>
    <row r="63" spans="1:8" ht="15.75">
      <c r="A63" s="266"/>
      <c r="B63" s="267"/>
      <c r="C63" s="267"/>
      <c r="D63" s="267"/>
      <c r="E63" s="267"/>
      <c r="F63" s="268"/>
      <c r="G63" s="267"/>
    </row>
    <row r="64" spans="1:8" ht="15.75">
      <c r="A64" s="230">
        <v>43466</v>
      </c>
      <c r="B64" s="269">
        <v>84454659</v>
      </c>
      <c r="C64" s="270">
        <v>77519934</v>
      </c>
      <c r="D64" s="261">
        <f>B61</f>
        <v>77519934</v>
      </c>
      <c r="E64" s="262">
        <f>B64+C64-D64</f>
        <v>84454659</v>
      </c>
      <c r="F64" s="323">
        <v>84454659</v>
      </c>
      <c r="G64" s="322">
        <f>E64-F64</f>
        <v>0</v>
      </c>
      <c r="H64" s="271"/>
    </row>
    <row r="66" spans="7:7">
      <c r="G66" s="272"/>
    </row>
  </sheetData>
  <mergeCells count="3">
    <mergeCell ref="F25:G25"/>
    <mergeCell ref="F26:G26"/>
    <mergeCell ref="F27:G27"/>
  </mergeCells>
  <pageMargins left="0.7" right="0.7" top="0.75" bottom="0.75" header="0.3" footer="0.3"/>
  <pageSetup paperSize="3" scale="8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361C4-B099-420A-A7C1-2EBA39491E8C}">
  <dimension ref="A1:E90"/>
  <sheetViews>
    <sheetView workbookViewId="0">
      <selection activeCell="E1" sqref="E1"/>
    </sheetView>
  </sheetViews>
  <sheetFormatPr defaultRowHeight="15"/>
  <cols>
    <col min="2" max="2" width="18.28515625" bestFit="1" customWidth="1"/>
    <col min="3" max="3" width="21.5703125" bestFit="1" customWidth="1"/>
    <col min="4" max="4" width="118.5703125" bestFit="1" customWidth="1"/>
    <col min="5" max="5" width="26.85546875" customWidth="1"/>
  </cols>
  <sheetData>
    <row r="1" spans="1:5" ht="18">
      <c r="A1" s="273" t="s">
        <v>192</v>
      </c>
      <c r="B1" s="273"/>
      <c r="C1" s="273"/>
      <c r="D1" s="274" t="s">
        <v>193</v>
      </c>
      <c r="E1" s="275" t="s">
        <v>194</v>
      </c>
    </row>
    <row r="2" spans="1:5" ht="15.75">
      <c r="A2" s="62"/>
      <c r="B2" s="276" t="s">
        <v>195</v>
      </c>
      <c r="C2" s="62"/>
      <c r="D2" s="62"/>
      <c r="E2" s="277" t="s">
        <v>196</v>
      </c>
    </row>
    <row r="3" spans="1:5" ht="15.75">
      <c r="A3" s="62"/>
      <c r="B3" s="276"/>
      <c r="C3" s="62"/>
      <c r="D3" s="62"/>
      <c r="E3" s="62"/>
    </row>
    <row r="4" spans="1:5" ht="45">
      <c r="A4" s="278" t="s">
        <v>197</v>
      </c>
      <c r="B4" s="278" t="s">
        <v>198</v>
      </c>
      <c r="C4" s="278" t="s">
        <v>199</v>
      </c>
      <c r="D4" s="278" t="s">
        <v>200</v>
      </c>
      <c r="E4" s="278" t="s">
        <v>201</v>
      </c>
    </row>
    <row r="5" spans="1:5">
      <c r="A5" s="279">
        <v>148</v>
      </c>
      <c r="B5" s="280">
        <v>-6698.96</v>
      </c>
      <c r="C5" s="279" t="s">
        <v>202</v>
      </c>
      <c r="D5" s="281" t="s">
        <v>203</v>
      </c>
      <c r="E5" s="282" t="s">
        <v>204</v>
      </c>
    </row>
    <row r="6" spans="1:5">
      <c r="A6" s="279">
        <v>148</v>
      </c>
      <c r="B6" s="283">
        <v>9.7100000000000009</v>
      </c>
      <c r="C6" s="279" t="s">
        <v>202</v>
      </c>
      <c r="D6" s="281" t="s">
        <v>205</v>
      </c>
      <c r="E6" s="282" t="s">
        <v>204</v>
      </c>
    </row>
    <row r="7" spans="1:5">
      <c r="A7" s="279">
        <v>148</v>
      </c>
      <c r="B7" s="280">
        <v>17149.75</v>
      </c>
      <c r="C7" s="279" t="s">
        <v>202</v>
      </c>
      <c r="D7" s="281" t="s">
        <v>206</v>
      </c>
      <c r="E7" s="282" t="s">
        <v>204</v>
      </c>
    </row>
    <row r="8" spans="1:5">
      <c r="A8" s="279">
        <v>148</v>
      </c>
      <c r="B8" s="283">
        <v>2536.69</v>
      </c>
      <c r="C8" s="279" t="s">
        <v>202</v>
      </c>
      <c r="D8" s="281" t="s">
        <v>207</v>
      </c>
      <c r="E8" s="282" t="s">
        <v>204</v>
      </c>
    </row>
    <row r="9" spans="1:5">
      <c r="A9" s="279">
        <v>148</v>
      </c>
      <c r="B9" s="280">
        <v>-3741.18</v>
      </c>
      <c r="C9" s="279" t="s">
        <v>202</v>
      </c>
      <c r="D9" s="281" t="s">
        <v>208</v>
      </c>
      <c r="E9" s="282" t="s">
        <v>204</v>
      </c>
    </row>
    <row r="10" spans="1:5">
      <c r="A10" s="279">
        <v>148</v>
      </c>
      <c r="B10" s="280">
        <v>-4725.51</v>
      </c>
      <c r="C10" s="279" t="s">
        <v>202</v>
      </c>
      <c r="D10" s="281" t="s">
        <v>209</v>
      </c>
      <c r="E10" s="282" t="s">
        <v>204</v>
      </c>
    </row>
    <row r="11" spans="1:5">
      <c r="A11" s="279">
        <v>148</v>
      </c>
      <c r="B11" s="280">
        <v>-4970.8500000000004</v>
      </c>
      <c r="C11" s="279" t="s">
        <v>202</v>
      </c>
      <c r="D11" s="281" t="s">
        <v>210</v>
      </c>
      <c r="E11" s="282" t="s">
        <v>204</v>
      </c>
    </row>
    <row r="12" spans="1:5">
      <c r="A12" s="279">
        <v>148</v>
      </c>
      <c r="B12" s="283">
        <v>-511.75</v>
      </c>
      <c r="C12" s="279" t="s">
        <v>202</v>
      </c>
      <c r="D12" s="98" t="s">
        <v>211</v>
      </c>
      <c r="E12" s="282" t="s">
        <v>212</v>
      </c>
    </row>
    <row r="13" spans="1:5">
      <c r="A13" s="279">
        <v>148</v>
      </c>
      <c r="B13" s="283">
        <v>-4217.16</v>
      </c>
      <c r="C13" s="279" t="s">
        <v>202</v>
      </c>
      <c r="D13" s="281" t="s">
        <v>213</v>
      </c>
      <c r="E13" s="282" t="s">
        <v>204</v>
      </c>
    </row>
    <row r="14" spans="1:5">
      <c r="A14" s="279">
        <v>148</v>
      </c>
      <c r="B14" s="283">
        <v>-6268.65</v>
      </c>
      <c r="C14" s="279" t="s">
        <v>202</v>
      </c>
      <c r="D14" s="281" t="s">
        <v>214</v>
      </c>
      <c r="E14" s="282" t="s">
        <v>204</v>
      </c>
    </row>
    <row r="15" spans="1:5">
      <c r="A15" s="279">
        <v>148</v>
      </c>
      <c r="B15" s="280">
        <v>-4440.43</v>
      </c>
      <c r="C15" s="279" t="s">
        <v>202</v>
      </c>
      <c r="D15" s="281" t="s">
        <v>215</v>
      </c>
      <c r="E15" s="282" t="s">
        <v>204</v>
      </c>
    </row>
    <row r="16" spans="1:5">
      <c r="A16" s="279">
        <v>148</v>
      </c>
      <c r="B16" s="283">
        <v>-4667.6400000000003</v>
      </c>
      <c r="C16" s="279" t="s">
        <v>202</v>
      </c>
      <c r="D16" s="281" t="s">
        <v>216</v>
      </c>
      <c r="E16" s="282" t="s">
        <v>204</v>
      </c>
    </row>
    <row r="17" spans="1:5">
      <c r="A17" s="279">
        <v>148</v>
      </c>
      <c r="B17" s="280">
        <v>-5982.58</v>
      </c>
      <c r="C17" s="279" t="s">
        <v>202</v>
      </c>
      <c r="D17" s="281" t="s">
        <v>217</v>
      </c>
      <c r="E17" s="282" t="s">
        <v>212</v>
      </c>
    </row>
    <row r="18" spans="1:5">
      <c r="A18" s="279">
        <v>148</v>
      </c>
      <c r="B18" s="280">
        <v>-4077.76</v>
      </c>
      <c r="C18" s="279" t="s">
        <v>202</v>
      </c>
      <c r="D18" s="281" t="s">
        <v>218</v>
      </c>
      <c r="E18" s="282" t="s">
        <v>204</v>
      </c>
    </row>
    <row r="19" spans="1:5">
      <c r="A19" s="279">
        <v>148</v>
      </c>
      <c r="B19" s="280">
        <v>-4239.96</v>
      </c>
      <c r="C19" s="279" t="s">
        <v>202</v>
      </c>
      <c r="D19" s="281" t="s">
        <v>219</v>
      </c>
      <c r="E19" s="282" t="s">
        <v>204</v>
      </c>
    </row>
    <row r="20" spans="1:5">
      <c r="A20" s="279">
        <v>148</v>
      </c>
      <c r="B20" s="280">
        <v>19352.169999999998</v>
      </c>
      <c r="C20" s="279" t="s">
        <v>202</v>
      </c>
      <c r="D20" s="281" t="s">
        <v>220</v>
      </c>
      <c r="E20" s="282" t="s">
        <v>204</v>
      </c>
    </row>
    <row r="21" spans="1:5">
      <c r="A21" s="279">
        <v>148</v>
      </c>
      <c r="B21" s="280">
        <v>-327.72</v>
      </c>
      <c r="C21" s="279" t="s">
        <v>221</v>
      </c>
      <c r="D21" s="279" t="s">
        <v>222</v>
      </c>
      <c r="E21" s="282" t="s">
        <v>204</v>
      </c>
    </row>
    <row r="22" spans="1:5">
      <c r="A22" s="279">
        <v>148</v>
      </c>
      <c r="B22" s="283">
        <v>-4440.43</v>
      </c>
      <c r="C22" s="279" t="s">
        <v>221</v>
      </c>
      <c r="D22" s="284" t="s">
        <v>215</v>
      </c>
      <c r="E22" s="282" t="s">
        <v>204</v>
      </c>
    </row>
    <row r="23" spans="1:5">
      <c r="A23" s="279">
        <v>148</v>
      </c>
      <c r="B23" s="283">
        <v>9.7100000000000009</v>
      </c>
      <c r="C23" s="279" t="s">
        <v>221</v>
      </c>
      <c r="D23" s="284" t="s">
        <v>205</v>
      </c>
      <c r="E23" s="282" t="s">
        <v>204</v>
      </c>
    </row>
    <row r="24" spans="1:5">
      <c r="A24" s="279">
        <v>148</v>
      </c>
      <c r="B24" s="283">
        <v>17149.75</v>
      </c>
      <c r="C24" s="279" t="s">
        <v>221</v>
      </c>
      <c r="D24" s="284" t="s">
        <v>206</v>
      </c>
      <c r="E24" s="282" t="s">
        <v>204</v>
      </c>
    </row>
    <row r="25" spans="1:5">
      <c r="A25" s="279">
        <v>148</v>
      </c>
      <c r="B25" s="285">
        <v>2536.69</v>
      </c>
      <c r="C25" s="279" t="s">
        <v>221</v>
      </c>
      <c r="D25" s="284" t="s">
        <v>207</v>
      </c>
      <c r="E25" s="282" t="s">
        <v>204</v>
      </c>
    </row>
    <row r="26" spans="1:5">
      <c r="A26" s="279">
        <v>148</v>
      </c>
      <c r="B26" s="285">
        <v>-3741.18</v>
      </c>
      <c r="C26" s="279" t="s">
        <v>221</v>
      </c>
      <c r="D26" s="284" t="s">
        <v>208</v>
      </c>
      <c r="E26" s="282" t="s">
        <v>204</v>
      </c>
    </row>
    <row r="27" spans="1:5">
      <c r="A27" s="279">
        <v>148</v>
      </c>
      <c r="B27" s="285">
        <v>-4725.51</v>
      </c>
      <c r="C27" s="279" t="s">
        <v>221</v>
      </c>
      <c r="D27" s="284" t="s">
        <v>209</v>
      </c>
      <c r="E27" s="282" t="s">
        <v>204</v>
      </c>
    </row>
    <row r="28" spans="1:5">
      <c r="A28" s="279">
        <v>148</v>
      </c>
      <c r="B28" s="279">
        <v>-4970.8500000000004</v>
      </c>
      <c r="C28" s="279" t="s">
        <v>221</v>
      </c>
      <c r="D28" s="284" t="s">
        <v>210</v>
      </c>
      <c r="E28" s="282" t="s">
        <v>204</v>
      </c>
    </row>
    <row r="29" spans="1:5">
      <c r="A29" s="279">
        <v>148</v>
      </c>
      <c r="B29" s="279">
        <v>19352.169999999998</v>
      </c>
      <c r="C29" s="279" t="s">
        <v>221</v>
      </c>
      <c r="D29" s="284" t="s">
        <v>220</v>
      </c>
      <c r="E29" s="282" t="s">
        <v>204</v>
      </c>
    </row>
    <row r="30" spans="1:5">
      <c r="A30" s="279">
        <v>148</v>
      </c>
      <c r="B30" s="279">
        <v>-511.75</v>
      </c>
      <c r="C30" s="279" t="s">
        <v>221</v>
      </c>
      <c r="D30" s="279" t="s">
        <v>211</v>
      </c>
      <c r="E30" s="282" t="s">
        <v>204</v>
      </c>
    </row>
    <row r="31" spans="1:5">
      <c r="A31" s="279">
        <v>148</v>
      </c>
      <c r="B31" s="279">
        <v>-4217.16</v>
      </c>
      <c r="C31" s="279" t="s">
        <v>221</v>
      </c>
      <c r="D31" s="284" t="s">
        <v>213</v>
      </c>
      <c r="E31" s="282" t="s">
        <v>204</v>
      </c>
    </row>
    <row r="32" spans="1:5">
      <c r="A32" s="279">
        <v>148</v>
      </c>
      <c r="B32" s="279">
        <v>-6268.65</v>
      </c>
      <c r="C32" s="279" t="s">
        <v>221</v>
      </c>
      <c r="D32" s="284" t="s">
        <v>214</v>
      </c>
      <c r="E32" s="282" t="s">
        <v>204</v>
      </c>
    </row>
    <row r="33" spans="1:5">
      <c r="A33" s="279">
        <v>148</v>
      </c>
      <c r="B33" s="285">
        <v>-4667.6400000000003</v>
      </c>
      <c r="C33" s="279" t="s">
        <v>221</v>
      </c>
      <c r="D33" s="284" t="s">
        <v>216</v>
      </c>
      <c r="E33" s="282" t="s">
        <v>204</v>
      </c>
    </row>
    <row r="34" spans="1:5">
      <c r="A34" s="279">
        <v>148</v>
      </c>
      <c r="B34" s="285">
        <v>-6698.96</v>
      </c>
      <c r="C34" s="279" t="s">
        <v>221</v>
      </c>
      <c r="D34" s="284" t="s">
        <v>203</v>
      </c>
      <c r="E34" s="282" t="s">
        <v>204</v>
      </c>
    </row>
    <row r="35" spans="1:5">
      <c r="A35" s="279">
        <v>148</v>
      </c>
      <c r="B35" s="285">
        <v>-5982.58</v>
      </c>
      <c r="C35" s="279" t="s">
        <v>221</v>
      </c>
      <c r="D35" s="284" t="s">
        <v>217</v>
      </c>
      <c r="E35" s="282" t="s">
        <v>204</v>
      </c>
    </row>
    <row r="36" spans="1:5">
      <c r="A36" s="286">
        <v>148</v>
      </c>
      <c r="B36" s="287">
        <v>-4077.76</v>
      </c>
      <c r="C36" s="279" t="s">
        <v>221</v>
      </c>
      <c r="D36" s="281" t="s">
        <v>218</v>
      </c>
      <c r="E36" s="282" t="s">
        <v>204</v>
      </c>
    </row>
    <row r="37" spans="1:5">
      <c r="A37" s="286">
        <v>148</v>
      </c>
      <c r="B37" s="287">
        <v>-4239.96</v>
      </c>
      <c r="C37" s="279" t="s">
        <v>221</v>
      </c>
      <c r="D37" s="281" t="s">
        <v>219</v>
      </c>
      <c r="E37" s="282" t="s">
        <v>204</v>
      </c>
    </row>
    <row r="38" spans="1:5">
      <c r="A38" s="286">
        <v>148</v>
      </c>
      <c r="B38" s="287">
        <v>-0.03</v>
      </c>
      <c r="C38" s="279" t="s">
        <v>221</v>
      </c>
      <c r="D38" s="279" t="s">
        <v>223</v>
      </c>
      <c r="E38" s="282" t="s">
        <v>204</v>
      </c>
    </row>
    <row r="39" spans="1:5">
      <c r="A39" s="286">
        <v>148</v>
      </c>
      <c r="B39" s="287">
        <v>-46267.81</v>
      </c>
      <c r="C39" s="279" t="s">
        <v>224</v>
      </c>
      <c r="D39" s="279" t="s">
        <v>225</v>
      </c>
      <c r="E39" s="282" t="s">
        <v>204</v>
      </c>
    </row>
    <row r="40" spans="1:5">
      <c r="A40" s="286">
        <v>147</v>
      </c>
      <c r="B40" s="287">
        <v>-91.44</v>
      </c>
      <c r="C40" s="279" t="s">
        <v>226</v>
      </c>
      <c r="D40" s="279" t="s">
        <v>222</v>
      </c>
      <c r="E40" s="282" t="s">
        <v>212</v>
      </c>
    </row>
    <row r="41" spans="1:5">
      <c r="A41" s="286">
        <v>148</v>
      </c>
      <c r="B41" s="287">
        <v>-165.03</v>
      </c>
      <c r="C41" s="279" t="s">
        <v>226</v>
      </c>
      <c r="D41" s="279" t="s">
        <v>222</v>
      </c>
      <c r="E41" s="282" t="s">
        <v>204</v>
      </c>
    </row>
    <row r="42" spans="1:5">
      <c r="A42" s="286">
        <v>148</v>
      </c>
      <c r="B42" s="287">
        <v>-0.04</v>
      </c>
      <c r="C42" s="279" t="s">
        <v>226</v>
      </c>
      <c r="D42" t="s">
        <v>227</v>
      </c>
      <c r="E42" s="282" t="s">
        <v>204</v>
      </c>
    </row>
    <row r="43" spans="1:5">
      <c r="A43" s="286">
        <v>148</v>
      </c>
      <c r="B43" s="287">
        <v>-41035.43</v>
      </c>
      <c r="C43" s="279" t="s">
        <v>228</v>
      </c>
      <c r="D43" s="279" t="s">
        <v>229</v>
      </c>
      <c r="E43" s="282" t="s">
        <v>204</v>
      </c>
    </row>
    <row r="44" spans="1:5">
      <c r="A44" s="286">
        <v>147</v>
      </c>
      <c r="B44" s="287">
        <v>-11832.61</v>
      </c>
      <c r="C44" s="279" t="s">
        <v>230</v>
      </c>
      <c r="D44" s="279" t="s">
        <v>222</v>
      </c>
      <c r="E44" s="282" t="s">
        <v>212</v>
      </c>
    </row>
    <row r="45" spans="1:5">
      <c r="A45" s="286">
        <v>148</v>
      </c>
      <c r="B45" s="287">
        <v>-20719.919999999998</v>
      </c>
      <c r="C45" s="279" t="s">
        <v>230</v>
      </c>
      <c r="D45" s="279" t="s">
        <v>222</v>
      </c>
      <c r="E45" s="282" t="s">
        <v>204</v>
      </c>
    </row>
    <row r="46" spans="1:5">
      <c r="A46" s="286">
        <v>148</v>
      </c>
      <c r="B46" s="287">
        <v>23750.16</v>
      </c>
      <c r="C46" s="279" t="s">
        <v>230</v>
      </c>
      <c r="D46" s="279" t="s">
        <v>231</v>
      </c>
      <c r="E46" s="282" t="s">
        <v>204</v>
      </c>
    </row>
    <row r="47" spans="1:5">
      <c r="A47" s="286">
        <v>148</v>
      </c>
      <c r="B47" s="287">
        <v>-401.33</v>
      </c>
      <c r="C47" s="279" t="s">
        <v>232</v>
      </c>
      <c r="D47" s="279" t="s">
        <v>233</v>
      </c>
      <c r="E47" s="282" t="s">
        <v>204</v>
      </c>
    </row>
    <row r="48" spans="1:5">
      <c r="A48" s="286">
        <v>147</v>
      </c>
      <c r="B48" s="287">
        <v>-70.7</v>
      </c>
      <c r="C48" s="279" t="s">
        <v>234</v>
      </c>
      <c r="D48" s="279" t="s">
        <v>222</v>
      </c>
      <c r="E48" s="282" t="s">
        <v>212</v>
      </c>
    </row>
    <row r="49" spans="1:5">
      <c r="A49" s="286">
        <v>148</v>
      </c>
      <c r="B49" s="287">
        <v>-318.68</v>
      </c>
      <c r="C49" s="279" t="s">
        <v>234</v>
      </c>
      <c r="D49" s="279" t="s">
        <v>222</v>
      </c>
      <c r="E49" s="282" t="s">
        <v>204</v>
      </c>
    </row>
    <row r="50" spans="1:5">
      <c r="A50" s="286">
        <v>148</v>
      </c>
      <c r="B50" s="287">
        <v>-7.25</v>
      </c>
      <c r="C50" s="279" t="s">
        <v>234</v>
      </c>
      <c r="D50" s="279" t="s">
        <v>235</v>
      </c>
      <c r="E50" s="282" t="s">
        <v>204</v>
      </c>
    </row>
    <row r="51" spans="1:5">
      <c r="A51" s="286">
        <v>147</v>
      </c>
      <c r="B51" s="287">
        <v>-70.7</v>
      </c>
      <c r="C51" s="279" t="s">
        <v>236</v>
      </c>
      <c r="D51" s="98" t="s">
        <v>237</v>
      </c>
      <c r="E51" s="282" t="s">
        <v>212</v>
      </c>
    </row>
    <row r="52" spans="1:5">
      <c r="A52" s="286">
        <v>148</v>
      </c>
      <c r="B52" s="287">
        <v>-125.23</v>
      </c>
      <c r="C52" s="279" t="s">
        <v>236</v>
      </c>
      <c r="D52" s="98" t="s">
        <v>238</v>
      </c>
      <c r="E52" s="282" t="s">
        <v>204</v>
      </c>
    </row>
    <row r="53" spans="1:5">
      <c r="A53" s="286">
        <v>148</v>
      </c>
      <c r="B53" s="287">
        <v>-4440.3</v>
      </c>
      <c r="C53" s="279" t="s">
        <v>236</v>
      </c>
      <c r="D53" s="98" t="s">
        <v>239</v>
      </c>
      <c r="E53" s="282" t="s">
        <v>204</v>
      </c>
    </row>
    <row r="54" spans="1:5">
      <c r="A54" s="286">
        <v>148</v>
      </c>
      <c r="B54" s="287">
        <v>12.84</v>
      </c>
      <c r="C54" s="279" t="s">
        <v>240</v>
      </c>
      <c r="D54" s="279" t="s">
        <v>222</v>
      </c>
      <c r="E54" s="282" t="s">
        <v>204</v>
      </c>
    </row>
    <row r="55" spans="1:5">
      <c r="A55" s="286">
        <v>148</v>
      </c>
      <c r="B55" s="287">
        <v>0.01</v>
      </c>
      <c r="C55" s="279" t="s">
        <v>240</v>
      </c>
      <c r="D55" t="s">
        <v>241</v>
      </c>
      <c r="E55" s="282" t="s">
        <v>204</v>
      </c>
    </row>
    <row r="56" spans="1:5">
      <c r="A56" s="286">
        <v>148</v>
      </c>
      <c r="B56" s="288">
        <v>-48634.53</v>
      </c>
      <c r="C56" s="279" t="s">
        <v>242</v>
      </c>
      <c r="D56" s="279" t="s">
        <v>243</v>
      </c>
      <c r="E56" s="282" t="s">
        <v>204</v>
      </c>
    </row>
    <row r="57" spans="1:5">
      <c r="A57" s="286">
        <v>148</v>
      </c>
      <c r="B57" s="288">
        <v>51598.58</v>
      </c>
      <c r="C57" s="279" t="s">
        <v>242</v>
      </c>
      <c r="D57" s="284" t="s">
        <v>244</v>
      </c>
      <c r="E57" s="282" t="s">
        <v>204</v>
      </c>
    </row>
    <row r="58" spans="1:5">
      <c r="A58" s="286">
        <v>148</v>
      </c>
      <c r="B58" s="288">
        <v>-2677.33</v>
      </c>
      <c r="C58" s="279" t="s">
        <v>242</v>
      </c>
      <c r="D58" s="279" t="s">
        <v>245</v>
      </c>
      <c r="E58" s="282" t="s">
        <v>204</v>
      </c>
    </row>
    <row r="59" spans="1:5">
      <c r="A59" s="286">
        <v>148</v>
      </c>
      <c r="B59" s="288">
        <v>296195.46000000002</v>
      </c>
      <c r="C59" s="279" t="s">
        <v>242</v>
      </c>
      <c r="D59" s="284" t="s">
        <v>246</v>
      </c>
      <c r="E59" s="282" t="s">
        <v>204</v>
      </c>
    </row>
    <row r="60" spans="1:5">
      <c r="A60" s="286">
        <v>147</v>
      </c>
      <c r="B60" s="287">
        <v>-419.75</v>
      </c>
      <c r="C60" s="279" t="s">
        <v>247</v>
      </c>
      <c r="D60" s="279" t="s">
        <v>222</v>
      </c>
      <c r="E60" s="282" t="s">
        <v>212</v>
      </c>
    </row>
    <row r="61" spans="1:5">
      <c r="A61" s="286">
        <v>148</v>
      </c>
      <c r="B61" s="287">
        <v>-799.11</v>
      </c>
      <c r="C61" s="279" t="s">
        <v>247</v>
      </c>
      <c r="D61" s="279" t="s">
        <v>222</v>
      </c>
      <c r="E61" s="282" t="s">
        <v>204</v>
      </c>
    </row>
    <row r="62" spans="1:5">
      <c r="A62" s="286">
        <v>148</v>
      </c>
      <c r="B62" s="287">
        <v>-0.02</v>
      </c>
      <c r="C62" s="279" t="s">
        <v>247</v>
      </c>
      <c r="D62" s="279" t="s">
        <v>248</v>
      </c>
      <c r="E62" s="282" t="s">
        <v>204</v>
      </c>
    </row>
    <row r="63" spans="1:5">
      <c r="A63" s="286">
        <v>148</v>
      </c>
      <c r="B63" s="287">
        <v>-48634.53</v>
      </c>
      <c r="C63" s="279" t="s">
        <v>247</v>
      </c>
      <c r="D63" s="279" t="s">
        <v>249</v>
      </c>
      <c r="E63" s="282" t="s">
        <v>204</v>
      </c>
    </row>
    <row r="64" spans="1:5">
      <c r="A64" s="286">
        <v>148</v>
      </c>
      <c r="B64" s="287">
        <v>-3847.25</v>
      </c>
      <c r="C64" s="279" t="s">
        <v>250</v>
      </c>
      <c r="D64" s="289" t="s">
        <v>251</v>
      </c>
      <c r="E64" s="282" t="s">
        <v>204</v>
      </c>
    </row>
    <row r="65" spans="1:5">
      <c r="A65" s="286">
        <v>147</v>
      </c>
      <c r="B65" s="287">
        <v>28.65</v>
      </c>
      <c r="C65" s="279" t="s">
        <v>252</v>
      </c>
      <c r="D65" s="279" t="s">
        <v>222</v>
      </c>
      <c r="E65" s="282" t="s">
        <v>212</v>
      </c>
    </row>
    <row r="66" spans="1:5">
      <c r="A66" s="286">
        <v>148</v>
      </c>
      <c r="B66" s="287">
        <v>1931.73</v>
      </c>
      <c r="C66" s="279" t="s">
        <v>252</v>
      </c>
      <c r="D66" s="279" t="s">
        <v>222</v>
      </c>
      <c r="E66" s="282" t="s">
        <v>204</v>
      </c>
    </row>
    <row r="67" spans="1:5">
      <c r="A67" s="286">
        <v>148</v>
      </c>
      <c r="B67" s="287">
        <v>1.1299999999999999</v>
      </c>
      <c r="C67" s="279" t="s">
        <v>252</v>
      </c>
      <c r="D67" s="279" t="s">
        <v>253</v>
      </c>
      <c r="E67" s="282" t="s">
        <v>204</v>
      </c>
    </row>
    <row r="68" spans="1:5">
      <c r="A68" s="286">
        <v>148</v>
      </c>
      <c r="B68" s="287">
        <v>21868.95</v>
      </c>
      <c r="C68" s="279" t="s">
        <v>254</v>
      </c>
      <c r="D68" s="290" t="s">
        <v>255</v>
      </c>
      <c r="E68" s="282" t="s">
        <v>204</v>
      </c>
    </row>
    <row r="69" spans="1:5">
      <c r="A69" s="286">
        <v>147</v>
      </c>
      <c r="B69" s="291">
        <v>-4094535.67</v>
      </c>
      <c r="C69" s="279" t="s">
        <v>256</v>
      </c>
      <c r="D69" s="279" t="s">
        <v>257</v>
      </c>
      <c r="E69" s="282" t="s">
        <v>212</v>
      </c>
    </row>
    <row r="70" spans="1:5">
      <c r="A70" s="286">
        <v>147</v>
      </c>
      <c r="B70" s="291">
        <v>4822435.29</v>
      </c>
      <c r="C70" s="279" t="s">
        <v>256</v>
      </c>
      <c r="D70" s="279" t="s">
        <v>257</v>
      </c>
      <c r="E70" s="282" t="s">
        <v>212</v>
      </c>
    </row>
    <row r="71" spans="1:5">
      <c r="A71" s="286">
        <v>148</v>
      </c>
      <c r="B71" s="291">
        <v>3338.99</v>
      </c>
      <c r="C71" s="279" t="s">
        <v>256</v>
      </c>
      <c r="D71" s="279" t="s">
        <v>258</v>
      </c>
      <c r="E71" s="282" t="s">
        <v>204</v>
      </c>
    </row>
    <row r="72" spans="1:5">
      <c r="A72" s="286">
        <v>148</v>
      </c>
      <c r="B72" s="291">
        <v>7378026.8700000001</v>
      </c>
      <c r="C72" s="279" t="s">
        <v>256</v>
      </c>
      <c r="D72" s="279" t="s">
        <v>259</v>
      </c>
      <c r="E72" s="282" t="s">
        <v>204</v>
      </c>
    </row>
    <row r="73" spans="1:5">
      <c r="A73" s="286">
        <v>148</v>
      </c>
      <c r="B73" s="291">
        <v>-6264385.5899999999</v>
      </c>
      <c r="C73" s="279" t="s">
        <v>256</v>
      </c>
      <c r="D73" s="279" t="s">
        <v>259</v>
      </c>
      <c r="E73" s="282" t="s">
        <v>204</v>
      </c>
    </row>
    <row r="74" spans="1:5">
      <c r="A74" s="286">
        <v>148</v>
      </c>
      <c r="B74" s="287">
        <v>-9155.58</v>
      </c>
      <c r="C74" s="279" t="s">
        <v>260</v>
      </c>
      <c r="D74" s="279" t="s">
        <v>222</v>
      </c>
      <c r="E74" s="282" t="s">
        <v>204</v>
      </c>
    </row>
    <row r="75" spans="1:5">
      <c r="A75" s="286">
        <v>147</v>
      </c>
      <c r="B75" s="287">
        <v>-727884.36</v>
      </c>
      <c r="C75" s="279" t="s">
        <v>260</v>
      </c>
      <c r="D75" s="279" t="s">
        <v>261</v>
      </c>
      <c r="E75" s="282" t="s">
        <v>212</v>
      </c>
    </row>
    <row r="76" spans="1:5">
      <c r="A76" s="286">
        <v>148</v>
      </c>
      <c r="B76" s="287">
        <v>4.7699999999999996</v>
      </c>
      <c r="C76" s="279" t="s">
        <v>260</v>
      </c>
      <c r="D76" s="279" t="s">
        <v>262</v>
      </c>
      <c r="E76" s="282" t="s">
        <v>204</v>
      </c>
    </row>
    <row r="77" spans="1:5">
      <c r="A77" s="286">
        <v>148</v>
      </c>
      <c r="B77" s="287">
        <v>-1113617.94</v>
      </c>
      <c r="C77" s="279" t="s">
        <v>260</v>
      </c>
      <c r="D77" s="279" t="s">
        <v>263</v>
      </c>
      <c r="E77" s="282" t="s">
        <v>204</v>
      </c>
    </row>
    <row r="78" spans="1:5">
      <c r="A78" s="286">
        <v>148</v>
      </c>
      <c r="B78" s="287">
        <v>-45.25</v>
      </c>
      <c r="C78" s="279" t="s">
        <v>264</v>
      </c>
      <c r="D78" s="279" t="s">
        <v>265</v>
      </c>
      <c r="E78" s="282" t="s">
        <v>204</v>
      </c>
    </row>
    <row r="79" spans="1:5">
      <c r="A79" s="286">
        <v>148</v>
      </c>
      <c r="B79" s="287">
        <v>-254.92</v>
      </c>
      <c r="C79" s="279" t="s">
        <v>266</v>
      </c>
      <c r="D79" s="279"/>
      <c r="E79" s="282" t="s">
        <v>204</v>
      </c>
    </row>
    <row r="80" spans="1:5">
      <c r="A80" s="286">
        <v>148</v>
      </c>
      <c r="B80" s="287">
        <v>45.11</v>
      </c>
      <c r="C80" s="279" t="s">
        <v>267</v>
      </c>
      <c r="D80" s="279" t="s">
        <v>268</v>
      </c>
      <c r="E80" s="282" t="s">
        <v>204</v>
      </c>
    </row>
    <row r="81" spans="1:5">
      <c r="A81" s="286">
        <v>147</v>
      </c>
      <c r="B81" s="287">
        <v>-72.06</v>
      </c>
      <c r="C81" s="279" t="s">
        <v>269</v>
      </c>
      <c r="D81" s="279"/>
      <c r="E81" s="282" t="s">
        <v>212</v>
      </c>
    </row>
    <row r="82" spans="1:5">
      <c r="A82" s="292">
        <v>148</v>
      </c>
      <c r="B82" s="292">
        <v>157588.29999999999</v>
      </c>
      <c r="C82" s="292" t="s">
        <v>269</v>
      </c>
      <c r="D82" s="292"/>
      <c r="E82" s="292" t="s">
        <v>204</v>
      </c>
    </row>
    <row r="83" spans="1:5">
      <c r="A83" s="279">
        <v>148</v>
      </c>
      <c r="B83" s="279">
        <v>-1</v>
      </c>
      <c r="C83" s="279" t="s">
        <v>269</v>
      </c>
      <c r="D83" s="279" t="s">
        <v>270</v>
      </c>
      <c r="E83" s="282" t="s">
        <v>204</v>
      </c>
    </row>
    <row r="84" spans="1:5">
      <c r="A84" s="279">
        <v>148</v>
      </c>
      <c r="B84" s="279">
        <v>-5376.93</v>
      </c>
      <c r="C84" s="279" t="s">
        <v>271</v>
      </c>
      <c r="D84" s="279" t="s">
        <v>272</v>
      </c>
      <c r="E84" s="282" t="s">
        <v>204</v>
      </c>
    </row>
    <row r="85" spans="1:5">
      <c r="A85" s="279">
        <v>147</v>
      </c>
      <c r="B85" s="279">
        <v>-220.49</v>
      </c>
      <c r="C85" s="279" t="s">
        <v>273</v>
      </c>
      <c r="D85" s="279"/>
      <c r="E85" s="282" t="s">
        <v>212</v>
      </c>
    </row>
    <row r="86" spans="1:5">
      <c r="A86" s="279">
        <v>148</v>
      </c>
      <c r="B86" s="279">
        <v>-6999.97</v>
      </c>
      <c r="C86" s="279" t="s">
        <v>273</v>
      </c>
      <c r="D86" s="279"/>
      <c r="E86" s="282" t="s">
        <v>204</v>
      </c>
    </row>
    <row r="87" spans="1:5">
      <c r="A87" s="279">
        <v>148</v>
      </c>
      <c r="B87" s="279">
        <v>-5.84</v>
      </c>
      <c r="C87" s="279" t="s">
        <v>273</v>
      </c>
      <c r="D87" s="279" t="s">
        <v>274</v>
      </c>
      <c r="E87" s="282" t="s">
        <v>204</v>
      </c>
    </row>
    <row r="88" spans="1:5">
      <c r="A88" s="279"/>
      <c r="B88" s="279"/>
      <c r="C88" s="279"/>
      <c r="D88" s="279"/>
      <c r="E88" s="282"/>
    </row>
    <row r="89" spans="1:5">
      <c r="A89" s="279"/>
      <c r="B89" s="279"/>
      <c r="C89" s="279"/>
      <c r="D89" s="279"/>
      <c r="E89" s="282"/>
    </row>
    <row r="90" spans="1:5" ht="15.75">
      <c r="A90" s="279"/>
      <c r="B90" s="280">
        <f>SUM(B5:B11)+SUM(B13:B20)+SUM(B22:B29)+SUM(B31:B37)+B57+B59+B82</f>
        <v>475417.62</v>
      </c>
      <c r="C90" s="279"/>
      <c r="D90" s="279"/>
      <c r="E90" s="6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E44545ECA6CE45B61632A28E1FD8BD" ma:contentTypeVersion="2" ma:contentTypeDescription="Create a new document." ma:contentTypeScope="" ma:versionID="d62d802f2ff0fa6c086605e3e0d5e124">
  <xsd:schema xmlns:xsd="http://www.w3.org/2001/XMLSchema" xmlns:xs="http://www.w3.org/2001/XMLSchema" xmlns:p="http://schemas.microsoft.com/office/2006/metadata/properties" xmlns:ns2="612e369a-65a7-49d3-aac8-0ff92841d23e" targetNamespace="http://schemas.microsoft.com/office/2006/metadata/properties" ma:root="true" ma:fieldsID="0ed5acc6c97573620902ba2a34de9c87" ns2:_="">
    <xsd:import namespace="612e369a-65a7-49d3-aac8-0ff92841d23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2e369a-65a7-49d3-aac8-0ff92841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2D4A90-CF8A-4B02-96B8-B0253B0FBADC}"/>
</file>

<file path=customXml/itemProps2.xml><?xml version="1.0" encoding="utf-8"?>
<ds:datastoreItem xmlns:ds="http://schemas.openxmlformats.org/officeDocument/2006/customXml" ds:itemID="{01928C73-2271-42F7-B0FB-5EFD10E0E78A}"/>
</file>

<file path=customXml/itemProps3.xml><?xml version="1.0" encoding="utf-8"?>
<ds:datastoreItem xmlns:ds="http://schemas.openxmlformats.org/officeDocument/2006/customXml" ds:itemID="{6257664D-B89C-410A-8019-346B589FEB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2018 Analysis</vt:lpstr>
      <vt:lpstr>Rec Item 1a&amp;b - GA Trueup</vt:lpstr>
      <vt:lpstr>GA Detailed Analysis</vt:lpstr>
      <vt:lpstr>GA Rates</vt:lpstr>
      <vt:lpstr>IESO Invoice Adjustment 2018</vt:lpstr>
      <vt:lpstr>List of IESO Adjustments</vt:lpstr>
      <vt:lpstr>'IESO Invoice Adjustment 2018'!_Hlk16073926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Calhoun</dc:creator>
  <cp:lastModifiedBy>Mark Wells</cp:lastModifiedBy>
  <cp:lastPrinted>2019-08-15T15:54:11Z</cp:lastPrinted>
  <dcterms:created xsi:type="dcterms:W3CDTF">2019-01-21T19:37:22Z</dcterms:created>
  <dcterms:modified xsi:type="dcterms:W3CDTF">2019-08-15T18:17:14Z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0x0101004FE44545ECA6CE45B61632A28E1FD8BD</vt:lpwstr>
  </property>
</Properties>
</file>