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ll\OneDrive\Documents\Shelley\THESL CIR 0165\ARGUMENT\Final\"/>
    </mc:Choice>
  </mc:AlternateContent>
  <xr:revisionPtr revIDLastSave="0" documentId="13_ncr:1_{3B9BA7CA-A70C-44CA-A879-5AD4427FBDD9}" xr6:coauthVersionLast="43" xr6:coauthVersionMax="43" xr10:uidLastSave="{00000000-0000-0000-0000-000000000000}"/>
  <bookViews>
    <workbookView xWindow="-120" yWindow="-120" windowWidth="20730" windowHeight="105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Sheet1!$A$3:$AL$32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1" i="1" l="1"/>
  <c r="T11" i="1" l="1"/>
  <c r="AI30" i="1" l="1"/>
  <c r="AH30" i="1"/>
  <c r="AG30" i="1"/>
  <c r="AF30" i="1"/>
  <c r="AE30" i="1"/>
  <c r="AI29" i="1"/>
  <c r="AH29" i="1"/>
  <c r="AG29" i="1"/>
  <c r="AF29" i="1"/>
  <c r="AE29" i="1"/>
  <c r="AK29" i="1" s="1"/>
  <c r="AI28" i="1"/>
  <c r="AH28" i="1"/>
  <c r="AG28" i="1"/>
  <c r="AF28" i="1"/>
  <c r="AE28" i="1"/>
  <c r="AI27" i="1"/>
  <c r="AH27" i="1"/>
  <c r="AG27" i="1"/>
  <c r="AF27" i="1"/>
  <c r="AE27" i="1"/>
  <c r="AI26" i="1"/>
  <c r="AH26" i="1"/>
  <c r="AG26" i="1"/>
  <c r="AF26" i="1"/>
  <c r="AE26" i="1"/>
  <c r="AI25" i="1"/>
  <c r="AH25" i="1"/>
  <c r="AG25" i="1"/>
  <c r="AF25" i="1"/>
  <c r="AE25" i="1"/>
  <c r="AK25" i="1" s="1"/>
  <c r="AI24" i="1"/>
  <c r="AH24" i="1"/>
  <c r="AG24" i="1"/>
  <c r="AF24" i="1"/>
  <c r="AE24" i="1"/>
  <c r="AI22" i="1"/>
  <c r="AH22" i="1"/>
  <c r="AG22" i="1"/>
  <c r="AF22" i="1"/>
  <c r="AE22" i="1"/>
  <c r="AI21" i="1"/>
  <c r="AH21" i="1"/>
  <c r="AG21" i="1"/>
  <c r="AF21" i="1"/>
  <c r="AE21" i="1"/>
  <c r="AI20" i="1"/>
  <c r="AH20" i="1"/>
  <c r="AG20" i="1"/>
  <c r="AF20" i="1"/>
  <c r="AE20" i="1"/>
  <c r="AI19" i="1"/>
  <c r="AH19" i="1"/>
  <c r="AG19" i="1"/>
  <c r="AF19" i="1"/>
  <c r="AE19" i="1"/>
  <c r="AI18" i="1"/>
  <c r="AH18" i="1"/>
  <c r="AG18" i="1"/>
  <c r="AF18" i="1"/>
  <c r="AE18" i="1"/>
  <c r="AI17" i="1"/>
  <c r="AH17" i="1"/>
  <c r="AG17" i="1"/>
  <c r="AF17" i="1"/>
  <c r="AE17" i="1"/>
  <c r="AI16" i="1"/>
  <c r="AH16" i="1"/>
  <c r="AG16" i="1"/>
  <c r="AF16" i="1"/>
  <c r="AE16" i="1"/>
  <c r="AK16" i="1" s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K12" i="1" s="1"/>
  <c r="AI10" i="1"/>
  <c r="AH10" i="1"/>
  <c r="AG10" i="1"/>
  <c r="AF10" i="1"/>
  <c r="AE10" i="1"/>
  <c r="AC30" i="1"/>
  <c r="AD30" i="1" s="1"/>
  <c r="AC29" i="1"/>
  <c r="AD29" i="1" s="1"/>
  <c r="AC28" i="1"/>
  <c r="AD28" i="1" s="1"/>
  <c r="AC27" i="1"/>
  <c r="AD27" i="1" s="1"/>
  <c r="AC26" i="1"/>
  <c r="AD26" i="1" s="1"/>
  <c r="AC25" i="1"/>
  <c r="AD25" i="1" s="1"/>
  <c r="AC24" i="1"/>
  <c r="AD24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5" i="1"/>
  <c r="AD15" i="1" s="1"/>
  <c r="AC14" i="1"/>
  <c r="AD14" i="1" s="1"/>
  <c r="AC13" i="1"/>
  <c r="AD13" i="1" s="1"/>
  <c r="AC12" i="1"/>
  <c r="AD12" i="1" s="1"/>
  <c r="AC10" i="1"/>
  <c r="AD10" i="1" s="1"/>
  <c r="V31" i="1"/>
  <c r="C31" i="1"/>
  <c r="AK10" i="1" l="1"/>
  <c r="AK21" i="1"/>
  <c r="AL21" i="1" s="1"/>
  <c r="AJ14" i="1"/>
  <c r="AJ27" i="1"/>
  <c r="AK15" i="1"/>
  <c r="AL15" i="1" s="1"/>
  <c r="AK28" i="1"/>
  <c r="AL28" i="1" s="1"/>
  <c r="AL10" i="1"/>
  <c r="AK13" i="1"/>
  <c r="AL13" i="1" s="1"/>
  <c r="AK17" i="1"/>
  <c r="AL17" i="1" s="1"/>
  <c r="AK26" i="1"/>
  <c r="AL26" i="1" s="1"/>
  <c r="AK30" i="1"/>
  <c r="AL30" i="1" s="1"/>
  <c r="AJ10" i="1"/>
  <c r="AJ15" i="1"/>
  <c r="AJ19" i="1"/>
  <c r="AK22" i="1"/>
  <c r="AL22" i="1" s="1"/>
  <c r="AJ28" i="1"/>
  <c r="AL12" i="1"/>
  <c r="AL16" i="1"/>
  <c r="AL25" i="1"/>
  <c r="AL29" i="1"/>
  <c r="AJ12" i="1"/>
  <c r="AJ16" i="1"/>
  <c r="AK20" i="1"/>
  <c r="AL20" i="1" s="1"/>
  <c r="AJ25" i="1"/>
  <c r="AJ29" i="1"/>
  <c r="AJ13" i="1"/>
  <c r="AJ17" i="1"/>
  <c r="AJ21" i="1"/>
  <c r="AJ26" i="1"/>
  <c r="AJ30" i="1"/>
  <c r="AK14" i="1"/>
  <c r="AL14" i="1" s="1"/>
  <c r="AK19" i="1"/>
  <c r="AL19" i="1" s="1"/>
  <c r="AK27" i="1"/>
  <c r="AL27" i="1" s="1"/>
  <c r="AJ24" i="1"/>
  <c r="AK24" i="1"/>
  <c r="AL24" i="1" s="1"/>
  <c r="AJ20" i="1"/>
  <c r="AJ22" i="1"/>
  <c r="AJ18" i="1"/>
  <c r="AK18" i="1"/>
  <c r="I30" i="1"/>
  <c r="P30" i="1" s="1"/>
  <c r="H30" i="1"/>
  <c r="G30" i="1"/>
  <c r="F30" i="1"/>
  <c r="M30" i="1" s="1"/>
  <c r="E30" i="1"/>
  <c r="L30" i="1" s="1"/>
  <c r="O30" i="1"/>
  <c r="N30" i="1"/>
  <c r="I29" i="1"/>
  <c r="P29" i="1" s="1"/>
  <c r="H29" i="1"/>
  <c r="G29" i="1"/>
  <c r="N29" i="1" s="1"/>
  <c r="F29" i="1"/>
  <c r="M29" i="1" s="1"/>
  <c r="E29" i="1"/>
  <c r="O29" i="1"/>
  <c r="I28" i="1"/>
  <c r="P28" i="1" s="1"/>
  <c r="H28" i="1"/>
  <c r="O28" i="1" s="1"/>
  <c r="G28" i="1"/>
  <c r="N28" i="1" s="1"/>
  <c r="F28" i="1"/>
  <c r="M28" i="1" s="1"/>
  <c r="E28" i="1"/>
  <c r="L28" i="1" s="1"/>
  <c r="I27" i="1"/>
  <c r="H27" i="1"/>
  <c r="O27" i="1" s="1"/>
  <c r="G27" i="1"/>
  <c r="N27" i="1" s="1"/>
  <c r="F27" i="1"/>
  <c r="M27" i="1" s="1"/>
  <c r="P27" i="1"/>
  <c r="E27" i="1"/>
  <c r="L27" i="1" s="1"/>
  <c r="I26" i="1"/>
  <c r="P26" i="1" s="1"/>
  <c r="H26" i="1"/>
  <c r="O26" i="1" s="1"/>
  <c r="G26" i="1"/>
  <c r="F26" i="1"/>
  <c r="M26" i="1" s="1"/>
  <c r="E26" i="1"/>
  <c r="I25" i="1"/>
  <c r="P25" i="1" s="1"/>
  <c r="H25" i="1"/>
  <c r="O25" i="1" s="1"/>
  <c r="G25" i="1"/>
  <c r="F25" i="1"/>
  <c r="M25" i="1" s="1"/>
  <c r="E25" i="1"/>
  <c r="I24" i="1"/>
  <c r="P24" i="1" s="1"/>
  <c r="H24" i="1"/>
  <c r="O24" i="1" s="1"/>
  <c r="G24" i="1"/>
  <c r="N24" i="1" s="1"/>
  <c r="F24" i="1"/>
  <c r="M24" i="1" s="1"/>
  <c r="E24" i="1"/>
  <c r="H23" i="1"/>
  <c r="I23" i="1"/>
  <c r="P23" i="1" s="1"/>
  <c r="G23" i="1"/>
  <c r="F23" i="1"/>
  <c r="M23" i="1" s="1"/>
  <c r="O23" i="1"/>
  <c r="E23" i="1"/>
  <c r="L23" i="1" s="1"/>
  <c r="I22" i="1"/>
  <c r="P22" i="1" s="1"/>
  <c r="H22" i="1"/>
  <c r="O22" i="1" s="1"/>
  <c r="G22" i="1"/>
  <c r="F22" i="1"/>
  <c r="M22" i="1" s="1"/>
  <c r="E22" i="1"/>
  <c r="L22" i="1" s="1"/>
  <c r="I21" i="1"/>
  <c r="P21" i="1" s="1"/>
  <c r="H21" i="1"/>
  <c r="O21" i="1" s="1"/>
  <c r="G21" i="1"/>
  <c r="F21" i="1"/>
  <c r="M21" i="1" s="1"/>
  <c r="E21" i="1"/>
  <c r="L21" i="1" s="1"/>
  <c r="I20" i="1"/>
  <c r="H20" i="1"/>
  <c r="O20" i="1" s="1"/>
  <c r="G20" i="1"/>
  <c r="N20" i="1" s="1"/>
  <c r="F20" i="1"/>
  <c r="M20" i="1" s="1"/>
  <c r="P20" i="1"/>
  <c r="E20" i="1"/>
  <c r="L20" i="1" s="1"/>
  <c r="I19" i="1"/>
  <c r="P19" i="1" s="1"/>
  <c r="H19" i="1"/>
  <c r="O19" i="1" s="1"/>
  <c r="G19" i="1"/>
  <c r="F19" i="1"/>
  <c r="M19" i="1" s="1"/>
  <c r="E19" i="1"/>
  <c r="L19" i="1" s="1"/>
  <c r="I18" i="1"/>
  <c r="P18" i="1" s="1"/>
  <c r="H18" i="1"/>
  <c r="O18" i="1" s="1"/>
  <c r="G18" i="1"/>
  <c r="F18" i="1"/>
  <c r="M18" i="1" s="1"/>
  <c r="E18" i="1"/>
  <c r="L18" i="1" s="1"/>
  <c r="I17" i="1"/>
  <c r="H17" i="1"/>
  <c r="O17" i="1" s="1"/>
  <c r="G17" i="1"/>
  <c r="F17" i="1"/>
  <c r="M17" i="1" s="1"/>
  <c r="P17" i="1"/>
  <c r="E17" i="1"/>
  <c r="L17" i="1" s="1"/>
  <c r="I16" i="1"/>
  <c r="P16" i="1" s="1"/>
  <c r="H16" i="1"/>
  <c r="O16" i="1" s="1"/>
  <c r="G16" i="1"/>
  <c r="F16" i="1"/>
  <c r="M16" i="1" s="1"/>
  <c r="E16" i="1"/>
  <c r="L16" i="1" s="1"/>
  <c r="H15" i="1"/>
  <c r="O15" i="1" s="1"/>
  <c r="G15" i="1"/>
  <c r="F15" i="1"/>
  <c r="M15" i="1" s="1"/>
  <c r="E15" i="1"/>
  <c r="L15" i="1" s="1"/>
  <c r="I15" i="1"/>
  <c r="P15" i="1" s="1"/>
  <c r="I14" i="1"/>
  <c r="P14" i="1" s="1"/>
  <c r="H14" i="1"/>
  <c r="O14" i="1" s="1"/>
  <c r="G14" i="1"/>
  <c r="F14" i="1"/>
  <c r="M14" i="1" s="1"/>
  <c r="E14" i="1"/>
  <c r="L14" i="1" s="1"/>
  <c r="I12" i="1"/>
  <c r="P12" i="1" s="1"/>
  <c r="H12" i="1"/>
  <c r="O12" i="1" s="1"/>
  <c r="G12" i="1"/>
  <c r="N12" i="1" s="1"/>
  <c r="F12" i="1"/>
  <c r="M12" i="1" s="1"/>
  <c r="E12" i="1"/>
  <c r="L12" i="1" s="1"/>
  <c r="I13" i="1"/>
  <c r="P13" i="1" s="1"/>
  <c r="H13" i="1"/>
  <c r="O13" i="1" s="1"/>
  <c r="G13" i="1"/>
  <c r="N13" i="1" s="1"/>
  <c r="F13" i="1"/>
  <c r="M13" i="1" s="1"/>
  <c r="E13" i="1"/>
  <c r="L13" i="1" s="1"/>
  <c r="I11" i="1"/>
  <c r="P11" i="1" s="1"/>
  <c r="H11" i="1"/>
  <c r="O11" i="1" s="1"/>
  <c r="F11" i="1"/>
  <c r="M11" i="1" s="1"/>
  <c r="G11" i="1"/>
  <c r="E11" i="1"/>
  <c r="L11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I10" i="1"/>
  <c r="P10" i="1" s="1"/>
  <c r="H10" i="1"/>
  <c r="O10" i="1" s="1"/>
  <c r="G10" i="1"/>
  <c r="F10" i="1"/>
  <c r="M10" i="1" s="1"/>
  <c r="E10" i="1"/>
  <c r="AL18" i="1" l="1"/>
  <c r="AL31" i="1" s="1"/>
  <c r="AK31" i="1"/>
  <c r="AK32" i="1" s="1"/>
  <c r="J26" i="1"/>
  <c r="K26" i="1" s="1"/>
  <c r="L26" i="1"/>
  <c r="R26" i="1" s="1"/>
  <c r="N14" i="1"/>
  <c r="Q14" i="1" s="1"/>
  <c r="N18" i="1"/>
  <c r="J24" i="1"/>
  <c r="K24" i="1" s="1"/>
  <c r="R20" i="1"/>
  <c r="S20" i="1" s="1"/>
  <c r="R12" i="1"/>
  <c r="S12" i="1" s="1"/>
  <c r="N26" i="1"/>
  <c r="R30" i="1"/>
  <c r="S30" i="1" s="1"/>
  <c r="J12" i="1"/>
  <c r="K12" i="1" s="1"/>
  <c r="N22" i="1"/>
  <c r="Q22" i="1" s="1"/>
  <c r="R13" i="1"/>
  <c r="S13" i="1" s="1"/>
  <c r="N19" i="1"/>
  <c r="Q19" i="1" s="1"/>
  <c r="R27" i="1"/>
  <c r="S27" i="1" s="1"/>
  <c r="J10" i="1"/>
  <c r="K10" i="1" s="1"/>
  <c r="N11" i="1"/>
  <c r="R15" i="1"/>
  <c r="J18" i="1"/>
  <c r="K18" i="1" s="1"/>
  <c r="N23" i="1"/>
  <c r="R16" i="1"/>
  <c r="R19" i="1"/>
  <c r="S19" i="1" s="1"/>
  <c r="J15" i="1"/>
  <c r="K15" i="1" s="1"/>
  <c r="N21" i="1"/>
  <c r="R28" i="1"/>
  <c r="S28" i="1" s="1"/>
  <c r="R14" i="1"/>
  <c r="R17" i="1"/>
  <c r="R22" i="1"/>
  <c r="S22" i="1" s="1"/>
  <c r="J25" i="1"/>
  <c r="K25" i="1" s="1"/>
  <c r="J27" i="1"/>
  <c r="K27" i="1" s="1"/>
  <c r="R18" i="1"/>
  <c r="S18" i="1" s="1"/>
  <c r="N10" i="1"/>
  <c r="N16" i="1"/>
  <c r="N17" i="1"/>
  <c r="R21" i="1"/>
  <c r="R23" i="1"/>
  <c r="S23" i="1" s="1"/>
  <c r="L24" i="1"/>
  <c r="R24" i="1" s="1"/>
  <c r="S24" i="1" s="1"/>
  <c r="N25" i="1"/>
  <c r="J23" i="1"/>
  <c r="K23" i="1" s="1"/>
  <c r="J29" i="1"/>
  <c r="K29" i="1" s="1"/>
  <c r="R11" i="1"/>
  <c r="S11" i="1" s="1"/>
  <c r="J11" i="1"/>
  <c r="K11" i="1" s="1"/>
  <c r="J19" i="1"/>
  <c r="K19" i="1" s="1"/>
  <c r="J14" i="1"/>
  <c r="K14" i="1" s="1"/>
  <c r="J22" i="1"/>
  <c r="K22" i="1" s="1"/>
  <c r="L25" i="1"/>
  <c r="R25" i="1" s="1"/>
  <c r="S25" i="1" s="1"/>
  <c r="J13" i="1"/>
  <c r="K13" i="1" s="1"/>
  <c r="J17" i="1"/>
  <c r="K17" i="1" s="1"/>
  <c r="J21" i="1"/>
  <c r="K21" i="1" s="1"/>
  <c r="L29" i="1"/>
  <c r="R29" i="1" s="1"/>
  <c r="S29" i="1" s="1"/>
  <c r="N15" i="1"/>
  <c r="Q15" i="1" s="1"/>
  <c r="J16" i="1"/>
  <c r="K16" i="1" s="1"/>
  <c r="J20" i="1"/>
  <c r="K20" i="1" s="1"/>
  <c r="J28" i="1"/>
  <c r="K28" i="1" s="1"/>
  <c r="Q30" i="1"/>
  <c r="J30" i="1"/>
  <c r="K30" i="1" s="1"/>
  <c r="Q28" i="1"/>
  <c r="Q20" i="1"/>
  <c r="Q13" i="1"/>
  <c r="Q12" i="1"/>
  <c r="L10" i="1"/>
  <c r="S14" i="1" l="1"/>
  <c r="S15" i="1"/>
  <c r="S21" i="1"/>
  <c r="S16" i="1"/>
  <c r="S17" i="1"/>
  <c r="S26" i="1"/>
  <c r="Q24" i="1"/>
  <c r="Q26" i="1"/>
  <c r="Q18" i="1"/>
  <c r="Q27" i="1"/>
  <c r="Q23" i="1"/>
  <c r="Q11" i="1"/>
  <c r="Q17" i="1"/>
  <c r="Q21" i="1"/>
  <c r="Q16" i="1"/>
  <c r="Q25" i="1"/>
  <c r="Q29" i="1"/>
  <c r="Q10" i="1"/>
  <c r="R10" i="1"/>
  <c r="S10" i="1" s="1"/>
  <c r="S31" i="1" s="1"/>
  <c r="R31" i="1" l="1"/>
  <c r="R32" i="1" s="1"/>
</calcChain>
</file>

<file path=xl/sharedStrings.xml><?xml version="1.0" encoding="utf-8"?>
<sst xmlns="http://schemas.openxmlformats.org/spreadsheetml/2006/main" count="87" uniqueCount="47">
  <si>
    <t>Asset</t>
  </si>
  <si>
    <t>% very poor</t>
  </si>
  <si>
    <t>% fair</t>
  </si>
  <si>
    <t>% very good</t>
  </si>
  <si>
    <t>% poor</t>
  </si>
  <si>
    <t>% good</t>
  </si>
  <si>
    <t># very poor</t>
  </si>
  <si>
    <t># poor</t>
  </si>
  <si>
    <t># fair</t>
  </si>
  <si>
    <t># good</t>
  </si>
  <si>
    <t># very good</t>
  </si>
  <si>
    <t>Population</t>
  </si>
  <si>
    <t>Total</t>
  </si>
  <si>
    <t>Station Switchgear</t>
  </si>
  <si>
    <t>Air Blast Circuit Breakers</t>
  </si>
  <si>
    <t>Sample Size %</t>
  </si>
  <si>
    <t>Air Magnetic Circuit Breakers</t>
  </si>
  <si>
    <t>Oil Circuit Breakers</t>
  </si>
  <si>
    <t>Oil KSO Breakers</t>
  </si>
  <si>
    <t>SF6 Circuit Breaker</t>
  </si>
  <si>
    <t>Vacuum Circuit Breakers</t>
  </si>
  <si>
    <t>Submersible Transformers</t>
  </si>
  <si>
    <t>Vault Transformers</t>
  </si>
  <si>
    <t>Padmounted Transformers</t>
  </si>
  <si>
    <t>Padmounted Switches</t>
  </si>
  <si>
    <t>3 Phase O/H Gang Manual Switches</t>
  </si>
  <si>
    <t>3 Phase O/H Gang Remote Switches</t>
  </si>
  <si>
    <t>SCADAMATE Switches</t>
  </si>
  <si>
    <t>Wood Poles</t>
  </si>
  <si>
    <t>Automatic Transfer Switches</t>
  </si>
  <si>
    <t>Network Transformers</t>
  </si>
  <si>
    <t>Network Protectors</t>
  </si>
  <si>
    <t>Network Vaults</t>
  </si>
  <si>
    <t>Cable Cambers</t>
  </si>
  <si>
    <t>Station Power Transformer</t>
  </si>
  <si>
    <t>% very poor &amp; poor</t>
  </si>
  <si>
    <t>% very poor,  poor &amp; fair</t>
  </si>
  <si>
    <t># very poor &amp; poor</t>
  </si>
  <si>
    <t># very poor,  poor &amp; fair</t>
  </si>
  <si>
    <t>TOTAL</t>
  </si>
  <si>
    <t>2B-AMPCO-42 (a) ACA from EB-2014-0116</t>
  </si>
  <si>
    <t>EB-2018-0165</t>
  </si>
  <si>
    <t>AMPCO_SUB_THESL_20190828_Appendix A</t>
  </si>
  <si>
    <t>2014 ACA Results - Kinectrics Methodology</t>
  </si>
  <si>
    <t>2016 ACA Results - Kinectrics Methodology</t>
  </si>
  <si>
    <t>Original AMPCO ACA Table - Panel 1 - Uncorrected</t>
  </si>
  <si>
    <t>2B-AMPCO-48 2016 ACA from EB-2018-0165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</si>
</sst>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2" fontId="0" fillId="0" borderId="0" xfId="0" applyNumberFormat="1"/>
    <xf numFmtId="0" fontId="0" fillId="0" borderId="0" xfId="0" applyBorder="1"/>
    <xf numFmtId="0" fontId="1" fillId="0" borderId="0" xfId="0" applyFont="1" applyBorder="1"/>
    <xf numFmtId="2" fontId="0" fillId="0" borderId="0" xfId="0" applyNumberFormat="1" applyBorder="1"/>
    <xf numFmtId="0" fontId="2" fillId="0" borderId="0" xfId="0" applyFont="1"/>
    <xf numFmtId="2" fontId="2" fillId="0" borderId="0" xfId="0" applyNumberFormat="1" applyFont="1"/>
    <xf numFmtId="0" fontId="2" fillId="0" borderId="4" xfId="0" applyFont="1" applyBorder="1"/>
    <xf numFmtId="0" fontId="3" fillId="0" borderId="0" xfId="0" applyFont="1" applyBorder="1"/>
    <xf numFmtId="2" fontId="3" fillId="0" borderId="0" xfId="0" applyNumberFormat="1" applyFont="1" applyBorder="1"/>
    <xf numFmtId="0" fontId="2" fillId="0" borderId="0" xfId="0" applyFont="1" applyBorder="1"/>
    <xf numFmtId="0" fontId="3" fillId="0" borderId="0" xfId="0" applyFont="1"/>
    <xf numFmtId="0" fontId="3" fillId="0" borderId="8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2" fontId="3" fillId="0" borderId="7" xfId="0" applyNumberFormat="1" applyFont="1" applyBorder="1" applyAlignment="1">
      <alignment horizontal="right" wrapText="1"/>
    </xf>
    <xf numFmtId="0" fontId="3" fillId="0" borderId="6" xfId="0" applyFont="1" applyBorder="1" applyAlignment="1">
      <alignment horizontal="right" wrapText="1"/>
    </xf>
    <xf numFmtId="0" fontId="3" fillId="0" borderId="17" xfId="0" applyFont="1" applyBorder="1" applyAlignment="1">
      <alignment horizontal="right" wrapText="1"/>
    </xf>
    <xf numFmtId="0" fontId="3" fillId="0" borderId="1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3" fillId="0" borderId="10" xfId="0" applyFont="1" applyBorder="1" applyAlignment="1">
      <alignment horizontal="right"/>
    </xf>
    <xf numFmtId="0" fontId="3" fillId="0" borderId="10" xfId="0" applyFont="1" applyBorder="1" applyAlignment="1">
      <alignment horizontal="right" wrapText="1"/>
    </xf>
    <xf numFmtId="0" fontId="3" fillId="0" borderId="10" xfId="0" applyFont="1" applyFill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2" fillId="0" borderId="6" xfId="0" applyFont="1" applyBorder="1"/>
    <xf numFmtId="2" fontId="3" fillId="0" borderId="6" xfId="0" applyNumberFormat="1" applyFont="1" applyBorder="1" applyAlignment="1">
      <alignment horizontal="right" wrapText="1"/>
    </xf>
    <xf numFmtId="2" fontId="3" fillId="0" borderId="21" xfId="0" applyNumberFormat="1" applyFont="1" applyBorder="1" applyAlignment="1">
      <alignment horizontal="right" wrapText="1"/>
    </xf>
    <xf numFmtId="2" fontId="3" fillId="0" borderId="18" xfId="0" applyNumberFormat="1" applyFont="1" applyBorder="1" applyAlignment="1">
      <alignment horizontal="right" wrapText="1"/>
    </xf>
    <xf numFmtId="2" fontId="2" fillId="0" borderId="2" xfId="0" applyNumberFormat="1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0" xfId="0" applyFont="1" applyBorder="1" applyAlignment="1">
      <alignment horizontal="center"/>
    </xf>
    <xf numFmtId="10" fontId="2" fillId="0" borderId="0" xfId="0" applyNumberFormat="1" applyFont="1" applyBorder="1"/>
    <xf numFmtId="10" fontId="4" fillId="0" borderId="0" xfId="0" applyNumberFormat="1" applyFont="1" applyBorder="1"/>
    <xf numFmtId="10" fontId="2" fillId="0" borderId="12" xfId="0" applyNumberFormat="1" applyFont="1" applyBorder="1"/>
    <xf numFmtId="10" fontId="2" fillId="0" borderId="13" xfId="0" applyNumberFormat="1" applyFont="1" applyBorder="1"/>
    <xf numFmtId="1" fontId="2" fillId="0" borderId="12" xfId="0" applyNumberFormat="1" applyFont="1" applyBorder="1"/>
    <xf numFmtId="1" fontId="2" fillId="0" borderId="0" xfId="0" applyNumberFormat="1" applyFont="1" applyBorder="1"/>
    <xf numFmtId="1" fontId="2" fillId="0" borderId="13" xfId="0" applyNumberFormat="1" applyFont="1" applyBorder="1"/>
    <xf numFmtId="0" fontId="2" fillId="0" borderId="0" xfId="0" applyFont="1" applyAlignment="1">
      <alignment horizontal="center"/>
    </xf>
    <xf numFmtId="10" fontId="2" fillId="0" borderId="0" xfId="0" applyNumberFormat="1" applyFont="1"/>
    <xf numFmtId="0" fontId="2" fillId="0" borderId="5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3" xfId="0" applyNumberFormat="1" applyFont="1" applyBorder="1"/>
    <xf numFmtId="10" fontId="2" fillId="0" borderId="1" xfId="0" applyNumberFormat="1" applyFont="1" applyBorder="1"/>
    <xf numFmtId="10" fontId="2" fillId="0" borderId="19" xfId="0" applyNumberFormat="1" applyFont="1" applyBorder="1"/>
    <xf numFmtId="10" fontId="2" fillId="0" borderId="20" xfId="0" applyNumberFormat="1" applyFont="1" applyBorder="1"/>
    <xf numFmtId="1" fontId="2" fillId="0" borderId="14" xfId="0" applyNumberFormat="1" applyFont="1" applyBorder="1"/>
    <xf numFmtId="1" fontId="2" fillId="0" borderId="15" xfId="0" applyNumberFormat="1" applyFont="1" applyBorder="1"/>
    <xf numFmtId="1" fontId="2" fillId="0" borderId="16" xfId="0" applyNumberFormat="1" applyFont="1" applyBorder="1"/>
    <xf numFmtId="2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10" fontId="3" fillId="0" borderId="0" xfId="0" applyNumberFormat="1" applyFont="1" applyBorder="1"/>
    <xf numFmtId="1" fontId="3" fillId="0" borderId="0" xfId="0" applyNumberFormat="1" applyFont="1" applyBorder="1"/>
    <xf numFmtId="1" fontId="3" fillId="0" borderId="2" xfId="0" applyNumberFormat="1" applyFont="1" applyBorder="1"/>
    <xf numFmtId="9" fontId="3" fillId="0" borderId="3" xfId="0" applyNumberFormat="1" applyFont="1" applyFill="1" applyBorder="1"/>
    <xf numFmtId="0" fontId="3" fillId="0" borderId="3" xfId="0" applyFont="1" applyBorder="1"/>
    <xf numFmtId="0" fontId="2" fillId="0" borderId="17" xfId="0" applyFont="1" applyBorder="1"/>
    <xf numFmtId="0" fontId="5" fillId="0" borderId="4" xfId="0" applyFont="1" applyFill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/>
    <xf numFmtId="10" fontId="5" fillId="0" borderId="0" xfId="0" applyNumberFormat="1" applyFont="1" applyBorder="1"/>
    <xf numFmtId="1" fontId="5" fillId="0" borderId="0" xfId="0" applyNumberFormat="1" applyFont="1" applyBorder="1"/>
    <xf numFmtId="0" fontId="5" fillId="0" borderId="5" xfId="0" applyFont="1" applyBorder="1"/>
    <xf numFmtId="0" fontId="5" fillId="0" borderId="1" xfId="0" applyFont="1" applyBorder="1"/>
    <xf numFmtId="2" fontId="5" fillId="0" borderId="1" xfId="0" applyNumberFormat="1" applyFont="1" applyBorder="1"/>
    <xf numFmtId="9" fontId="5" fillId="0" borderId="1" xfId="0" applyNumberFormat="1" applyFont="1" applyFill="1" applyBorder="1"/>
    <xf numFmtId="0" fontId="5" fillId="0" borderId="0" xfId="0" applyFont="1" applyBorder="1"/>
    <xf numFmtId="10" fontId="5" fillId="0" borderId="1" xfId="0" applyNumberFormat="1" applyFont="1" applyBorder="1"/>
    <xf numFmtId="0" fontId="3" fillId="0" borderId="4" xfId="0" applyFont="1" applyBorder="1"/>
    <xf numFmtId="2" fontId="3" fillId="0" borderId="2" xfId="0" applyNumberFormat="1" applyFont="1" applyBorder="1"/>
    <xf numFmtId="10" fontId="3" fillId="0" borderId="12" xfId="0" applyNumberFormat="1" applyFont="1" applyBorder="1"/>
    <xf numFmtId="10" fontId="3" fillId="0" borderId="13" xfId="0" applyNumberFormat="1" applyFont="1" applyBorder="1"/>
    <xf numFmtId="1" fontId="3" fillId="0" borderId="12" xfId="0" applyNumberFormat="1" applyFont="1" applyBorder="1"/>
    <xf numFmtId="1" fontId="3" fillId="0" borderId="13" xfId="0" applyNumberFormat="1" applyFont="1" applyBorder="1"/>
    <xf numFmtId="0" fontId="3" fillId="0" borderId="0" xfId="0" applyFont="1" applyAlignment="1">
      <alignment horizontal="center"/>
    </xf>
    <xf numFmtId="2" fontId="3" fillId="0" borderId="0" xfId="0" applyNumberFormat="1" applyFont="1"/>
    <xf numFmtId="10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"/>
  <sheetViews>
    <sheetView tabSelected="1" topLeftCell="B1" workbookViewId="0">
      <selection activeCell="C6" sqref="C6"/>
    </sheetView>
  </sheetViews>
  <sheetFormatPr defaultRowHeight="15" x14ac:dyDescent="0.25"/>
  <cols>
    <col min="1" max="1" width="3" customWidth="1"/>
    <col min="2" max="2" width="29.28515625" customWidth="1"/>
    <col min="3" max="3" width="8.85546875" customWidth="1"/>
    <col min="4" max="4" width="8.140625" style="1" customWidth="1"/>
    <col min="5" max="5" width="7.7109375" customWidth="1"/>
    <col min="6" max="6" width="7.42578125" customWidth="1"/>
    <col min="7" max="7" width="7.140625" customWidth="1"/>
    <col min="8" max="8" width="7.42578125" customWidth="1"/>
    <col min="9" max="9" width="7.28515625" customWidth="1"/>
    <col min="10" max="10" width="8.42578125" customWidth="1"/>
    <col min="11" max="11" width="9.28515625" customWidth="1"/>
    <col min="12" max="19" width="6.7109375" customWidth="1"/>
    <col min="20" max="20" width="3.140625" customWidth="1"/>
    <col min="21" max="21" width="29.5703125" customWidth="1"/>
    <col min="22" max="22" width="9.28515625" customWidth="1"/>
    <col min="23" max="29" width="9.140625" customWidth="1"/>
    <col min="30" max="30" width="0.28515625" customWidth="1"/>
    <col min="31" max="36" width="6.7109375" customWidth="1"/>
    <col min="37" max="37" width="8" customWidth="1"/>
  </cols>
  <sheetData>
    <row r="1" spans="1:38" x14ac:dyDescent="0.25">
      <c r="B1" t="s">
        <v>42</v>
      </c>
    </row>
    <row r="3" spans="1:38" x14ac:dyDescent="0.25">
      <c r="A3" s="2"/>
      <c r="B3" s="3" t="s">
        <v>41</v>
      </c>
      <c r="C3" s="2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8" x14ac:dyDescent="0.25">
      <c r="A4" s="10"/>
      <c r="B4" s="8" t="s">
        <v>45</v>
      </c>
      <c r="C4" s="10"/>
      <c r="D4" s="5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5"/>
      <c r="U4" s="5"/>
      <c r="V4" s="5"/>
      <c r="W4" s="6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x14ac:dyDescent="0.25">
      <c r="A5" s="42"/>
      <c r="B5" s="8" t="s">
        <v>40</v>
      </c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0"/>
      <c r="R5" s="8"/>
      <c r="S5" s="8"/>
      <c r="T5" s="5"/>
      <c r="U5" s="11" t="s">
        <v>46</v>
      </c>
      <c r="V5" s="5"/>
      <c r="W5" s="6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x14ac:dyDescent="0.25">
      <c r="A6" s="42"/>
      <c r="B6" s="8"/>
      <c r="C6" s="8"/>
      <c r="D6" s="9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10"/>
      <c r="R6" s="8"/>
      <c r="S6" s="8"/>
      <c r="T6" s="5"/>
      <c r="U6" s="11"/>
      <c r="V6" s="5"/>
      <c r="W6" s="6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15.75" thickBot="1" x14ac:dyDescent="0.3">
      <c r="A7" s="42"/>
      <c r="B7" s="68" t="s">
        <v>43</v>
      </c>
      <c r="C7" s="8"/>
      <c r="D7" s="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0"/>
      <c r="R7" s="8"/>
      <c r="S7" s="8"/>
      <c r="T7" s="5"/>
      <c r="U7" s="68" t="s">
        <v>44</v>
      </c>
      <c r="V7" s="5"/>
      <c r="W7" s="6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57.75" customHeight="1" thickTop="1" x14ac:dyDescent="0.25">
      <c r="A8" s="12"/>
      <c r="B8" s="13" t="s">
        <v>0</v>
      </c>
      <c r="C8" s="14" t="s">
        <v>11</v>
      </c>
      <c r="D8" s="15" t="s">
        <v>15</v>
      </c>
      <c r="E8" s="16" t="s">
        <v>1</v>
      </c>
      <c r="F8" s="16" t="s">
        <v>4</v>
      </c>
      <c r="G8" s="16" t="s">
        <v>2</v>
      </c>
      <c r="H8" s="16" t="s">
        <v>5</v>
      </c>
      <c r="I8" s="16" t="s">
        <v>3</v>
      </c>
      <c r="J8" s="17" t="s">
        <v>35</v>
      </c>
      <c r="K8" s="18" t="s">
        <v>36</v>
      </c>
      <c r="L8" s="19" t="s">
        <v>6</v>
      </c>
      <c r="M8" s="20" t="s">
        <v>7</v>
      </c>
      <c r="N8" s="21" t="s">
        <v>8</v>
      </c>
      <c r="O8" s="21" t="s">
        <v>9</v>
      </c>
      <c r="P8" s="21" t="s">
        <v>10</v>
      </c>
      <c r="Q8" s="22" t="s">
        <v>12</v>
      </c>
      <c r="R8" s="19" t="s">
        <v>37</v>
      </c>
      <c r="S8" s="23" t="s">
        <v>38</v>
      </c>
      <c r="T8" s="58"/>
      <c r="U8" s="24" t="s">
        <v>0</v>
      </c>
      <c r="V8" s="15" t="s">
        <v>11</v>
      </c>
      <c r="W8" s="15" t="s">
        <v>15</v>
      </c>
      <c r="X8" s="15" t="s">
        <v>1</v>
      </c>
      <c r="Y8" s="15" t="s">
        <v>4</v>
      </c>
      <c r="Z8" s="15" t="s">
        <v>2</v>
      </c>
      <c r="AA8" s="15" t="s">
        <v>5</v>
      </c>
      <c r="AB8" s="15" t="s">
        <v>3</v>
      </c>
      <c r="AC8" s="15" t="s">
        <v>35</v>
      </c>
      <c r="AD8" s="25" t="s">
        <v>36</v>
      </c>
      <c r="AE8" s="26" t="s">
        <v>6</v>
      </c>
      <c r="AF8" s="15" t="s">
        <v>7</v>
      </c>
      <c r="AG8" s="15" t="s">
        <v>8</v>
      </c>
      <c r="AH8" s="15" t="s">
        <v>9</v>
      </c>
      <c r="AI8" s="15" t="s">
        <v>10</v>
      </c>
      <c r="AJ8" s="27" t="s">
        <v>12</v>
      </c>
      <c r="AK8" s="15" t="s">
        <v>37</v>
      </c>
      <c r="AL8" s="27" t="s">
        <v>38</v>
      </c>
    </row>
    <row r="9" spans="1:38" x14ac:dyDescent="0.25">
      <c r="A9" s="7"/>
      <c r="B9" s="10"/>
      <c r="C9" s="10"/>
      <c r="D9" s="28"/>
      <c r="E9" s="10"/>
      <c r="F9" s="10"/>
      <c r="G9" s="10"/>
      <c r="H9" s="10"/>
      <c r="I9" s="10"/>
      <c r="J9" s="29"/>
      <c r="K9" s="30"/>
      <c r="L9" s="29"/>
      <c r="M9" s="10"/>
      <c r="N9" s="10"/>
      <c r="O9" s="10"/>
      <c r="P9" s="10"/>
      <c r="Q9" s="10"/>
      <c r="R9" s="29"/>
      <c r="S9" s="30"/>
      <c r="T9" s="7"/>
      <c r="U9" s="10"/>
      <c r="V9" s="5"/>
      <c r="W9" s="6"/>
      <c r="X9" s="5"/>
      <c r="Y9" s="5"/>
      <c r="Z9" s="5"/>
      <c r="AA9" s="5"/>
      <c r="AB9" s="5"/>
      <c r="AC9" s="5"/>
      <c r="AD9" s="5"/>
      <c r="AE9" s="29"/>
      <c r="AF9" s="10"/>
      <c r="AG9" s="10"/>
      <c r="AH9" s="10"/>
      <c r="AI9" s="10"/>
      <c r="AJ9" s="30"/>
      <c r="AK9" s="10"/>
      <c r="AL9" s="30"/>
    </row>
    <row r="10" spans="1:38" x14ac:dyDescent="0.25">
      <c r="A10" s="7">
        <v>1</v>
      </c>
      <c r="B10" s="10" t="s">
        <v>34</v>
      </c>
      <c r="C10" s="31">
        <v>268</v>
      </c>
      <c r="D10" s="28">
        <v>90.3</v>
      </c>
      <c r="E10" s="32">
        <f>124%/100</f>
        <v>1.24E-2</v>
      </c>
      <c r="F10" s="32">
        <f>1364%/100</f>
        <v>0.13639999999999999</v>
      </c>
      <c r="G10" s="33">
        <f>4959%/100</f>
        <v>0.49590000000000001</v>
      </c>
      <c r="H10" s="32">
        <f>2314%/100</f>
        <v>0.23139999999999999</v>
      </c>
      <c r="I10" s="32">
        <f>1240%/100</f>
        <v>0.124</v>
      </c>
      <c r="J10" s="34">
        <f t="shared" ref="J10:J30" si="0">SUM(E10:F10)</f>
        <v>0.14879999999999999</v>
      </c>
      <c r="K10" s="35">
        <f>J10+G10</f>
        <v>0.64470000000000005</v>
      </c>
      <c r="L10" s="36">
        <f t="shared" ref="L10:L30" si="1">C10*E10</f>
        <v>3.3231999999999999</v>
      </c>
      <c r="M10" s="37">
        <f t="shared" ref="M10:M30" si="2">C10*F10</f>
        <v>36.555199999999999</v>
      </c>
      <c r="N10" s="37">
        <f t="shared" ref="N10:N30" si="3">C10*G10</f>
        <v>132.90119999999999</v>
      </c>
      <c r="O10" s="37">
        <f t="shared" ref="O10:O30" si="4">C10*H10</f>
        <v>62.0152</v>
      </c>
      <c r="P10" s="37">
        <f t="shared" ref="P10:P30" si="5">C10*I10</f>
        <v>33.231999999999999</v>
      </c>
      <c r="Q10" s="37">
        <f t="shared" ref="Q10:Q30" si="6">SUM(L10:P10)</f>
        <v>268.02679999999998</v>
      </c>
      <c r="R10" s="36">
        <f t="shared" ref="R10:R30" si="7">SUM(L10:M10)</f>
        <v>39.878399999999999</v>
      </c>
      <c r="S10" s="38">
        <f>R10+N10</f>
        <v>172.77959999999999</v>
      </c>
      <c r="T10" s="7">
        <v>1</v>
      </c>
      <c r="U10" s="10" t="s">
        <v>34</v>
      </c>
      <c r="V10" s="39">
        <v>292</v>
      </c>
      <c r="W10" s="6">
        <v>89.7</v>
      </c>
      <c r="X10" s="40">
        <v>0</v>
      </c>
      <c r="Y10" s="40">
        <v>4.0000000000000001E-3</v>
      </c>
      <c r="Z10" s="40">
        <v>0.26700000000000002</v>
      </c>
      <c r="AA10" s="40">
        <v>0.496</v>
      </c>
      <c r="AB10" s="40">
        <v>0.23300000000000001</v>
      </c>
      <c r="AC10" s="34">
        <f t="shared" ref="AC10" si="8">SUM(X10:Y10)</f>
        <v>4.0000000000000001E-3</v>
      </c>
      <c r="AD10" s="32">
        <f>AC10+Z10</f>
        <v>0.27100000000000002</v>
      </c>
      <c r="AE10" s="36">
        <f t="shared" ref="AE10" si="9">V10*X10</f>
        <v>0</v>
      </c>
      <c r="AF10" s="37">
        <f t="shared" ref="AF10" si="10">V10*Y10</f>
        <v>1.1679999999999999</v>
      </c>
      <c r="AG10" s="37">
        <f t="shared" ref="AG10" si="11">V10*Z10</f>
        <v>77.963999999999999</v>
      </c>
      <c r="AH10" s="37">
        <f t="shared" ref="AH10" si="12">V10*AA10</f>
        <v>144.83199999999999</v>
      </c>
      <c r="AI10" s="37">
        <f t="shared" ref="AI10" si="13">V10*AB10</f>
        <v>68.036000000000001</v>
      </c>
      <c r="AJ10" s="37">
        <f t="shared" ref="AJ10" si="14">SUM(AE10:AI10)</f>
        <v>292</v>
      </c>
      <c r="AK10" s="36">
        <f t="shared" ref="AK10" si="15">SUM(AE10:AF10)</f>
        <v>1.1679999999999999</v>
      </c>
      <c r="AL10" s="38">
        <f>AK10+AG10</f>
        <v>79.132000000000005</v>
      </c>
    </row>
    <row r="11" spans="1:38" x14ac:dyDescent="0.25">
      <c r="A11" s="7">
        <f>A10+1</f>
        <v>2</v>
      </c>
      <c r="B11" s="10" t="s">
        <v>13</v>
      </c>
      <c r="C11" s="31">
        <v>279</v>
      </c>
      <c r="D11" s="28">
        <v>88.89</v>
      </c>
      <c r="E11" s="32">
        <f>484%/100</f>
        <v>4.8399999999999999E-2</v>
      </c>
      <c r="F11" s="32">
        <f>3669%/100</f>
        <v>0.3669</v>
      </c>
      <c r="G11" s="33">
        <f>3347%/100</f>
        <v>0.3347</v>
      </c>
      <c r="H11" s="32">
        <f>927%/100</f>
        <v>9.2699999999999991E-2</v>
      </c>
      <c r="I11" s="32">
        <f>1573%/100</f>
        <v>0.1573</v>
      </c>
      <c r="J11" s="34">
        <f t="shared" si="0"/>
        <v>0.4153</v>
      </c>
      <c r="K11" s="35">
        <f t="shared" ref="K11:K30" si="16">J11+G11</f>
        <v>0.75</v>
      </c>
      <c r="L11" s="36">
        <f t="shared" si="1"/>
        <v>13.503599999999999</v>
      </c>
      <c r="M11" s="37">
        <f t="shared" si="2"/>
        <v>102.3651</v>
      </c>
      <c r="N11" s="37">
        <f t="shared" si="3"/>
        <v>93.381299999999996</v>
      </c>
      <c r="O11" s="37">
        <f t="shared" si="4"/>
        <v>25.863299999999999</v>
      </c>
      <c r="P11" s="37">
        <f t="shared" si="5"/>
        <v>43.886699999999998</v>
      </c>
      <c r="Q11" s="37">
        <f t="shared" si="6"/>
        <v>279</v>
      </c>
      <c r="R11" s="36">
        <f t="shared" si="7"/>
        <v>115.86869999999999</v>
      </c>
      <c r="S11" s="38">
        <f t="shared" ref="S11:S30" si="17">R11+N11</f>
        <v>209.25</v>
      </c>
      <c r="T11" s="7">
        <f>T10+1</f>
        <v>2</v>
      </c>
      <c r="U11" s="10" t="s">
        <v>13</v>
      </c>
      <c r="V11" s="39"/>
      <c r="W11" s="6"/>
      <c r="X11" s="40"/>
      <c r="Y11" s="40"/>
      <c r="Z11" s="40"/>
      <c r="AA11" s="40"/>
      <c r="AB11" s="40"/>
      <c r="AC11" s="34"/>
      <c r="AD11" s="32"/>
      <c r="AE11" s="36"/>
      <c r="AF11" s="37"/>
      <c r="AG11" s="37"/>
      <c r="AH11" s="37"/>
      <c r="AI11" s="37"/>
      <c r="AJ11" s="37"/>
      <c r="AK11" s="36"/>
      <c r="AL11" s="38"/>
    </row>
    <row r="12" spans="1:38" x14ac:dyDescent="0.25">
      <c r="A12" s="7">
        <f t="shared" ref="A12:A31" si="18">A11+1</f>
        <v>3</v>
      </c>
      <c r="B12" s="10" t="s">
        <v>14</v>
      </c>
      <c r="C12" s="31">
        <v>290</v>
      </c>
      <c r="D12" s="28">
        <v>62.07</v>
      </c>
      <c r="E12" s="32">
        <f>0%/100</f>
        <v>0</v>
      </c>
      <c r="F12" s="32">
        <f>389%/100</f>
        <v>3.8900000000000004E-2</v>
      </c>
      <c r="G12" s="33">
        <f>8778%/100</f>
        <v>0.87780000000000002</v>
      </c>
      <c r="H12" s="32">
        <f>278%/100</f>
        <v>2.7799999999999998E-2</v>
      </c>
      <c r="I12" s="32">
        <f>556%/100</f>
        <v>5.5599999999999997E-2</v>
      </c>
      <c r="J12" s="34">
        <f t="shared" si="0"/>
        <v>3.8900000000000004E-2</v>
      </c>
      <c r="K12" s="35">
        <f t="shared" si="16"/>
        <v>0.91670000000000007</v>
      </c>
      <c r="L12" s="36">
        <f t="shared" si="1"/>
        <v>0</v>
      </c>
      <c r="M12" s="37">
        <f t="shared" si="2"/>
        <v>11.281000000000001</v>
      </c>
      <c r="N12" s="37">
        <f t="shared" si="3"/>
        <v>254.56200000000001</v>
      </c>
      <c r="O12" s="37">
        <f t="shared" si="4"/>
        <v>8.0619999999999994</v>
      </c>
      <c r="P12" s="37">
        <f t="shared" si="5"/>
        <v>16.123999999999999</v>
      </c>
      <c r="Q12" s="37">
        <f t="shared" si="6"/>
        <v>290.02900000000005</v>
      </c>
      <c r="R12" s="36">
        <f t="shared" si="7"/>
        <v>11.281000000000001</v>
      </c>
      <c r="S12" s="38">
        <f t="shared" si="17"/>
        <v>265.84300000000002</v>
      </c>
      <c r="T12" s="7">
        <v>3</v>
      </c>
      <c r="U12" s="10" t="s">
        <v>14</v>
      </c>
      <c r="V12" s="39">
        <v>241</v>
      </c>
      <c r="W12" s="6">
        <v>75.900000000000006</v>
      </c>
      <c r="X12" s="40">
        <v>0</v>
      </c>
      <c r="Y12" s="40">
        <v>4.3999999999999997E-2</v>
      </c>
      <c r="Z12" s="40">
        <v>0.88</v>
      </c>
      <c r="AA12" s="40">
        <v>7.0999999999999994E-2</v>
      </c>
      <c r="AB12" s="40">
        <v>6.0000000000000001E-3</v>
      </c>
      <c r="AC12" s="34">
        <f t="shared" ref="AC12:AC30" si="19">SUM(X12:Y12)</f>
        <v>4.3999999999999997E-2</v>
      </c>
      <c r="AD12" s="32">
        <f t="shared" ref="AD12:AD30" si="20">AC12+Z12</f>
        <v>0.92400000000000004</v>
      </c>
      <c r="AE12" s="36">
        <f t="shared" ref="AE12:AE30" si="21">V12*X12</f>
        <v>0</v>
      </c>
      <c r="AF12" s="37">
        <f t="shared" ref="AF12:AF30" si="22">V12*Y12</f>
        <v>10.603999999999999</v>
      </c>
      <c r="AG12" s="37">
        <f t="shared" ref="AG12:AG30" si="23">V12*Z12</f>
        <v>212.08</v>
      </c>
      <c r="AH12" s="37">
        <f t="shared" ref="AH12:AH30" si="24">V12*AA12</f>
        <v>17.110999999999997</v>
      </c>
      <c r="AI12" s="37">
        <f t="shared" ref="AI12:AI30" si="25">V12*AB12</f>
        <v>1.446</v>
      </c>
      <c r="AJ12" s="37">
        <f t="shared" ref="AJ12:AJ30" si="26">SUM(AE12:AI12)</f>
        <v>241.24100000000001</v>
      </c>
      <c r="AK12" s="36">
        <f t="shared" ref="AK12:AK30" si="27">SUM(AE12:AF12)</f>
        <v>10.603999999999999</v>
      </c>
      <c r="AL12" s="38">
        <f t="shared" ref="AL12:AL30" si="28">AK12+AG12</f>
        <v>222.68400000000003</v>
      </c>
    </row>
    <row r="13" spans="1:38" x14ac:dyDescent="0.25">
      <c r="A13" s="7">
        <f t="shared" si="18"/>
        <v>4</v>
      </c>
      <c r="B13" s="10" t="s">
        <v>16</v>
      </c>
      <c r="C13" s="31">
        <v>627</v>
      </c>
      <c r="D13" s="28">
        <v>74.319999999999993</v>
      </c>
      <c r="E13" s="32">
        <f>21%/100</f>
        <v>2.0999999999999999E-3</v>
      </c>
      <c r="F13" s="32">
        <f>472%/100</f>
        <v>4.7199999999999999E-2</v>
      </c>
      <c r="G13" s="33">
        <f>7425%/100</f>
        <v>0.74250000000000005</v>
      </c>
      <c r="H13" s="32">
        <f>1888%/100</f>
        <v>0.1888</v>
      </c>
      <c r="I13" s="32">
        <f>193%/100</f>
        <v>1.9299999999999998E-2</v>
      </c>
      <c r="J13" s="34">
        <f t="shared" si="0"/>
        <v>4.9299999999999997E-2</v>
      </c>
      <c r="K13" s="35">
        <f t="shared" si="16"/>
        <v>0.79180000000000006</v>
      </c>
      <c r="L13" s="36">
        <f t="shared" si="1"/>
        <v>1.3167</v>
      </c>
      <c r="M13" s="37">
        <f t="shared" si="2"/>
        <v>29.5944</v>
      </c>
      <c r="N13" s="37">
        <f t="shared" si="3"/>
        <v>465.54750000000001</v>
      </c>
      <c r="O13" s="37">
        <f t="shared" si="4"/>
        <v>118.3776</v>
      </c>
      <c r="P13" s="37">
        <f t="shared" si="5"/>
        <v>12.101099999999999</v>
      </c>
      <c r="Q13" s="37">
        <f t="shared" si="6"/>
        <v>626.93729999999994</v>
      </c>
      <c r="R13" s="36">
        <f t="shared" si="7"/>
        <v>30.911100000000001</v>
      </c>
      <c r="S13" s="38">
        <f t="shared" si="17"/>
        <v>496.45859999999999</v>
      </c>
      <c r="T13" s="7">
        <v>4</v>
      </c>
      <c r="U13" s="10" t="s">
        <v>16</v>
      </c>
      <c r="V13" s="39">
        <v>562</v>
      </c>
      <c r="W13" s="6">
        <v>89.7</v>
      </c>
      <c r="X13" s="40">
        <v>2E-3</v>
      </c>
      <c r="Y13" s="40">
        <v>6.2E-2</v>
      </c>
      <c r="Z13" s="40">
        <v>0.74399999999999999</v>
      </c>
      <c r="AA13" s="40">
        <v>0.16900000000000001</v>
      </c>
      <c r="AB13" s="40">
        <v>2.4E-2</v>
      </c>
      <c r="AC13" s="34">
        <f t="shared" si="19"/>
        <v>6.4000000000000001E-2</v>
      </c>
      <c r="AD13" s="32">
        <f t="shared" si="20"/>
        <v>0.80800000000000005</v>
      </c>
      <c r="AE13" s="36">
        <f t="shared" si="21"/>
        <v>1.1240000000000001</v>
      </c>
      <c r="AF13" s="37">
        <f t="shared" si="22"/>
        <v>34.844000000000001</v>
      </c>
      <c r="AG13" s="37">
        <f t="shared" si="23"/>
        <v>418.12799999999999</v>
      </c>
      <c r="AH13" s="37">
        <f t="shared" si="24"/>
        <v>94.978000000000009</v>
      </c>
      <c r="AI13" s="37">
        <f t="shared" si="25"/>
        <v>13.488</v>
      </c>
      <c r="AJ13" s="37">
        <f t="shared" si="26"/>
        <v>562.56200000000013</v>
      </c>
      <c r="AK13" s="36">
        <f t="shared" si="27"/>
        <v>35.968000000000004</v>
      </c>
      <c r="AL13" s="38">
        <f t="shared" si="28"/>
        <v>454.096</v>
      </c>
    </row>
    <row r="14" spans="1:38" x14ac:dyDescent="0.25">
      <c r="A14" s="7">
        <f t="shared" si="18"/>
        <v>5</v>
      </c>
      <c r="B14" s="10" t="s">
        <v>17</v>
      </c>
      <c r="C14" s="31">
        <v>332</v>
      </c>
      <c r="D14" s="28">
        <v>47.29</v>
      </c>
      <c r="E14" s="32">
        <f>64%/100</f>
        <v>6.4000000000000003E-3</v>
      </c>
      <c r="F14" s="32">
        <f>1019%/100</f>
        <v>0.10189999999999999</v>
      </c>
      <c r="G14" s="33">
        <f>8280%/100</f>
        <v>0.82799999999999996</v>
      </c>
      <c r="H14" s="32">
        <f>637%/100</f>
        <v>6.3700000000000007E-2</v>
      </c>
      <c r="I14" s="32">
        <f>0%/100</f>
        <v>0</v>
      </c>
      <c r="J14" s="34">
        <f t="shared" si="0"/>
        <v>0.10829999999999999</v>
      </c>
      <c r="K14" s="35">
        <f t="shared" si="16"/>
        <v>0.93629999999999991</v>
      </c>
      <c r="L14" s="36">
        <f t="shared" si="1"/>
        <v>2.1248</v>
      </c>
      <c r="M14" s="37">
        <f t="shared" si="2"/>
        <v>33.830799999999996</v>
      </c>
      <c r="N14" s="37">
        <f t="shared" si="3"/>
        <v>274.89599999999996</v>
      </c>
      <c r="O14" s="37">
        <f t="shared" si="4"/>
        <v>21.148400000000002</v>
      </c>
      <c r="P14" s="37">
        <f t="shared" si="5"/>
        <v>0</v>
      </c>
      <c r="Q14" s="37">
        <f t="shared" si="6"/>
        <v>331.99999999999994</v>
      </c>
      <c r="R14" s="36">
        <f t="shared" si="7"/>
        <v>35.955599999999997</v>
      </c>
      <c r="S14" s="38">
        <f t="shared" si="17"/>
        <v>310.85159999999996</v>
      </c>
      <c r="T14" s="7">
        <v>5</v>
      </c>
      <c r="U14" s="10" t="s">
        <v>17</v>
      </c>
      <c r="V14" s="39">
        <v>198</v>
      </c>
      <c r="W14" s="6">
        <v>74.2</v>
      </c>
      <c r="X14" s="40">
        <v>0</v>
      </c>
      <c r="Y14" s="40">
        <v>0.129</v>
      </c>
      <c r="Z14" s="40">
        <v>0.79600000000000004</v>
      </c>
      <c r="AA14" s="40">
        <v>7.4999999999999997E-2</v>
      </c>
      <c r="AB14" s="40">
        <v>0</v>
      </c>
      <c r="AC14" s="34">
        <f t="shared" si="19"/>
        <v>0.129</v>
      </c>
      <c r="AD14" s="32">
        <f t="shared" si="20"/>
        <v>0.92500000000000004</v>
      </c>
      <c r="AE14" s="36">
        <f t="shared" si="21"/>
        <v>0</v>
      </c>
      <c r="AF14" s="37">
        <f t="shared" si="22"/>
        <v>25.542000000000002</v>
      </c>
      <c r="AG14" s="37">
        <f t="shared" si="23"/>
        <v>157.608</v>
      </c>
      <c r="AH14" s="37">
        <f t="shared" si="24"/>
        <v>14.85</v>
      </c>
      <c r="AI14" s="37">
        <f t="shared" si="25"/>
        <v>0</v>
      </c>
      <c r="AJ14" s="37">
        <f t="shared" si="26"/>
        <v>198</v>
      </c>
      <c r="AK14" s="36">
        <f t="shared" si="27"/>
        <v>25.542000000000002</v>
      </c>
      <c r="AL14" s="38">
        <f t="shared" si="28"/>
        <v>183.15</v>
      </c>
    </row>
    <row r="15" spans="1:38" x14ac:dyDescent="0.25">
      <c r="A15" s="7">
        <f t="shared" si="18"/>
        <v>6</v>
      </c>
      <c r="B15" s="10" t="s">
        <v>18</v>
      </c>
      <c r="C15" s="31">
        <v>59</v>
      </c>
      <c r="D15" s="28">
        <v>37.29</v>
      </c>
      <c r="E15" s="32">
        <f t="shared" ref="E15:E23" si="29">0%/100</f>
        <v>0</v>
      </c>
      <c r="F15" s="32">
        <f>455%/100</f>
        <v>4.5499999999999999E-2</v>
      </c>
      <c r="G15" s="33">
        <f>8182%/100</f>
        <v>0.81819999999999993</v>
      </c>
      <c r="H15" s="32">
        <f>1364%/100</f>
        <v>0.13639999999999999</v>
      </c>
      <c r="I15" s="32">
        <f>0%/100</f>
        <v>0</v>
      </c>
      <c r="J15" s="34">
        <f t="shared" si="0"/>
        <v>4.5499999999999999E-2</v>
      </c>
      <c r="K15" s="35">
        <f t="shared" si="16"/>
        <v>0.86369999999999991</v>
      </c>
      <c r="L15" s="36">
        <f t="shared" si="1"/>
        <v>0</v>
      </c>
      <c r="M15" s="37">
        <f t="shared" si="2"/>
        <v>2.6844999999999999</v>
      </c>
      <c r="N15" s="37">
        <f t="shared" si="3"/>
        <v>48.273799999999994</v>
      </c>
      <c r="O15" s="37">
        <f t="shared" si="4"/>
        <v>8.0475999999999992</v>
      </c>
      <c r="P15" s="37">
        <f t="shared" si="5"/>
        <v>0</v>
      </c>
      <c r="Q15" s="37">
        <f t="shared" si="6"/>
        <v>59.005899999999997</v>
      </c>
      <c r="R15" s="36">
        <f t="shared" si="7"/>
        <v>2.6844999999999999</v>
      </c>
      <c r="S15" s="38">
        <f t="shared" si="17"/>
        <v>50.958299999999994</v>
      </c>
      <c r="T15" s="7">
        <v>6</v>
      </c>
      <c r="U15" s="10" t="s">
        <v>18</v>
      </c>
      <c r="V15" s="39">
        <v>46</v>
      </c>
      <c r="W15" s="6">
        <v>84.8</v>
      </c>
      <c r="X15" s="40">
        <v>0</v>
      </c>
      <c r="Y15" s="40">
        <v>7.6999999999999999E-2</v>
      </c>
      <c r="Z15" s="40">
        <v>0.74399999999999999</v>
      </c>
      <c r="AA15" s="40">
        <v>0.18</v>
      </c>
      <c r="AB15" s="40">
        <v>0</v>
      </c>
      <c r="AC15" s="34">
        <f t="shared" si="19"/>
        <v>7.6999999999999999E-2</v>
      </c>
      <c r="AD15" s="32">
        <f t="shared" si="20"/>
        <v>0.82099999999999995</v>
      </c>
      <c r="AE15" s="36">
        <f t="shared" si="21"/>
        <v>0</v>
      </c>
      <c r="AF15" s="37">
        <f t="shared" si="22"/>
        <v>3.5419999999999998</v>
      </c>
      <c r="AG15" s="37">
        <f t="shared" si="23"/>
        <v>34.223999999999997</v>
      </c>
      <c r="AH15" s="37">
        <f t="shared" si="24"/>
        <v>8.2799999999999994</v>
      </c>
      <c r="AI15" s="37">
        <f t="shared" si="25"/>
        <v>0</v>
      </c>
      <c r="AJ15" s="37">
        <f t="shared" si="26"/>
        <v>46.045999999999999</v>
      </c>
      <c r="AK15" s="36">
        <f t="shared" si="27"/>
        <v>3.5419999999999998</v>
      </c>
      <c r="AL15" s="38">
        <f t="shared" si="28"/>
        <v>37.765999999999998</v>
      </c>
    </row>
    <row r="16" spans="1:38" x14ac:dyDescent="0.25">
      <c r="A16" s="7">
        <f t="shared" si="18"/>
        <v>7</v>
      </c>
      <c r="B16" s="10" t="s">
        <v>19</v>
      </c>
      <c r="C16" s="31">
        <v>201</v>
      </c>
      <c r="D16" s="28">
        <v>32.340000000000003</v>
      </c>
      <c r="E16" s="32">
        <f t="shared" si="29"/>
        <v>0</v>
      </c>
      <c r="F16" s="32">
        <f>0%/100</f>
        <v>0</v>
      </c>
      <c r="G16" s="33">
        <f>769%/100</f>
        <v>7.690000000000001E-2</v>
      </c>
      <c r="H16" s="32">
        <f>4615%/100</f>
        <v>0.46149999999999997</v>
      </c>
      <c r="I16" s="32">
        <f>4615%/100</f>
        <v>0.46149999999999997</v>
      </c>
      <c r="J16" s="34">
        <f t="shared" si="0"/>
        <v>0</v>
      </c>
      <c r="K16" s="35">
        <f t="shared" si="16"/>
        <v>7.690000000000001E-2</v>
      </c>
      <c r="L16" s="36">
        <f t="shared" si="1"/>
        <v>0</v>
      </c>
      <c r="M16" s="37">
        <f t="shared" si="2"/>
        <v>0</v>
      </c>
      <c r="N16" s="37">
        <f t="shared" si="3"/>
        <v>15.456900000000003</v>
      </c>
      <c r="O16" s="37">
        <f t="shared" si="4"/>
        <v>92.761499999999998</v>
      </c>
      <c r="P16" s="37">
        <f t="shared" si="5"/>
        <v>92.761499999999998</v>
      </c>
      <c r="Q16" s="37">
        <f t="shared" si="6"/>
        <v>200.97989999999999</v>
      </c>
      <c r="R16" s="36">
        <f t="shared" si="7"/>
        <v>0</v>
      </c>
      <c r="S16" s="38">
        <f t="shared" si="17"/>
        <v>15.456900000000003</v>
      </c>
      <c r="T16" s="7">
        <v>7</v>
      </c>
      <c r="U16" s="10" t="s">
        <v>19</v>
      </c>
      <c r="V16" s="39">
        <v>174</v>
      </c>
      <c r="W16" s="6">
        <v>70.7</v>
      </c>
      <c r="X16" s="40">
        <v>0</v>
      </c>
      <c r="Y16" s="40">
        <v>0</v>
      </c>
      <c r="Z16" s="40">
        <v>0.19500000000000001</v>
      </c>
      <c r="AA16" s="40">
        <v>0.65</v>
      </c>
      <c r="AB16" s="40">
        <v>0.155</v>
      </c>
      <c r="AC16" s="34">
        <f t="shared" si="19"/>
        <v>0</v>
      </c>
      <c r="AD16" s="32">
        <f t="shared" si="20"/>
        <v>0.19500000000000001</v>
      </c>
      <c r="AE16" s="36">
        <f t="shared" si="21"/>
        <v>0</v>
      </c>
      <c r="AF16" s="37">
        <f t="shared" si="22"/>
        <v>0</v>
      </c>
      <c r="AG16" s="37">
        <f t="shared" si="23"/>
        <v>33.93</v>
      </c>
      <c r="AH16" s="37">
        <f t="shared" si="24"/>
        <v>113.10000000000001</v>
      </c>
      <c r="AI16" s="37">
        <f t="shared" si="25"/>
        <v>26.97</v>
      </c>
      <c r="AJ16" s="37">
        <f t="shared" si="26"/>
        <v>174</v>
      </c>
      <c r="AK16" s="36">
        <f t="shared" si="27"/>
        <v>0</v>
      </c>
      <c r="AL16" s="38">
        <f t="shared" si="28"/>
        <v>33.93</v>
      </c>
    </row>
    <row r="17" spans="1:38" x14ac:dyDescent="0.25">
      <c r="A17" s="7">
        <f t="shared" si="18"/>
        <v>8</v>
      </c>
      <c r="B17" s="10" t="s">
        <v>20</v>
      </c>
      <c r="C17" s="31">
        <v>675</v>
      </c>
      <c r="D17" s="28">
        <v>70.81</v>
      </c>
      <c r="E17" s="32">
        <f t="shared" si="29"/>
        <v>0</v>
      </c>
      <c r="F17" s="32">
        <f>21%/100</f>
        <v>2.0999999999999999E-3</v>
      </c>
      <c r="G17" s="33">
        <f>314%/100</f>
        <v>3.1400000000000004E-2</v>
      </c>
      <c r="H17" s="32">
        <f>1025%/100</f>
        <v>0.10249999999999999</v>
      </c>
      <c r="I17" s="32">
        <f>8640%/100</f>
        <v>0.8640000000000001</v>
      </c>
      <c r="J17" s="34">
        <f t="shared" si="0"/>
        <v>2.0999999999999999E-3</v>
      </c>
      <c r="K17" s="35">
        <f t="shared" si="16"/>
        <v>3.3500000000000002E-2</v>
      </c>
      <c r="L17" s="36">
        <f t="shared" si="1"/>
        <v>0</v>
      </c>
      <c r="M17" s="37">
        <f t="shared" si="2"/>
        <v>1.4175</v>
      </c>
      <c r="N17" s="37">
        <f t="shared" si="3"/>
        <v>21.195000000000004</v>
      </c>
      <c r="O17" s="37">
        <f t="shared" si="4"/>
        <v>69.1875</v>
      </c>
      <c r="P17" s="37">
        <f t="shared" si="5"/>
        <v>583.20000000000005</v>
      </c>
      <c r="Q17" s="37">
        <f t="shared" si="6"/>
        <v>675</v>
      </c>
      <c r="R17" s="36">
        <f t="shared" si="7"/>
        <v>1.4175</v>
      </c>
      <c r="S17" s="38">
        <f t="shared" si="17"/>
        <v>22.612500000000004</v>
      </c>
      <c r="T17" s="7">
        <v>8</v>
      </c>
      <c r="U17" s="10" t="s">
        <v>20</v>
      </c>
      <c r="V17" s="39">
        <v>661</v>
      </c>
      <c r="W17" s="6">
        <v>81.400000000000006</v>
      </c>
      <c r="X17" s="40">
        <v>0</v>
      </c>
      <c r="Y17" s="40">
        <v>2E-3</v>
      </c>
      <c r="Z17" s="40">
        <v>4.8000000000000001E-2</v>
      </c>
      <c r="AA17" s="40">
        <v>0.42199999999999999</v>
      </c>
      <c r="AB17" s="40">
        <v>0.52800000000000002</v>
      </c>
      <c r="AC17" s="34">
        <f t="shared" si="19"/>
        <v>2E-3</v>
      </c>
      <c r="AD17" s="32">
        <f t="shared" si="20"/>
        <v>0.05</v>
      </c>
      <c r="AE17" s="36">
        <f t="shared" si="21"/>
        <v>0</v>
      </c>
      <c r="AF17" s="37">
        <f t="shared" si="22"/>
        <v>1.3220000000000001</v>
      </c>
      <c r="AG17" s="37">
        <f t="shared" si="23"/>
        <v>31.728000000000002</v>
      </c>
      <c r="AH17" s="37">
        <f t="shared" si="24"/>
        <v>278.94200000000001</v>
      </c>
      <c r="AI17" s="37">
        <f t="shared" si="25"/>
        <v>349.00800000000004</v>
      </c>
      <c r="AJ17" s="37">
        <f t="shared" si="26"/>
        <v>661</v>
      </c>
      <c r="AK17" s="36">
        <f t="shared" si="27"/>
        <v>1.3220000000000001</v>
      </c>
      <c r="AL17" s="38">
        <f t="shared" si="28"/>
        <v>33.050000000000004</v>
      </c>
    </row>
    <row r="18" spans="1:38" x14ac:dyDescent="0.25">
      <c r="A18" s="7">
        <f t="shared" si="18"/>
        <v>9</v>
      </c>
      <c r="B18" s="10" t="s">
        <v>21</v>
      </c>
      <c r="C18" s="31">
        <v>9554</v>
      </c>
      <c r="D18" s="28">
        <v>95.2</v>
      </c>
      <c r="E18" s="32">
        <f t="shared" si="29"/>
        <v>0</v>
      </c>
      <c r="F18" s="32">
        <f>2%/100</f>
        <v>2.0000000000000001E-4</v>
      </c>
      <c r="G18" s="33">
        <f>668%/100</f>
        <v>6.6799999999999998E-2</v>
      </c>
      <c r="H18" s="32">
        <f>3493%/100</f>
        <v>0.3493</v>
      </c>
      <c r="I18" s="32">
        <f>5836%/100</f>
        <v>0.58360000000000001</v>
      </c>
      <c r="J18" s="34">
        <f t="shared" si="0"/>
        <v>2.0000000000000001E-4</v>
      </c>
      <c r="K18" s="35">
        <f t="shared" si="16"/>
        <v>6.7000000000000004E-2</v>
      </c>
      <c r="L18" s="36">
        <f t="shared" si="1"/>
        <v>0</v>
      </c>
      <c r="M18" s="37">
        <f t="shared" si="2"/>
        <v>1.9108000000000001</v>
      </c>
      <c r="N18" s="37">
        <f t="shared" si="3"/>
        <v>638.20719999999994</v>
      </c>
      <c r="O18" s="37">
        <f t="shared" si="4"/>
        <v>3337.2121999999999</v>
      </c>
      <c r="P18" s="37">
        <f t="shared" si="5"/>
        <v>5575.7143999999998</v>
      </c>
      <c r="Q18" s="37">
        <f t="shared" si="6"/>
        <v>9553.0445999999993</v>
      </c>
      <c r="R18" s="36">
        <f t="shared" si="7"/>
        <v>1.9108000000000001</v>
      </c>
      <c r="S18" s="38">
        <f t="shared" si="17"/>
        <v>640.11799999999994</v>
      </c>
      <c r="T18" s="7">
        <v>9</v>
      </c>
      <c r="U18" s="10" t="s">
        <v>21</v>
      </c>
      <c r="V18" s="39">
        <v>9244</v>
      </c>
      <c r="W18" s="6">
        <v>97.9</v>
      </c>
      <c r="X18" s="40">
        <v>0</v>
      </c>
      <c r="Y18" s="40">
        <v>5.0000000000000001E-3</v>
      </c>
      <c r="Z18" s="40">
        <v>8.5999999999999993E-2</v>
      </c>
      <c r="AA18" s="40">
        <v>0.33100000000000002</v>
      </c>
      <c r="AB18" s="40">
        <v>0.57899999999999996</v>
      </c>
      <c r="AC18" s="34">
        <f t="shared" si="19"/>
        <v>5.0000000000000001E-3</v>
      </c>
      <c r="AD18" s="32">
        <f t="shared" si="20"/>
        <v>9.0999999999999998E-2</v>
      </c>
      <c r="AE18" s="36">
        <f t="shared" si="21"/>
        <v>0</v>
      </c>
      <c r="AF18" s="37">
        <f t="shared" si="22"/>
        <v>46.22</v>
      </c>
      <c r="AG18" s="37">
        <f t="shared" si="23"/>
        <v>794.98399999999992</v>
      </c>
      <c r="AH18" s="37">
        <f t="shared" si="24"/>
        <v>3059.7640000000001</v>
      </c>
      <c r="AI18" s="37">
        <f t="shared" si="25"/>
        <v>5352.2759999999998</v>
      </c>
      <c r="AJ18" s="37">
        <f t="shared" si="26"/>
        <v>9253.2439999999988</v>
      </c>
      <c r="AK18" s="36">
        <f t="shared" si="27"/>
        <v>46.22</v>
      </c>
      <c r="AL18" s="38">
        <f t="shared" si="28"/>
        <v>841.20399999999995</v>
      </c>
    </row>
    <row r="19" spans="1:38" x14ac:dyDescent="0.25">
      <c r="A19" s="7">
        <f t="shared" si="18"/>
        <v>10</v>
      </c>
      <c r="B19" s="10" t="s">
        <v>22</v>
      </c>
      <c r="C19" s="31">
        <v>13034</v>
      </c>
      <c r="D19" s="28">
        <v>88.24</v>
      </c>
      <c r="E19" s="32">
        <f t="shared" si="29"/>
        <v>0</v>
      </c>
      <c r="F19" s="32">
        <f>23%/100</f>
        <v>2.3E-3</v>
      </c>
      <c r="G19" s="33">
        <f>2348%/100</f>
        <v>0.23480000000000001</v>
      </c>
      <c r="H19" s="32">
        <f>3980%/100</f>
        <v>0.39799999999999996</v>
      </c>
      <c r="I19" s="32">
        <f>3650%/100</f>
        <v>0.36499999999999999</v>
      </c>
      <c r="J19" s="34">
        <f t="shared" si="0"/>
        <v>2.3E-3</v>
      </c>
      <c r="K19" s="35">
        <f t="shared" si="16"/>
        <v>0.23710000000000001</v>
      </c>
      <c r="L19" s="36">
        <f t="shared" si="1"/>
        <v>0</v>
      </c>
      <c r="M19" s="37">
        <f t="shared" si="2"/>
        <v>29.978200000000001</v>
      </c>
      <c r="N19" s="37">
        <f t="shared" si="3"/>
        <v>3060.3832000000002</v>
      </c>
      <c r="O19" s="37">
        <f t="shared" si="4"/>
        <v>5187.5319999999992</v>
      </c>
      <c r="P19" s="37">
        <f t="shared" si="5"/>
        <v>4757.41</v>
      </c>
      <c r="Q19" s="37">
        <f t="shared" si="6"/>
        <v>13035.303399999999</v>
      </c>
      <c r="R19" s="36">
        <f t="shared" si="7"/>
        <v>29.978200000000001</v>
      </c>
      <c r="S19" s="38">
        <f t="shared" si="17"/>
        <v>3090.3614000000002</v>
      </c>
      <c r="T19" s="7">
        <v>10</v>
      </c>
      <c r="U19" s="10" t="s">
        <v>22</v>
      </c>
      <c r="V19" s="39">
        <v>13283</v>
      </c>
      <c r="W19" s="6">
        <v>91.5</v>
      </c>
      <c r="X19" s="40">
        <v>0</v>
      </c>
      <c r="Y19" s="40">
        <v>0.01</v>
      </c>
      <c r="Z19" s="40">
        <v>0.28399999999999997</v>
      </c>
      <c r="AA19" s="40">
        <v>0.42</v>
      </c>
      <c r="AB19" s="40">
        <v>0.28699999999999998</v>
      </c>
      <c r="AC19" s="34">
        <f t="shared" si="19"/>
        <v>0.01</v>
      </c>
      <c r="AD19" s="32">
        <f t="shared" si="20"/>
        <v>0.29399999999999998</v>
      </c>
      <c r="AE19" s="36">
        <f t="shared" si="21"/>
        <v>0</v>
      </c>
      <c r="AF19" s="37">
        <f t="shared" si="22"/>
        <v>132.83000000000001</v>
      </c>
      <c r="AG19" s="37">
        <f t="shared" si="23"/>
        <v>3772.3719999999998</v>
      </c>
      <c r="AH19" s="37">
        <f t="shared" si="24"/>
        <v>5578.86</v>
      </c>
      <c r="AI19" s="37">
        <f t="shared" si="25"/>
        <v>3812.2209999999995</v>
      </c>
      <c r="AJ19" s="37">
        <f t="shared" si="26"/>
        <v>13296.282999999999</v>
      </c>
      <c r="AK19" s="36">
        <f t="shared" si="27"/>
        <v>132.83000000000001</v>
      </c>
      <c r="AL19" s="38">
        <f t="shared" si="28"/>
        <v>3905.2019999999998</v>
      </c>
    </row>
    <row r="20" spans="1:38" x14ac:dyDescent="0.25">
      <c r="A20" s="7">
        <f t="shared" si="18"/>
        <v>11</v>
      </c>
      <c r="B20" s="10" t="s">
        <v>23</v>
      </c>
      <c r="C20" s="31">
        <v>7160</v>
      </c>
      <c r="D20" s="28">
        <v>84.55</v>
      </c>
      <c r="E20" s="32">
        <f t="shared" si="29"/>
        <v>0</v>
      </c>
      <c r="F20" s="32">
        <f>2%/100</f>
        <v>2.0000000000000001E-4</v>
      </c>
      <c r="G20" s="33">
        <f>1009%/100</f>
        <v>0.1009</v>
      </c>
      <c r="H20" s="32">
        <f>4351%/100</f>
        <v>0.43509999999999999</v>
      </c>
      <c r="I20" s="32">
        <f>4638%/100</f>
        <v>0.46380000000000005</v>
      </c>
      <c r="J20" s="34">
        <f t="shared" si="0"/>
        <v>2.0000000000000001E-4</v>
      </c>
      <c r="K20" s="35">
        <f t="shared" si="16"/>
        <v>0.10110000000000001</v>
      </c>
      <c r="L20" s="36">
        <f t="shared" si="1"/>
        <v>0</v>
      </c>
      <c r="M20" s="37">
        <f t="shared" si="2"/>
        <v>1.4320000000000002</v>
      </c>
      <c r="N20" s="37">
        <f t="shared" si="3"/>
        <v>722.44400000000007</v>
      </c>
      <c r="O20" s="37">
        <f t="shared" si="4"/>
        <v>3115.3159999999998</v>
      </c>
      <c r="P20" s="37">
        <f t="shared" si="5"/>
        <v>3320.8080000000004</v>
      </c>
      <c r="Q20" s="37">
        <f t="shared" si="6"/>
        <v>7160</v>
      </c>
      <c r="R20" s="36">
        <f t="shared" si="7"/>
        <v>1.4320000000000002</v>
      </c>
      <c r="S20" s="38">
        <f t="shared" si="17"/>
        <v>723.87600000000009</v>
      </c>
      <c r="T20" s="7">
        <v>11</v>
      </c>
      <c r="U20" s="10" t="s">
        <v>23</v>
      </c>
      <c r="V20" s="39">
        <v>7496</v>
      </c>
      <c r="W20" s="6">
        <v>88.6</v>
      </c>
      <c r="X20" s="40">
        <v>0</v>
      </c>
      <c r="Y20" s="40">
        <v>0</v>
      </c>
      <c r="Z20" s="40">
        <v>6.8000000000000005E-2</v>
      </c>
      <c r="AA20" s="40">
        <v>0.79300000000000004</v>
      </c>
      <c r="AB20" s="40">
        <v>0.13900000000000001</v>
      </c>
      <c r="AC20" s="34">
        <f t="shared" si="19"/>
        <v>0</v>
      </c>
      <c r="AD20" s="32">
        <f t="shared" si="20"/>
        <v>6.8000000000000005E-2</v>
      </c>
      <c r="AE20" s="36">
        <f t="shared" si="21"/>
        <v>0</v>
      </c>
      <c r="AF20" s="37">
        <f t="shared" si="22"/>
        <v>0</v>
      </c>
      <c r="AG20" s="37">
        <f t="shared" si="23"/>
        <v>509.72800000000001</v>
      </c>
      <c r="AH20" s="37">
        <f t="shared" si="24"/>
        <v>5944.3280000000004</v>
      </c>
      <c r="AI20" s="37">
        <f t="shared" si="25"/>
        <v>1041.9440000000002</v>
      </c>
      <c r="AJ20" s="37">
        <f t="shared" si="26"/>
        <v>7496.0000000000009</v>
      </c>
      <c r="AK20" s="36">
        <f t="shared" si="27"/>
        <v>0</v>
      </c>
      <c r="AL20" s="38">
        <f t="shared" si="28"/>
        <v>509.72800000000001</v>
      </c>
    </row>
    <row r="21" spans="1:38" x14ac:dyDescent="0.25">
      <c r="A21" s="7">
        <f t="shared" si="18"/>
        <v>12</v>
      </c>
      <c r="B21" s="10" t="s">
        <v>24</v>
      </c>
      <c r="C21" s="31">
        <v>802</v>
      </c>
      <c r="D21" s="28">
        <v>97.01</v>
      </c>
      <c r="E21" s="32">
        <f t="shared" si="29"/>
        <v>0</v>
      </c>
      <c r="F21" s="32">
        <f>39%/100</f>
        <v>3.9000000000000003E-3</v>
      </c>
      <c r="G21" s="33">
        <f>720%/100</f>
        <v>7.2000000000000008E-2</v>
      </c>
      <c r="H21" s="32">
        <f>3612%/100</f>
        <v>0.36119999999999997</v>
      </c>
      <c r="I21" s="32">
        <f>5630%/100</f>
        <v>0.56299999999999994</v>
      </c>
      <c r="J21" s="34">
        <f t="shared" si="0"/>
        <v>3.9000000000000003E-3</v>
      </c>
      <c r="K21" s="35">
        <f t="shared" si="16"/>
        <v>7.5900000000000009E-2</v>
      </c>
      <c r="L21" s="36">
        <f t="shared" si="1"/>
        <v>0</v>
      </c>
      <c r="M21" s="37">
        <f t="shared" si="2"/>
        <v>3.1278000000000001</v>
      </c>
      <c r="N21" s="37">
        <f t="shared" si="3"/>
        <v>57.744000000000007</v>
      </c>
      <c r="O21" s="37">
        <f t="shared" si="4"/>
        <v>289.68239999999997</v>
      </c>
      <c r="P21" s="37">
        <f t="shared" si="5"/>
        <v>451.52599999999995</v>
      </c>
      <c r="Q21" s="37">
        <f t="shared" si="6"/>
        <v>802.08019999999988</v>
      </c>
      <c r="R21" s="36">
        <f t="shared" si="7"/>
        <v>3.1278000000000001</v>
      </c>
      <c r="S21" s="38">
        <f t="shared" si="17"/>
        <v>60.871800000000007</v>
      </c>
      <c r="T21" s="7">
        <v>12</v>
      </c>
      <c r="U21" s="10" t="s">
        <v>24</v>
      </c>
      <c r="V21" s="39">
        <v>643</v>
      </c>
      <c r="W21" s="6">
        <v>94.9</v>
      </c>
      <c r="X21" s="40">
        <v>0</v>
      </c>
      <c r="Y21" s="40">
        <v>0</v>
      </c>
      <c r="Z21" s="40">
        <v>4.2999999999999997E-2</v>
      </c>
      <c r="AA21" s="40">
        <v>0.55600000000000005</v>
      </c>
      <c r="AB21" s="40">
        <v>0.40200000000000002</v>
      </c>
      <c r="AC21" s="34">
        <f t="shared" si="19"/>
        <v>0</v>
      </c>
      <c r="AD21" s="32">
        <f t="shared" si="20"/>
        <v>4.2999999999999997E-2</v>
      </c>
      <c r="AE21" s="36">
        <f t="shared" si="21"/>
        <v>0</v>
      </c>
      <c r="AF21" s="37">
        <f t="shared" si="22"/>
        <v>0</v>
      </c>
      <c r="AG21" s="37">
        <f t="shared" si="23"/>
        <v>27.648999999999997</v>
      </c>
      <c r="AH21" s="37">
        <f t="shared" si="24"/>
        <v>357.50800000000004</v>
      </c>
      <c r="AI21" s="37">
        <f t="shared" si="25"/>
        <v>258.48599999999999</v>
      </c>
      <c r="AJ21" s="37">
        <f t="shared" si="26"/>
        <v>643.64300000000003</v>
      </c>
      <c r="AK21" s="36">
        <f t="shared" si="27"/>
        <v>0</v>
      </c>
      <c r="AL21" s="38">
        <f t="shared" si="28"/>
        <v>27.648999999999997</v>
      </c>
    </row>
    <row r="22" spans="1:38" x14ac:dyDescent="0.25">
      <c r="A22" s="7">
        <f t="shared" si="18"/>
        <v>13</v>
      </c>
      <c r="B22" s="10" t="s">
        <v>25</v>
      </c>
      <c r="C22" s="31">
        <v>1108</v>
      </c>
      <c r="D22" s="28">
        <v>32.94</v>
      </c>
      <c r="E22" s="32">
        <f t="shared" si="29"/>
        <v>0</v>
      </c>
      <c r="F22" s="32">
        <f>39%/100</f>
        <v>3.9000000000000003E-3</v>
      </c>
      <c r="G22" s="33">
        <f>301%/100</f>
        <v>3.0099999999999998E-2</v>
      </c>
      <c r="H22" s="32">
        <f>6384%/100</f>
        <v>0.63840000000000008</v>
      </c>
      <c r="I22" s="32">
        <f>3315%/100</f>
        <v>0.33149999999999996</v>
      </c>
      <c r="J22" s="34">
        <f t="shared" si="0"/>
        <v>3.9000000000000003E-3</v>
      </c>
      <c r="K22" s="35">
        <f t="shared" si="16"/>
        <v>3.3999999999999996E-2</v>
      </c>
      <c r="L22" s="36">
        <f t="shared" si="1"/>
        <v>0</v>
      </c>
      <c r="M22" s="37">
        <f t="shared" si="2"/>
        <v>4.3212000000000002</v>
      </c>
      <c r="N22" s="37">
        <f t="shared" si="3"/>
        <v>33.3508</v>
      </c>
      <c r="O22" s="37">
        <f t="shared" si="4"/>
        <v>707.34720000000004</v>
      </c>
      <c r="P22" s="37">
        <f t="shared" si="5"/>
        <v>367.30199999999996</v>
      </c>
      <c r="Q22" s="37">
        <f t="shared" si="6"/>
        <v>1112.3212000000001</v>
      </c>
      <c r="R22" s="36">
        <f t="shared" si="7"/>
        <v>4.3212000000000002</v>
      </c>
      <c r="S22" s="38">
        <f t="shared" si="17"/>
        <v>37.671999999999997</v>
      </c>
      <c r="T22" s="7">
        <v>13</v>
      </c>
      <c r="U22" s="10" t="s">
        <v>25</v>
      </c>
      <c r="V22" s="39">
        <v>1071</v>
      </c>
      <c r="W22" s="6">
        <v>54</v>
      </c>
      <c r="X22" s="40">
        <v>0</v>
      </c>
      <c r="Y22" s="40">
        <v>2E-3</v>
      </c>
      <c r="Z22" s="40">
        <v>0.01</v>
      </c>
      <c r="AA22" s="40">
        <v>0.70399999999999996</v>
      </c>
      <c r="AB22" s="40">
        <v>0.28399999999999997</v>
      </c>
      <c r="AC22" s="34">
        <f t="shared" si="19"/>
        <v>2E-3</v>
      </c>
      <c r="AD22" s="32">
        <f t="shared" si="20"/>
        <v>1.2E-2</v>
      </c>
      <c r="AE22" s="36">
        <f t="shared" si="21"/>
        <v>0</v>
      </c>
      <c r="AF22" s="37">
        <f t="shared" si="22"/>
        <v>2.1419999999999999</v>
      </c>
      <c r="AG22" s="37">
        <f t="shared" si="23"/>
        <v>10.71</v>
      </c>
      <c r="AH22" s="37">
        <f t="shared" si="24"/>
        <v>753.98399999999992</v>
      </c>
      <c r="AI22" s="37">
        <f t="shared" si="25"/>
        <v>304.16399999999999</v>
      </c>
      <c r="AJ22" s="37">
        <f t="shared" si="26"/>
        <v>1071</v>
      </c>
      <c r="AK22" s="36">
        <f t="shared" si="27"/>
        <v>2.1419999999999999</v>
      </c>
      <c r="AL22" s="38">
        <f t="shared" si="28"/>
        <v>12.852</v>
      </c>
    </row>
    <row r="23" spans="1:38" x14ac:dyDescent="0.25">
      <c r="A23" s="7">
        <f t="shared" si="18"/>
        <v>14</v>
      </c>
      <c r="B23" s="10" t="s">
        <v>26</v>
      </c>
      <c r="C23" s="31">
        <v>15</v>
      </c>
      <c r="D23" s="28">
        <v>86.67</v>
      </c>
      <c r="E23" s="32">
        <f t="shared" si="29"/>
        <v>0</v>
      </c>
      <c r="F23" s="32">
        <f>0%/100</f>
        <v>0</v>
      </c>
      <c r="G23" s="32">
        <f>1538%/100</f>
        <v>0.15380000000000002</v>
      </c>
      <c r="H23" s="32">
        <f>7692%/100</f>
        <v>0.76919999999999999</v>
      </c>
      <c r="I23" s="32">
        <f>769%/100</f>
        <v>7.690000000000001E-2</v>
      </c>
      <c r="J23" s="34">
        <f t="shared" si="0"/>
        <v>0</v>
      </c>
      <c r="K23" s="35">
        <f t="shared" si="16"/>
        <v>0.15380000000000002</v>
      </c>
      <c r="L23" s="36">
        <f t="shared" si="1"/>
        <v>0</v>
      </c>
      <c r="M23" s="37">
        <f t="shared" si="2"/>
        <v>0</v>
      </c>
      <c r="N23" s="37">
        <f t="shared" si="3"/>
        <v>2.3070000000000004</v>
      </c>
      <c r="O23" s="37">
        <f t="shared" si="4"/>
        <v>11.538</v>
      </c>
      <c r="P23" s="37">
        <f t="shared" si="5"/>
        <v>1.1535000000000002</v>
      </c>
      <c r="Q23" s="37">
        <f t="shared" si="6"/>
        <v>14.9985</v>
      </c>
      <c r="R23" s="36">
        <f t="shared" si="7"/>
        <v>0</v>
      </c>
      <c r="S23" s="38">
        <f t="shared" si="17"/>
        <v>2.3070000000000004</v>
      </c>
      <c r="T23" s="7">
        <v>14</v>
      </c>
      <c r="U23" s="10" t="s">
        <v>26</v>
      </c>
      <c r="V23" s="39"/>
      <c r="W23" s="6"/>
      <c r="X23" s="40"/>
      <c r="Y23" s="40"/>
      <c r="Z23" s="40"/>
      <c r="AA23" s="40"/>
      <c r="AB23" s="40"/>
      <c r="AC23" s="34"/>
      <c r="AD23" s="32"/>
      <c r="AE23" s="36"/>
      <c r="AF23" s="37"/>
      <c r="AG23" s="37"/>
      <c r="AH23" s="37"/>
      <c r="AI23" s="37"/>
      <c r="AJ23" s="37"/>
      <c r="AK23" s="36"/>
      <c r="AL23" s="38"/>
    </row>
    <row r="24" spans="1:38" x14ac:dyDescent="0.25">
      <c r="A24" s="7">
        <f t="shared" si="18"/>
        <v>15</v>
      </c>
      <c r="B24" s="10" t="s">
        <v>27</v>
      </c>
      <c r="C24" s="31">
        <v>926</v>
      </c>
      <c r="D24" s="28">
        <v>85.31</v>
      </c>
      <c r="E24" s="32">
        <f>13%/100</f>
        <v>1.2999999999999999E-3</v>
      </c>
      <c r="F24" s="32">
        <f>0%/100</f>
        <v>0</v>
      </c>
      <c r="G24" s="32">
        <f>114%/100</f>
        <v>1.1399999999999999E-2</v>
      </c>
      <c r="H24" s="32">
        <f>5734%/100</f>
        <v>0.57340000000000002</v>
      </c>
      <c r="I24" s="32">
        <f>4139%/100</f>
        <v>0.41389999999999999</v>
      </c>
      <c r="J24" s="34">
        <f t="shared" si="0"/>
        <v>1.2999999999999999E-3</v>
      </c>
      <c r="K24" s="35">
        <f t="shared" si="16"/>
        <v>1.2699999999999999E-2</v>
      </c>
      <c r="L24" s="36">
        <f t="shared" si="1"/>
        <v>1.2038</v>
      </c>
      <c r="M24" s="37">
        <f t="shared" si="2"/>
        <v>0</v>
      </c>
      <c r="N24" s="37">
        <f t="shared" si="3"/>
        <v>10.556399999999998</v>
      </c>
      <c r="O24" s="37">
        <f t="shared" si="4"/>
        <v>530.96839999999997</v>
      </c>
      <c r="P24" s="37">
        <f t="shared" si="5"/>
        <v>383.27139999999997</v>
      </c>
      <c r="Q24" s="37">
        <f t="shared" si="6"/>
        <v>925.99999999999989</v>
      </c>
      <c r="R24" s="36">
        <f t="shared" si="7"/>
        <v>1.2038</v>
      </c>
      <c r="S24" s="38">
        <f t="shared" si="17"/>
        <v>11.760199999999998</v>
      </c>
      <c r="T24" s="7">
        <v>15</v>
      </c>
      <c r="U24" s="10" t="s">
        <v>27</v>
      </c>
      <c r="V24" s="39">
        <v>1114</v>
      </c>
      <c r="W24" s="6">
        <v>93.7</v>
      </c>
      <c r="X24" s="40">
        <v>0</v>
      </c>
      <c r="Y24" s="40">
        <v>0</v>
      </c>
      <c r="Z24" s="40">
        <v>8.9999999999999993E-3</v>
      </c>
      <c r="AA24" s="40">
        <v>0.41799999999999998</v>
      </c>
      <c r="AB24" s="40">
        <v>0.57399999999999995</v>
      </c>
      <c r="AC24" s="34">
        <f t="shared" si="19"/>
        <v>0</v>
      </c>
      <c r="AD24" s="32">
        <f t="shared" si="20"/>
        <v>8.9999999999999993E-3</v>
      </c>
      <c r="AE24" s="36">
        <f t="shared" si="21"/>
        <v>0</v>
      </c>
      <c r="AF24" s="37">
        <f t="shared" si="22"/>
        <v>0</v>
      </c>
      <c r="AG24" s="37">
        <f t="shared" si="23"/>
        <v>10.026</v>
      </c>
      <c r="AH24" s="37">
        <f t="shared" si="24"/>
        <v>465.65199999999999</v>
      </c>
      <c r="AI24" s="37">
        <f t="shared" si="25"/>
        <v>639.43599999999992</v>
      </c>
      <c r="AJ24" s="37">
        <f t="shared" si="26"/>
        <v>1115.114</v>
      </c>
      <c r="AK24" s="36">
        <f t="shared" si="27"/>
        <v>0</v>
      </c>
      <c r="AL24" s="38">
        <f t="shared" si="28"/>
        <v>10.026</v>
      </c>
    </row>
    <row r="25" spans="1:38" x14ac:dyDescent="0.25">
      <c r="A25" s="70">
        <f t="shared" si="18"/>
        <v>16</v>
      </c>
      <c r="B25" s="8" t="s">
        <v>28</v>
      </c>
      <c r="C25" s="52">
        <v>123280</v>
      </c>
      <c r="D25" s="71">
        <v>37.659999999999997</v>
      </c>
      <c r="E25" s="53">
        <f>234%/100</f>
        <v>2.3399999999999997E-2</v>
      </c>
      <c r="F25" s="53">
        <f>764%/100</f>
        <v>7.6399999999999996E-2</v>
      </c>
      <c r="G25" s="53">
        <f>4413%/100</f>
        <v>0.44130000000000003</v>
      </c>
      <c r="H25" s="53">
        <f>728%/100</f>
        <v>7.2800000000000004E-2</v>
      </c>
      <c r="I25" s="53">
        <f>3861%/100</f>
        <v>0.3861</v>
      </c>
      <c r="J25" s="72">
        <f t="shared" si="0"/>
        <v>9.98E-2</v>
      </c>
      <c r="K25" s="73">
        <f t="shared" si="16"/>
        <v>0.54110000000000003</v>
      </c>
      <c r="L25" s="74">
        <f t="shared" si="1"/>
        <v>2884.7519999999995</v>
      </c>
      <c r="M25" s="54">
        <f t="shared" si="2"/>
        <v>9418.5919999999987</v>
      </c>
      <c r="N25" s="54">
        <f t="shared" si="3"/>
        <v>54403.464</v>
      </c>
      <c r="O25" s="54">
        <f t="shared" si="4"/>
        <v>8974.7839999999997</v>
      </c>
      <c r="P25" s="54">
        <f t="shared" si="5"/>
        <v>47598.408000000003</v>
      </c>
      <c r="Q25" s="54">
        <f t="shared" si="6"/>
        <v>123280</v>
      </c>
      <c r="R25" s="74">
        <f t="shared" si="7"/>
        <v>12303.343999999997</v>
      </c>
      <c r="S25" s="75">
        <f t="shared" si="17"/>
        <v>66706.80799999999</v>
      </c>
      <c r="T25" s="70">
        <v>16</v>
      </c>
      <c r="U25" s="8" t="s">
        <v>28</v>
      </c>
      <c r="V25" s="76">
        <v>125899</v>
      </c>
      <c r="W25" s="77">
        <v>67.3</v>
      </c>
      <c r="X25" s="78">
        <v>1.4999999999999999E-2</v>
      </c>
      <c r="Y25" s="78">
        <v>1.4E-2</v>
      </c>
      <c r="Z25" s="78">
        <v>0.156</v>
      </c>
      <c r="AA25" s="78">
        <v>0.19600000000000001</v>
      </c>
      <c r="AB25" s="78">
        <v>0.61899999999999999</v>
      </c>
      <c r="AC25" s="72">
        <f t="shared" si="19"/>
        <v>2.8999999999999998E-2</v>
      </c>
      <c r="AD25" s="53">
        <f t="shared" si="20"/>
        <v>0.185</v>
      </c>
      <c r="AE25" s="74">
        <f t="shared" si="21"/>
        <v>1888.4849999999999</v>
      </c>
      <c r="AF25" s="54">
        <f t="shared" si="22"/>
        <v>1762.586</v>
      </c>
      <c r="AG25" s="54">
        <f t="shared" si="23"/>
        <v>19640.243999999999</v>
      </c>
      <c r="AH25" s="54">
        <f t="shared" si="24"/>
        <v>24676.204000000002</v>
      </c>
      <c r="AI25" s="54">
        <f t="shared" si="25"/>
        <v>77931.481</v>
      </c>
      <c r="AJ25" s="54">
        <f t="shared" si="26"/>
        <v>125899</v>
      </c>
      <c r="AK25" s="74">
        <f t="shared" si="27"/>
        <v>3651.0709999999999</v>
      </c>
      <c r="AL25" s="75">
        <f t="shared" si="28"/>
        <v>23291.314999999999</v>
      </c>
    </row>
    <row r="26" spans="1:38" x14ac:dyDescent="0.25">
      <c r="A26" s="7">
        <f t="shared" si="18"/>
        <v>17</v>
      </c>
      <c r="B26" s="10" t="s">
        <v>29</v>
      </c>
      <c r="C26" s="31">
        <v>58</v>
      </c>
      <c r="D26" s="28">
        <v>91.38</v>
      </c>
      <c r="E26" s="32">
        <f>0%/100</f>
        <v>0</v>
      </c>
      <c r="F26" s="32">
        <f>1698%/100</f>
        <v>0.16980000000000001</v>
      </c>
      <c r="G26" s="32">
        <f>3208%/100</f>
        <v>0.32079999999999997</v>
      </c>
      <c r="H26" s="32">
        <f>3019%/100</f>
        <v>0.3019</v>
      </c>
      <c r="I26" s="32">
        <f>2075%/100</f>
        <v>0.20749999999999999</v>
      </c>
      <c r="J26" s="34">
        <f t="shared" si="0"/>
        <v>0.16980000000000001</v>
      </c>
      <c r="K26" s="35">
        <f t="shared" si="16"/>
        <v>0.49059999999999998</v>
      </c>
      <c r="L26" s="36">
        <f t="shared" si="1"/>
        <v>0</v>
      </c>
      <c r="M26" s="37">
        <f t="shared" si="2"/>
        <v>9.8483999999999998</v>
      </c>
      <c r="N26" s="37">
        <f t="shared" si="3"/>
        <v>18.606399999999997</v>
      </c>
      <c r="O26" s="37">
        <f t="shared" si="4"/>
        <v>17.510200000000001</v>
      </c>
      <c r="P26" s="37">
        <f t="shared" si="5"/>
        <v>12.035</v>
      </c>
      <c r="Q26" s="37">
        <f t="shared" si="6"/>
        <v>58</v>
      </c>
      <c r="R26" s="36">
        <f t="shared" si="7"/>
        <v>9.8483999999999998</v>
      </c>
      <c r="S26" s="38">
        <f t="shared" si="17"/>
        <v>28.454799999999999</v>
      </c>
      <c r="T26" s="7">
        <v>17</v>
      </c>
      <c r="U26" s="10" t="s">
        <v>29</v>
      </c>
      <c r="V26" s="39">
        <v>39</v>
      </c>
      <c r="W26" s="6">
        <v>66.7</v>
      </c>
      <c r="X26" s="40">
        <v>0</v>
      </c>
      <c r="Y26" s="40">
        <v>0</v>
      </c>
      <c r="Z26" s="40">
        <v>0.154</v>
      </c>
      <c r="AA26" s="40">
        <v>0.76900000000000002</v>
      </c>
      <c r="AB26" s="40">
        <v>7.6999999999999999E-2</v>
      </c>
      <c r="AC26" s="34">
        <f t="shared" si="19"/>
        <v>0</v>
      </c>
      <c r="AD26" s="32">
        <f t="shared" si="20"/>
        <v>0.154</v>
      </c>
      <c r="AE26" s="36">
        <f t="shared" si="21"/>
        <v>0</v>
      </c>
      <c r="AF26" s="37">
        <f t="shared" si="22"/>
        <v>0</v>
      </c>
      <c r="AG26" s="37">
        <f t="shared" si="23"/>
        <v>6.0060000000000002</v>
      </c>
      <c r="AH26" s="37">
        <f t="shared" si="24"/>
        <v>29.991</v>
      </c>
      <c r="AI26" s="37">
        <f t="shared" si="25"/>
        <v>3.0030000000000001</v>
      </c>
      <c r="AJ26" s="37">
        <f t="shared" si="26"/>
        <v>39</v>
      </c>
      <c r="AK26" s="36">
        <f t="shared" si="27"/>
        <v>0</v>
      </c>
      <c r="AL26" s="38">
        <f t="shared" si="28"/>
        <v>6.0060000000000002</v>
      </c>
    </row>
    <row r="27" spans="1:38" x14ac:dyDescent="0.25">
      <c r="A27" s="7">
        <f t="shared" si="18"/>
        <v>18</v>
      </c>
      <c r="B27" s="10" t="s">
        <v>30</v>
      </c>
      <c r="C27" s="31">
        <v>1892</v>
      </c>
      <c r="D27" s="28">
        <v>99.58</v>
      </c>
      <c r="E27" s="32">
        <f>0%/100</f>
        <v>0</v>
      </c>
      <c r="F27" s="32">
        <f>0%/100</f>
        <v>0</v>
      </c>
      <c r="G27" s="32">
        <f>1640%/100</f>
        <v>0.16399999999999998</v>
      </c>
      <c r="H27" s="32">
        <f>4145%/100</f>
        <v>0.41450000000000004</v>
      </c>
      <c r="I27" s="32">
        <f>4214%/100</f>
        <v>0.4214</v>
      </c>
      <c r="J27" s="34">
        <f t="shared" si="0"/>
        <v>0</v>
      </c>
      <c r="K27" s="35">
        <f t="shared" si="16"/>
        <v>0.16399999999999998</v>
      </c>
      <c r="L27" s="36">
        <f t="shared" si="1"/>
        <v>0</v>
      </c>
      <c r="M27" s="37">
        <f t="shared" si="2"/>
        <v>0</v>
      </c>
      <c r="N27" s="37">
        <f t="shared" si="3"/>
        <v>310.28799999999995</v>
      </c>
      <c r="O27" s="37">
        <f t="shared" si="4"/>
        <v>784.23400000000004</v>
      </c>
      <c r="P27" s="37">
        <f t="shared" si="5"/>
        <v>797.28880000000004</v>
      </c>
      <c r="Q27" s="37">
        <f t="shared" si="6"/>
        <v>1891.8108</v>
      </c>
      <c r="R27" s="36">
        <f t="shared" si="7"/>
        <v>0</v>
      </c>
      <c r="S27" s="38">
        <f t="shared" si="17"/>
        <v>310.28799999999995</v>
      </c>
      <c r="T27" s="7">
        <v>18</v>
      </c>
      <c r="U27" s="10" t="s">
        <v>30</v>
      </c>
      <c r="V27" s="39">
        <v>1821</v>
      </c>
      <c r="W27" s="6">
        <v>98.2</v>
      </c>
      <c r="X27" s="40">
        <v>0</v>
      </c>
      <c r="Y27" s="40">
        <v>1E-3</v>
      </c>
      <c r="Z27" s="40">
        <v>7.0999999999999994E-2</v>
      </c>
      <c r="AA27" s="40">
        <v>0.42199999999999999</v>
      </c>
      <c r="AB27" s="40">
        <v>0.50600000000000001</v>
      </c>
      <c r="AC27" s="34">
        <f t="shared" si="19"/>
        <v>1E-3</v>
      </c>
      <c r="AD27" s="32">
        <f t="shared" si="20"/>
        <v>7.1999999999999995E-2</v>
      </c>
      <c r="AE27" s="36">
        <f t="shared" si="21"/>
        <v>0</v>
      </c>
      <c r="AF27" s="37">
        <f t="shared" si="22"/>
        <v>1.821</v>
      </c>
      <c r="AG27" s="37">
        <f t="shared" si="23"/>
        <v>129.291</v>
      </c>
      <c r="AH27" s="37">
        <f t="shared" si="24"/>
        <v>768.46199999999999</v>
      </c>
      <c r="AI27" s="37">
        <f t="shared" si="25"/>
        <v>921.42600000000004</v>
      </c>
      <c r="AJ27" s="37">
        <f t="shared" si="26"/>
        <v>1821</v>
      </c>
      <c r="AK27" s="36">
        <f t="shared" si="27"/>
        <v>1.821</v>
      </c>
      <c r="AL27" s="38">
        <f t="shared" si="28"/>
        <v>131.11199999999999</v>
      </c>
    </row>
    <row r="28" spans="1:38" x14ac:dyDescent="0.25">
      <c r="A28" s="7">
        <f t="shared" si="18"/>
        <v>19</v>
      </c>
      <c r="B28" s="10" t="s">
        <v>31</v>
      </c>
      <c r="C28" s="31">
        <v>1615</v>
      </c>
      <c r="D28" s="28">
        <v>97.52</v>
      </c>
      <c r="E28" s="32">
        <f>0%/100</f>
        <v>0</v>
      </c>
      <c r="F28" s="32">
        <f>0%/100</f>
        <v>0</v>
      </c>
      <c r="G28" s="32">
        <f>375%/100</f>
        <v>3.7499999999999999E-2</v>
      </c>
      <c r="H28" s="32">
        <f>3225%/100</f>
        <v>0.32250000000000001</v>
      </c>
      <c r="I28" s="32">
        <f>6400%/100</f>
        <v>0.64</v>
      </c>
      <c r="J28" s="34">
        <f t="shared" si="0"/>
        <v>0</v>
      </c>
      <c r="K28" s="35">
        <f t="shared" si="16"/>
        <v>3.7499999999999999E-2</v>
      </c>
      <c r="L28" s="36">
        <f t="shared" si="1"/>
        <v>0</v>
      </c>
      <c r="M28" s="37">
        <f t="shared" si="2"/>
        <v>0</v>
      </c>
      <c r="N28" s="37">
        <f t="shared" si="3"/>
        <v>60.5625</v>
      </c>
      <c r="O28" s="37">
        <f t="shared" si="4"/>
        <v>520.83749999999998</v>
      </c>
      <c r="P28" s="37">
        <f t="shared" si="5"/>
        <v>1033.5999999999999</v>
      </c>
      <c r="Q28" s="37">
        <f t="shared" si="6"/>
        <v>1615</v>
      </c>
      <c r="R28" s="36">
        <f t="shared" si="7"/>
        <v>0</v>
      </c>
      <c r="S28" s="38">
        <f t="shared" si="17"/>
        <v>60.5625</v>
      </c>
      <c r="T28" s="7">
        <v>19</v>
      </c>
      <c r="U28" s="10" t="s">
        <v>31</v>
      </c>
      <c r="V28" s="39">
        <v>1683</v>
      </c>
      <c r="W28" s="6">
        <v>98.2</v>
      </c>
      <c r="X28" s="40">
        <v>0</v>
      </c>
      <c r="Y28" s="40">
        <v>1E-3</v>
      </c>
      <c r="Z28" s="40">
        <v>0.27500000000000002</v>
      </c>
      <c r="AA28" s="40">
        <v>0.125</v>
      </c>
      <c r="AB28" s="40">
        <v>0.59799999999999998</v>
      </c>
      <c r="AC28" s="34">
        <f t="shared" si="19"/>
        <v>1E-3</v>
      </c>
      <c r="AD28" s="32">
        <f t="shared" si="20"/>
        <v>0.27600000000000002</v>
      </c>
      <c r="AE28" s="36">
        <f t="shared" si="21"/>
        <v>0</v>
      </c>
      <c r="AF28" s="37">
        <f t="shared" si="22"/>
        <v>1.6830000000000001</v>
      </c>
      <c r="AG28" s="37">
        <f t="shared" si="23"/>
        <v>462.82500000000005</v>
      </c>
      <c r="AH28" s="37">
        <f t="shared" si="24"/>
        <v>210.375</v>
      </c>
      <c r="AI28" s="37">
        <f t="shared" si="25"/>
        <v>1006.434</v>
      </c>
      <c r="AJ28" s="37">
        <f t="shared" si="26"/>
        <v>1681.317</v>
      </c>
      <c r="AK28" s="36">
        <f t="shared" si="27"/>
        <v>1.6830000000000001</v>
      </c>
      <c r="AL28" s="38">
        <f t="shared" si="28"/>
        <v>464.50800000000004</v>
      </c>
    </row>
    <row r="29" spans="1:38" x14ac:dyDescent="0.25">
      <c r="A29" s="7">
        <f t="shared" si="18"/>
        <v>20</v>
      </c>
      <c r="B29" s="10" t="s">
        <v>32</v>
      </c>
      <c r="C29" s="31">
        <v>1062</v>
      </c>
      <c r="D29" s="28">
        <v>99.53</v>
      </c>
      <c r="E29" s="32">
        <f>170%/100</f>
        <v>1.7000000000000001E-2</v>
      </c>
      <c r="F29" s="32">
        <f>880%/100</f>
        <v>8.8000000000000009E-2</v>
      </c>
      <c r="G29" s="33">
        <f>7237%/100</f>
        <v>0.72370000000000001</v>
      </c>
      <c r="H29" s="32">
        <f>1608%/100</f>
        <v>0.16079999999999997</v>
      </c>
      <c r="I29" s="32">
        <f>104%/100</f>
        <v>1.04E-2</v>
      </c>
      <c r="J29" s="34">
        <f t="shared" si="0"/>
        <v>0.10500000000000001</v>
      </c>
      <c r="K29" s="35">
        <f t="shared" si="16"/>
        <v>0.82869999999999999</v>
      </c>
      <c r="L29" s="36">
        <f t="shared" si="1"/>
        <v>18.054000000000002</v>
      </c>
      <c r="M29" s="37">
        <f t="shared" si="2"/>
        <v>93.456000000000003</v>
      </c>
      <c r="N29" s="37">
        <f t="shared" si="3"/>
        <v>768.56939999999997</v>
      </c>
      <c r="O29" s="37">
        <f t="shared" si="4"/>
        <v>170.76959999999997</v>
      </c>
      <c r="P29" s="37">
        <f t="shared" si="5"/>
        <v>11.044799999999999</v>
      </c>
      <c r="Q29" s="37">
        <f t="shared" si="6"/>
        <v>1061.8937999999998</v>
      </c>
      <c r="R29" s="36">
        <f t="shared" si="7"/>
        <v>111.51</v>
      </c>
      <c r="S29" s="38">
        <f t="shared" si="17"/>
        <v>880.07939999999996</v>
      </c>
      <c r="T29" s="7">
        <v>20</v>
      </c>
      <c r="U29" s="10" t="s">
        <v>32</v>
      </c>
      <c r="V29" s="39">
        <v>1055</v>
      </c>
      <c r="W29" s="6">
        <v>99.6</v>
      </c>
      <c r="X29" s="40">
        <v>0</v>
      </c>
      <c r="Y29" s="40">
        <v>8.9999999999999993E-3</v>
      </c>
      <c r="Z29" s="40">
        <v>0.32500000000000001</v>
      </c>
      <c r="AA29" s="40">
        <v>0.66600000000000004</v>
      </c>
      <c r="AB29" s="40">
        <v>0</v>
      </c>
      <c r="AC29" s="34">
        <f t="shared" si="19"/>
        <v>8.9999999999999993E-3</v>
      </c>
      <c r="AD29" s="32">
        <f t="shared" si="20"/>
        <v>0.33400000000000002</v>
      </c>
      <c r="AE29" s="36">
        <f t="shared" si="21"/>
        <v>0</v>
      </c>
      <c r="AF29" s="37">
        <f t="shared" si="22"/>
        <v>9.4949999999999992</v>
      </c>
      <c r="AG29" s="37">
        <f t="shared" si="23"/>
        <v>342.875</v>
      </c>
      <c r="AH29" s="37">
        <f t="shared" si="24"/>
        <v>702.63</v>
      </c>
      <c r="AI29" s="37">
        <f t="shared" si="25"/>
        <v>0</v>
      </c>
      <c r="AJ29" s="37">
        <f t="shared" si="26"/>
        <v>1055</v>
      </c>
      <c r="AK29" s="36">
        <f t="shared" si="27"/>
        <v>9.4949999999999992</v>
      </c>
      <c r="AL29" s="38">
        <f t="shared" si="28"/>
        <v>352.37</v>
      </c>
    </row>
    <row r="30" spans="1:38" ht="15.75" thickBot="1" x14ac:dyDescent="0.3">
      <c r="A30" s="41">
        <f t="shared" si="18"/>
        <v>21</v>
      </c>
      <c r="B30" s="42" t="s">
        <v>33</v>
      </c>
      <c r="C30" s="43">
        <v>10902</v>
      </c>
      <c r="D30" s="44">
        <v>35.01</v>
      </c>
      <c r="E30" s="45">
        <f>26%/100</f>
        <v>2.5999999999999999E-3</v>
      </c>
      <c r="F30" s="45">
        <f>160%/100</f>
        <v>1.6E-2</v>
      </c>
      <c r="G30" s="45">
        <f>1077%/100</f>
        <v>0.10769999999999999</v>
      </c>
      <c r="H30" s="45">
        <f>5017%/100</f>
        <v>0.50170000000000003</v>
      </c>
      <c r="I30" s="45">
        <f>3720%/100</f>
        <v>0.37200000000000005</v>
      </c>
      <c r="J30" s="46">
        <f t="shared" si="0"/>
        <v>1.8599999999999998E-2</v>
      </c>
      <c r="K30" s="47">
        <f t="shared" si="16"/>
        <v>0.1263</v>
      </c>
      <c r="L30" s="48">
        <f t="shared" si="1"/>
        <v>28.345199999999998</v>
      </c>
      <c r="M30" s="49">
        <f t="shared" si="2"/>
        <v>174.43200000000002</v>
      </c>
      <c r="N30" s="49">
        <f t="shared" si="3"/>
        <v>1174.1453999999999</v>
      </c>
      <c r="O30" s="49">
        <f t="shared" si="4"/>
        <v>5469.5334000000003</v>
      </c>
      <c r="P30" s="49">
        <f t="shared" si="5"/>
        <v>4055.5440000000008</v>
      </c>
      <c r="Q30" s="49">
        <f t="shared" si="6"/>
        <v>10902</v>
      </c>
      <c r="R30" s="48">
        <f t="shared" si="7"/>
        <v>202.77720000000002</v>
      </c>
      <c r="S30" s="50">
        <f t="shared" si="17"/>
        <v>1376.9225999999999</v>
      </c>
      <c r="T30" s="41">
        <v>21</v>
      </c>
      <c r="U30" s="42" t="s">
        <v>33</v>
      </c>
      <c r="V30" s="43">
        <v>11132</v>
      </c>
      <c r="W30" s="6">
        <v>62.4</v>
      </c>
      <c r="X30" s="40">
        <v>2E-3</v>
      </c>
      <c r="Y30" s="40">
        <v>2.7E-2</v>
      </c>
      <c r="Z30" s="40">
        <v>0.10100000000000001</v>
      </c>
      <c r="AA30" s="40">
        <v>0.624</v>
      </c>
      <c r="AB30" s="40">
        <v>0.246</v>
      </c>
      <c r="AC30" s="34">
        <f t="shared" si="19"/>
        <v>2.8999999999999998E-2</v>
      </c>
      <c r="AD30" s="32">
        <f t="shared" si="20"/>
        <v>0.13</v>
      </c>
      <c r="AE30" s="48">
        <f t="shared" si="21"/>
        <v>22.263999999999999</v>
      </c>
      <c r="AF30" s="49">
        <f t="shared" si="22"/>
        <v>300.56400000000002</v>
      </c>
      <c r="AG30" s="49">
        <f t="shared" si="23"/>
        <v>1124.3320000000001</v>
      </c>
      <c r="AH30" s="49">
        <f t="shared" si="24"/>
        <v>6946.3680000000004</v>
      </c>
      <c r="AI30" s="49">
        <f t="shared" si="25"/>
        <v>2738.4719999999998</v>
      </c>
      <c r="AJ30" s="49">
        <f t="shared" si="26"/>
        <v>11132</v>
      </c>
      <c r="AK30" s="48">
        <f t="shared" si="27"/>
        <v>322.82800000000003</v>
      </c>
      <c r="AL30" s="50">
        <f t="shared" si="28"/>
        <v>1447.16</v>
      </c>
    </row>
    <row r="31" spans="1:38" ht="15.75" thickTop="1" x14ac:dyDescent="0.25">
      <c r="A31" s="41">
        <f t="shared" si="18"/>
        <v>22</v>
      </c>
      <c r="B31" s="59" t="s">
        <v>39</v>
      </c>
      <c r="C31" s="60">
        <f>SUM(C10:C30)</f>
        <v>174139</v>
      </c>
      <c r="D31" s="61"/>
      <c r="E31" s="62"/>
      <c r="F31" s="62"/>
      <c r="G31" s="62"/>
      <c r="H31" s="62"/>
      <c r="I31" s="62"/>
      <c r="J31" s="62"/>
      <c r="K31" s="62"/>
      <c r="L31" s="63"/>
      <c r="M31" s="63"/>
      <c r="N31" s="63"/>
      <c r="O31" s="63"/>
      <c r="P31" s="63"/>
      <c r="Q31" s="63"/>
      <c r="R31" s="63">
        <f>SUM(R10:R30)</f>
        <v>12907.450199999999</v>
      </c>
      <c r="S31" s="55">
        <f>SUM(S10:S30)</f>
        <v>75474.292199999996</v>
      </c>
      <c r="T31" s="5"/>
      <c r="U31" s="59" t="s">
        <v>39</v>
      </c>
      <c r="V31" s="60">
        <f>SUM(V10:V30)</f>
        <v>176654</v>
      </c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3">
        <f>SUM(AK10:AK30)</f>
        <v>4246.2359999999999</v>
      </c>
      <c r="AL31" s="55">
        <f>SUM(AL10:AL30)</f>
        <v>32042.940000000002</v>
      </c>
    </row>
    <row r="32" spans="1:38" x14ac:dyDescent="0.25">
      <c r="A32" s="5"/>
      <c r="B32" s="64"/>
      <c r="C32" s="65"/>
      <c r="D32" s="66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7">
        <f>R31/C31</f>
        <v>7.4121536244034933E-2</v>
      </c>
      <c r="S32" s="56"/>
      <c r="T32" s="5"/>
      <c r="U32" s="64"/>
      <c r="V32" s="69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7">
        <f>AK31/V31</f>
        <v>2.4037021522297825E-2</v>
      </c>
      <c r="AL32" s="57"/>
    </row>
    <row r="33" spans="1:38" x14ac:dyDescent="0.25">
      <c r="A33" s="5"/>
      <c r="B33" s="5"/>
      <c r="C33" s="5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x14ac:dyDescent="0.25">
      <c r="A34" s="5"/>
      <c r="B34" s="5"/>
      <c r="C34" s="5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</sheetData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</dc:creator>
  <cp:lastModifiedBy>Shelley Grice</cp:lastModifiedBy>
  <cp:lastPrinted>2019-07-02T13:14:39Z</cp:lastPrinted>
  <dcterms:created xsi:type="dcterms:W3CDTF">2015-02-14T15:05:41Z</dcterms:created>
  <dcterms:modified xsi:type="dcterms:W3CDTF">2019-08-29T04:27:13Z</dcterms:modified>
</cp:coreProperties>
</file>