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ll\OneDrive\Documents\Shelley\THESL CIR 0165\ARGUMENT\Final\"/>
    </mc:Choice>
  </mc:AlternateContent>
  <xr:revisionPtr revIDLastSave="0" documentId="13_ncr:1_{B1AA28B9-D7A1-4CF2-9932-F8791F5141DB}" xr6:coauthVersionLast="43" xr6:coauthVersionMax="43" xr10:uidLastSave="{00000000-0000-0000-0000-000000000000}"/>
  <bookViews>
    <workbookView xWindow="-120" yWindow="-120" windowWidth="20730" windowHeight="105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Sheet1!$A$4:$AN$33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19" i="1" l="1"/>
  <c r="AK11" i="1"/>
  <c r="AJ11" i="1"/>
  <c r="AI11" i="1"/>
  <c r="AH11" i="1"/>
  <c r="AG11" i="1"/>
  <c r="Y31" i="1"/>
  <c r="AH31" i="1" s="1"/>
  <c r="Y30" i="1"/>
  <c r="AI30" i="1" s="1"/>
  <c r="Y29" i="1"/>
  <c r="AJ29" i="1" s="1"/>
  <c r="Y28" i="1"/>
  <c r="AK28" i="1" s="1"/>
  <c r="Y27" i="1"/>
  <c r="AH27" i="1" s="1"/>
  <c r="Y26" i="1"/>
  <c r="AI26" i="1" s="1"/>
  <c r="Y25" i="1"/>
  <c r="AJ25" i="1" s="1"/>
  <c r="Y23" i="1"/>
  <c r="AK23" i="1" s="1"/>
  <c r="Y22" i="1"/>
  <c r="AH22" i="1" s="1"/>
  <c r="Y21" i="1"/>
  <c r="AI21" i="1" s="1"/>
  <c r="Y20" i="1"/>
  <c r="AG20" i="1" s="1"/>
  <c r="Y19" i="1"/>
  <c r="AK19" i="1" s="1"/>
  <c r="Y18" i="1"/>
  <c r="AH18" i="1" s="1"/>
  <c r="Y17" i="1"/>
  <c r="AI17" i="1" s="1"/>
  <c r="Y16" i="1"/>
  <c r="AJ16" i="1" s="1"/>
  <c r="Y15" i="1"/>
  <c r="AK15" i="1" s="1"/>
  <c r="Y14" i="1"/>
  <c r="AH14" i="1" s="1"/>
  <c r="Y13" i="1"/>
  <c r="AI13" i="1" s="1"/>
  <c r="Y11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AH28" i="1" l="1"/>
  <c r="AJ15" i="1"/>
  <c r="AI31" i="1"/>
  <c r="AI22" i="1"/>
  <c r="AI14" i="1"/>
  <c r="AJ23" i="1"/>
  <c r="AJ14" i="1"/>
  <c r="AJ17" i="1"/>
  <c r="AI19" i="1"/>
  <c r="AJ22" i="1"/>
  <c r="AJ26" i="1"/>
  <c r="AI28" i="1"/>
  <c r="AJ31" i="1"/>
  <c r="AH15" i="1"/>
  <c r="AI18" i="1"/>
  <c r="AJ19" i="1"/>
  <c r="AH23" i="1"/>
  <c r="AI27" i="1"/>
  <c r="AJ28" i="1"/>
  <c r="AJ13" i="1"/>
  <c r="AI15" i="1"/>
  <c r="AJ18" i="1"/>
  <c r="AJ21" i="1"/>
  <c r="AI23" i="1"/>
  <c r="AJ27" i="1"/>
  <c r="AJ30" i="1"/>
  <c r="AG16" i="1"/>
  <c r="AK16" i="1"/>
  <c r="AK20" i="1"/>
  <c r="AG25" i="1"/>
  <c r="AK25" i="1"/>
  <c r="AG29" i="1"/>
  <c r="AK29" i="1"/>
  <c r="AG13" i="1"/>
  <c r="AK13" i="1"/>
  <c r="AH16" i="1"/>
  <c r="AG17" i="1"/>
  <c r="AK17" i="1"/>
  <c r="AH20" i="1"/>
  <c r="AG21" i="1"/>
  <c r="AK21" i="1"/>
  <c r="AH25" i="1"/>
  <c r="AG26" i="1"/>
  <c r="AK26" i="1"/>
  <c r="AH29" i="1"/>
  <c r="AG30" i="1"/>
  <c r="AK30" i="1"/>
  <c r="AH13" i="1"/>
  <c r="AG14" i="1"/>
  <c r="AK14" i="1"/>
  <c r="AI16" i="1"/>
  <c r="AH17" i="1"/>
  <c r="AG18" i="1"/>
  <c r="AK18" i="1"/>
  <c r="AI20" i="1"/>
  <c r="AH21" i="1"/>
  <c r="AG22" i="1"/>
  <c r="AK22" i="1"/>
  <c r="AI25" i="1"/>
  <c r="AH26" i="1"/>
  <c r="AG27" i="1"/>
  <c r="AK27" i="1"/>
  <c r="AI29" i="1"/>
  <c r="AH30" i="1"/>
  <c r="AG31" i="1"/>
  <c r="AK31" i="1"/>
  <c r="Y32" i="1"/>
  <c r="AG15" i="1"/>
  <c r="AG19" i="1"/>
  <c r="AJ20" i="1"/>
  <c r="AG23" i="1"/>
  <c r="AG28" i="1"/>
  <c r="U12" i="1"/>
  <c r="AH32" i="1" l="1"/>
  <c r="AG32" i="1"/>
  <c r="AM30" i="1"/>
  <c r="AM26" i="1"/>
  <c r="AM17" i="1"/>
  <c r="AM13" i="1"/>
  <c r="AE31" i="1"/>
  <c r="AF31" i="1" s="1"/>
  <c r="AE30" i="1"/>
  <c r="AF30" i="1" s="1"/>
  <c r="AE29" i="1"/>
  <c r="AF29" i="1" s="1"/>
  <c r="AE28" i="1"/>
  <c r="AF28" i="1" s="1"/>
  <c r="AE27" i="1"/>
  <c r="AF27" i="1" s="1"/>
  <c r="AE26" i="1"/>
  <c r="AF26" i="1" s="1"/>
  <c r="AE25" i="1"/>
  <c r="AF25" i="1" s="1"/>
  <c r="AE23" i="1"/>
  <c r="AF23" i="1" s="1"/>
  <c r="AE22" i="1"/>
  <c r="AF22" i="1" s="1"/>
  <c r="AE21" i="1"/>
  <c r="AF21" i="1" s="1"/>
  <c r="AE20" i="1"/>
  <c r="AF20" i="1" s="1"/>
  <c r="AE19" i="1"/>
  <c r="AF19" i="1" s="1"/>
  <c r="AE18" i="1"/>
  <c r="AF18" i="1" s="1"/>
  <c r="AE17" i="1"/>
  <c r="AF17" i="1" s="1"/>
  <c r="AE16" i="1"/>
  <c r="AF16" i="1" s="1"/>
  <c r="AE15" i="1"/>
  <c r="AF15" i="1" s="1"/>
  <c r="AE14" i="1"/>
  <c r="AF14" i="1" s="1"/>
  <c r="AE13" i="1"/>
  <c r="AF13" i="1" s="1"/>
  <c r="AE11" i="1"/>
  <c r="AF11" i="1" s="1"/>
  <c r="W32" i="1"/>
  <c r="C32" i="1"/>
  <c r="AM11" i="1" l="1"/>
  <c r="AM22" i="1"/>
  <c r="AN22" i="1" s="1"/>
  <c r="AL15" i="1"/>
  <c r="AL28" i="1"/>
  <c r="AM16" i="1"/>
  <c r="AN16" i="1" s="1"/>
  <c r="AM29" i="1"/>
  <c r="AN29" i="1" s="1"/>
  <c r="AN11" i="1"/>
  <c r="AM14" i="1"/>
  <c r="AN14" i="1" s="1"/>
  <c r="AM18" i="1"/>
  <c r="AN18" i="1" s="1"/>
  <c r="AM27" i="1"/>
  <c r="AN27" i="1" s="1"/>
  <c r="AM31" i="1"/>
  <c r="AN31" i="1" s="1"/>
  <c r="AL11" i="1"/>
  <c r="AL16" i="1"/>
  <c r="AL20" i="1"/>
  <c r="AM23" i="1"/>
  <c r="AN23" i="1" s="1"/>
  <c r="AL29" i="1"/>
  <c r="AN13" i="1"/>
  <c r="AN17" i="1"/>
  <c r="AN26" i="1"/>
  <c r="AN30" i="1"/>
  <c r="AL13" i="1"/>
  <c r="AL17" i="1"/>
  <c r="AM21" i="1"/>
  <c r="AN21" i="1" s="1"/>
  <c r="AL26" i="1"/>
  <c r="AL30" i="1"/>
  <c r="AL14" i="1"/>
  <c r="AL18" i="1"/>
  <c r="AL22" i="1"/>
  <c r="AL27" i="1"/>
  <c r="AL31" i="1"/>
  <c r="AM15" i="1"/>
  <c r="AN15" i="1" s="1"/>
  <c r="AM20" i="1"/>
  <c r="AN20" i="1" s="1"/>
  <c r="AM28" i="1"/>
  <c r="AN28" i="1" s="1"/>
  <c r="AL25" i="1"/>
  <c r="AM25" i="1"/>
  <c r="AN25" i="1" s="1"/>
  <c r="AL21" i="1"/>
  <c r="AL23" i="1"/>
  <c r="AL19" i="1"/>
  <c r="AM19" i="1"/>
  <c r="J31" i="1"/>
  <c r="Q31" i="1" s="1"/>
  <c r="I31" i="1"/>
  <c r="P31" i="1" s="1"/>
  <c r="H31" i="1"/>
  <c r="O31" i="1" s="1"/>
  <c r="G31" i="1"/>
  <c r="N31" i="1" s="1"/>
  <c r="F31" i="1"/>
  <c r="M31" i="1" s="1"/>
  <c r="J30" i="1"/>
  <c r="Q30" i="1" s="1"/>
  <c r="I30" i="1"/>
  <c r="P30" i="1" s="1"/>
  <c r="H30" i="1"/>
  <c r="O30" i="1" s="1"/>
  <c r="G30" i="1"/>
  <c r="N30" i="1" s="1"/>
  <c r="F30" i="1"/>
  <c r="M30" i="1" s="1"/>
  <c r="J29" i="1"/>
  <c r="Q29" i="1" s="1"/>
  <c r="I29" i="1"/>
  <c r="P29" i="1" s="1"/>
  <c r="H29" i="1"/>
  <c r="O29" i="1" s="1"/>
  <c r="G29" i="1"/>
  <c r="N29" i="1" s="1"/>
  <c r="F29" i="1"/>
  <c r="M29" i="1" s="1"/>
  <c r="J28" i="1"/>
  <c r="Q28" i="1" s="1"/>
  <c r="I28" i="1"/>
  <c r="P28" i="1" s="1"/>
  <c r="H28" i="1"/>
  <c r="O28" i="1" s="1"/>
  <c r="G28" i="1"/>
  <c r="N28" i="1" s="1"/>
  <c r="F28" i="1"/>
  <c r="M28" i="1" s="1"/>
  <c r="J27" i="1"/>
  <c r="Q27" i="1" s="1"/>
  <c r="I27" i="1"/>
  <c r="P27" i="1" s="1"/>
  <c r="H27" i="1"/>
  <c r="O27" i="1" s="1"/>
  <c r="G27" i="1"/>
  <c r="N27" i="1" s="1"/>
  <c r="F27" i="1"/>
  <c r="M27" i="1" s="1"/>
  <c r="J26" i="1"/>
  <c r="Q26" i="1" s="1"/>
  <c r="I26" i="1"/>
  <c r="P26" i="1" s="1"/>
  <c r="H26" i="1"/>
  <c r="O26" i="1" s="1"/>
  <c r="G26" i="1"/>
  <c r="N26" i="1" s="1"/>
  <c r="F26" i="1"/>
  <c r="M26" i="1" s="1"/>
  <c r="J25" i="1"/>
  <c r="Q25" i="1" s="1"/>
  <c r="I25" i="1"/>
  <c r="P25" i="1" s="1"/>
  <c r="H25" i="1"/>
  <c r="O25" i="1" s="1"/>
  <c r="G25" i="1"/>
  <c r="N25" i="1" s="1"/>
  <c r="F25" i="1"/>
  <c r="M25" i="1" s="1"/>
  <c r="I24" i="1"/>
  <c r="P24" i="1" s="1"/>
  <c r="J24" i="1"/>
  <c r="Q24" i="1" s="1"/>
  <c r="H24" i="1"/>
  <c r="O24" i="1" s="1"/>
  <c r="G24" i="1"/>
  <c r="N24" i="1" s="1"/>
  <c r="F24" i="1"/>
  <c r="M24" i="1" s="1"/>
  <c r="J23" i="1"/>
  <c r="Q23" i="1" s="1"/>
  <c r="I23" i="1"/>
  <c r="P23" i="1" s="1"/>
  <c r="H23" i="1"/>
  <c r="O23" i="1" s="1"/>
  <c r="G23" i="1"/>
  <c r="N23" i="1" s="1"/>
  <c r="F23" i="1"/>
  <c r="M23" i="1" s="1"/>
  <c r="J22" i="1"/>
  <c r="Q22" i="1" s="1"/>
  <c r="I22" i="1"/>
  <c r="P22" i="1" s="1"/>
  <c r="H22" i="1"/>
  <c r="O22" i="1" s="1"/>
  <c r="G22" i="1"/>
  <c r="N22" i="1" s="1"/>
  <c r="F22" i="1"/>
  <c r="M22" i="1" s="1"/>
  <c r="J21" i="1"/>
  <c r="Q21" i="1" s="1"/>
  <c r="I21" i="1"/>
  <c r="P21" i="1" s="1"/>
  <c r="H21" i="1"/>
  <c r="O21" i="1" s="1"/>
  <c r="G21" i="1"/>
  <c r="N21" i="1" s="1"/>
  <c r="F21" i="1"/>
  <c r="M21" i="1" s="1"/>
  <c r="J20" i="1"/>
  <c r="Q20" i="1" s="1"/>
  <c r="I20" i="1"/>
  <c r="P20" i="1" s="1"/>
  <c r="H20" i="1"/>
  <c r="O20" i="1" s="1"/>
  <c r="G20" i="1"/>
  <c r="N20" i="1" s="1"/>
  <c r="F20" i="1"/>
  <c r="M20" i="1" s="1"/>
  <c r="J19" i="1"/>
  <c r="Q19" i="1" s="1"/>
  <c r="I19" i="1"/>
  <c r="P19" i="1" s="1"/>
  <c r="H19" i="1"/>
  <c r="O19" i="1" s="1"/>
  <c r="G19" i="1"/>
  <c r="N19" i="1" s="1"/>
  <c r="F19" i="1"/>
  <c r="M19" i="1" s="1"/>
  <c r="J18" i="1"/>
  <c r="Q18" i="1" s="1"/>
  <c r="I18" i="1"/>
  <c r="P18" i="1" s="1"/>
  <c r="H18" i="1"/>
  <c r="O18" i="1" s="1"/>
  <c r="G18" i="1"/>
  <c r="N18" i="1" s="1"/>
  <c r="F18" i="1"/>
  <c r="M18" i="1" s="1"/>
  <c r="J17" i="1"/>
  <c r="Q17" i="1" s="1"/>
  <c r="I17" i="1"/>
  <c r="P17" i="1" s="1"/>
  <c r="H17" i="1"/>
  <c r="O17" i="1" s="1"/>
  <c r="G17" i="1"/>
  <c r="N17" i="1" s="1"/>
  <c r="F17" i="1"/>
  <c r="M17" i="1" s="1"/>
  <c r="I16" i="1"/>
  <c r="P16" i="1" s="1"/>
  <c r="H16" i="1"/>
  <c r="O16" i="1" s="1"/>
  <c r="G16" i="1"/>
  <c r="N16" i="1" s="1"/>
  <c r="F16" i="1"/>
  <c r="M16" i="1" s="1"/>
  <c r="J16" i="1"/>
  <c r="Q16" i="1" s="1"/>
  <c r="J15" i="1"/>
  <c r="Q15" i="1" s="1"/>
  <c r="I15" i="1"/>
  <c r="P15" i="1" s="1"/>
  <c r="H15" i="1"/>
  <c r="O15" i="1" s="1"/>
  <c r="G15" i="1"/>
  <c r="N15" i="1" s="1"/>
  <c r="F15" i="1"/>
  <c r="M15" i="1" s="1"/>
  <c r="J13" i="1"/>
  <c r="Q13" i="1" s="1"/>
  <c r="I13" i="1"/>
  <c r="P13" i="1" s="1"/>
  <c r="H13" i="1"/>
  <c r="O13" i="1" s="1"/>
  <c r="G13" i="1"/>
  <c r="N13" i="1" s="1"/>
  <c r="F13" i="1"/>
  <c r="M13" i="1" s="1"/>
  <c r="J14" i="1"/>
  <c r="Q14" i="1" s="1"/>
  <c r="I14" i="1"/>
  <c r="P14" i="1" s="1"/>
  <c r="H14" i="1"/>
  <c r="O14" i="1" s="1"/>
  <c r="G14" i="1"/>
  <c r="N14" i="1" s="1"/>
  <c r="F14" i="1"/>
  <c r="M14" i="1" s="1"/>
  <c r="J12" i="1"/>
  <c r="Q12" i="1" s="1"/>
  <c r="I12" i="1"/>
  <c r="P12" i="1" s="1"/>
  <c r="G12" i="1"/>
  <c r="N12" i="1" s="1"/>
  <c r="H12" i="1"/>
  <c r="O12" i="1" s="1"/>
  <c r="F12" i="1"/>
  <c r="M12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J11" i="1"/>
  <c r="Q11" i="1" s="1"/>
  <c r="I11" i="1"/>
  <c r="P11" i="1" s="1"/>
  <c r="H11" i="1"/>
  <c r="O11" i="1" s="1"/>
  <c r="G11" i="1"/>
  <c r="N11" i="1" s="1"/>
  <c r="N32" i="1" s="1"/>
  <c r="F11" i="1"/>
  <c r="M11" i="1" s="1"/>
  <c r="M32" i="1" l="1"/>
  <c r="AL32" i="1"/>
  <c r="AN19" i="1"/>
  <c r="AN32" i="1" s="1"/>
  <c r="AM32" i="1"/>
  <c r="AM33" i="1" s="1"/>
  <c r="K27" i="1"/>
  <c r="L27" i="1" s="1"/>
  <c r="S27" i="1"/>
  <c r="R15" i="1"/>
  <c r="K25" i="1"/>
  <c r="L25" i="1" s="1"/>
  <c r="S21" i="1"/>
  <c r="T21" i="1" s="1"/>
  <c r="S13" i="1"/>
  <c r="T13" i="1" s="1"/>
  <c r="S31" i="1"/>
  <c r="T31" i="1" s="1"/>
  <c r="K13" i="1"/>
  <c r="L13" i="1" s="1"/>
  <c r="R23" i="1"/>
  <c r="S14" i="1"/>
  <c r="T14" i="1" s="1"/>
  <c r="R20" i="1"/>
  <c r="S28" i="1"/>
  <c r="T28" i="1" s="1"/>
  <c r="K11" i="1"/>
  <c r="L11" i="1" s="1"/>
  <c r="S16" i="1"/>
  <c r="K19" i="1"/>
  <c r="L19" i="1" s="1"/>
  <c r="S17" i="1"/>
  <c r="S20" i="1"/>
  <c r="T20" i="1" s="1"/>
  <c r="K16" i="1"/>
  <c r="L16" i="1" s="1"/>
  <c r="S29" i="1"/>
  <c r="T29" i="1" s="1"/>
  <c r="S15" i="1"/>
  <c r="S18" i="1"/>
  <c r="S23" i="1"/>
  <c r="T23" i="1" s="1"/>
  <c r="K26" i="1"/>
  <c r="L26" i="1" s="1"/>
  <c r="K28" i="1"/>
  <c r="L28" i="1" s="1"/>
  <c r="S19" i="1"/>
  <c r="T19" i="1" s="1"/>
  <c r="S22" i="1"/>
  <c r="S24" i="1"/>
  <c r="T24" i="1" s="1"/>
  <c r="S25" i="1"/>
  <c r="T25" i="1" s="1"/>
  <c r="K24" i="1"/>
  <c r="L24" i="1" s="1"/>
  <c r="K30" i="1"/>
  <c r="L30" i="1" s="1"/>
  <c r="S12" i="1"/>
  <c r="T12" i="1" s="1"/>
  <c r="K12" i="1"/>
  <c r="L12" i="1" s="1"/>
  <c r="K20" i="1"/>
  <c r="L20" i="1" s="1"/>
  <c r="K15" i="1"/>
  <c r="L15" i="1" s="1"/>
  <c r="K23" i="1"/>
  <c r="L23" i="1" s="1"/>
  <c r="S26" i="1"/>
  <c r="T26" i="1" s="1"/>
  <c r="K14" i="1"/>
  <c r="L14" i="1" s="1"/>
  <c r="K18" i="1"/>
  <c r="L18" i="1" s="1"/>
  <c r="K22" i="1"/>
  <c r="L22" i="1" s="1"/>
  <c r="S30" i="1"/>
  <c r="T30" i="1" s="1"/>
  <c r="R16" i="1"/>
  <c r="K17" i="1"/>
  <c r="L17" i="1" s="1"/>
  <c r="K21" i="1"/>
  <c r="L21" i="1" s="1"/>
  <c r="K29" i="1"/>
  <c r="L29" i="1" s="1"/>
  <c r="R31" i="1"/>
  <c r="K31" i="1"/>
  <c r="L31" i="1" s="1"/>
  <c r="R29" i="1"/>
  <c r="R21" i="1"/>
  <c r="R14" i="1"/>
  <c r="R13" i="1"/>
  <c r="T15" i="1" l="1"/>
  <c r="T16" i="1"/>
  <c r="T22" i="1"/>
  <c r="T17" i="1"/>
  <c r="T18" i="1"/>
  <c r="T27" i="1"/>
  <c r="R25" i="1"/>
  <c r="R27" i="1"/>
  <c r="R19" i="1"/>
  <c r="R28" i="1"/>
  <c r="R24" i="1"/>
  <c r="R12" i="1"/>
  <c r="R18" i="1"/>
  <c r="R22" i="1"/>
  <c r="R17" i="1"/>
  <c r="R26" i="1"/>
  <c r="R30" i="1"/>
  <c r="R11" i="1"/>
  <c r="S11" i="1"/>
  <c r="T11" i="1" s="1"/>
  <c r="T32" i="1" l="1"/>
  <c r="R32" i="1"/>
  <c r="S32" i="1"/>
  <c r="S33" i="1" s="1"/>
</calcChain>
</file>

<file path=xl/sharedStrings.xml><?xml version="1.0" encoding="utf-8"?>
<sst xmlns="http://schemas.openxmlformats.org/spreadsheetml/2006/main" count="89" uniqueCount="48">
  <si>
    <t>Asset</t>
  </si>
  <si>
    <t>% very poor</t>
  </si>
  <si>
    <t>% fair</t>
  </si>
  <si>
    <t>% very good</t>
  </si>
  <si>
    <t>% poor</t>
  </si>
  <si>
    <t>% good</t>
  </si>
  <si>
    <t># very poor</t>
  </si>
  <si>
    <t># poor</t>
  </si>
  <si>
    <t># fair</t>
  </si>
  <si>
    <t># good</t>
  </si>
  <si>
    <t># very good</t>
  </si>
  <si>
    <t>Population</t>
  </si>
  <si>
    <t>Total</t>
  </si>
  <si>
    <t>Station Switchgear</t>
  </si>
  <si>
    <t>Air Blast Circuit Breakers</t>
  </si>
  <si>
    <t>Sample Size %</t>
  </si>
  <si>
    <t>Air Magnetic Circuit Breakers</t>
  </si>
  <si>
    <t>Oil Circuit Breakers</t>
  </si>
  <si>
    <t>Oil KSO Breakers</t>
  </si>
  <si>
    <t>SF6 Circuit Breaker</t>
  </si>
  <si>
    <t>Vacuum Circuit Breakers</t>
  </si>
  <si>
    <t>Submersible Transformers</t>
  </si>
  <si>
    <t>Vault Transformers</t>
  </si>
  <si>
    <t>Padmounted Transformers</t>
  </si>
  <si>
    <t>Padmounted Switches</t>
  </si>
  <si>
    <t>3 Phase O/H Gang Manual Switches</t>
  </si>
  <si>
    <t>3 Phase O/H Gang Remote Switches</t>
  </si>
  <si>
    <t>SCADAMATE Switches</t>
  </si>
  <si>
    <t>Wood Poles</t>
  </si>
  <si>
    <t>Automatic Transfer Switches</t>
  </si>
  <si>
    <t>Network Transformers</t>
  </si>
  <si>
    <t>Network Protectors</t>
  </si>
  <si>
    <t>Network Vaults</t>
  </si>
  <si>
    <t>Cable Cambers</t>
  </si>
  <si>
    <t>Station Power Transformer</t>
  </si>
  <si>
    <t>% very poor &amp; poor</t>
  </si>
  <si>
    <t>% very poor,  poor &amp; fair</t>
  </si>
  <si>
    <t># very poor &amp; poor</t>
  </si>
  <si>
    <t># very poor,  poor &amp; fair</t>
  </si>
  <si>
    <t>TOTAL</t>
  </si>
  <si>
    <t>2B-AMPCO-42 (a) ACA from EB-2014-0116</t>
  </si>
  <si>
    <t>EB-2018-0165</t>
  </si>
  <si>
    <t>Adjusted Population for Sample Size</t>
  </si>
  <si>
    <t>AMPCO_SUB_THESL_20190828_Appendix B</t>
  </si>
  <si>
    <t>AMPCO ACA Table - Panel 1 - Corrected</t>
  </si>
  <si>
    <t>2B-AMPCO-48 ACA from EB-2018-0165</t>
  </si>
  <si>
    <t>2014 ACA - Kinectrics Methodology</t>
  </si>
  <si>
    <t>2016 ACA - Kinectrics Methodology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</si>
</sst>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/>
    <xf numFmtId="0" fontId="2" fillId="0" borderId="4" xfId="0" applyFont="1" applyBorder="1"/>
    <xf numFmtId="0" fontId="3" fillId="0" borderId="0" xfId="0" applyFont="1" applyBorder="1"/>
    <xf numFmtId="0" fontId="2" fillId="0" borderId="0" xfId="0" applyFont="1" applyBorder="1"/>
    <xf numFmtId="0" fontId="3" fillId="0" borderId="15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3" fillId="0" borderId="9" xfId="0" applyFont="1" applyBorder="1" applyAlignment="1">
      <alignment horizontal="right" wrapText="1"/>
    </xf>
    <xf numFmtId="0" fontId="3" fillId="0" borderId="10" xfId="0" applyFont="1" applyBorder="1" applyAlignment="1">
      <alignment horizontal="right"/>
    </xf>
    <xf numFmtId="0" fontId="3" fillId="0" borderId="10" xfId="0" applyFont="1" applyBorder="1" applyAlignment="1">
      <alignment horizontal="right" wrapText="1"/>
    </xf>
    <xf numFmtId="0" fontId="3" fillId="0" borderId="10" xfId="0" applyFont="1" applyFill="1" applyBorder="1" applyAlignment="1">
      <alignment horizontal="right" wrapText="1"/>
    </xf>
    <xf numFmtId="0" fontId="3" fillId="0" borderId="11" xfId="0" applyFont="1" applyBorder="1" applyAlignment="1">
      <alignment horizontal="right" wrapText="1"/>
    </xf>
    <xf numFmtId="0" fontId="2" fillId="0" borderId="6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0" xfId="0" applyFont="1" applyBorder="1" applyAlignment="1">
      <alignment horizontal="center"/>
    </xf>
    <xf numFmtId="1" fontId="2" fillId="0" borderId="12" xfId="0" applyNumberFormat="1" applyFont="1" applyBorder="1"/>
    <xf numFmtId="1" fontId="2" fillId="0" borderId="0" xfId="0" applyNumberFormat="1" applyFont="1" applyBorder="1"/>
    <xf numFmtId="1" fontId="2" fillId="0" borderId="13" xfId="0" applyNumberFormat="1" applyFont="1" applyBorder="1"/>
    <xf numFmtId="0" fontId="2" fillId="0" borderId="0" xfId="0" applyFont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0" borderId="14" xfId="0" applyNumberFormat="1" applyFont="1" applyBorder="1"/>
    <xf numFmtId="1" fontId="2" fillId="0" borderId="15" xfId="0" applyNumberFormat="1" applyFont="1" applyBorder="1"/>
    <xf numFmtId="1" fontId="2" fillId="0" borderId="16" xfId="0" applyNumberFormat="1" applyFont="1" applyBorder="1"/>
    <xf numFmtId="0" fontId="3" fillId="0" borderId="0" xfId="0" applyFont="1" applyBorder="1" applyAlignment="1">
      <alignment horizontal="center"/>
    </xf>
    <xf numFmtId="1" fontId="3" fillId="0" borderId="0" xfId="0" applyNumberFormat="1" applyFont="1" applyBorder="1"/>
    <xf numFmtId="0" fontId="2" fillId="0" borderId="17" xfId="0" applyFont="1" applyBorder="1"/>
    <xf numFmtId="3" fontId="0" fillId="0" borderId="0" xfId="0" applyNumberFormat="1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 wrapText="1"/>
    </xf>
    <xf numFmtId="1" fontId="3" fillId="0" borderId="6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0" fontId="4" fillId="0" borderId="0" xfId="0" applyNumberFormat="1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0" fontId="2" fillId="0" borderId="1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2" fillId="0" borderId="19" xfId="0" applyNumberFormat="1" applyFont="1" applyBorder="1" applyAlignment="1">
      <alignment horizontal="center"/>
    </xf>
    <xf numFmtId="10" fontId="2" fillId="0" borderId="20" xfId="0" applyNumberFormat="1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" fontId="2" fillId="0" borderId="5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 wrapText="1"/>
    </xf>
    <xf numFmtId="2" fontId="3" fillId="0" borderId="21" xfId="0" applyNumberFormat="1" applyFont="1" applyBorder="1" applyAlignment="1">
      <alignment horizontal="center" wrapText="1"/>
    </xf>
    <xf numFmtId="2" fontId="3" fillId="0" borderId="18" xfId="0" applyNumberFormat="1" applyFont="1" applyBorder="1" applyAlignment="1">
      <alignment horizontal="center" wrapText="1"/>
    </xf>
    <xf numFmtId="10" fontId="2" fillId="0" borderId="0" xfId="0" applyNumberFormat="1" applyFont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6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 wrapText="1"/>
    </xf>
    <xf numFmtId="2" fontId="3" fillId="0" borderId="11" xfId="0" applyNumberFormat="1" applyFont="1" applyBorder="1" applyAlignment="1">
      <alignment horizontal="center" wrapText="1"/>
    </xf>
    <xf numFmtId="0" fontId="5" fillId="0" borderId="0" xfId="0" applyFont="1" applyBorder="1"/>
    <xf numFmtId="0" fontId="6" fillId="0" borderId="0" xfId="0" applyFont="1" applyBorder="1"/>
    <xf numFmtId="0" fontId="5" fillId="0" borderId="4" xfId="0" applyFont="1" applyFill="1" applyBorder="1"/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0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/>
    <xf numFmtId="1" fontId="5" fillId="0" borderId="2" xfId="0" applyNumberFormat="1" applyFont="1" applyBorder="1"/>
    <xf numFmtId="0" fontId="5" fillId="0" borderId="5" xfId="0" applyFont="1" applyBorder="1"/>
    <xf numFmtId="0" fontId="5" fillId="0" borderId="1" xfId="0" applyFont="1" applyBorder="1"/>
    <xf numFmtId="2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9" fontId="5" fillId="0" borderId="1" xfId="0" applyNumberFormat="1" applyFont="1" applyFill="1" applyBorder="1"/>
    <xf numFmtId="9" fontId="5" fillId="0" borderId="3" xfId="0" applyNumberFormat="1" applyFont="1" applyFill="1" applyBorder="1"/>
    <xf numFmtId="1" fontId="5" fillId="0" borderId="2" xfId="0" applyNumberFormat="1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9" fontId="5" fillId="0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4" xfId="0" applyFont="1" applyBorder="1"/>
    <xf numFmtId="2" fontId="3" fillId="0" borderId="2" xfId="0" applyNumberFormat="1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10" fontId="3" fillId="0" borderId="13" xfId="0" applyNumberFormat="1" applyFont="1" applyBorder="1" applyAlignment="1">
      <alignment horizontal="center"/>
    </xf>
    <xf numFmtId="1" fontId="3" fillId="0" borderId="12" xfId="0" applyNumberFormat="1" applyFont="1" applyBorder="1"/>
    <xf numFmtId="1" fontId="3" fillId="0" borderId="13" xfId="0" applyNumberFormat="1" applyFont="1" applyBorder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42"/>
  <sheetViews>
    <sheetView tabSelected="1" workbookViewId="0">
      <selection activeCell="B4" sqref="B4"/>
    </sheetView>
  </sheetViews>
  <sheetFormatPr defaultRowHeight="15" x14ac:dyDescent="0.25"/>
  <cols>
    <col min="1" max="1" width="3" customWidth="1"/>
    <col min="2" max="2" width="29.28515625" customWidth="1"/>
    <col min="3" max="3" width="9.140625" customWidth="1"/>
    <col min="4" max="4" width="8.140625" style="34" customWidth="1"/>
    <col min="5" max="5" width="9.85546875" style="35" customWidth="1"/>
    <col min="6" max="6" width="7.7109375" style="36" customWidth="1"/>
    <col min="7" max="7" width="7.42578125" style="36" customWidth="1"/>
    <col min="8" max="8" width="7.140625" style="36" customWidth="1"/>
    <col min="9" max="9" width="7.42578125" style="36" customWidth="1"/>
    <col min="10" max="10" width="7.28515625" style="36" customWidth="1"/>
    <col min="11" max="11" width="8.42578125" style="36" customWidth="1"/>
    <col min="12" max="12" width="9.28515625" style="36" customWidth="1"/>
    <col min="13" max="13" width="7.5703125" customWidth="1"/>
    <col min="14" max="20" width="6.7109375" customWidth="1"/>
    <col min="21" max="21" width="3.140625" customWidth="1"/>
    <col min="22" max="22" width="29.5703125" customWidth="1"/>
    <col min="23" max="23" width="9.28515625" style="36" customWidth="1"/>
    <col min="24" max="24" width="9.140625" style="36" customWidth="1"/>
    <col min="25" max="25" width="9.140625" style="35" customWidth="1"/>
    <col min="26" max="30" width="9.140625" style="36" customWidth="1"/>
    <col min="31" max="32" width="9.5703125" style="36" customWidth="1"/>
    <col min="33" max="33" width="8.7109375" style="36" customWidth="1"/>
    <col min="34" max="38" width="6.7109375" style="36" customWidth="1"/>
    <col min="39" max="39" width="8" style="36" customWidth="1"/>
    <col min="40" max="40" width="9.140625" style="36"/>
  </cols>
  <sheetData>
    <row r="1" spans="1:40" x14ac:dyDescent="0.25">
      <c r="B1" t="s">
        <v>43</v>
      </c>
    </row>
    <row r="3" spans="1:40" x14ac:dyDescent="0.25">
      <c r="B3" t="s">
        <v>41</v>
      </c>
    </row>
    <row r="4" spans="1:40" x14ac:dyDescent="0.25">
      <c r="B4" s="2" t="s">
        <v>44</v>
      </c>
      <c r="C4" s="2"/>
      <c r="D4" s="37"/>
      <c r="E4" s="38"/>
      <c r="F4" s="39"/>
      <c r="G4" s="39"/>
      <c r="H4" s="39"/>
      <c r="I4" s="39"/>
      <c r="J4" s="39"/>
      <c r="K4" s="39"/>
      <c r="L4" s="39"/>
      <c r="M4" s="1"/>
      <c r="N4" s="1"/>
      <c r="O4" s="1"/>
      <c r="P4" s="1"/>
      <c r="Q4" s="1"/>
      <c r="R4" s="1"/>
      <c r="S4" s="1"/>
      <c r="T4" s="1"/>
    </row>
    <row r="5" spans="1:40" x14ac:dyDescent="0.25">
      <c r="B5" s="1"/>
      <c r="C5" s="2"/>
      <c r="D5" s="37"/>
      <c r="E5" s="38"/>
      <c r="F5" s="39"/>
      <c r="G5" s="39"/>
      <c r="H5" s="39"/>
      <c r="I5" s="39"/>
      <c r="J5" s="39"/>
      <c r="K5" s="39"/>
      <c r="L5" s="39"/>
      <c r="M5" s="1"/>
      <c r="N5" s="1"/>
      <c r="O5" s="1"/>
      <c r="P5" s="1"/>
      <c r="Q5" s="1"/>
      <c r="R5" s="1"/>
      <c r="S5" s="1"/>
      <c r="T5" s="1"/>
    </row>
    <row r="6" spans="1:40" x14ac:dyDescent="0.25">
      <c r="B6" s="6" t="s">
        <v>40</v>
      </c>
      <c r="C6" s="5"/>
      <c r="D6" s="40"/>
      <c r="E6" s="41"/>
      <c r="F6" s="19"/>
      <c r="G6" s="19"/>
      <c r="H6" s="19"/>
      <c r="I6" s="19"/>
      <c r="J6" s="19"/>
      <c r="K6" s="19"/>
      <c r="L6" s="19"/>
      <c r="M6" s="79"/>
      <c r="N6" s="6"/>
      <c r="O6" s="6"/>
      <c r="P6" s="6"/>
      <c r="Q6" s="6"/>
      <c r="R6" s="6"/>
      <c r="S6" s="6"/>
      <c r="T6" s="6"/>
      <c r="U6" s="3"/>
      <c r="V6" s="6" t="s">
        <v>45</v>
      </c>
      <c r="W6" s="23"/>
      <c r="X6" s="61"/>
      <c r="Y6" s="62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</row>
    <row r="7" spans="1:40" x14ac:dyDescent="0.25">
      <c r="A7" s="6"/>
      <c r="B7" s="5"/>
      <c r="C7" s="6"/>
      <c r="D7" s="40"/>
      <c r="E7" s="41"/>
      <c r="F7" s="19"/>
      <c r="G7" s="19"/>
      <c r="H7" s="19"/>
      <c r="I7" s="19"/>
      <c r="J7" s="19"/>
      <c r="K7" s="19"/>
      <c r="L7" s="19"/>
      <c r="M7" s="6"/>
      <c r="N7" s="6"/>
      <c r="O7" s="6"/>
      <c r="P7" s="6"/>
      <c r="Q7" s="6"/>
      <c r="R7" s="6"/>
      <c r="S7" s="6"/>
      <c r="T7" s="6"/>
      <c r="U7" s="3"/>
      <c r="V7" s="3"/>
      <c r="W7" s="23"/>
      <c r="X7" s="61"/>
      <c r="Y7" s="62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</row>
    <row r="8" spans="1:40" ht="15.75" thickBot="1" x14ac:dyDescent="0.3">
      <c r="A8" s="25"/>
      <c r="B8" s="78" t="s">
        <v>46</v>
      </c>
      <c r="C8" s="5"/>
      <c r="D8" s="42"/>
      <c r="E8" s="43"/>
      <c r="F8" s="30"/>
      <c r="G8" s="30"/>
      <c r="H8" s="30"/>
      <c r="I8" s="30"/>
      <c r="J8" s="30"/>
      <c r="K8" s="30"/>
      <c r="L8" s="30"/>
      <c r="M8" s="5"/>
      <c r="N8" s="5"/>
      <c r="O8" s="5"/>
      <c r="P8" s="5"/>
      <c r="Q8" s="5"/>
      <c r="R8" s="6"/>
      <c r="S8" s="5"/>
      <c r="T8" s="7"/>
      <c r="U8" s="3"/>
      <c r="V8" s="78" t="s">
        <v>47</v>
      </c>
      <c r="W8" s="23"/>
      <c r="X8" s="61"/>
      <c r="Y8" s="62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</row>
    <row r="9" spans="1:40" ht="57.75" customHeight="1" thickTop="1" x14ac:dyDescent="0.25">
      <c r="A9" s="8"/>
      <c r="B9" s="9" t="s">
        <v>0</v>
      </c>
      <c r="C9" s="10" t="s">
        <v>11</v>
      </c>
      <c r="D9" s="44" t="s">
        <v>15</v>
      </c>
      <c r="E9" s="45" t="s">
        <v>42</v>
      </c>
      <c r="F9" s="46" t="s">
        <v>1</v>
      </c>
      <c r="G9" s="46" t="s">
        <v>4</v>
      </c>
      <c r="H9" s="46" t="s">
        <v>2</v>
      </c>
      <c r="I9" s="46" t="s">
        <v>5</v>
      </c>
      <c r="J9" s="46" t="s">
        <v>3</v>
      </c>
      <c r="K9" s="47" t="s">
        <v>35</v>
      </c>
      <c r="L9" s="48" t="s">
        <v>36</v>
      </c>
      <c r="M9" s="11" t="s">
        <v>6</v>
      </c>
      <c r="N9" s="12" t="s">
        <v>7</v>
      </c>
      <c r="O9" s="13" t="s">
        <v>8</v>
      </c>
      <c r="P9" s="13" t="s">
        <v>9</v>
      </c>
      <c r="Q9" s="13" t="s">
        <v>10</v>
      </c>
      <c r="R9" s="14" t="s">
        <v>12</v>
      </c>
      <c r="S9" s="11" t="s">
        <v>37</v>
      </c>
      <c r="T9" s="15" t="s">
        <v>38</v>
      </c>
      <c r="U9" s="32"/>
      <c r="V9" s="16" t="s">
        <v>0</v>
      </c>
      <c r="W9" s="44" t="s">
        <v>11</v>
      </c>
      <c r="X9" s="44" t="s">
        <v>15</v>
      </c>
      <c r="Y9" s="45" t="s">
        <v>42</v>
      </c>
      <c r="Z9" s="44" t="s">
        <v>1</v>
      </c>
      <c r="AA9" s="44" t="s">
        <v>4</v>
      </c>
      <c r="AB9" s="44" t="s">
        <v>2</v>
      </c>
      <c r="AC9" s="44" t="s">
        <v>5</v>
      </c>
      <c r="AD9" s="65" t="s">
        <v>3</v>
      </c>
      <c r="AE9" s="76" t="s">
        <v>35</v>
      </c>
      <c r="AF9" s="77" t="s">
        <v>36</v>
      </c>
      <c r="AG9" s="66" t="s">
        <v>6</v>
      </c>
      <c r="AH9" s="44" t="s">
        <v>7</v>
      </c>
      <c r="AI9" s="44" t="s">
        <v>8</v>
      </c>
      <c r="AJ9" s="44" t="s">
        <v>9</v>
      </c>
      <c r="AK9" s="44" t="s">
        <v>10</v>
      </c>
      <c r="AL9" s="67" t="s">
        <v>12</v>
      </c>
      <c r="AM9" s="44" t="s">
        <v>37</v>
      </c>
      <c r="AN9" s="67" t="s">
        <v>38</v>
      </c>
    </row>
    <row r="10" spans="1:40" x14ac:dyDescent="0.25">
      <c r="A10" s="4"/>
      <c r="B10" s="6"/>
      <c r="C10" s="6"/>
      <c r="D10" s="49"/>
      <c r="E10" s="41"/>
      <c r="F10" s="19"/>
      <c r="G10" s="19"/>
      <c r="H10" s="19"/>
      <c r="I10" s="19"/>
      <c r="J10" s="19"/>
      <c r="K10" s="50"/>
      <c r="L10" s="51"/>
      <c r="M10" s="17"/>
      <c r="N10" s="6"/>
      <c r="O10" s="6"/>
      <c r="P10" s="6"/>
      <c r="Q10" s="6"/>
      <c r="R10" s="6"/>
      <c r="S10" s="17"/>
      <c r="T10" s="18"/>
      <c r="U10" s="4"/>
      <c r="V10" s="6"/>
      <c r="W10" s="23"/>
      <c r="X10" s="61"/>
      <c r="Y10" s="62"/>
      <c r="Z10" s="23"/>
      <c r="AA10" s="23"/>
      <c r="AB10" s="23"/>
      <c r="AC10" s="23"/>
      <c r="AD10" s="23"/>
      <c r="AE10" s="50"/>
      <c r="AF10" s="51"/>
      <c r="AG10" s="50"/>
      <c r="AH10" s="19"/>
      <c r="AI10" s="19"/>
      <c r="AJ10" s="19"/>
      <c r="AK10" s="19"/>
      <c r="AL10" s="51"/>
      <c r="AM10" s="19"/>
      <c r="AN10" s="51"/>
    </row>
    <row r="11" spans="1:40" x14ac:dyDescent="0.25">
      <c r="A11" s="4">
        <v>1</v>
      </c>
      <c r="B11" s="6" t="s">
        <v>34</v>
      </c>
      <c r="C11" s="19">
        <v>268</v>
      </c>
      <c r="D11" s="49">
        <v>90.3</v>
      </c>
      <c r="E11" s="41">
        <f>(D11*C11)/100</f>
        <v>242.00399999999999</v>
      </c>
      <c r="F11" s="52">
        <f>124%/100</f>
        <v>1.24E-2</v>
      </c>
      <c r="G11" s="52">
        <f>1364%/100</f>
        <v>0.13639999999999999</v>
      </c>
      <c r="H11" s="53">
        <f>4959%/100</f>
        <v>0.49590000000000001</v>
      </c>
      <c r="I11" s="52">
        <f>2314%/100</f>
        <v>0.23139999999999999</v>
      </c>
      <c r="J11" s="52">
        <f>1240%/100</f>
        <v>0.124</v>
      </c>
      <c r="K11" s="54">
        <f t="shared" ref="K11:K31" si="0">SUM(F11:G11)</f>
        <v>0.14879999999999999</v>
      </c>
      <c r="L11" s="55">
        <f>K11+H11</f>
        <v>0.64470000000000005</v>
      </c>
      <c r="M11" s="20">
        <f t="shared" ref="M11:M31" si="1">E11*F11</f>
        <v>3.0008495999999996</v>
      </c>
      <c r="N11" s="21">
        <f t="shared" ref="N11:N31" si="2">E11*G11</f>
        <v>33.009345599999996</v>
      </c>
      <c r="O11" s="21">
        <f t="shared" ref="O11:O31" si="3">H11*E11</f>
        <v>120.00978359999999</v>
      </c>
      <c r="P11" s="21">
        <f t="shared" ref="P11:P31" si="4">E11*I11</f>
        <v>55.999725599999998</v>
      </c>
      <c r="Q11" s="21">
        <f t="shared" ref="Q11:Q31" si="5">E11*J11</f>
        <v>30.008495999999997</v>
      </c>
      <c r="R11" s="21">
        <f t="shared" ref="R11:R31" si="6">SUM(M11:Q11)</f>
        <v>242.0282004</v>
      </c>
      <c r="S11" s="20">
        <f t="shared" ref="S11:S31" si="7">SUM(M11:N11)</f>
        <v>36.010195199999998</v>
      </c>
      <c r="T11" s="22">
        <f>S11+O11</f>
        <v>156.01997879999999</v>
      </c>
      <c r="U11" s="4">
        <v>1</v>
      </c>
      <c r="V11" s="6" t="s">
        <v>34</v>
      </c>
      <c r="W11" s="23">
        <v>292</v>
      </c>
      <c r="X11" s="61">
        <v>89.7</v>
      </c>
      <c r="Y11" s="62">
        <f>(W11*X11)/100</f>
        <v>261.92400000000004</v>
      </c>
      <c r="Z11" s="68">
        <v>0</v>
      </c>
      <c r="AA11" s="68">
        <v>4.0000000000000001E-3</v>
      </c>
      <c r="AB11" s="68">
        <v>0.26700000000000002</v>
      </c>
      <c r="AC11" s="68">
        <v>0.496</v>
      </c>
      <c r="AD11" s="68">
        <v>0.23300000000000001</v>
      </c>
      <c r="AE11" s="54">
        <f t="shared" ref="AE11" si="8">SUM(Z11:AA11)</f>
        <v>4.0000000000000001E-3</v>
      </c>
      <c r="AF11" s="52">
        <f>AE11+AB11</f>
        <v>0.27100000000000002</v>
      </c>
      <c r="AG11" s="69">
        <f>Y11*Z11</f>
        <v>0</v>
      </c>
      <c r="AH11" s="41">
        <f>Y11*AA11</f>
        <v>1.0476960000000002</v>
      </c>
      <c r="AI11" s="41">
        <f>Y11*AB11</f>
        <v>69.93370800000001</v>
      </c>
      <c r="AJ11" s="41">
        <f>Y11*AC11</f>
        <v>129.91430400000002</v>
      </c>
      <c r="AK11" s="41">
        <f>Y11*AD11</f>
        <v>61.028292000000015</v>
      </c>
      <c r="AL11" s="41">
        <f t="shared" ref="AL11" si="9">SUM(AG11:AK11)</f>
        <v>261.92400000000004</v>
      </c>
      <c r="AM11" s="69">
        <f t="shared" ref="AM11" si="10">SUM(AG11:AH11)</f>
        <v>1.0476960000000002</v>
      </c>
      <c r="AN11" s="70">
        <f>AM11+AI11</f>
        <v>70.981404000000012</v>
      </c>
    </row>
    <row r="12" spans="1:40" x14ac:dyDescent="0.25">
      <c r="A12" s="4">
        <f>A11+1</f>
        <v>2</v>
      </c>
      <c r="B12" s="6" t="s">
        <v>13</v>
      </c>
      <c r="C12" s="19">
        <v>279</v>
      </c>
      <c r="D12" s="49">
        <v>88.89</v>
      </c>
      <c r="E12" s="41">
        <f t="shared" ref="E12:E31" si="11">(D12*C12)/100</f>
        <v>248.00310000000002</v>
      </c>
      <c r="F12" s="52">
        <f>484%/100</f>
        <v>4.8399999999999999E-2</v>
      </c>
      <c r="G12" s="52">
        <f>3669%/100</f>
        <v>0.3669</v>
      </c>
      <c r="H12" s="53">
        <f>3347%/100</f>
        <v>0.3347</v>
      </c>
      <c r="I12" s="52">
        <f>927%/100</f>
        <v>9.2699999999999991E-2</v>
      </c>
      <c r="J12" s="52">
        <f>1573%/100</f>
        <v>0.1573</v>
      </c>
      <c r="K12" s="54">
        <f t="shared" si="0"/>
        <v>0.4153</v>
      </c>
      <c r="L12" s="55">
        <f t="shared" ref="L12:L31" si="12">K12+H12</f>
        <v>0.75</v>
      </c>
      <c r="M12" s="20">
        <f t="shared" si="1"/>
        <v>12.003350040000001</v>
      </c>
      <c r="N12" s="21">
        <f t="shared" si="2"/>
        <v>90.992337390000003</v>
      </c>
      <c r="O12" s="21">
        <f t="shared" si="3"/>
        <v>83.006637570000009</v>
      </c>
      <c r="P12" s="21">
        <f t="shared" si="4"/>
        <v>22.989887369999998</v>
      </c>
      <c r="Q12" s="21">
        <f t="shared" si="5"/>
        <v>39.010887629999999</v>
      </c>
      <c r="R12" s="21">
        <f t="shared" si="6"/>
        <v>248.00310000000002</v>
      </c>
      <c r="S12" s="20">
        <f t="shared" si="7"/>
        <v>102.99568743</v>
      </c>
      <c r="T12" s="22">
        <f t="shared" ref="T12:T31" si="13">S12+O12</f>
        <v>186.00232500000001</v>
      </c>
      <c r="U12" s="4">
        <f>U11+1</f>
        <v>2</v>
      </c>
      <c r="V12" s="6" t="s">
        <v>13</v>
      </c>
      <c r="W12" s="23"/>
      <c r="X12" s="61"/>
      <c r="Y12" s="62"/>
      <c r="Z12" s="68"/>
      <c r="AA12" s="68"/>
      <c r="AB12" s="68"/>
      <c r="AC12" s="68"/>
      <c r="AD12" s="68"/>
      <c r="AE12" s="54"/>
      <c r="AF12" s="52"/>
      <c r="AG12" s="69"/>
      <c r="AH12" s="41"/>
      <c r="AI12" s="41"/>
      <c r="AJ12" s="41"/>
      <c r="AK12" s="41"/>
      <c r="AL12" s="41"/>
      <c r="AM12" s="69"/>
      <c r="AN12" s="70"/>
    </row>
    <row r="13" spans="1:40" x14ac:dyDescent="0.25">
      <c r="A13" s="4">
        <f t="shared" ref="A13:A31" si="14">A12+1</f>
        <v>3</v>
      </c>
      <c r="B13" s="6" t="s">
        <v>14</v>
      </c>
      <c r="C13" s="19">
        <v>290</v>
      </c>
      <c r="D13" s="49">
        <v>62.07</v>
      </c>
      <c r="E13" s="41">
        <f t="shared" si="11"/>
        <v>180.00299999999999</v>
      </c>
      <c r="F13" s="52">
        <f>0%/100</f>
        <v>0</v>
      </c>
      <c r="G13" s="52">
        <f>389%/100</f>
        <v>3.8900000000000004E-2</v>
      </c>
      <c r="H13" s="53">
        <f>8778%/100</f>
        <v>0.87780000000000002</v>
      </c>
      <c r="I13" s="52">
        <f>278%/100</f>
        <v>2.7799999999999998E-2</v>
      </c>
      <c r="J13" s="52">
        <f>556%/100</f>
        <v>5.5599999999999997E-2</v>
      </c>
      <c r="K13" s="54">
        <f t="shared" si="0"/>
        <v>3.8900000000000004E-2</v>
      </c>
      <c r="L13" s="55">
        <f t="shared" si="12"/>
        <v>0.91670000000000007</v>
      </c>
      <c r="M13" s="20">
        <f t="shared" si="1"/>
        <v>0</v>
      </c>
      <c r="N13" s="21">
        <f t="shared" si="2"/>
        <v>7.0021167000000002</v>
      </c>
      <c r="O13" s="21">
        <f t="shared" si="3"/>
        <v>158.0066334</v>
      </c>
      <c r="P13" s="21">
        <f t="shared" si="4"/>
        <v>5.004083399999999</v>
      </c>
      <c r="Q13" s="21">
        <f t="shared" si="5"/>
        <v>10.008166799999998</v>
      </c>
      <c r="R13" s="21">
        <f t="shared" si="6"/>
        <v>180.0210003</v>
      </c>
      <c r="S13" s="20">
        <f t="shared" si="7"/>
        <v>7.0021167000000002</v>
      </c>
      <c r="T13" s="22">
        <f t="shared" si="13"/>
        <v>165.00875009999999</v>
      </c>
      <c r="U13" s="4">
        <v>3</v>
      </c>
      <c r="V13" s="6" t="s">
        <v>14</v>
      </c>
      <c r="W13" s="23">
        <v>241</v>
      </c>
      <c r="X13" s="61">
        <v>75.900000000000006</v>
      </c>
      <c r="Y13" s="62">
        <f t="shared" ref="Y13:Y31" si="15">(W13*X13)/100</f>
        <v>182.91900000000001</v>
      </c>
      <c r="Z13" s="68">
        <v>0</v>
      </c>
      <c r="AA13" s="68">
        <v>4.3999999999999997E-2</v>
      </c>
      <c r="AB13" s="68">
        <v>0.88</v>
      </c>
      <c r="AC13" s="68">
        <v>7.0999999999999994E-2</v>
      </c>
      <c r="AD13" s="68">
        <v>6.0000000000000001E-3</v>
      </c>
      <c r="AE13" s="54">
        <f t="shared" ref="AE13:AE31" si="16">SUM(Z13:AA13)</f>
        <v>4.3999999999999997E-2</v>
      </c>
      <c r="AF13" s="52">
        <f t="shared" ref="AF13:AF31" si="17">AE13+AB13</f>
        <v>0.92400000000000004</v>
      </c>
      <c r="AG13" s="69">
        <f t="shared" ref="AG13:AG31" si="18">Y13*Z13</f>
        <v>0</v>
      </c>
      <c r="AH13" s="41">
        <f t="shared" ref="AH13:AH31" si="19">Y13*AA13</f>
        <v>8.0484360000000006</v>
      </c>
      <c r="AI13" s="41">
        <f t="shared" ref="AI13:AI31" si="20">Y13*AB13</f>
        <v>160.96872000000002</v>
      </c>
      <c r="AJ13" s="41">
        <f t="shared" ref="AJ13:AJ31" si="21">Y13*AC13</f>
        <v>12.987249</v>
      </c>
      <c r="AK13" s="41">
        <f t="shared" ref="AK13:AK31" si="22">Y13*AD13</f>
        <v>1.0975140000000001</v>
      </c>
      <c r="AL13" s="41">
        <f t="shared" ref="AL13:AL31" si="23">SUM(AG13:AK13)</f>
        <v>183.10191900000001</v>
      </c>
      <c r="AM13" s="69">
        <f t="shared" ref="AM13:AM31" si="24">SUM(AG13:AH13)</f>
        <v>8.0484360000000006</v>
      </c>
      <c r="AN13" s="70">
        <f t="shared" ref="AN13:AN31" si="25">AM13+AI13</f>
        <v>169.01715600000003</v>
      </c>
    </row>
    <row r="14" spans="1:40" x14ac:dyDescent="0.25">
      <c r="A14" s="4">
        <f t="shared" si="14"/>
        <v>4</v>
      </c>
      <c r="B14" s="6" t="s">
        <v>16</v>
      </c>
      <c r="C14" s="19">
        <v>627</v>
      </c>
      <c r="D14" s="49">
        <v>74.319999999999993</v>
      </c>
      <c r="E14" s="41">
        <f t="shared" si="11"/>
        <v>465.98639999999995</v>
      </c>
      <c r="F14" s="52">
        <f>21%/100</f>
        <v>2.0999999999999999E-3</v>
      </c>
      <c r="G14" s="52">
        <f>472%/100</f>
        <v>4.7199999999999999E-2</v>
      </c>
      <c r="H14" s="53">
        <f>7425%/100</f>
        <v>0.74250000000000005</v>
      </c>
      <c r="I14" s="52">
        <f>1888%/100</f>
        <v>0.1888</v>
      </c>
      <c r="J14" s="52">
        <f>193%/100</f>
        <v>1.9299999999999998E-2</v>
      </c>
      <c r="K14" s="54">
        <f t="shared" si="0"/>
        <v>4.9299999999999997E-2</v>
      </c>
      <c r="L14" s="55">
        <f t="shared" si="12"/>
        <v>0.79180000000000006</v>
      </c>
      <c r="M14" s="20">
        <f t="shared" si="1"/>
        <v>0.97857143999999985</v>
      </c>
      <c r="N14" s="21">
        <f t="shared" si="2"/>
        <v>21.994558079999997</v>
      </c>
      <c r="O14" s="21">
        <f t="shared" si="3"/>
        <v>345.99490199999997</v>
      </c>
      <c r="P14" s="21">
        <f t="shared" si="4"/>
        <v>87.978232319999989</v>
      </c>
      <c r="Q14" s="21">
        <f t="shared" si="5"/>
        <v>8.9935375199999985</v>
      </c>
      <c r="R14" s="21">
        <f t="shared" si="6"/>
        <v>465.93980135999993</v>
      </c>
      <c r="S14" s="20">
        <f t="shared" si="7"/>
        <v>22.973129519999997</v>
      </c>
      <c r="T14" s="22">
        <f t="shared" si="13"/>
        <v>368.96803151999995</v>
      </c>
      <c r="U14" s="4">
        <v>4</v>
      </c>
      <c r="V14" s="6" t="s">
        <v>16</v>
      </c>
      <c r="W14" s="23">
        <v>562</v>
      </c>
      <c r="X14" s="61">
        <v>89.7</v>
      </c>
      <c r="Y14" s="62">
        <f t="shared" si="15"/>
        <v>504.11400000000003</v>
      </c>
      <c r="Z14" s="68">
        <v>2E-3</v>
      </c>
      <c r="AA14" s="68">
        <v>6.2E-2</v>
      </c>
      <c r="AB14" s="68">
        <v>0.74399999999999999</v>
      </c>
      <c r="AC14" s="68">
        <v>0.16900000000000001</v>
      </c>
      <c r="AD14" s="68">
        <v>2.4E-2</v>
      </c>
      <c r="AE14" s="54">
        <f t="shared" si="16"/>
        <v>6.4000000000000001E-2</v>
      </c>
      <c r="AF14" s="52">
        <f t="shared" si="17"/>
        <v>0.80800000000000005</v>
      </c>
      <c r="AG14" s="69">
        <f t="shared" si="18"/>
        <v>1.0082280000000001</v>
      </c>
      <c r="AH14" s="41">
        <f t="shared" si="19"/>
        <v>31.255068000000001</v>
      </c>
      <c r="AI14" s="41">
        <f t="shared" si="20"/>
        <v>375.06081600000005</v>
      </c>
      <c r="AJ14" s="41">
        <f t="shared" si="21"/>
        <v>85.195266000000018</v>
      </c>
      <c r="AK14" s="41">
        <f t="shared" si="22"/>
        <v>12.098736000000001</v>
      </c>
      <c r="AL14" s="41">
        <f t="shared" si="23"/>
        <v>504.61811400000005</v>
      </c>
      <c r="AM14" s="69">
        <f t="shared" si="24"/>
        <v>32.263296000000004</v>
      </c>
      <c r="AN14" s="70">
        <f t="shared" si="25"/>
        <v>407.32411200000007</v>
      </c>
    </row>
    <row r="15" spans="1:40" x14ac:dyDescent="0.25">
      <c r="A15" s="4">
        <f t="shared" si="14"/>
        <v>5</v>
      </c>
      <c r="B15" s="6" t="s">
        <v>17</v>
      </c>
      <c r="C15" s="19">
        <v>332</v>
      </c>
      <c r="D15" s="49">
        <v>47.29</v>
      </c>
      <c r="E15" s="41">
        <f t="shared" si="11"/>
        <v>157.00279999999998</v>
      </c>
      <c r="F15" s="52">
        <f>64%/100</f>
        <v>6.4000000000000003E-3</v>
      </c>
      <c r="G15" s="52">
        <f>1019%/100</f>
        <v>0.10189999999999999</v>
      </c>
      <c r="H15" s="53">
        <f>8280%/100</f>
        <v>0.82799999999999996</v>
      </c>
      <c r="I15" s="52">
        <f>637%/100</f>
        <v>6.3700000000000007E-2</v>
      </c>
      <c r="J15" s="52">
        <f>0%/100</f>
        <v>0</v>
      </c>
      <c r="K15" s="54">
        <f t="shared" si="0"/>
        <v>0.10829999999999999</v>
      </c>
      <c r="L15" s="55">
        <f t="shared" si="12"/>
        <v>0.93629999999999991</v>
      </c>
      <c r="M15" s="20">
        <f t="shared" si="1"/>
        <v>1.0048179199999998</v>
      </c>
      <c r="N15" s="21">
        <f t="shared" si="2"/>
        <v>15.998585319999997</v>
      </c>
      <c r="O15" s="21">
        <f t="shared" si="3"/>
        <v>129.99831839999999</v>
      </c>
      <c r="P15" s="21">
        <f t="shared" si="4"/>
        <v>10.001078359999999</v>
      </c>
      <c r="Q15" s="21">
        <f t="shared" si="5"/>
        <v>0</v>
      </c>
      <c r="R15" s="21">
        <f t="shared" si="6"/>
        <v>157.00279999999998</v>
      </c>
      <c r="S15" s="20">
        <f t="shared" si="7"/>
        <v>17.003403239999997</v>
      </c>
      <c r="T15" s="22">
        <f t="shared" si="13"/>
        <v>147.00172163999997</v>
      </c>
      <c r="U15" s="4">
        <v>5</v>
      </c>
      <c r="V15" s="6" t="s">
        <v>17</v>
      </c>
      <c r="W15" s="23">
        <v>198</v>
      </c>
      <c r="X15" s="61">
        <v>74.2</v>
      </c>
      <c r="Y15" s="62">
        <f t="shared" si="15"/>
        <v>146.916</v>
      </c>
      <c r="Z15" s="68">
        <v>0</v>
      </c>
      <c r="AA15" s="68">
        <v>0.129</v>
      </c>
      <c r="AB15" s="68">
        <v>0.79600000000000004</v>
      </c>
      <c r="AC15" s="68">
        <v>7.4999999999999997E-2</v>
      </c>
      <c r="AD15" s="68">
        <v>0</v>
      </c>
      <c r="AE15" s="54">
        <f t="shared" si="16"/>
        <v>0.129</v>
      </c>
      <c r="AF15" s="52">
        <f t="shared" si="17"/>
        <v>0.92500000000000004</v>
      </c>
      <c r="AG15" s="69">
        <f t="shared" si="18"/>
        <v>0</v>
      </c>
      <c r="AH15" s="41">
        <f t="shared" si="19"/>
        <v>18.952164</v>
      </c>
      <c r="AI15" s="41">
        <f t="shared" si="20"/>
        <v>116.94513600000001</v>
      </c>
      <c r="AJ15" s="41">
        <f t="shared" si="21"/>
        <v>11.018699999999999</v>
      </c>
      <c r="AK15" s="41">
        <f t="shared" si="22"/>
        <v>0</v>
      </c>
      <c r="AL15" s="41">
        <f t="shared" si="23"/>
        <v>146.916</v>
      </c>
      <c r="AM15" s="69">
        <f t="shared" si="24"/>
        <v>18.952164</v>
      </c>
      <c r="AN15" s="70">
        <f t="shared" si="25"/>
        <v>135.8973</v>
      </c>
    </row>
    <row r="16" spans="1:40" x14ac:dyDescent="0.25">
      <c r="A16" s="4">
        <f t="shared" si="14"/>
        <v>6</v>
      </c>
      <c r="B16" s="6" t="s">
        <v>18</v>
      </c>
      <c r="C16" s="19">
        <v>59</v>
      </c>
      <c r="D16" s="49">
        <v>37.29</v>
      </c>
      <c r="E16" s="41">
        <f t="shared" si="11"/>
        <v>22.001100000000001</v>
      </c>
      <c r="F16" s="52">
        <f t="shared" ref="F16:F24" si="26">0%/100</f>
        <v>0</v>
      </c>
      <c r="G16" s="52">
        <f>455%/100</f>
        <v>4.5499999999999999E-2</v>
      </c>
      <c r="H16" s="53">
        <f>8182%/100</f>
        <v>0.81819999999999993</v>
      </c>
      <c r="I16" s="52">
        <f>1364%/100</f>
        <v>0.13639999999999999</v>
      </c>
      <c r="J16" s="52">
        <f>0%/100</f>
        <v>0</v>
      </c>
      <c r="K16" s="54">
        <f t="shared" si="0"/>
        <v>4.5499999999999999E-2</v>
      </c>
      <c r="L16" s="55">
        <f t="shared" si="12"/>
        <v>0.86369999999999991</v>
      </c>
      <c r="M16" s="20">
        <f t="shared" si="1"/>
        <v>0</v>
      </c>
      <c r="N16" s="21">
        <f t="shared" si="2"/>
        <v>1.0010500499999999</v>
      </c>
      <c r="O16" s="21">
        <f t="shared" si="3"/>
        <v>18.001300019999999</v>
      </c>
      <c r="P16" s="21">
        <f t="shared" si="4"/>
        <v>3.0009500400000002</v>
      </c>
      <c r="Q16" s="21">
        <f t="shared" si="5"/>
        <v>0</v>
      </c>
      <c r="R16" s="21">
        <f t="shared" si="6"/>
        <v>22.003300109999998</v>
      </c>
      <c r="S16" s="20">
        <f t="shared" si="7"/>
        <v>1.0010500499999999</v>
      </c>
      <c r="T16" s="22">
        <f t="shared" si="13"/>
        <v>19.002350069999999</v>
      </c>
      <c r="U16" s="4">
        <v>6</v>
      </c>
      <c r="V16" s="6" t="s">
        <v>18</v>
      </c>
      <c r="W16" s="23">
        <v>46</v>
      </c>
      <c r="X16" s="61">
        <v>84.8</v>
      </c>
      <c r="Y16" s="62">
        <f t="shared" si="15"/>
        <v>39.007999999999996</v>
      </c>
      <c r="Z16" s="68">
        <v>0</v>
      </c>
      <c r="AA16" s="68">
        <v>7.6999999999999999E-2</v>
      </c>
      <c r="AB16" s="68">
        <v>0.74399999999999999</v>
      </c>
      <c r="AC16" s="68">
        <v>0.18</v>
      </c>
      <c r="AD16" s="68">
        <v>0</v>
      </c>
      <c r="AE16" s="54">
        <f t="shared" si="16"/>
        <v>7.6999999999999999E-2</v>
      </c>
      <c r="AF16" s="52">
        <f t="shared" si="17"/>
        <v>0.82099999999999995</v>
      </c>
      <c r="AG16" s="69">
        <f t="shared" si="18"/>
        <v>0</v>
      </c>
      <c r="AH16" s="41">
        <f t="shared" si="19"/>
        <v>3.0036159999999996</v>
      </c>
      <c r="AI16" s="41">
        <f t="shared" si="20"/>
        <v>29.021951999999995</v>
      </c>
      <c r="AJ16" s="41">
        <f t="shared" si="21"/>
        <v>7.0214399999999992</v>
      </c>
      <c r="AK16" s="41">
        <f t="shared" si="22"/>
        <v>0</v>
      </c>
      <c r="AL16" s="41">
        <f t="shared" si="23"/>
        <v>39.047007999999991</v>
      </c>
      <c r="AM16" s="69">
        <f t="shared" si="24"/>
        <v>3.0036159999999996</v>
      </c>
      <c r="AN16" s="70">
        <f t="shared" si="25"/>
        <v>32.025567999999993</v>
      </c>
    </row>
    <row r="17" spans="1:40" x14ac:dyDescent="0.25">
      <c r="A17" s="4">
        <f t="shared" si="14"/>
        <v>7</v>
      </c>
      <c r="B17" s="6" t="s">
        <v>19</v>
      </c>
      <c r="C17" s="19">
        <v>201</v>
      </c>
      <c r="D17" s="49">
        <v>32.340000000000003</v>
      </c>
      <c r="E17" s="41">
        <f t="shared" si="11"/>
        <v>65.003400000000013</v>
      </c>
      <c r="F17" s="52">
        <f t="shared" si="26"/>
        <v>0</v>
      </c>
      <c r="G17" s="52">
        <f>0%/100</f>
        <v>0</v>
      </c>
      <c r="H17" s="53">
        <f>769%/100</f>
        <v>7.690000000000001E-2</v>
      </c>
      <c r="I17" s="52">
        <f>4615%/100</f>
        <v>0.46149999999999997</v>
      </c>
      <c r="J17" s="52">
        <f>4615%/100</f>
        <v>0.46149999999999997</v>
      </c>
      <c r="K17" s="54">
        <f t="shared" si="0"/>
        <v>0</v>
      </c>
      <c r="L17" s="55">
        <f t="shared" si="12"/>
        <v>7.690000000000001E-2</v>
      </c>
      <c r="M17" s="20">
        <f t="shared" si="1"/>
        <v>0</v>
      </c>
      <c r="N17" s="21">
        <f t="shared" si="2"/>
        <v>0</v>
      </c>
      <c r="O17" s="21">
        <f t="shared" si="3"/>
        <v>4.9987614600000017</v>
      </c>
      <c r="P17" s="21">
        <f t="shared" si="4"/>
        <v>29.999069100000003</v>
      </c>
      <c r="Q17" s="21">
        <f t="shared" si="5"/>
        <v>29.999069100000003</v>
      </c>
      <c r="R17" s="21">
        <f t="shared" si="6"/>
        <v>64.996899660000011</v>
      </c>
      <c r="S17" s="20">
        <f t="shared" si="7"/>
        <v>0</v>
      </c>
      <c r="T17" s="22">
        <f t="shared" si="13"/>
        <v>4.9987614600000017</v>
      </c>
      <c r="U17" s="4">
        <v>7</v>
      </c>
      <c r="V17" s="6" t="s">
        <v>19</v>
      </c>
      <c r="W17" s="23">
        <v>174</v>
      </c>
      <c r="X17" s="61">
        <v>70.7</v>
      </c>
      <c r="Y17" s="62">
        <f t="shared" si="15"/>
        <v>123.01800000000001</v>
      </c>
      <c r="Z17" s="68">
        <v>0</v>
      </c>
      <c r="AA17" s="68">
        <v>0</v>
      </c>
      <c r="AB17" s="68">
        <v>0.19500000000000001</v>
      </c>
      <c r="AC17" s="68">
        <v>0.65</v>
      </c>
      <c r="AD17" s="68">
        <v>0.155</v>
      </c>
      <c r="AE17" s="54">
        <f t="shared" si="16"/>
        <v>0</v>
      </c>
      <c r="AF17" s="52">
        <f t="shared" si="17"/>
        <v>0.19500000000000001</v>
      </c>
      <c r="AG17" s="69">
        <f t="shared" si="18"/>
        <v>0</v>
      </c>
      <c r="AH17" s="41">
        <f t="shared" si="19"/>
        <v>0</v>
      </c>
      <c r="AI17" s="41">
        <f t="shared" si="20"/>
        <v>23.988510000000005</v>
      </c>
      <c r="AJ17" s="41">
        <f t="shared" si="21"/>
        <v>79.961700000000008</v>
      </c>
      <c r="AK17" s="41">
        <f t="shared" si="22"/>
        <v>19.067790000000002</v>
      </c>
      <c r="AL17" s="41">
        <f t="shared" si="23"/>
        <v>123.01800000000001</v>
      </c>
      <c r="AM17" s="69">
        <f t="shared" si="24"/>
        <v>0</v>
      </c>
      <c r="AN17" s="70">
        <f t="shared" si="25"/>
        <v>23.988510000000005</v>
      </c>
    </row>
    <row r="18" spans="1:40" x14ac:dyDescent="0.25">
      <c r="A18" s="4">
        <f t="shared" si="14"/>
        <v>8</v>
      </c>
      <c r="B18" s="6" t="s">
        <v>20</v>
      </c>
      <c r="C18" s="19">
        <v>675</v>
      </c>
      <c r="D18" s="49">
        <v>70.81</v>
      </c>
      <c r="E18" s="41">
        <f t="shared" si="11"/>
        <v>477.96749999999997</v>
      </c>
      <c r="F18" s="52">
        <f t="shared" si="26"/>
        <v>0</v>
      </c>
      <c r="G18" s="52">
        <f>21%/100</f>
        <v>2.0999999999999999E-3</v>
      </c>
      <c r="H18" s="53">
        <f>314%/100</f>
        <v>3.1400000000000004E-2</v>
      </c>
      <c r="I18" s="52">
        <f>1025%/100</f>
        <v>0.10249999999999999</v>
      </c>
      <c r="J18" s="52">
        <f>8640%/100</f>
        <v>0.8640000000000001</v>
      </c>
      <c r="K18" s="54">
        <f t="shared" si="0"/>
        <v>2.0999999999999999E-3</v>
      </c>
      <c r="L18" s="55">
        <f t="shared" si="12"/>
        <v>3.3500000000000002E-2</v>
      </c>
      <c r="M18" s="20">
        <f t="shared" si="1"/>
        <v>0</v>
      </c>
      <c r="N18" s="21">
        <f t="shared" si="2"/>
        <v>1.0037317499999998</v>
      </c>
      <c r="O18" s="21">
        <f t="shared" si="3"/>
        <v>15.008179500000001</v>
      </c>
      <c r="P18" s="21">
        <f t="shared" si="4"/>
        <v>48.991668749999995</v>
      </c>
      <c r="Q18" s="21">
        <f t="shared" si="5"/>
        <v>412.96392000000003</v>
      </c>
      <c r="R18" s="21">
        <f t="shared" si="6"/>
        <v>477.96750000000003</v>
      </c>
      <c r="S18" s="20">
        <f t="shared" si="7"/>
        <v>1.0037317499999998</v>
      </c>
      <c r="T18" s="22">
        <f t="shared" si="13"/>
        <v>16.011911250000001</v>
      </c>
      <c r="U18" s="4">
        <v>8</v>
      </c>
      <c r="V18" s="6" t="s">
        <v>20</v>
      </c>
      <c r="W18" s="23">
        <v>661</v>
      </c>
      <c r="X18" s="61">
        <v>81.400000000000006</v>
      </c>
      <c r="Y18" s="62">
        <f t="shared" si="15"/>
        <v>538.05399999999997</v>
      </c>
      <c r="Z18" s="68">
        <v>0</v>
      </c>
      <c r="AA18" s="68">
        <v>2E-3</v>
      </c>
      <c r="AB18" s="68">
        <v>4.8000000000000001E-2</v>
      </c>
      <c r="AC18" s="68">
        <v>0.42199999999999999</v>
      </c>
      <c r="AD18" s="68">
        <v>0.52800000000000002</v>
      </c>
      <c r="AE18" s="54">
        <f t="shared" si="16"/>
        <v>2E-3</v>
      </c>
      <c r="AF18" s="52">
        <f t="shared" si="17"/>
        <v>0.05</v>
      </c>
      <c r="AG18" s="69">
        <f t="shared" si="18"/>
        <v>0</v>
      </c>
      <c r="AH18" s="41">
        <f t="shared" si="19"/>
        <v>1.0761080000000001</v>
      </c>
      <c r="AI18" s="41">
        <f t="shared" si="20"/>
        <v>25.826591999999998</v>
      </c>
      <c r="AJ18" s="41">
        <f t="shared" si="21"/>
        <v>227.05878799999999</v>
      </c>
      <c r="AK18" s="41">
        <f t="shared" si="22"/>
        <v>284.092512</v>
      </c>
      <c r="AL18" s="41">
        <f t="shared" si="23"/>
        <v>538.05399999999997</v>
      </c>
      <c r="AM18" s="69">
        <f t="shared" si="24"/>
        <v>1.0761080000000001</v>
      </c>
      <c r="AN18" s="70">
        <f t="shared" si="25"/>
        <v>26.902699999999999</v>
      </c>
    </row>
    <row r="19" spans="1:40" x14ac:dyDescent="0.25">
      <c r="A19" s="4">
        <f t="shared" si="14"/>
        <v>9</v>
      </c>
      <c r="B19" s="6" t="s">
        <v>21</v>
      </c>
      <c r="C19" s="19">
        <v>9554</v>
      </c>
      <c r="D19" s="49">
        <v>95.2</v>
      </c>
      <c r="E19" s="41">
        <f t="shared" si="11"/>
        <v>9095.4080000000013</v>
      </c>
      <c r="F19" s="52">
        <f t="shared" si="26"/>
        <v>0</v>
      </c>
      <c r="G19" s="52">
        <f>2%/100</f>
        <v>2.0000000000000001E-4</v>
      </c>
      <c r="H19" s="53">
        <f>668%/100</f>
        <v>6.6799999999999998E-2</v>
      </c>
      <c r="I19" s="52">
        <f>3493%/100</f>
        <v>0.3493</v>
      </c>
      <c r="J19" s="52">
        <f>5836%/100</f>
        <v>0.58360000000000001</v>
      </c>
      <c r="K19" s="54">
        <f t="shared" si="0"/>
        <v>2.0000000000000001E-4</v>
      </c>
      <c r="L19" s="55">
        <f t="shared" si="12"/>
        <v>6.7000000000000004E-2</v>
      </c>
      <c r="M19" s="20">
        <f t="shared" si="1"/>
        <v>0</v>
      </c>
      <c r="N19" s="21">
        <f t="shared" si="2"/>
        <v>1.8190816000000003</v>
      </c>
      <c r="O19" s="21">
        <f t="shared" si="3"/>
        <v>607.57325440000011</v>
      </c>
      <c r="P19" s="21">
        <f t="shared" si="4"/>
        <v>3177.0260144000003</v>
      </c>
      <c r="Q19" s="21">
        <f t="shared" si="5"/>
        <v>5308.0801088000007</v>
      </c>
      <c r="R19" s="21">
        <f t="shared" si="6"/>
        <v>9094.4984592000001</v>
      </c>
      <c r="S19" s="20">
        <f t="shared" si="7"/>
        <v>1.8190816000000003</v>
      </c>
      <c r="T19" s="22">
        <f t="shared" si="13"/>
        <v>609.39233600000011</v>
      </c>
      <c r="U19" s="4">
        <v>9</v>
      </c>
      <c r="V19" s="6" t="s">
        <v>21</v>
      </c>
      <c r="W19" s="23">
        <v>9244</v>
      </c>
      <c r="X19" s="61">
        <v>97.9</v>
      </c>
      <c r="Y19" s="62">
        <f t="shared" si="15"/>
        <v>9049.8760000000002</v>
      </c>
      <c r="Z19" s="68">
        <v>0</v>
      </c>
      <c r="AA19" s="68">
        <v>5.0000000000000001E-3</v>
      </c>
      <c r="AB19" s="68">
        <v>8.5999999999999993E-2</v>
      </c>
      <c r="AC19" s="68">
        <v>0.33100000000000002</v>
      </c>
      <c r="AD19" s="68">
        <v>0.57899999999999996</v>
      </c>
      <c r="AE19" s="54">
        <f t="shared" si="16"/>
        <v>5.0000000000000001E-3</v>
      </c>
      <c r="AF19" s="52">
        <f t="shared" si="17"/>
        <v>9.0999999999999998E-2</v>
      </c>
      <c r="AG19" s="69">
        <f t="shared" si="18"/>
        <v>0</v>
      </c>
      <c r="AH19" s="41">
        <f t="shared" si="19"/>
        <v>45.249380000000002</v>
      </c>
      <c r="AI19" s="41">
        <f t="shared" si="20"/>
        <v>778.28933599999993</v>
      </c>
      <c r="AJ19" s="41">
        <f t="shared" si="21"/>
        <v>2995.5089560000001</v>
      </c>
      <c r="AK19" s="41">
        <f t="shared" si="22"/>
        <v>5239.8782039999996</v>
      </c>
      <c r="AL19" s="41">
        <f t="shared" si="23"/>
        <v>9058.9258759999993</v>
      </c>
      <c r="AM19" s="69">
        <f t="shared" si="24"/>
        <v>45.249380000000002</v>
      </c>
      <c r="AN19" s="70">
        <f t="shared" si="25"/>
        <v>823.53871599999991</v>
      </c>
    </row>
    <row r="20" spans="1:40" x14ac:dyDescent="0.25">
      <c r="A20" s="4">
        <f t="shared" si="14"/>
        <v>10</v>
      </c>
      <c r="B20" s="6" t="s">
        <v>22</v>
      </c>
      <c r="C20" s="19">
        <v>13034</v>
      </c>
      <c r="D20" s="49">
        <v>88.24</v>
      </c>
      <c r="E20" s="41">
        <f t="shared" si="11"/>
        <v>11501.201599999999</v>
      </c>
      <c r="F20" s="52">
        <f t="shared" si="26"/>
        <v>0</v>
      </c>
      <c r="G20" s="52">
        <f>23%/100</f>
        <v>2.3E-3</v>
      </c>
      <c r="H20" s="53">
        <f>2348%/100</f>
        <v>0.23480000000000001</v>
      </c>
      <c r="I20" s="52">
        <f>3980%/100</f>
        <v>0.39799999999999996</v>
      </c>
      <c r="J20" s="52">
        <f>3650%/100</f>
        <v>0.36499999999999999</v>
      </c>
      <c r="K20" s="54">
        <f t="shared" si="0"/>
        <v>2.3E-3</v>
      </c>
      <c r="L20" s="55">
        <f t="shared" si="12"/>
        <v>0.23710000000000001</v>
      </c>
      <c r="M20" s="20">
        <f t="shared" si="1"/>
        <v>0</v>
      </c>
      <c r="N20" s="21">
        <f t="shared" si="2"/>
        <v>26.452763679999997</v>
      </c>
      <c r="O20" s="21">
        <f t="shared" si="3"/>
        <v>2700.4821356799998</v>
      </c>
      <c r="P20" s="21">
        <f t="shared" si="4"/>
        <v>4577.4782367999987</v>
      </c>
      <c r="Q20" s="21">
        <f t="shared" si="5"/>
        <v>4197.9385839999995</v>
      </c>
      <c r="R20" s="21">
        <f t="shared" si="6"/>
        <v>11502.351720159997</v>
      </c>
      <c r="S20" s="20">
        <f t="shared" si="7"/>
        <v>26.452763679999997</v>
      </c>
      <c r="T20" s="22">
        <f t="shared" si="13"/>
        <v>2726.9348993599997</v>
      </c>
      <c r="U20" s="4">
        <v>10</v>
      </c>
      <c r="V20" s="6" t="s">
        <v>22</v>
      </c>
      <c r="W20" s="23">
        <v>13283</v>
      </c>
      <c r="X20" s="61">
        <v>91.5</v>
      </c>
      <c r="Y20" s="62">
        <f t="shared" si="15"/>
        <v>12153.945</v>
      </c>
      <c r="Z20" s="68">
        <v>0</v>
      </c>
      <c r="AA20" s="68">
        <v>0.01</v>
      </c>
      <c r="AB20" s="68">
        <v>0.28399999999999997</v>
      </c>
      <c r="AC20" s="68">
        <v>0.42</v>
      </c>
      <c r="AD20" s="68">
        <v>0.28699999999999998</v>
      </c>
      <c r="AE20" s="54">
        <f t="shared" si="16"/>
        <v>0.01</v>
      </c>
      <c r="AF20" s="52">
        <f t="shared" si="17"/>
        <v>0.29399999999999998</v>
      </c>
      <c r="AG20" s="69">
        <f t="shared" si="18"/>
        <v>0</v>
      </c>
      <c r="AH20" s="41">
        <f t="shared" si="19"/>
        <v>121.53945</v>
      </c>
      <c r="AI20" s="41">
        <f t="shared" si="20"/>
        <v>3451.7203799999997</v>
      </c>
      <c r="AJ20" s="41">
        <f t="shared" si="21"/>
        <v>5104.6569</v>
      </c>
      <c r="AK20" s="41">
        <f t="shared" si="22"/>
        <v>3488.1822149999998</v>
      </c>
      <c r="AL20" s="41">
        <f t="shared" si="23"/>
        <v>12166.098945000002</v>
      </c>
      <c r="AM20" s="69">
        <f t="shared" si="24"/>
        <v>121.53945</v>
      </c>
      <c r="AN20" s="70">
        <f t="shared" si="25"/>
        <v>3573.25983</v>
      </c>
    </row>
    <row r="21" spans="1:40" x14ac:dyDescent="0.25">
      <c r="A21" s="4">
        <f t="shared" si="14"/>
        <v>11</v>
      </c>
      <c r="B21" s="6" t="s">
        <v>23</v>
      </c>
      <c r="C21" s="19">
        <v>7160</v>
      </c>
      <c r="D21" s="49">
        <v>84.55</v>
      </c>
      <c r="E21" s="41">
        <f t="shared" si="11"/>
        <v>6053.78</v>
      </c>
      <c r="F21" s="52">
        <f t="shared" si="26"/>
        <v>0</v>
      </c>
      <c r="G21" s="52">
        <f>2%/100</f>
        <v>2.0000000000000001E-4</v>
      </c>
      <c r="H21" s="53">
        <f>1009%/100</f>
        <v>0.1009</v>
      </c>
      <c r="I21" s="52">
        <f>4351%/100</f>
        <v>0.43509999999999999</v>
      </c>
      <c r="J21" s="52">
        <f>4638%/100</f>
        <v>0.46380000000000005</v>
      </c>
      <c r="K21" s="54">
        <f t="shared" si="0"/>
        <v>2.0000000000000001E-4</v>
      </c>
      <c r="L21" s="55">
        <f t="shared" si="12"/>
        <v>0.10110000000000001</v>
      </c>
      <c r="M21" s="20">
        <f t="shared" si="1"/>
        <v>0</v>
      </c>
      <c r="N21" s="21">
        <f t="shared" si="2"/>
        <v>1.2107559999999999</v>
      </c>
      <c r="O21" s="21">
        <f t="shared" si="3"/>
        <v>610.82640200000003</v>
      </c>
      <c r="P21" s="21">
        <f t="shared" si="4"/>
        <v>2633.9996779999997</v>
      </c>
      <c r="Q21" s="21">
        <f t="shared" si="5"/>
        <v>2807.743164</v>
      </c>
      <c r="R21" s="21">
        <f t="shared" si="6"/>
        <v>6053.78</v>
      </c>
      <c r="S21" s="20">
        <f t="shared" si="7"/>
        <v>1.2107559999999999</v>
      </c>
      <c r="T21" s="22">
        <f t="shared" si="13"/>
        <v>612.03715799999998</v>
      </c>
      <c r="U21" s="4">
        <v>11</v>
      </c>
      <c r="V21" s="6" t="s">
        <v>23</v>
      </c>
      <c r="W21" s="23">
        <v>7496</v>
      </c>
      <c r="X21" s="61">
        <v>88.6</v>
      </c>
      <c r="Y21" s="62">
        <f t="shared" si="15"/>
        <v>6641.4560000000001</v>
      </c>
      <c r="Z21" s="68">
        <v>0</v>
      </c>
      <c r="AA21" s="68">
        <v>0</v>
      </c>
      <c r="AB21" s="68">
        <v>6.8000000000000005E-2</v>
      </c>
      <c r="AC21" s="68">
        <v>0.79300000000000004</v>
      </c>
      <c r="AD21" s="68">
        <v>0.13900000000000001</v>
      </c>
      <c r="AE21" s="54">
        <f t="shared" si="16"/>
        <v>0</v>
      </c>
      <c r="AF21" s="52">
        <f t="shared" si="17"/>
        <v>6.8000000000000005E-2</v>
      </c>
      <c r="AG21" s="69">
        <f t="shared" si="18"/>
        <v>0</v>
      </c>
      <c r="AH21" s="41">
        <f t="shared" si="19"/>
        <v>0</v>
      </c>
      <c r="AI21" s="41">
        <f t="shared" si="20"/>
        <v>451.61900800000006</v>
      </c>
      <c r="AJ21" s="41">
        <f t="shared" si="21"/>
        <v>5266.6746080000003</v>
      </c>
      <c r="AK21" s="41">
        <f t="shared" si="22"/>
        <v>923.16238400000009</v>
      </c>
      <c r="AL21" s="41">
        <f t="shared" si="23"/>
        <v>6641.4560000000001</v>
      </c>
      <c r="AM21" s="69">
        <f t="shared" si="24"/>
        <v>0</v>
      </c>
      <c r="AN21" s="70">
        <f t="shared" si="25"/>
        <v>451.61900800000006</v>
      </c>
    </row>
    <row r="22" spans="1:40" x14ac:dyDescent="0.25">
      <c r="A22" s="4">
        <f t="shared" si="14"/>
        <v>12</v>
      </c>
      <c r="B22" s="6" t="s">
        <v>24</v>
      </c>
      <c r="C22" s="19">
        <v>802</v>
      </c>
      <c r="D22" s="49">
        <v>97.01</v>
      </c>
      <c r="E22" s="41">
        <f t="shared" si="11"/>
        <v>778.02020000000005</v>
      </c>
      <c r="F22" s="52">
        <f t="shared" si="26"/>
        <v>0</v>
      </c>
      <c r="G22" s="52">
        <f>39%/100</f>
        <v>3.9000000000000003E-3</v>
      </c>
      <c r="H22" s="53">
        <f>720%/100</f>
        <v>7.2000000000000008E-2</v>
      </c>
      <c r="I22" s="52">
        <f>3612%/100</f>
        <v>0.36119999999999997</v>
      </c>
      <c r="J22" s="52">
        <f>5630%/100</f>
        <v>0.56299999999999994</v>
      </c>
      <c r="K22" s="54">
        <f t="shared" si="0"/>
        <v>3.9000000000000003E-3</v>
      </c>
      <c r="L22" s="55">
        <f t="shared" si="12"/>
        <v>7.5900000000000009E-2</v>
      </c>
      <c r="M22" s="20">
        <f t="shared" si="1"/>
        <v>0</v>
      </c>
      <c r="N22" s="21">
        <f t="shared" si="2"/>
        <v>3.0342787800000002</v>
      </c>
      <c r="O22" s="21">
        <f t="shared" si="3"/>
        <v>56.017454400000013</v>
      </c>
      <c r="P22" s="21">
        <f t="shared" si="4"/>
        <v>281.02089624000001</v>
      </c>
      <c r="Q22" s="21">
        <f t="shared" si="5"/>
        <v>438.02537259999997</v>
      </c>
      <c r="R22" s="21">
        <f t="shared" si="6"/>
        <v>778.09800201999997</v>
      </c>
      <c r="S22" s="20">
        <f t="shared" si="7"/>
        <v>3.0342787800000002</v>
      </c>
      <c r="T22" s="22">
        <f t="shared" si="13"/>
        <v>59.051733180000014</v>
      </c>
      <c r="U22" s="4">
        <v>12</v>
      </c>
      <c r="V22" s="6" t="s">
        <v>24</v>
      </c>
      <c r="W22" s="23">
        <v>643</v>
      </c>
      <c r="X22" s="61">
        <v>94.9</v>
      </c>
      <c r="Y22" s="62">
        <f t="shared" si="15"/>
        <v>610.20699999999999</v>
      </c>
      <c r="Z22" s="68">
        <v>0</v>
      </c>
      <c r="AA22" s="68">
        <v>0</v>
      </c>
      <c r="AB22" s="68">
        <v>4.2999999999999997E-2</v>
      </c>
      <c r="AC22" s="68">
        <v>0.55600000000000005</v>
      </c>
      <c r="AD22" s="68">
        <v>0.40200000000000002</v>
      </c>
      <c r="AE22" s="54">
        <f t="shared" si="16"/>
        <v>0</v>
      </c>
      <c r="AF22" s="52">
        <f t="shared" si="17"/>
        <v>4.2999999999999997E-2</v>
      </c>
      <c r="AG22" s="69">
        <f t="shared" si="18"/>
        <v>0</v>
      </c>
      <c r="AH22" s="41">
        <f t="shared" si="19"/>
        <v>0</v>
      </c>
      <c r="AI22" s="41">
        <f t="shared" si="20"/>
        <v>26.238900999999998</v>
      </c>
      <c r="AJ22" s="41">
        <f t="shared" si="21"/>
        <v>339.27509200000003</v>
      </c>
      <c r="AK22" s="41">
        <f t="shared" si="22"/>
        <v>245.30321400000003</v>
      </c>
      <c r="AL22" s="41">
        <f t="shared" si="23"/>
        <v>610.81720700000005</v>
      </c>
      <c r="AM22" s="69">
        <f t="shared" si="24"/>
        <v>0</v>
      </c>
      <c r="AN22" s="70">
        <f t="shared" si="25"/>
        <v>26.238900999999998</v>
      </c>
    </row>
    <row r="23" spans="1:40" x14ac:dyDescent="0.25">
      <c r="A23" s="4">
        <f t="shared" si="14"/>
        <v>13</v>
      </c>
      <c r="B23" s="6" t="s">
        <v>25</v>
      </c>
      <c r="C23" s="19">
        <v>1108</v>
      </c>
      <c r="D23" s="49">
        <v>32.94</v>
      </c>
      <c r="E23" s="41">
        <f t="shared" si="11"/>
        <v>364.97519999999997</v>
      </c>
      <c r="F23" s="52">
        <f t="shared" si="26"/>
        <v>0</v>
      </c>
      <c r="G23" s="52">
        <f>39%/100</f>
        <v>3.9000000000000003E-3</v>
      </c>
      <c r="H23" s="53">
        <f>301%/100</f>
        <v>3.0099999999999998E-2</v>
      </c>
      <c r="I23" s="52">
        <f>6384%/100</f>
        <v>0.63840000000000008</v>
      </c>
      <c r="J23" s="52">
        <f>3315%/100</f>
        <v>0.33149999999999996</v>
      </c>
      <c r="K23" s="54">
        <f t="shared" si="0"/>
        <v>3.9000000000000003E-3</v>
      </c>
      <c r="L23" s="55">
        <f t="shared" si="12"/>
        <v>3.3999999999999996E-2</v>
      </c>
      <c r="M23" s="20">
        <f t="shared" si="1"/>
        <v>0</v>
      </c>
      <c r="N23" s="21">
        <f t="shared" si="2"/>
        <v>1.42340328</v>
      </c>
      <c r="O23" s="21">
        <f t="shared" si="3"/>
        <v>10.985753519999999</v>
      </c>
      <c r="P23" s="21">
        <f t="shared" si="4"/>
        <v>233.00016768</v>
      </c>
      <c r="Q23" s="21">
        <f t="shared" si="5"/>
        <v>120.98927879999998</v>
      </c>
      <c r="R23" s="21">
        <f t="shared" si="6"/>
        <v>366.39860327999997</v>
      </c>
      <c r="S23" s="20">
        <f t="shared" si="7"/>
        <v>1.42340328</v>
      </c>
      <c r="T23" s="22">
        <f t="shared" si="13"/>
        <v>12.4091568</v>
      </c>
      <c r="U23" s="4">
        <v>13</v>
      </c>
      <c r="V23" s="6" t="s">
        <v>25</v>
      </c>
      <c r="W23" s="23">
        <v>1071</v>
      </c>
      <c r="X23" s="61">
        <v>54</v>
      </c>
      <c r="Y23" s="62">
        <f t="shared" si="15"/>
        <v>578.34</v>
      </c>
      <c r="Z23" s="68">
        <v>0</v>
      </c>
      <c r="AA23" s="68">
        <v>2E-3</v>
      </c>
      <c r="AB23" s="68">
        <v>0.01</v>
      </c>
      <c r="AC23" s="68">
        <v>0.70399999999999996</v>
      </c>
      <c r="AD23" s="68">
        <v>0.28399999999999997</v>
      </c>
      <c r="AE23" s="54">
        <f t="shared" si="16"/>
        <v>2E-3</v>
      </c>
      <c r="AF23" s="52">
        <f t="shared" si="17"/>
        <v>1.2E-2</v>
      </c>
      <c r="AG23" s="69">
        <f t="shared" si="18"/>
        <v>0</v>
      </c>
      <c r="AH23" s="41">
        <f t="shared" si="19"/>
        <v>1.1566800000000002</v>
      </c>
      <c r="AI23" s="41">
        <f t="shared" si="20"/>
        <v>5.7834000000000003</v>
      </c>
      <c r="AJ23" s="41">
        <f t="shared" si="21"/>
        <v>407.15136000000001</v>
      </c>
      <c r="AK23" s="41">
        <f t="shared" si="22"/>
        <v>164.24856</v>
      </c>
      <c r="AL23" s="41">
        <f t="shared" si="23"/>
        <v>578.34</v>
      </c>
      <c r="AM23" s="69">
        <f t="shared" si="24"/>
        <v>1.1566800000000002</v>
      </c>
      <c r="AN23" s="70">
        <f t="shared" si="25"/>
        <v>6.94008</v>
      </c>
    </row>
    <row r="24" spans="1:40" x14ac:dyDescent="0.25">
      <c r="A24" s="4">
        <f t="shared" si="14"/>
        <v>14</v>
      </c>
      <c r="B24" s="6" t="s">
        <v>26</v>
      </c>
      <c r="C24" s="19">
        <v>15</v>
      </c>
      <c r="D24" s="49">
        <v>86.67</v>
      </c>
      <c r="E24" s="41">
        <f t="shared" si="11"/>
        <v>13.000499999999999</v>
      </c>
      <c r="F24" s="52">
        <f t="shared" si="26"/>
        <v>0</v>
      </c>
      <c r="G24" s="52">
        <f>0%/100</f>
        <v>0</v>
      </c>
      <c r="H24" s="52">
        <f>1538%/100</f>
        <v>0.15380000000000002</v>
      </c>
      <c r="I24" s="52">
        <f>7692%/100</f>
        <v>0.76919999999999999</v>
      </c>
      <c r="J24" s="52">
        <f>769%/100</f>
        <v>7.690000000000001E-2</v>
      </c>
      <c r="K24" s="54">
        <f t="shared" si="0"/>
        <v>0</v>
      </c>
      <c r="L24" s="55">
        <f t="shared" si="12"/>
        <v>0.15380000000000002</v>
      </c>
      <c r="M24" s="20">
        <f t="shared" si="1"/>
        <v>0</v>
      </c>
      <c r="N24" s="21">
        <f t="shared" si="2"/>
        <v>0</v>
      </c>
      <c r="O24" s="21">
        <f t="shared" si="3"/>
        <v>1.9994769000000001</v>
      </c>
      <c r="P24" s="21">
        <f t="shared" si="4"/>
        <v>9.9999845999999994</v>
      </c>
      <c r="Q24" s="21">
        <f t="shared" si="5"/>
        <v>0.99973845000000006</v>
      </c>
      <c r="R24" s="21">
        <f t="shared" si="6"/>
        <v>12.99919995</v>
      </c>
      <c r="S24" s="20">
        <f t="shared" si="7"/>
        <v>0</v>
      </c>
      <c r="T24" s="22">
        <f t="shared" si="13"/>
        <v>1.9994769000000001</v>
      </c>
      <c r="U24" s="4">
        <v>14</v>
      </c>
      <c r="V24" s="6" t="s">
        <v>26</v>
      </c>
      <c r="W24" s="23"/>
      <c r="X24" s="61"/>
      <c r="Y24" s="62"/>
      <c r="Z24" s="68"/>
      <c r="AA24" s="68"/>
      <c r="AB24" s="68"/>
      <c r="AC24" s="68"/>
      <c r="AD24" s="68"/>
      <c r="AE24" s="54"/>
      <c r="AF24" s="52"/>
      <c r="AG24" s="69"/>
      <c r="AH24" s="41"/>
      <c r="AI24" s="41"/>
      <c r="AJ24" s="41"/>
      <c r="AK24" s="41"/>
      <c r="AL24" s="41"/>
      <c r="AM24" s="69"/>
      <c r="AN24" s="70"/>
    </row>
    <row r="25" spans="1:40" x14ac:dyDescent="0.25">
      <c r="A25" s="4">
        <f t="shared" si="14"/>
        <v>15</v>
      </c>
      <c r="B25" s="6" t="s">
        <v>27</v>
      </c>
      <c r="C25" s="19">
        <v>926</v>
      </c>
      <c r="D25" s="49">
        <v>85.31</v>
      </c>
      <c r="E25" s="41">
        <f t="shared" si="11"/>
        <v>789.97059999999999</v>
      </c>
      <c r="F25" s="52">
        <f>13%/100</f>
        <v>1.2999999999999999E-3</v>
      </c>
      <c r="G25" s="52">
        <f>0%/100</f>
        <v>0</v>
      </c>
      <c r="H25" s="52">
        <f>114%/100</f>
        <v>1.1399999999999999E-2</v>
      </c>
      <c r="I25" s="52">
        <f>5734%/100</f>
        <v>0.57340000000000002</v>
      </c>
      <c r="J25" s="52">
        <f>4139%/100</f>
        <v>0.41389999999999999</v>
      </c>
      <c r="K25" s="54">
        <f t="shared" si="0"/>
        <v>1.2999999999999999E-3</v>
      </c>
      <c r="L25" s="55">
        <f t="shared" si="12"/>
        <v>1.2699999999999999E-2</v>
      </c>
      <c r="M25" s="20">
        <f t="shared" si="1"/>
        <v>1.0269617799999999</v>
      </c>
      <c r="N25" s="21">
        <f t="shared" si="2"/>
        <v>0</v>
      </c>
      <c r="O25" s="21">
        <f t="shared" si="3"/>
        <v>9.0056648399999997</v>
      </c>
      <c r="P25" s="21">
        <f t="shared" si="4"/>
        <v>452.96914204000001</v>
      </c>
      <c r="Q25" s="21">
        <f t="shared" si="5"/>
        <v>326.96883134000001</v>
      </c>
      <c r="R25" s="21">
        <f t="shared" si="6"/>
        <v>789.97059999999999</v>
      </c>
      <c r="S25" s="20">
        <f t="shared" si="7"/>
        <v>1.0269617799999999</v>
      </c>
      <c r="T25" s="22">
        <f t="shared" si="13"/>
        <v>10.03262662</v>
      </c>
      <c r="U25" s="4">
        <v>15</v>
      </c>
      <c r="V25" s="6" t="s">
        <v>27</v>
      </c>
      <c r="W25" s="23">
        <v>1114</v>
      </c>
      <c r="X25" s="61">
        <v>93.7</v>
      </c>
      <c r="Y25" s="62">
        <f t="shared" si="15"/>
        <v>1043.818</v>
      </c>
      <c r="Z25" s="68">
        <v>0</v>
      </c>
      <c r="AA25" s="68">
        <v>0</v>
      </c>
      <c r="AB25" s="68">
        <v>8.9999999999999993E-3</v>
      </c>
      <c r="AC25" s="68">
        <v>0.41799999999999998</v>
      </c>
      <c r="AD25" s="68">
        <v>0.57399999999999995</v>
      </c>
      <c r="AE25" s="54">
        <f t="shared" si="16"/>
        <v>0</v>
      </c>
      <c r="AF25" s="52">
        <f t="shared" si="17"/>
        <v>8.9999999999999993E-3</v>
      </c>
      <c r="AG25" s="69">
        <f t="shared" si="18"/>
        <v>0</v>
      </c>
      <c r="AH25" s="41">
        <f t="shared" si="19"/>
        <v>0</v>
      </c>
      <c r="AI25" s="41">
        <f t="shared" si="20"/>
        <v>9.3943619999999992</v>
      </c>
      <c r="AJ25" s="41">
        <f t="shared" si="21"/>
        <v>436.315924</v>
      </c>
      <c r="AK25" s="41">
        <f t="shared" si="22"/>
        <v>599.15153199999997</v>
      </c>
      <c r="AL25" s="41">
        <f t="shared" si="23"/>
        <v>1044.8618179999999</v>
      </c>
      <c r="AM25" s="69">
        <f t="shared" si="24"/>
        <v>0</v>
      </c>
      <c r="AN25" s="70">
        <f t="shared" si="25"/>
        <v>9.3943619999999992</v>
      </c>
    </row>
    <row r="26" spans="1:40" x14ac:dyDescent="0.25">
      <c r="A26" s="98">
        <f t="shared" si="14"/>
        <v>16</v>
      </c>
      <c r="B26" s="5" t="s">
        <v>28</v>
      </c>
      <c r="C26" s="30">
        <v>123280</v>
      </c>
      <c r="D26" s="99">
        <v>37.659999999999997</v>
      </c>
      <c r="E26" s="43">
        <f t="shared" si="11"/>
        <v>46427.248</v>
      </c>
      <c r="F26" s="60">
        <f>234%/100</f>
        <v>2.3399999999999997E-2</v>
      </c>
      <c r="G26" s="60">
        <f>764%/100</f>
        <v>7.6399999999999996E-2</v>
      </c>
      <c r="H26" s="60">
        <f>4413%/100</f>
        <v>0.44130000000000003</v>
      </c>
      <c r="I26" s="60">
        <f>728%/100</f>
        <v>7.2800000000000004E-2</v>
      </c>
      <c r="J26" s="60">
        <f>3861%/100</f>
        <v>0.3861</v>
      </c>
      <c r="K26" s="100">
        <f t="shared" si="0"/>
        <v>9.98E-2</v>
      </c>
      <c r="L26" s="101">
        <f t="shared" si="12"/>
        <v>0.54110000000000003</v>
      </c>
      <c r="M26" s="102">
        <f t="shared" si="1"/>
        <v>1086.3976031999998</v>
      </c>
      <c r="N26" s="31">
        <f t="shared" si="2"/>
        <v>3547.0417471999999</v>
      </c>
      <c r="O26" s="31">
        <f t="shared" si="3"/>
        <v>20488.344542400002</v>
      </c>
      <c r="P26" s="31">
        <f t="shared" si="4"/>
        <v>3379.9036544000001</v>
      </c>
      <c r="Q26" s="31">
        <f t="shared" si="5"/>
        <v>17925.5604528</v>
      </c>
      <c r="R26" s="31">
        <f t="shared" si="6"/>
        <v>46427.248000000007</v>
      </c>
      <c r="S26" s="102">
        <f t="shared" si="7"/>
        <v>4633.4393504</v>
      </c>
      <c r="T26" s="103">
        <f t="shared" si="13"/>
        <v>25121.783892800002</v>
      </c>
      <c r="U26" s="98">
        <v>16</v>
      </c>
      <c r="V26" s="5" t="s">
        <v>28</v>
      </c>
      <c r="W26" s="104">
        <v>125899</v>
      </c>
      <c r="X26" s="105">
        <v>67.3</v>
      </c>
      <c r="Y26" s="106">
        <f t="shared" si="15"/>
        <v>84730.026999999987</v>
      </c>
      <c r="Z26" s="107">
        <v>1.4999999999999999E-2</v>
      </c>
      <c r="AA26" s="107">
        <v>1.4E-2</v>
      </c>
      <c r="AB26" s="107">
        <v>0.156</v>
      </c>
      <c r="AC26" s="107">
        <v>0.19600000000000001</v>
      </c>
      <c r="AD26" s="107">
        <v>0.61899999999999999</v>
      </c>
      <c r="AE26" s="100">
        <f t="shared" si="16"/>
        <v>2.8999999999999998E-2</v>
      </c>
      <c r="AF26" s="60">
        <f t="shared" si="17"/>
        <v>0.185</v>
      </c>
      <c r="AG26" s="108">
        <f t="shared" si="18"/>
        <v>1270.9504049999998</v>
      </c>
      <c r="AH26" s="43">
        <f t="shared" si="19"/>
        <v>1186.2203779999998</v>
      </c>
      <c r="AI26" s="43">
        <f t="shared" si="20"/>
        <v>13217.884211999997</v>
      </c>
      <c r="AJ26" s="43">
        <f t="shared" si="21"/>
        <v>16607.085292</v>
      </c>
      <c r="AK26" s="43">
        <f t="shared" si="22"/>
        <v>52447.886712999993</v>
      </c>
      <c r="AL26" s="43">
        <f t="shared" si="23"/>
        <v>84730.026999999987</v>
      </c>
      <c r="AM26" s="108">
        <f t="shared" si="24"/>
        <v>2457.1707829999996</v>
      </c>
      <c r="AN26" s="109">
        <f t="shared" si="25"/>
        <v>15675.054994999997</v>
      </c>
    </row>
    <row r="27" spans="1:40" x14ac:dyDescent="0.25">
      <c r="A27" s="4">
        <f t="shared" si="14"/>
        <v>17</v>
      </c>
      <c r="B27" s="6" t="s">
        <v>29</v>
      </c>
      <c r="C27" s="19">
        <v>58</v>
      </c>
      <c r="D27" s="49">
        <v>91.38</v>
      </c>
      <c r="E27" s="41">
        <f t="shared" si="11"/>
        <v>53.000399999999999</v>
      </c>
      <c r="F27" s="52">
        <f>0%/100</f>
        <v>0</v>
      </c>
      <c r="G27" s="52">
        <f>1698%/100</f>
        <v>0.16980000000000001</v>
      </c>
      <c r="H27" s="52">
        <f>3208%/100</f>
        <v>0.32079999999999997</v>
      </c>
      <c r="I27" s="52">
        <f>3019%/100</f>
        <v>0.3019</v>
      </c>
      <c r="J27" s="52">
        <f>2075%/100</f>
        <v>0.20749999999999999</v>
      </c>
      <c r="K27" s="54">
        <f t="shared" si="0"/>
        <v>0.16980000000000001</v>
      </c>
      <c r="L27" s="55">
        <f t="shared" si="12"/>
        <v>0.49059999999999998</v>
      </c>
      <c r="M27" s="20">
        <f t="shared" si="1"/>
        <v>0</v>
      </c>
      <c r="N27" s="21">
        <f t="shared" si="2"/>
        <v>8.9994679200000007</v>
      </c>
      <c r="O27" s="21">
        <f t="shared" si="3"/>
        <v>17.00252832</v>
      </c>
      <c r="P27" s="21">
        <f t="shared" si="4"/>
        <v>16.00082076</v>
      </c>
      <c r="Q27" s="21">
        <f t="shared" si="5"/>
        <v>10.997582999999999</v>
      </c>
      <c r="R27" s="21">
        <f t="shared" si="6"/>
        <v>53.000399999999999</v>
      </c>
      <c r="S27" s="20">
        <f t="shared" si="7"/>
        <v>8.9994679200000007</v>
      </c>
      <c r="T27" s="22">
        <f t="shared" si="13"/>
        <v>26.00199624</v>
      </c>
      <c r="U27" s="4">
        <v>17</v>
      </c>
      <c r="V27" s="6" t="s">
        <v>29</v>
      </c>
      <c r="W27" s="23">
        <v>39</v>
      </c>
      <c r="X27" s="61">
        <v>66.7</v>
      </c>
      <c r="Y27" s="62">
        <f t="shared" si="15"/>
        <v>26.013000000000002</v>
      </c>
      <c r="Z27" s="68">
        <v>0</v>
      </c>
      <c r="AA27" s="68">
        <v>0</v>
      </c>
      <c r="AB27" s="68">
        <v>0.154</v>
      </c>
      <c r="AC27" s="68">
        <v>0.76900000000000002</v>
      </c>
      <c r="AD27" s="68">
        <v>7.6999999999999999E-2</v>
      </c>
      <c r="AE27" s="54">
        <f t="shared" si="16"/>
        <v>0</v>
      </c>
      <c r="AF27" s="52">
        <f t="shared" si="17"/>
        <v>0.154</v>
      </c>
      <c r="AG27" s="69">
        <f t="shared" si="18"/>
        <v>0</v>
      </c>
      <c r="AH27" s="41">
        <f t="shared" si="19"/>
        <v>0</v>
      </c>
      <c r="AI27" s="41">
        <f t="shared" si="20"/>
        <v>4.0060020000000005</v>
      </c>
      <c r="AJ27" s="41">
        <f t="shared" si="21"/>
        <v>20.003997000000002</v>
      </c>
      <c r="AK27" s="41">
        <f t="shared" si="22"/>
        <v>2.0030010000000003</v>
      </c>
      <c r="AL27" s="41">
        <f t="shared" si="23"/>
        <v>26.013000000000002</v>
      </c>
      <c r="AM27" s="69">
        <f t="shared" si="24"/>
        <v>0</v>
      </c>
      <c r="AN27" s="70">
        <f t="shared" si="25"/>
        <v>4.0060020000000005</v>
      </c>
    </row>
    <row r="28" spans="1:40" x14ac:dyDescent="0.25">
      <c r="A28" s="4">
        <f t="shared" si="14"/>
        <v>18</v>
      </c>
      <c r="B28" s="6" t="s">
        <v>30</v>
      </c>
      <c r="C28" s="19">
        <v>1892</v>
      </c>
      <c r="D28" s="49">
        <v>99.58</v>
      </c>
      <c r="E28" s="41">
        <f t="shared" si="11"/>
        <v>1884.0536</v>
      </c>
      <c r="F28" s="52">
        <f>0%/100</f>
        <v>0</v>
      </c>
      <c r="G28" s="52">
        <f>0%/100</f>
        <v>0</v>
      </c>
      <c r="H28" s="52">
        <f>1640%/100</f>
        <v>0.16399999999999998</v>
      </c>
      <c r="I28" s="52">
        <f>4145%/100</f>
        <v>0.41450000000000004</v>
      </c>
      <c r="J28" s="52">
        <f>4214%/100</f>
        <v>0.4214</v>
      </c>
      <c r="K28" s="54">
        <f t="shared" si="0"/>
        <v>0</v>
      </c>
      <c r="L28" s="55">
        <f t="shared" si="12"/>
        <v>0.16399999999999998</v>
      </c>
      <c r="M28" s="20">
        <f t="shared" si="1"/>
        <v>0</v>
      </c>
      <c r="N28" s="21">
        <f t="shared" si="2"/>
        <v>0</v>
      </c>
      <c r="O28" s="21">
        <f t="shared" si="3"/>
        <v>308.98479039999995</v>
      </c>
      <c r="P28" s="21">
        <f t="shared" si="4"/>
        <v>780.94021720000001</v>
      </c>
      <c r="Q28" s="21">
        <f t="shared" si="5"/>
        <v>793.94018703999996</v>
      </c>
      <c r="R28" s="21">
        <f t="shared" si="6"/>
        <v>1883.8651946399998</v>
      </c>
      <c r="S28" s="20">
        <f t="shared" si="7"/>
        <v>0</v>
      </c>
      <c r="T28" s="22">
        <f t="shared" si="13"/>
        <v>308.98479039999995</v>
      </c>
      <c r="U28" s="4">
        <v>18</v>
      </c>
      <c r="V28" s="6" t="s">
        <v>30</v>
      </c>
      <c r="W28" s="23">
        <v>1821</v>
      </c>
      <c r="X28" s="61">
        <v>98.2</v>
      </c>
      <c r="Y28" s="62">
        <f t="shared" si="15"/>
        <v>1788.2220000000002</v>
      </c>
      <c r="Z28" s="68">
        <v>0</v>
      </c>
      <c r="AA28" s="68">
        <v>1E-3</v>
      </c>
      <c r="AB28" s="68">
        <v>7.0999999999999994E-2</v>
      </c>
      <c r="AC28" s="68">
        <v>0.42199999999999999</v>
      </c>
      <c r="AD28" s="68">
        <v>0.50600000000000001</v>
      </c>
      <c r="AE28" s="54">
        <f t="shared" si="16"/>
        <v>1E-3</v>
      </c>
      <c r="AF28" s="52">
        <f t="shared" si="17"/>
        <v>7.1999999999999995E-2</v>
      </c>
      <c r="AG28" s="69">
        <f t="shared" si="18"/>
        <v>0</v>
      </c>
      <c r="AH28" s="41">
        <f t="shared" si="19"/>
        <v>1.7882220000000002</v>
      </c>
      <c r="AI28" s="41">
        <f t="shared" si="20"/>
        <v>126.963762</v>
      </c>
      <c r="AJ28" s="41">
        <f t="shared" si="21"/>
        <v>754.62968400000011</v>
      </c>
      <c r="AK28" s="41">
        <f t="shared" si="22"/>
        <v>904.8403320000001</v>
      </c>
      <c r="AL28" s="41">
        <f t="shared" si="23"/>
        <v>1788.2220000000002</v>
      </c>
      <c r="AM28" s="69">
        <f t="shared" si="24"/>
        <v>1.7882220000000002</v>
      </c>
      <c r="AN28" s="70">
        <f t="shared" si="25"/>
        <v>128.75198399999999</v>
      </c>
    </row>
    <row r="29" spans="1:40" x14ac:dyDescent="0.25">
      <c r="A29" s="4">
        <f t="shared" si="14"/>
        <v>19</v>
      </c>
      <c r="B29" s="6" t="s">
        <v>31</v>
      </c>
      <c r="C29" s="19">
        <v>1615</v>
      </c>
      <c r="D29" s="49">
        <v>97.52</v>
      </c>
      <c r="E29" s="41">
        <f t="shared" si="11"/>
        <v>1574.9479999999999</v>
      </c>
      <c r="F29" s="52">
        <f>0%/100</f>
        <v>0</v>
      </c>
      <c r="G29" s="52">
        <f>0%/100</f>
        <v>0</v>
      </c>
      <c r="H29" s="52">
        <f>375%/100</f>
        <v>3.7499999999999999E-2</v>
      </c>
      <c r="I29" s="52">
        <f>3225%/100</f>
        <v>0.32250000000000001</v>
      </c>
      <c r="J29" s="52">
        <f>6400%/100</f>
        <v>0.64</v>
      </c>
      <c r="K29" s="54">
        <f t="shared" si="0"/>
        <v>0</v>
      </c>
      <c r="L29" s="55">
        <f t="shared" si="12"/>
        <v>3.7499999999999999E-2</v>
      </c>
      <c r="M29" s="20">
        <f t="shared" si="1"/>
        <v>0</v>
      </c>
      <c r="N29" s="21">
        <f t="shared" si="2"/>
        <v>0</v>
      </c>
      <c r="O29" s="21">
        <f t="shared" si="3"/>
        <v>59.060549999999992</v>
      </c>
      <c r="P29" s="21">
        <f t="shared" si="4"/>
        <v>507.92072999999999</v>
      </c>
      <c r="Q29" s="21">
        <f t="shared" si="5"/>
        <v>1007.9667199999999</v>
      </c>
      <c r="R29" s="21">
        <f t="shared" si="6"/>
        <v>1574.9479999999999</v>
      </c>
      <c r="S29" s="20">
        <f t="shared" si="7"/>
        <v>0</v>
      </c>
      <c r="T29" s="22">
        <f t="shared" si="13"/>
        <v>59.060549999999992</v>
      </c>
      <c r="U29" s="4">
        <v>19</v>
      </c>
      <c r="V29" s="6" t="s">
        <v>31</v>
      </c>
      <c r="W29" s="23">
        <v>1683</v>
      </c>
      <c r="X29" s="61">
        <v>98.2</v>
      </c>
      <c r="Y29" s="62">
        <f t="shared" si="15"/>
        <v>1652.7060000000001</v>
      </c>
      <c r="Z29" s="68">
        <v>0</v>
      </c>
      <c r="AA29" s="68">
        <v>1E-3</v>
      </c>
      <c r="AB29" s="68">
        <v>0.27500000000000002</v>
      </c>
      <c r="AC29" s="68">
        <v>0.125</v>
      </c>
      <c r="AD29" s="68">
        <v>0.59799999999999998</v>
      </c>
      <c r="AE29" s="54">
        <f t="shared" si="16"/>
        <v>1E-3</v>
      </c>
      <c r="AF29" s="52">
        <f t="shared" si="17"/>
        <v>0.27600000000000002</v>
      </c>
      <c r="AG29" s="69">
        <f t="shared" si="18"/>
        <v>0</v>
      </c>
      <c r="AH29" s="41">
        <f t="shared" si="19"/>
        <v>1.6527060000000002</v>
      </c>
      <c r="AI29" s="41">
        <f t="shared" si="20"/>
        <v>454.49415000000005</v>
      </c>
      <c r="AJ29" s="41">
        <f t="shared" si="21"/>
        <v>206.58825000000002</v>
      </c>
      <c r="AK29" s="41">
        <f t="shared" si="22"/>
        <v>988.31818800000008</v>
      </c>
      <c r="AL29" s="41">
        <f t="shared" si="23"/>
        <v>1651.0532940000003</v>
      </c>
      <c r="AM29" s="69">
        <f t="shared" si="24"/>
        <v>1.6527060000000002</v>
      </c>
      <c r="AN29" s="70">
        <f t="shared" si="25"/>
        <v>456.14685600000007</v>
      </c>
    </row>
    <row r="30" spans="1:40" x14ac:dyDescent="0.25">
      <c r="A30" s="4">
        <f t="shared" si="14"/>
        <v>20</v>
      </c>
      <c r="B30" s="6" t="s">
        <v>32</v>
      </c>
      <c r="C30" s="19">
        <v>1062</v>
      </c>
      <c r="D30" s="49">
        <v>99.53</v>
      </c>
      <c r="E30" s="41">
        <f t="shared" si="11"/>
        <v>1057.0086000000001</v>
      </c>
      <c r="F30" s="52">
        <f>170%/100</f>
        <v>1.7000000000000001E-2</v>
      </c>
      <c r="G30" s="52">
        <f>880%/100</f>
        <v>8.8000000000000009E-2</v>
      </c>
      <c r="H30" s="53">
        <f>7237%/100</f>
        <v>0.72370000000000001</v>
      </c>
      <c r="I30" s="52">
        <f>1608%/100</f>
        <v>0.16079999999999997</v>
      </c>
      <c r="J30" s="52">
        <f>104%/100</f>
        <v>1.04E-2</v>
      </c>
      <c r="K30" s="54">
        <f t="shared" si="0"/>
        <v>0.10500000000000001</v>
      </c>
      <c r="L30" s="55">
        <f t="shared" si="12"/>
        <v>0.82869999999999999</v>
      </c>
      <c r="M30" s="20">
        <f t="shared" si="1"/>
        <v>17.969146200000004</v>
      </c>
      <c r="N30" s="21">
        <f t="shared" si="2"/>
        <v>93.016756800000024</v>
      </c>
      <c r="O30" s="21">
        <f t="shared" si="3"/>
        <v>764.95712382000011</v>
      </c>
      <c r="P30" s="21">
        <f t="shared" si="4"/>
        <v>169.96698287999999</v>
      </c>
      <c r="Q30" s="21">
        <f t="shared" si="5"/>
        <v>10.992889440000001</v>
      </c>
      <c r="R30" s="21">
        <f t="shared" si="6"/>
        <v>1056.90289914</v>
      </c>
      <c r="S30" s="20">
        <f t="shared" si="7"/>
        <v>110.98590300000004</v>
      </c>
      <c r="T30" s="22">
        <f t="shared" si="13"/>
        <v>875.94302682000011</v>
      </c>
      <c r="U30" s="4">
        <v>20</v>
      </c>
      <c r="V30" s="6" t="s">
        <v>32</v>
      </c>
      <c r="W30" s="23">
        <v>1055</v>
      </c>
      <c r="X30" s="61">
        <v>99.6</v>
      </c>
      <c r="Y30" s="62">
        <f t="shared" si="15"/>
        <v>1050.78</v>
      </c>
      <c r="Z30" s="68">
        <v>0</v>
      </c>
      <c r="AA30" s="68">
        <v>8.9999999999999993E-3</v>
      </c>
      <c r="AB30" s="68">
        <v>0.32500000000000001</v>
      </c>
      <c r="AC30" s="68">
        <v>0.66600000000000004</v>
      </c>
      <c r="AD30" s="68">
        <v>0</v>
      </c>
      <c r="AE30" s="54">
        <f t="shared" si="16"/>
        <v>8.9999999999999993E-3</v>
      </c>
      <c r="AF30" s="52">
        <f t="shared" si="17"/>
        <v>0.33400000000000002</v>
      </c>
      <c r="AG30" s="69">
        <f t="shared" si="18"/>
        <v>0</v>
      </c>
      <c r="AH30" s="41">
        <f t="shared" si="19"/>
        <v>9.4570199999999982</v>
      </c>
      <c r="AI30" s="41">
        <f t="shared" si="20"/>
        <v>341.50350000000003</v>
      </c>
      <c r="AJ30" s="41">
        <f t="shared" si="21"/>
        <v>699.81948</v>
      </c>
      <c r="AK30" s="41">
        <f t="shared" si="22"/>
        <v>0</v>
      </c>
      <c r="AL30" s="41">
        <f t="shared" si="23"/>
        <v>1050.78</v>
      </c>
      <c r="AM30" s="69">
        <f t="shared" si="24"/>
        <v>9.4570199999999982</v>
      </c>
      <c r="AN30" s="70">
        <f t="shared" si="25"/>
        <v>350.96052000000003</v>
      </c>
    </row>
    <row r="31" spans="1:40" ht="15.75" thickBot="1" x14ac:dyDescent="0.3">
      <c r="A31" s="24">
        <f t="shared" si="14"/>
        <v>21</v>
      </c>
      <c r="B31" s="25" t="s">
        <v>33</v>
      </c>
      <c r="C31" s="26">
        <v>10902</v>
      </c>
      <c r="D31" s="56">
        <v>35.01</v>
      </c>
      <c r="E31" s="64">
        <f t="shared" si="11"/>
        <v>3816.7901999999995</v>
      </c>
      <c r="F31" s="57">
        <f>26%/100</f>
        <v>2.5999999999999999E-3</v>
      </c>
      <c r="G31" s="57">
        <f>160%/100</f>
        <v>1.6E-2</v>
      </c>
      <c r="H31" s="57">
        <f>1077%/100</f>
        <v>0.10769999999999999</v>
      </c>
      <c r="I31" s="57">
        <f>5017%/100</f>
        <v>0.50170000000000003</v>
      </c>
      <c r="J31" s="57">
        <f>3720%/100</f>
        <v>0.37200000000000005</v>
      </c>
      <c r="K31" s="58">
        <f t="shared" si="0"/>
        <v>1.8599999999999998E-2</v>
      </c>
      <c r="L31" s="59">
        <f t="shared" si="12"/>
        <v>0.1263</v>
      </c>
      <c r="M31" s="27">
        <f t="shared" si="1"/>
        <v>9.9236545199999977</v>
      </c>
      <c r="N31" s="28">
        <f t="shared" si="2"/>
        <v>61.06864319999999</v>
      </c>
      <c r="O31" s="28">
        <f t="shared" si="3"/>
        <v>411.06830453999993</v>
      </c>
      <c r="P31" s="28">
        <f t="shared" si="4"/>
        <v>1914.8836433399999</v>
      </c>
      <c r="Q31" s="28">
        <f t="shared" si="5"/>
        <v>1419.8459544</v>
      </c>
      <c r="R31" s="29">
        <f t="shared" si="6"/>
        <v>3816.7901999999995</v>
      </c>
      <c r="S31" s="27">
        <f t="shared" si="7"/>
        <v>70.992297719999982</v>
      </c>
      <c r="T31" s="29">
        <f t="shared" si="13"/>
        <v>482.06060225999988</v>
      </c>
      <c r="U31" s="24">
        <v>21</v>
      </c>
      <c r="V31" s="25" t="s">
        <v>33</v>
      </c>
      <c r="W31" s="26">
        <v>11132</v>
      </c>
      <c r="X31" s="74">
        <v>62.4</v>
      </c>
      <c r="Y31" s="75">
        <f t="shared" si="15"/>
        <v>6946.3679999999995</v>
      </c>
      <c r="Z31" s="57">
        <v>2E-3</v>
      </c>
      <c r="AA31" s="57">
        <v>2.7E-2</v>
      </c>
      <c r="AB31" s="57">
        <v>0.10100000000000001</v>
      </c>
      <c r="AC31" s="57">
        <v>0.624</v>
      </c>
      <c r="AD31" s="59">
        <v>0.246</v>
      </c>
      <c r="AE31" s="58">
        <f t="shared" si="16"/>
        <v>2.8999999999999998E-2</v>
      </c>
      <c r="AF31" s="59">
        <f t="shared" si="17"/>
        <v>0.13</v>
      </c>
      <c r="AG31" s="71">
        <f t="shared" si="18"/>
        <v>13.892735999999999</v>
      </c>
      <c r="AH31" s="72">
        <f t="shared" si="19"/>
        <v>187.55193599999998</v>
      </c>
      <c r="AI31" s="72">
        <f t="shared" si="20"/>
        <v>701.583168</v>
      </c>
      <c r="AJ31" s="72">
        <f t="shared" si="21"/>
        <v>4334.5336319999997</v>
      </c>
      <c r="AK31" s="72">
        <f t="shared" si="22"/>
        <v>1708.8065279999998</v>
      </c>
      <c r="AL31" s="72">
        <f t="shared" si="23"/>
        <v>6946.3679999999995</v>
      </c>
      <c r="AM31" s="71">
        <f t="shared" si="24"/>
        <v>201.44467199999997</v>
      </c>
      <c r="AN31" s="73">
        <f t="shared" si="25"/>
        <v>903.02783999999997</v>
      </c>
    </row>
    <row r="32" spans="1:40" ht="15.75" thickTop="1" x14ac:dyDescent="0.25">
      <c r="A32" s="6"/>
      <c r="B32" s="80" t="s">
        <v>39</v>
      </c>
      <c r="C32" s="81">
        <f>SUM(C11:C31)</f>
        <v>174139</v>
      </c>
      <c r="D32" s="82"/>
      <c r="E32" s="83">
        <f>SUM(E11:E31)</f>
        <v>85267.376200000013</v>
      </c>
      <c r="F32" s="84"/>
      <c r="G32" s="84"/>
      <c r="H32" s="84"/>
      <c r="I32" s="84"/>
      <c r="J32" s="84"/>
      <c r="K32" s="84"/>
      <c r="L32" s="84"/>
      <c r="M32" s="85">
        <f>SUM(M11:M31)</f>
        <v>1132.3049546999998</v>
      </c>
      <c r="N32" s="85">
        <f>SUM(N11:N31)</f>
        <v>3915.0686233499996</v>
      </c>
      <c r="O32" s="85"/>
      <c r="P32" s="85"/>
      <c r="Q32" s="85"/>
      <c r="R32" s="85">
        <f>SUM(R11:R31)</f>
        <v>85268.813880220026</v>
      </c>
      <c r="S32" s="85">
        <f>SUM(S11:S31)</f>
        <v>5047.3735780500001</v>
      </c>
      <c r="T32" s="86">
        <f>SUM(T11:T31)</f>
        <v>31968.706075220005</v>
      </c>
      <c r="U32" s="3"/>
      <c r="V32" s="80" t="s">
        <v>39</v>
      </c>
      <c r="W32" s="81">
        <f>SUM(W11:W31)</f>
        <v>176654</v>
      </c>
      <c r="X32" s="81"/>
      <c r="Y32" s="83">
        <f>SUM(Y11:Y31)</f>
        <v>128067.71099999998</v>
      </c>
      <c r="Z32" s="81"/>
      <c r="AA32" s="81"/>
      <c r="AB32" s="81"/>
      <c r="AC32" s="81"/>
      <c r="AD32" s="81"/>
      <c r="AE32" s="81"/>
      <c r="AF32" s="81"/>
      <c r="AG32" s="83">
        <f>SUM(AG11:AG31)</f>
        <v>1285.8513689999997</v>
      </c>
      <c r="AH32" s="83">
        <f>SUM(AH11:AH31)</f>
        <v>1617.9988599999999</v>
      </c>
      <c r="AI32" s="81"/>
      <c r="AJ32" s="81"/>
      <c r="AK32" s="81"/>
      <c r="AL32" s="83">
        <f>SUM(AL11:AL31)</f>
        <v>128089.64218099999</v>
      </c>
      <c r="AM32" s="83">
        <f>SUM(AM11:AM31)</f>
        <v>2903.8502289999997</v>
      </c>
      <c r="AN32" s="94">
        <f>SUM(AN11:AN31)</f>
        <v>23275.075843999992</v>
      </c>
    </row>
    <row r="33" spans="1:40" x14ac:dyDescent="0.25">
      <c r="A33" s="3"/>
      <c r="B33" s="87"/>
      <c r="C33" s="88"/>
      <c r="D33" s="89"/>
      <c r="E33" s="90"/>
      <c r="F33" s="91"/>
      <c r="G33" s="91"/>
      <c r="H33" s="91"/>
      <c r="I33" s="91"/>
      <c r="J33" s="91"/>
      <c r="K33" s="91"/>
      <c r="L33" s="91"/>
      <c r="M33" s="88"/>
      <c r="N33" s="88"/>
      <c r="O33" s="88"/>
      <c r="P33" s="88"/>
      <c r="Q33" s="88"/>
      <c r="R33" s="88"/>
      <c r="S33" s="92">
        <f>S32/E32</f>
        <v>5.9194662753678108E-2</v>
      </c>
      <c r="T33" s="93"/>
      <c r="U33" s="3"/>
      <c r="V33" s="87"/>
      <c r="W33" s="95"/>
      <c r="X33" s="91"/>
      <c r="Y33" s="90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6">
        <f>AM32/Y32</f>
        <v>2.2674335367796183E-2</v>
      </c>
      <c r="AN33" s="97"/>
    </row>
    <row r="34" spans="1:40" x14ac:dyDescent="0.25">
      <c r="A34" s="3"/>
      <c r="B34" s="3"/>
      <c r="C34" s="3"/>
      <c r="D34" s="61"/>
      <c r="E34" s="62"/>
      <c r="F34" s="23"/>
      <c r="G34" s="23"/>
      <c r="H34" s="23"/>
      <c r="I34" s="23"/>
      <c r="J34" s="23"/>
      <c r="K34" s="23"/>
      <c r="L34" s="23"/>
      <c r="M34" s="3"/>
      <c r="N34" s="3"/>
      <c r="O34" s="3"/>
      <c r="P34" s="3"/>
      <c r="Q34" s="3"/>
      <c r="R34" s="3"/>
      <c r="S34" s="3"/>
      <c r="T34" s="3"/>
      <c r="U34" s="3"/>
      <c r="V34" s="3"/>
      <c r="W34" s="23"/>
      <c r="X34" s="23"/>
      <c r="Y34" s="62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1:40" x14ac:dyDescent="0.25">
      <c r="A35" s="3"/>
      <c r="B35" s="3"/>
      <c r="C35" s="3"/>
      <c r="D35" s="61"/>
      <c r="E35" s="62"/>
      <c r="F35" s="23"/>
      <c r="G35" s="23"/>
      <c r="H35" s="23"/>
      <c r="I35" s="23"/>
      <c r="J35" s="23"/>
      <c r="K35" s="23"/>
      <c r="L35" s="23"/>
      <c r="M35" s="3"/>
      <c r="N35" s="3"/>
      <c r="O35" s="3"/>
      <c r="P35" s="3"/>
      <c r="Q35" s="3"/>
      <c r="R35" s="3"/>
      <c r="S35" s="3"/>
      <c r="T35" s="3"/>
      <c r="U35" s="3"/>
      <c r="V35" s="3"/>
      <c r="W35" s="23"/>
      <c r="X35" s="23"/>
      <c r="Y35" s="62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40" spans="1:40" x14ac:dyDescent="0.25">
      <c r="C40" s="33"/>
      <c r="D40" s="63"/>
      <c r="F40" s="63"/>
      <c r="G40" s="63"/>
      <c r="H40" s="63"/>
      <c r="I40" s="63"/>
      <c r="J40" s="63"/>
      <c r="K40" s="63"/>
      <c r="L40" s="63"/>
      <c r="M40" s="33"/>
    </row>
    <row r="41" spans="1:40" x14ac:dyDescent="0.25">
      <c r="C41" s="33"/>
      <c r="D41" s="63"/>
      <c r="F41" s="63"/>
      <c r="G41" s="63"/>
      <c r="H41" s="63"/>
      <c r="I41" s="63"/>
      <c r="J41" s="63"/>
      <c r="K41" s="63"/>
      <c r="L41" s="63"/>
      <c r="M41" s="33"/>
    </row>
    <row r="42" spans="1:40" x14ac:dyDescent="0.25">
      <c r="C42" s="33"/>
      <c r="D42" s="63"/>
      <c r="F42" s="63"/>
      <c r="G42" s="63"/>
      <c r="H42" s="63"/>
      <c r="I42" s="63"/>
      <c r="J42" s="63"/>
      <c r="K42" s="63"/>
      <c r="L42" s="63"/>
      <c r="M42" s="33"/>
    </row>
  </sheetData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</dc:creator>
  <cp:lastModifiedBy>Shelley Grice</cp:lastModifiedBy>
  <cp:lastPrinted>2019-07-02T13:14:39Z</cp:lastPrinted>
  <dcterms:created xsi:type="dcterms:W3CDTF">2015-02-14T15:05:41Z</dcterms:created>
  <dcterms:modified xsi:type="dcterms:W3CDTF">2019-08-29T04:29:20Z</dcterms:modified>
</cp:coreProperties>
</file>