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ist Pric\2018-2022 DX Rates\2020\2020 DRO\2020 DRO Exhibits\"/>
    </mc:Choice>
  </mc:AlternateContent>
  <bookViews>
    <workbookView xWindow="-10" yWindow="-10" windowWidth="12000" windowHeight="8390" tabRatio="939"/>
  </bookViews>
  <sheets>
    <sheet name="Summary" sheetId="3" r:id="rId1"/>
    <sheet name="RTSR_Table1" sheetId="7" r:id="rId2"/>
    <sheet name="RTSR_Table2" sheetId="8" r:id="rId3"/>
  </sheets>
  <externalReferences>
    <externalReference r:id="rId4"/>
    <externalReference r:id="rId5"/>
  </externalReferences>
  <definedNames>
    <definedName name="A">#REF!</definedName>
    <definedName name="B">#REF!</definedName>
    <definedName name="JUNE">#REF!</definedName>
    <definedName name="st_cdet">#REF!</definedName>
    <definedName name="TotST">#REF!</definedName>
    <definedName name="TotTXPk">#REF!</definedName>
  </definedNames>
  <calcPr calcId="162913"/>
</workbook>
</file>

<file path=xl/calcChain.xml><?xml version="1.0" encoding="utf-8"?>
<calcChain xmlns="http://schemas.openxmlformats.org/spreadsheetml/2006/main">
  <c r="D19" i="8" l="1"/>
  <c r="D18" i="8"/>
  <c r="C18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7" i="8"/>
  <c r="D7" i="8"/>
  <c r="D6" i="8"/>
  <c r="C6" i="8"/>
  <c r="O33" i="3" l="1"/>
  <c r="N33" i="3"/>
  <c r="O32" i="3"/>
  <c r="N32" i="3"/>
  <c r="O31" i="3"/>
  <c r="N31" i="3"/>
  <c r="O30" i="3"/>
  <c r="N30" i="3"/>
  <c r="O29" i="3"/>
  <c r="N29" i="3"/>
  <c r="Q28" i="3"/>
  <c r="P28" i="3"/>
  <c r="O27" i="3"/>
  <c r="N27" i="3"/>
  <c r="O26" i="3"/>
  <c r="N26" i="3"/>
  <c r="O25" i="3"/>
  <c r="N25" i="3"/>
  <c r="O24" i="3"/>
  <c r="N24" i="3"/>
  <c r="Q23" i="3"/>
  <c r="P23" i="3"/>
  <c r="Q22" i="3"/>
  <c r="P22" i="3"/>
  <c r="J33" i="3"/>
  <c r="I33" i="3"/>
  <c r="G33" i="3"/>
  <c r="F33" i="3"/>
  <c r="C33" i="3"/>
  <c r="J32" i="3"/>
  <c r="I32" i="3"/>
  <c r="G32" i="3"/>
  <c r="F32" i="3"/>
  <c r="C32" i="3"/>
  <c r="J31" i="3"/>
  <c r="I31" i="3"/>
  <c r="G31" i="3"/>
  <c r="F31" i="3"/>
  <c r="C31" i="3"/>
  <c r="J30" i="3"/>
  <c r="I30" i="3"/>
  <c r="G30" i="3"/>
  <c r="F30" i="3"/>
  <c r="C30" i="3"/>
  <c r="J29" i="3"/>
  <c r="I29" i="3"/>
  <c r="G29" i="3"/>
  <c r="F29" i="3"/>
  <c r="C29" i="3"/>
  <c r="J28" i="3"/>
  <c r="I28" i="3"/>
  <c r="G28" i="3"/>
  <c r="F28" i="3"/>
  <c r="D28" i="3"/>
  <c r="C28" i="3"/>
  <c r="J27" i="3"/>
  <c r="I27" i="3"/>
  <c r="G27" i="3"/>
  <c r="F27" i="3"/>
  <c r="C27" i="3"/>
  <c r="J26" i="3"/>
  <c r="I26" i="3"/>
  <c r="G26" i="3"/>
  <c r="F26" i="3"/>
  <c r="C26" i="3"/>
  <c r="J25" i="3"/>
  <c r="I25" i="3"/>
  <c r="G25" i="3"/>
  <c r="F25" i="3"/>
  <c r="C25" i="3"/>
  <c r="J24" i="3"/>
  <c r="I24" i="3"/>
  <c r="G24" i="3"/>
  <c r="F24" i="3"/>
  <c r="C24" i="3"/>
  <c r="J23" i="3"/>
  <c r="I23" i="3"/>
  <c r="G23" i="3"/>
  <c r="F23" i="3"/>
  <c r="D23" i="3"/>
  <c r="C23" i="3"/>
  <c r="J22" i="3"/>
  <c r="I22" i="3"/>
  <c r="G22" i="3"/>
  <c r="F22" i="3"/>
  <c r="D22" i="3"/>
  <c r="C22" i="3"/>
  <c r="L18" i="3"/>
  <c r="K18" i="3"/>
  <c r="J18" i="3"/>
  <c r="I18" i="3"/>
  <c r="P16" i="3"/>
  <c r="O16" i="3"/>
  <c r="N16" i="3"/>
  <c r="L16" i="3"/>
  <c r="K16" i="3"/>
  <c r="J16" i="3"/>
  <c r="I16" i="3"/>
  <c r="H16" i="3"/>
  <c r="G16" i="3"/>
  <c r="F16" i="3"/>
  <c r="E16" i="3"/>
  <c r="D16" i="3"/>
  <c r="C16" i="3"/>
  <c r="L14" i="3"/>
  <c r="K14" i="3"/>
  <c r="J14" i="3"/>
  <c r="I14" i="3"/>
  <c r="H14" i="3"/>
  <c r="G14" i="3"/>
  <c r="F14" i="3"/>
  <c r="M5" i="3"/>
  <c r="L5" i="3"/>
  <c r="K5" i="3"/>
  <c r="J5" i="3"/>
  <c r="I5" i="3"/>
  <c r="F17" i="8" l="1"/>
  <c r="E17" i="8"/>
  <c r="E13" i="8"/>
  <c r="F13" i="8"/>
  <c r="E12" i="8"/>
  <c r="F12" i="8"/>
  <c r="E7" i="8"/>
  <c r="F7" i="8"/>
  <c r="E8" i="8"/>
  <c r="F8" i="8"/>
  <c r="E9" i="8"/>
  <c r="F9" i="8"/>
  <c r="E11" i="8"/>
  <c r="F11" i="8"/>
  <c r="E10" i="8"/>
  <c r="F10" i="8"/>
  <c r="E6" i="8"/>
  <c r="F6" i="8"/>
  <c r="E16" i="8"/>
  <c r="F16" i="8"/>
  <c r="E15" i="8"/>
  <c r="F15" i="8"/>
  <c r="F14" i="8"/>
  <c r="E14" i="8"/>
  <c r="B22" i="7"/>
  <c r="B18" i="7"/>
  <c r="B17" i="7"/>
  <c r="B12" i="7"/>
  <c r="B13" i="7"/>
  <c r="B14" i="7"/>
  <c r="B16" i="7"/>
  <c r="B15" i="7"/>
  <c r="B11" i="7"/>
  <c r="B21" i="7"/>
  <c r="B20" i="7"/>
  <c r="B19" i="7"/>
  <c r="D22" i="7" l="1"/>
  <c r="D13" i="7"/>
  <c r="D17" i="7"/>
  <c r="D20" i="7"/>
  <c r="D14" i="7"/>
  <c r="D18" i="7"/>
  <c r="D21" i="7"/>
  <c r="D15" i="7"/>
  <c r="D19" i="7"/>
  <c r="D12" i="7"/>
  <c r="D16" i="7"/>
  <c r="D11" i="7"/>
  <c r="C11" i="7"/>
  <c r="C14" i="7"/>
  <c r="C18" i="7"/>
  <c r="C22" i="7"/>
  <c r="C15" i="7"/>
  <c r="C19" i="7"/>
  <c r="C12" i="7"/>
  <c r="C16" i="7"/>
  <c r="C20" i="7"/>
  <c r="C13" i="7"/>
  <c r="C17" i="7"/>
  <c r="C21" i="7"/>
  <c r="D6" i="7"/>
  <c r="C6" i="7"/>
  <c r="B6" i="7" l="1"/>
  <c r="F19" i="8" l="1"/>
  <c r="E6" i="7"/>
  <c r="C8" i="7"/>
  <c r="F18" i="8"/>
  <c r="D8" i="7"/>
  <c r="B8" i="7"/>
  <c r="C10" i="7" l="1"/>
  <c r="D10" i="7"/>
  <c r="M16" i="3"/>
  <c r="B10" i="7"/>
  <c r="E8" i="7"/>
  <c r="E18" i="8"/>
  <c r="E22" i="7" l="1"/>
  <c r="E15" i="7"/>
  <c r="F8" i="7"/>
  <c r="E18" i="7"/>
  <c r="M18" i="3"/>
  <c r="E20" i="7"/>
  <c r="E12" i="7"/>
  <c r="E11" i="7"/>
  <c r="E19" i="7"/>
  <c r="E21" i="7"/>
  <c r="E14" i="7"/>
  <c r="E13" i="7"/>
  <c r="E17" i="7"/>
  <c r="E10" i="7"/>
  <c r="E16" i="7"/>
  <c r="F10" i="7" l="1"/>
</calcChain>
</file>

<file path=xl/sharedStrings.xml><?xml version="1.0" encoding="utf-8"?>
<sst xmlns="http://schemas.openxmlformats.org/spreadsheetml/2006/main" count="122" uniqueCount="72">
  <si>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</si>
  <si>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</si>
  <si>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</si>
  <si>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</si>
  <si>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</si>
  <si>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</si>
  <si>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</si>
  <si>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</si>
  <si>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</si>
  <si>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</si>
  <si>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</si>
  <si>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</si>
  <si>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</si>
  <si>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</si>
  <si>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</si>
  <si>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</si>
  <si>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</si>
  <si>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</si>
  <si>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</si>
  <si>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* For customer classes that do not have separate proposed Line and Transformation charges, the Line Connection charges shown include</t>
  </si>
  <si>
    <t xml:space="preserve"> Transformation charges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</si>
  <si>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</si>
  <si>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</si>
  <si>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</si>
  <si>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</si>
  <si>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</si>
  <si>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</si>
  <si>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</si>
  <si>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</si>
  <si>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</si>
  <si>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</si>
  <si>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</si>
  <si>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</si>
  <si>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</si>
  <si>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</si>
  <si>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</si>
  <si>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</si>
  <si>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</si>
  <si>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</si>
  <si>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</si>
  <si>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</si>
  <si>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</si>
  <si>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</si>
  <si>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</si>
  <si>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Urban ($/kWh)</t>
  </si>
  <si>
    <t>R1 ($/kWh)</t>
  </si>
  <si>
    <t>R2 ($/kWh)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</si>
  <si>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</si>
  <si>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</si>
  <si>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</si>
  <si>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</si>
  <si>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</si>
  <si>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</si>
  <si>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</si>
  <si>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General Service demand ($/kW)</t>
  </si>
  <si>
    <t>Sentinel Lights ($/kWh)</t>
  </si>
  <si>
    <t>Street Lights ($/kWh)</t>
  </si>
  <si>
    <t>kW w loss</t>
  </si>
  <si>
    <t>2018 Frcst Charge Determinants</t>
  </si>
  <si>
    <t>Street Light</t>
  </si>
  <si>
    <t>Sentinel Light</t>
  </si>
  <si>
    <t>Retail Rate Classes</t>
  </si>
  <si>
    <t>ST Rate Class</t>
  </si>
  <si>
    <t>* RTSR Rates shown for demand billed customers are to be adjusted by the total loss factor, as approved by the Ontario Energy Board, and applied to non-loss adjusted charge determinants</t>
  </si>
  <si>
    <t>Current UTR</t>
  </si>
  <si>
    <t>IESO Bill 
(Current UTR applied to forecast 2018 HONI-Tx Charge Determinants)</t>
  </si>
  <si>
    <t>Approved 2019 Rates</t>
  </si>
  <si>
    <t>Transmission Charges (2018 Forecast Charge Determinants at 2019 UTR)</t>
  </si>
  <si>
    <t>2020 Proposed RTSR Rates*</t>
  </si>
  <si>
    <t>IESO charges 
(2018 Charge Determinant Forecast at 2019 UTR)</t>
  </si>
  <si>
    <t>Proposed 2020 Rates</t>
  </si>
  <si>
    <t>Proposed 2020 RTSR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</si>
</sst>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&quot;$&quot;#,##0"/>
    <numFmt numFmtId="171" formatCode="#,##0.0000_);\(#,##0.0000\)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color indexed="23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S Sans Serif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9" fillId="0" borderId="0" xfId="0" applyFont="1"/>
    <xf numFmtId="166" fontId="0" fillId="0" borderId="0" xfId="2" applyNumberFormat="1" applyFont="1" applyBorder="1"/>
    <xf numFmtId="166" fontId="0" fillId="0" borderId="0" xfId="0" applyNumberFormat="1" applyBorder="1"/>
    <xf numFmtId="43" fontId="0" fillId="0" borderId="0" xfId="0" applyNumberFormat="1" applyBorder="1"/>
    <xf numFmtId="44" fontId="0" fillId="0" borderId="1" xfId="2" applyFont="1" applyBorder="1"/>
    <xf numFmtId="0" fontId="0" fillId="0" borderId="4" xfId="0" applyBorder="1"/>
    <xf numFmtId="166" fontId="0" fillId="0" borderId="1" xfId="2" applyNumberFormat="1" applyFont="1" applyBorder="1"/>
    <xf numFmtId="0" fontId="0" fillId="0" borderId="5" xfId="0" applyBorder="1"/>
    <xf numFmtId="0" fontId="0" fillId="0" borderId="6" xfId="0" applyBorder="1"/>
    <xf numFmtId="10" fontId="0" fillId="0" borderId="0" xfId="4" applyNumberFormat="1" applyFont="1" applyBorder="1"/>
    <xf numFmtId="10" fontId="0" fillId="0" borderId="1" xfId="4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164" fontId="0" fillId="0" borderId="2" xfId="4" applyNumberFormat="1" applyFont="1" applyBorder="1"/>
    <xf numFmtId="0" fontId="0" fillId="2" borderId="7" xfId="0" applyFill="1" applyBorder="1" applyAlignment="1">
      <alignment horizontal="centerContinuous" wrapText="1"/>
    </xf>
    <xf numFmtId="0" fontId="0" fillId="2" borderId="8" xfId="0" applyFill="1" applyBorder="1" applyAlignment="1">
      <alignment horizontal="centerContinuous" wrapText="1"/>
    </xf>
    <xf numFmtId="0" fontId="7" fillId="0" borderId="1" xfId="0" applyFont="1" applyBorder="1"/>
    <xf numFmtId="44" fontId="7" fillId="0" borderId="0" xfId="2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44" fontId="7" fillId="0" borderId="0" xfId="2" applyFont="1" applyFill="1" applyBorder="1" applyAlignment="1">
      <alignment horizontal="right" vertical="center" wrapText="1"/>
    </xf>
    <xf numFmtId="0" fontId="7" fillId="0" borderId="0" xfId="0" applyFont="1" applyBorder="1"/>
    <xf numFmtId="0" fontId="9" fillId="0" borderId="0" xfId="0" applyFont="1" applyBorder="1"/>
    <xf numFmtId="44" fontId="7" fillId="0" borderId="2" xfId="2" applyFont="1" applyFill="1" applyBorder="1" applyAlignment="1">
      <alignment horizontal="right" vertical="center" wrapText="1"/>
    </xf>
    <xf numFmtId="44" fontId="7" fillId="0" borderId="2" xfId="2" applyFont="1" applyBorder="1"/>
    <xf numFmtId="43" fontId="0" fillId="0" borderId="1" xfId="0" applyNumberFormat="1" applyBorder="1"/>
    <xf numFmtId="0" fontId="10" fillId="0" borderId="10" xfId="0" applyFont="1" applyBorder="1"/>
    <xf numFmtId="0" fontId="11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3" xfId="0" applyNumberFormat="1" applyFont="1" applyBorder="1" applyAlignment="1">
      <alignment horizontal="left"/>
    </xf>
    <xf numFmtId="0" fontId="0" fillId="0" borderId="16" xfId="0" applyBorder="1"/>
    <xf numFmtId="0" fontId="0" fillId="2" borderId="9" xfId="0" applyFill="1" applyBorder="1" applyAlignment="1">
      <alignment horizontal="centerContinuous" wrapText="1"/>
    </xf>
    <xf numFmtId="166" fontId="0" fillId="0" borderId="15" xfId="2" applyNumberFormat="1" applyFont="1" applyBorder="1"/>
    <xf numFmtId="166" fontId="0" fillId="0" borderId="4" xfId="2" applyNumberFormat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7" fillId="0" borderId="4" xfId="0" applyFont="1" applyFill="1" applyBorder="1"/>
    <xf numFmtId="0" fontId="0" fillId="0" borderId="0" xfId="0" applyFill="1"/>
    <xf numFmtId="9" fontId="0" fillId="0" borderId="0" xfId="4" applyFont="1"/>
    <xf numFmtId="168" fontId="0" fillId="0" borderId="1" xfId="2" applyNumberFormat="1" applyFont="1" applyBorder="1"/>
    <xf numFmtId="168" fontId="0" fillId="0" borderId="0" xfId="2" applyNumberFormat="1" applyFont="1" applyBorder="1"/>
    <xf numFmtId="168" fontId="0" fillId="0" borderId="1" xfId="0" applyNumberFormat="1" applyBorder="1"/>
    <xf numFmtId="168" fontId="0" fillId="0" borderId="0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43" fontId="0" fillId="0" borderId="0" xfId="1" applyFont="1"/>
    <xf numFmtId="2" fontId="10" fillId="0" borderId="14" xfId="0" applyNumberFormat="1" applyFont="1" applyBorder="1" applyAlignment="1">
      <alignment horizontal="center"/>
    </xf>
    <xf numFmtId="169" fontId="10" fillId="0" borderId="10" xfId="1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7" fillId="0" borderId="15" xfId="0" applyFont="1" applyBorder="1"/>
    <xf numFmtId="165" fontId="12" fillId="0" borderId="2" xfId="1" applyNumberFormat="1" applyFont="1" applyBorder="1"/>
    <xf numFmtId="0" fontId="0" fillId="4" borderId="1" xfId="0" applyFill="1" applyBorder="1"/>
    <xf numFmtId="0" fontId="0" fillId="4" borderId="0" xfId="0" applyFill="1" applyBorder="1"/>
    <xf numFmtId="0" fontId="2" fillId="2" borderId="7" xfId="0" applyFont="1" applyFill="1" applyBorder="1"/>
    <xf numFmtId="0" fontId="13" fillId="0" borderId="6" xfId="0" applyFont="1" applyBorder="1"/>
    <xf numFmtId="3" fontId="13" fillId="0" borderId="1" xfId="1" applyNumberFormat="1" applyFont="1" applyBorder="1"/>
    <xf numFmtId="3" fontId="13" fillId="0" borderId="0" xfId="0" applyNumberFormat="1" applyFont="1" applyBorder="1"/>
    <xf numFmtId="3" fontId="13" fillId="0" borderId="2" xfId="0" applyNumberFormat="1" applyFont="1" applyBorder="1"/>
    <xf numFmtId="165" fontId="13" fillId="0" borderId="1" xfId="1" applyNumberFormat="1" applyFont="1" applyBorder="1"/>
    <xf numFmtId="165" fontId="13" fillId="0" borderId="0" xfId="1" applyNumberFormat="1" applyFont="1" applyBorder="1"/>
    <xf numFmtId="165" fontId="13" fillId="0" borderId="2" xfId="1" applyNumberFormat="1" applyFont="1" applyBorder="1"/>
    <xf numFmtId="166" fontId="13" fillId="0" borderId="1" xfId="2" applyNumberFormat="1" applyFont="1" applyBorder="1"/>
    <xf numFmtId="166" fontId="13" fillId="0" borderId="0" xfId="2" applyNumberFormat="1" applyFont="1" applyBorder="1"/>
    <xf numFmtId="166" fontId="13" fillId="0" borderId="0" xfId="0" applyNumberFormat="1" applyFont="1" applyBorder="1"/>
    <xf numFmtId="0" fontId="13" fillId="0" borderId="2" xfId="0" applyFont="1" applyBorder="1"/>
    <xf numFmtId="43" fontId="13" fillId="0" borderId="1" xfId="0" applyNumberFormat="1" applyFont="1" applyBorder="1"/>
    <xf numFmtId="43" fontId="13" fillId="0" borderId="0" xfId="0" applyNumberFormat="1" applyFont="1" applyBorder="1"/>
    <xf numFmtId="0" fontId="13" fillId="0" borderId="0" xfId="0" applyFont="1" applyBorder="1"/>
    <xf numFmtId="3" fontId="13" fillId="0" borderId="1" xfId="1" applyNumberFormat="1" applyFont="1" applyFill="1" applyBorder="1"/>
    <xf numFmtId="3" fontId="13" fillId="0" borderId="0" xfId="1" applyNumberFormat="1" applyFont="1" applyFill="1" applyBorder="1"/>
    <xf numFmtId="3" fontId="13" fillId="0" borderId="2" xfId="1" applyNumberFormat="1" applyFont="1" applyFill="1" applyBorder="1"/>
    <xf numFmtId="165" fontId="13" fillId="0" borderId="1" xfId="1" applyNumberFormat="1" applyFont="1" applyFill="1" applyBorder="1"/>
    <xf numFmtId="165" fontId="13" fillId="0" borderId="0" xfId="1" applyNumberFormat="1" applyFont="1" applyFill="1" applyBorder="1"/>
    <xf numFmtId="165" fontId="13" fillId="0" borderId="2" xfId="1" applyNumberFormat="1" applyFont="1" applyFill="1" applyBorder="1"/>
    <xf numFmtId="164" fontId="13" fillId="0" borderId="2" xfId="4" applyNumberFormat="1" applyFont="1" applyBorder="1"/>
    <xf numFmtId="168" fontId="13" fillId="0" borderId="1" xfId="2" applyNumberFormat="1" applyFont="1" applyBorder="1"/>
    <xf numFmtId="168" fontId="13" fillId="0" borderId="0" xfId="2" applyNumberFormat="1" applyFont="1" applyBorder="1"/>
    <xf numFmtId="0" fontId="15" fillId="0" borderId="6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2" xfId="0" applyFont="1" applyBorder="1"/>
    <xf numFmtId="168" fontId="15" fillId="0" borderId="1" xfId="0" applyNumberFormat="1" applyFont="1" applyBorder="1"/>
    <xf numFmtId="168" fontId="15" fillId="0" borderId="0" xfId="0" applyNumberFormat="1" applyFont="1" applyBorder="1"/>
    <xf numFmtId="0" fontId="0" fillId="4" borderId="2" xfId="0" applyFill="1" applyBorder="1"/>
    <xf numFmtId="168" fontId="0" fillId="0" borderId="2" xfId="0" applyNumberFormat="1" applyBorder="1"/>
    <xf numFmtId="168" fontId="13" fillId="0" borderId="2" xfId="2" applyNumberFormat="1" applyFont="1" applyBorder="1"/>
    <xf numFmtId="168" fontId="15" fillId="0" borderId="2" xfId="0" applyNumberFormat="1" applyFont="1" applyBorder="1"/>
    <xf numFmtId="168" fontId="0" fillId="0" borderId="3" xfId="0" applyNumberFormat="1" applyBorder="1"/>
    <xf numFmtId="169" fontId="10" fillId="0" borderId="10" xfId="0" applyNumberFormat="1" applyFont="1" applyBorder="1" applyAlignment="1">
      <alignment horizontal="center"/>
    </xf>
    <xf numFmtId="43" fontId="2" fillId="0" borderId="0" xfId="1" applyFont="1"/>
    <xf numFmtId="165" fontId="2" fillId="0" borderId="0" xfId="1" applyNumberFormat="1" applyFont="1" applyBorder="1"/>
    <xf numFmtId="44" fontId="0" fillId="0" borderId="1" xfId="2" applyNumberFormat="1" applyFont="1" applyBorder="1"/>
    <xf numFmtId="3" fontId="2" fillId="0" borderId="1" xfId="0" applyNumberFormat="1" applyFont="1" applyFill="1" applyBorder="1"/>
    <xf numFmtId="165" fontId="2" fillId="0" borderId="0" xfId="1" applyNumberFormat="1" applyFont="1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4" fillId="0" borderId="0" xfId="0" applyFont="1" applyBorder="1"/>
    <xf numFmtId="3" fontId="2" fillId="0" borderId="1" xfId="1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0" fontId="14" fillId="0" borderId="0" xfId="0" applyFont="1" applyBorder="1"/>
    <xf numFmtId="3" fontId="2" fillId="0" borderId="1" xfId="1" applyNumberFormat="1" applyFont="1" applyFill="1" applyBorder="1"/>
    <xf numFmtId="3" fontId="2" fillId="0" borderId="0" xfId="1" applyNumberFormat="1" applyFont="1" applyFill="1" applyBorder="1"/>
    <xf numFmtId="3" fontId="2" fillId="0" borderId="2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167" fontId="8" fillId="0" borderId="0" xfId="3" applyNumberForma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167" fontId="4" fillId="0" borderId="4" xfId="3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/>
    <xf numFmtId="0" fontId="2" fillId="0" borderId="4" xfId="0" applyFont="1" applyBorder="1"/>
    <xf numFmtId="0" fontId="2" fillId="0" borderId="3" xfId="0" applyFont="1" applyBorder="1"/>
    <xf numFmtId="10" fontId="0" fillId="0" borderId="15" xfId="4" applyNumberFormat="1" applyFont="1" applyBorder="1"/>
    <xf numFmtId="10" fontId="0" fillId="0" borderId="4" xfId="4" applyNumberFormat="1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10" xfId="0" applyFont="1" applyBorder="1"/>
    <xf numFmtId="170" fontId="4" fillId="0" borderId="10" xfId="2" applyNumberFormat="1" applyFont="1" applyBorder="1"/>
    <xf numFmtId="170" fontId="4" fillId="0" borderId="10" xfId="0" applyNumberFormat="1" applyFont="1" applyBorder="1"/>
    <xf numFmtId="9" fontId="4" fillId="0" borderId="10" xfId="4" applyNumberFormat="1" applyFont="1" applyBorder="1"/>
    <xf numFmtId="9" fontId="4" fillId="0" borderId="10" xfId="0" applyNumberFormat="1" applyFont="1" applyBorder="1"/>
    <xf numFmtId="10" fontId="4" fillId="0" borderId="10" xfId="0" applyNumberFormat="1" applyFont="1" applyBorder="1"/>
    <xf numFmtId="167" fontId="4" fillId="0" borderId="0" xfId="3" applyNumberFormat="1" applyFont="1" applyFill="1" applyBorder="1" applyAlignment="1">
      <alignment horizontal="center" vertical="center"/>
    </xf>
    <xf numFmtId="168" fontId="0" fillId="0" borderId="0" xfId="0" applyNumberFormat="1"/>
    <xf numFmtId="0" fontId="4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0" fillId="0" borderId="0" xfId="0" applyFill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168" fontId="2" fillId="0" borderId="0" xfId="0" applyNumberFormat="1" applyFont="1" applyBorder="1"/>
    <xf numFmtId="168" fontId="2" fillId="0" borderId="2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44" fontId="2" fillId="0" borderId="2" xfId="2" applyFont="1" applyFill="1" applyBorder="1" applyAlignment="1">
      <alignment horizont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1" fontId="10" fillId="3" borderId="11" xfId="0" applyNumberFormat="1" applyFont="1" applyFill="1" applyBorder="1" applyAlignment="1">
      <alignment horizontal="center" vertical="center"/>
    </xf>
    <xf numFmtId="171" fontId="10" fillId="3" borderId="12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Continuous" wrapText="1"/>
    </xf>
    <xf numFmtId="2" fontId="10" fillId="0" borderId="13" xfId="0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Normal_H1 Load Shapes for 2010_May 2009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TSR%20Calculation_2020_v36_DRO201908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Draft%20Rate%20Order/DRO%20Exhibits/Exhibit%206.0%20-%20Retail%20Transmission%20Service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Sheet2"/>
      <sheetName val="TotST"/>
      <sheetName val="Hourly load shapes by class"/>
      <sheetName val="st_cdet"/>
      <sheetName val="Line Loss Factors"/>
      <sheetName val="Summary"/>
      <sheetName val="Evidence-Table1"/>
      <sheetName val="Evidence-Table2"/>
      <sheetName val="Sheet1"/>
      <sheetName val="DRO Exhibit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I5" t="str">
            <v>2019 UTR</v>
          </cell>
          <cell r="J5" t="str">
            <v>EB-2019-0164</v>
          </cell>
          <cell r="K5">
            <v>3.83</v>
          </cell>
          <cell r="L5">
            <v>0.96</v>
          </cell>
          <cell r="M5">
            <v>2.2999999999999998</v>
          </cell>
        </row>
        <row r="16">
          <cell r="F16">
            <v>63112464.000286795</v>
          </cell>
          <cell r="G16">
            <v>55578669.419949219</v>
          </cell>
          <cell r="H16">
            <v>63916165.659063287</v>
          </cell>
          <cell r="I16">
            <v>241720737.12109843</v>
          </cell>
          <cell r="J16">
            <v>53355522.643151246</v>
          </cell>
          <cell r="K16">
            <v>147007181.01584554</v>
          </cell>
          <cell r="L16">
            <v>442083440.78009522</v>
          </cell>
        </row>
        <row r="18">
          <cell r="C18">
            <v>29767536.068281412</v>
          </cell>
          <cell r="D18">
            <v>23749954.373026226</v>
          </cell>
          <cell r="E18">
            <v>28667136.676903039</v>
          </cell>
          <cell r="F18">
            <v>26409684.536180262</v>
          </cell>
          <cell r="G18">
            <v>19902036.877855189</v>
          </cell>
          <cell r="H18">
            <v>25169964.816629305</v>
          </cell>
          <cell r="I18">
            <v>101149091.7735704</v>
          </cell>
          <cell r="J18">
            <v>19105955.402740981</v>
          </cell>
          <cell r="K18">
            <v>57890919.078247398</v>
          </cell>
          <cell r="L18">
            <v>178145966.2545588</v>
          </cell>
          <cell r="N18">
            <v>3.3980000000000001</v>
          </cell>
          <cell r="O18">
            <v>0.80449999999999999</v>
          </cell>
          <cell r="P18">
            <v>2.0194000000000001</v>
          </cell>
        </row>
        <row r="20">
          <cell r="I20">
            <v>140571645.34752804</v>
          </cell>
          <cell r="J20">
            <v>34249567.240410268</v>
          </cell>
          <cell r="K20">
            <v>89116261.937598139</v>
          </cell>
          <cell r="L20">
            <v>263937474.52553645</v>
          </cell>
        </row>
        <row r="24">
          <cell r="C24">
            <v>28683143.310190517</v>
          </cell>
          <cell r="D24">
            <v>209058.80855074007</v>
          </cell>
          <cell r="F24">
            <v>1.3595241180858028E-3</v>
          </cell>
          <cell r="G24">
            <v>1.3070561535222438E-3</v>
          </cell>
          <cell r="I24">
            <v>191110.5421689683</v>
          </cell>
          <cell r="J24">
            <v>161246.06616148984</v>
          </cell>
          <cell r="P24">
            <v>0.91410000000000002</v>
          </cell>
          <cell r="Q24">
            <v>0.77129999999999999</v>
          </cell>
        </row>
        <row r="25">
          <cell r="C25">
            <v>2607512241.6819906</v>
          </cell>
          <cell r="D25">
            <v>8339610.9662882211</v>
          </cell>
          <cell r="F25">
            <v>0.11156259928710137</v>
          </cell>
          <cell r="G25">
            <v>0.10702988730952281</v>
          </cell>
          <cell r="I25">
            <v>15682538.141034799</v>
          </cell>
          <cell r="J25">
            <v>13203830.794768082</v>
          </cell>
          <cell r="P25">
            <v>1.8805000000000001</v>
          </cell>
          <cell r="Q25">
            <v>1.5832999999999999</v>
          </cell>
        </row>
        <row r="26">
          <cell r="C26">
            <v>2418939987.1202941</v>
          </cell>
          <cell r="F26">
            <v>0.10910787775143693</v>
          </cell>
          <cell r="G26">
            <v>0.10761019125110056</v>
          </cell>
          <cell r="I26">
            <v>15337473.895896439</v>
          </cell>
          <cell r="J26">
            <v>13275420.471696086</v>
          </cell>
          <cell r="N26">
            <v>0.6341</v>
          </cell>
          <cell r="O26">
            <v>0.54879999999999995</v>
          </cell>
        </row>
        <row r="27">
          <cell r="C27">
            <v>4940740405.3541479</v>
          </cell>
          <cell r="F27">
            <v>0.28215310144511047</v>
          </cell>
          <cell r="G27">
            <v>0.2869736494966636</v>
          </cell>
          <cell r="I27">
            <v>39662725.710047171</v>
          </cell>
          <cell r="J27">
            <v>35402742.222395062</v>
          </cell>
          <cell r="N27">
            <v>0.80279999999999996</v>
          </cell>
          <cell r="O27">
            <v>0.71650000000000003</v>
          </cell>
        </row>
        <row r="28">
          <cell r="C28">
            <v>4785245771.8454657</v>
          </cell>
          <cell r="F28">
            <v>0.25556427599591625</v>
          </cell>
          <cell r="G28">
            <v>0.26049413517212544</v>
          </cell>
          <cell r="I28">
            <v>35925090.768795714</v>
          </cell>
          <cell r="J28">
            <v>32136074.98151746</v>
          </cell>
          <cell r="N28">
            <v>0.75070000000000003</v>
          </cell>
          <cell r="O28">
            <v>0.67159999999999997</v>
          </cell>
        </row>
        <row r="29">
          <cell r="C29">
            <v>646239903.55606985</v>
          </cell>
          <cell r="F29">
            <v>2.8960781312124248E-2</v>
          </cell>
          <cell r="G29">
            <v>3.1370573872872419E-2</v>
          </cell>
          <cell r="I29">
            <v>4071064.6795952474</v>
          </cell>
          <cell r="J29">
            <v>3870056.8576168725</v>
          </cell>
          <cell r="N29">
            <v>0.63</v>
          </cell>
          <cell r="O29">
            <v>0.59889999999999999</v>
          </cell>
        </row>
        <row r="30">
          <cell r="C30">
            <v>1088728238.9759412</v>
          </cell>
          <cell r="D30">
            <v>2833564.5234159497</v>
          </cell>
          <cell r="F30">
            <v>4.909082288824531E-2</v>
          </cell>
          <cell r="G30">
            <v>4.6693411409508528E-2</v>
          </cell>
          <cell r="I30">
            <v>6900777.744864732</v>
          </cell>
          <cell r="J30">
            <v>5760371.4156838981</v>
          </cell>
          <cell r="P30">
            <v>2.4354</v>
          </cell>
          <cell r="Q30">
            <v>2.0329000000000002</v>
          </cell>
        </row>
        <row r="31">
          <cell r="C31">
            <v>644525439.2559793</v>
          </cell>
          <cell r="F31">
            <v>3.1180501100940287E-2</v>
          </cell>
          <cell r="G31">
            <v>2.9505768969439232E-2</v>
          </cell>
          <cell r="I31">
            <v>4383094.342519586</v>
          </cell>
          <cell r="J31">
            <v>3640003.6544496217</v>
          </cell>
          <cell r="N31">
            <v>0.68</v>
          </cell>
          <cell r="O31">
            <v>0.56479999999999997</v>
          </cell>
        </row>
        <row r="32">
          <cell r="C32">
            <v>2018672031.3380694</v>
          </cell>
          <cell r="F32">
            <v>0.12520620461788695</v>
          </cell>
          <cell r="G32">
            <v>0.12424978925123088</v>
          </cell>
          <cell r="I32">
            <v>17600442.190855633</v>
          </cell>
          <cell r="J32">
            <v>15328178.276170895</v>
          </cell>
          <cell r="N32">
            <v>0.87190000000000001</v>
          </cell>
          <cell r="O32">
            <v>0.75929999999999997</v>
          </cell>
        </row>
        <row r="33">
          <cell r="C33">
            <v>108545497.20391387</v>
          </cell>
          <cell r="F33">
            <v>4.0405831003968076E-3</v>
          </cell>
          <cell r="G33">
            <v>3.1392145776815211E-3</v>
          </cell>
          <cell r="I33">
            <v>567991.41458619537</v>
          </cell>
          <cell r="J33">
            <v>387271.80934337236</v>
          </cell>
          <cell r="N33">
            <v>0.52329999999999999</v>
          </cell>
          <cell r="O33">
            <v>0.35680000000000001</v>
          </cell>
        </row>
        <row r="34">
          <cell r="C34">
            <v>32202925.882329196</v>
          </cell>
          <cell r="F34">
            <v>1.2169877992872821E-3</v>
          </cell>
          <cell r="G34">
            <v>1.186928891938354E-3</v>
          </cell>
          <cell r="I34">
            <v>171073.97731368046</v>
          </cell>
          <cell r="J34">
            <v>146426.46692930977</v>
          </cell>
          <cell r="N34">
            <v>0.53120000000000001</v>
          </cell>
          <cell r="O34">
            <v>0.45469999999999999</v>
          </cell>
        </row>
        <row r="35">
          <cell r="C35">
            <v>14822616.987148363</v>
          </cell>
          <cell r="F35">
            <v>5.5674058346827837E-4</v>
          </cell>
          <cell r="G35">
            <v>4.3939364439421854E-4</v>
          </cell>
          <cell r="I35">
            <v>78261.939849878661</v>
          </cell>
          <cell r="J35">
            <v>54206.161276239734</v>
          </cell>
          <cell r="N35">
            <v>0.52800000000000002</v>
          </cell>
          <cell r="O35">
            <v>0.36570000000000003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TSR_Table1"/>
      <sheetName val="RTSR_Table2"/>
    </sheetNames>
    <sheetDataSet>
      <sheetData sheetId="0"/>
      <sheetData sheetId="1"/>
      <sheetData sheetId="2">
        <row r="6">
          <cell r="E6">
            <v>8.4460000000000004E-3</v>
          </cell>
          <cell r="F6">
            <v>7.43E-3</v>
          </cell>
        </row>
        <row r="7">
          <cell r="E7">
            <v>7.7759999999999999E-3</v>
          </cell>
          <cell r="F7">
            <v>7.0120000000000009E-3</v>
          </cell>
        </row>
        <row r="8">
          <cell r="E8">
            <v>7.2719999999999998E-3</v>
          </cell>
          <cell r="F8">
            <v>6.5710000000000005E-3</v>
          </cell>
        </row>
        <row r="9">
          <cell r="E9">
            <v>6.1019999999999998E-3</v>
          </cell>
          <cell r="F9">
            <v>5.8599999999999998E-3</v>
          </cell>
        </row>
        <row r="10">
          <cell r="E10">
            <v>6.5869999999999991E-3</v>
          </cell>
          <cell r="F10">
            <v>5.5259999999999997E-3</v>
          </cell>
        </row>
        <row r="11">
          <cell r="E11">
            <v>2.3591000000000002</v>
          </cell>
          <cell r="F11">
            <v>1.9892000000000001</v>
          </cell>
        </row>
        <row r="12">
          <cell r="E12">
            <v>6.1419999999999999E-3</v>
          </cell>
          <cell r="F12">
            <v>5.3700000000000006E-3</v>
          </cell>
        </row>
        <row r="13">
          <cell r="E13">
            <v>1.8216000000000001</v>
          </cell>
          <cell r="F13">
            <v>1.5491999999999999</v>
          </cell>
        </row>
        <row r="14">
          <cell r="E14">
            <v>0.88549999999999995</v>
          </cell>
          <cell r="F14">
            <v>0.75470000000000004</v>
          </cell>
        </row>
        <row r="15">
          <cell r="E15">
            <v>5.1459999999999995E-3</v>
          </cell>
          <cell r="F15">
            <v>4.4489999999999998E-3</v>
          </cell>
        </row>
        <row r="16">
          <cell r="E16">
            <v>5.0690000000000006E-3</v>
          </cell>
          <cell r="F16">
            <v>3.4910000000000002E-3</v>
          </cell>
        </row>
        <row r="17">
          <cell r="E17">
            <v>5.1139999999999996E-3</v>
          </cell>
          <cell r="F17">
            <v>3.578E-3</v>
          </cell>
        </row>
        <row r="18">
          <cell r="E18">
            <v>3.2915000000000001</v>
          </cell>
          <cell r="F18" t="str">
            <v>0.7877 Line</v>
          </cell>
        </row>
        <row r="19">
          <cell r="F19" t="str">
            <v>1.9755 Transf.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Q45"/>
  <sheetViews>
    <sheetView tabSelected="1" workbookViewId="0">
      <pane xSplit="2" ySplit="11" topLeftCell="E12" activePane="bottomRight" state="frozen"/>
      <selection pane="topRight" activeCell="C1" sqref="C1"/>
      <selection pane="bottomLeft" activeCell="A14" sqref="A14"/>
      <selection pane="bottomRight" activeCell="B14" sqref="B14"/>
    </sheetView>
  </sheetViews>
  <sheetFormatPr defaultRowHeight="13" x14ac:dyDescent="0.3"/>
  <cols>
    <col min="1" max="1" width="5.36328125" customWidth="1"/>
    <col min="2" max="2" width="25.36328125" customWidth="1"/>
    <col min="3" max="3" width="16.90625" customWidth="1"/>
    <col min="4" max="4" width="14" bestFit="1" customWidth="1"/>
    <col min="5" max="5" width="17.453125" customWidth="1"/>
    <col min="6" max="8" width="13.54296875" bestFit="1" customWidth="1"/>
    <col min="9" max="9" width="19.90625" bestFit="1" customWidth="1"/>
    <col min="10" max="10" width="14.90625" bestFit="1" customWidth="1"/>
    <col min="11" max="12" width="13.08984375" bestFit="1" customWidth="1"/>
    <col min="13" max="13" width="7.90625" bestFit="1" customWidth="1"/>
    <col min="14" max="17" width="8.54296875" bestFit="1" customWidth="1"/>
  </cols>
  <sheetData>
    <row r="2" spans="1:17" ht="13.5" thickBot="1" x14ac:dyDescent="0.35">
      <c r="I2" s="1"/>
      <c r="J2" s="1"/>
      <c r="K2" s="1"/>
      <c r="L2" s="1"/>
      <c r="M2" s="1"/>
      <c r="N2" s="1"/>
    </row>
    <row r="3" spans="1:17" x14ac:dyDescent="0.3">
      <c r="I3" s="154" t="s">
        <v>64</v>
      </c>
      <c r="J3" s="155" t="s">
        <v>1</v>
      </c>
      <c r="K3" s="161" t="s">
        <v>22</v>
      </c>
      <c r="L3" s="161" t="s">
        <v>23</v>
      </c>
      <c r="M3" s="162" t="s">
        <v>30</v>
      </c>
      <c r="N3" s="1"/>
    </row>
    <row r="4" spans="1:17" x14ac:dyDescent="0.3">
      <c r="I4" s="156"/>
      <c r="J4" s="124"/>
      <c r="K4" s="163" t="s">
        <v>31</v>
      </c>
      <c r="L4" s="163" t="s">
        <v>31</v>
      </c>
      <c r="M4" s="164" t="s">
        <v>31</v>
      </c>
      <c r="N4" s="1"/>
    </row>
    <row r="5" spans="1:17" x14ac:dyDescent="0.3">
      <c r="G5" s="51"/>
      <c r="H5" s="153"/>
      <c r="I5" s="157" t="str">
        <f>[1]Summary!$I$5</f>
        <v>2019 UTR</v>
      </c>
      <c r="J5" s="158" t="str">
        <f>[1]Summary!$J$5</f>
        <v>EB-2019-0164</v>
      </c>
      <c r="K5" s="165">
        <f>[1]Summary!$K$5</f>
        <v>3.83</v>
      </c>
      <c r="L5" s="165">
        <f>[1]Summary!$L$5</f>
        <v>0.96</v>
      </c>
      <c r="M5" s="166">
        <f>[1]Summary!$M$5</f>
        <v>2.2999999999999998</v>
      </c>
      <c r="N5" s="1"/>
    </row>
    <row r="6" spans="1:17" s="6" customFormat="1" x14ac:dyDescent="0.3">
      <c r="B6" s="128"/>
      <c r="C6" s="5"/>
      <c r="D6" s="5"/>
      <c r="H6" s="27"/>
      <c r="I6" s="25"/>
      <c r="J6" s="32"/>
      <c r="K6" s="31"/>
      <c r="L6" s="31"/>
      <c r="M6" s="34"/>
      <c r="N6" s="33"/>
    </row>
    <row r="7" spans="1:17" x14ac:dyDescent="0.3">
      <c r="H7" s="27"/>
      <c r="I7" s="25"/>
      <c r="J7" s="32"/>
      <c r="K7" s="26"/>
      <c r="L7" s="26"/>
      <c r="M7" s="35"/>
      <c r="N7" s="1"/>
    </row>
    <row r="8" spans="1:17" x14ac:dyDescent="0.3">
      <c r="H8" s="27"/>
      <c r="I8" s="25"/>
      <c r="J8" s="32"/>
      <c r="K8" s="26"/>
      <c r="L8" s="26"/>
      <c r="M8" s="35"/>
      <c r="N8" s="1"/>
    </row>
    <row r="9" spans="1:17" ht="13.5" thickBot="1" x14ac:dyDescent="0.35">
      <c r="H9" s="27"/>
      <c r="I9" s="64"/>
      <c r="J9" s="50"/>
      <c r="K9" s="11"/>
      <c r="L9" s="11"/>
      <c r="M9" s="4"/>
      <c r="N9" s="1"/>
    </row>
    <row r="10" spans="1:17" ht="26" x14ac:dyDescent="0.3">
      <c r="A10" s="13"/>
      <c r="B10" s="13"/>
      <c r="C10" s="68" t="s">
        <v>58</v>
      </c>
      <c r="D10" s="17"/>
      <c r="E10" s="18"/>
      <c r="F10" s="23" t="s">
        <v>7</v>
      </c>
      <c r="G10" s="24"/>
      <c r="H10" s="44"/>
      <c r="I10" s="147" t="s">
        <v>67</v>
      </c>
      <c r="J10" s="148"/>
      <c r="K10" s="148"/>
      <c r="L10" s="148"/>
      <c r="M10" s="149"/>
      <c r="N10" s="150" t="s">
        <v>68</v>
      </c>
      <c r="O10" s="151"/>
      <c r="P10" s="151"/>
      <c r="Q10" s="152"/>
    </row>
    <row r="11" spans="1:17" ht="13.5" thickBot="1" x14ac:dyDescent="0.35">
      <c r="A11" s="14"/>
      <c r="B11" s="14"/>
      <c r="C11" s="19" t="s">
        <v>22</v>
      </c>
      <c r="D11" s="20" t="s">
        <v>23</v>
      </c>
      <c r="E11" s="21" t="s">
        <v>30</v>
      </c>
      <c r="F11" s="19" t="s">
        <v>22</v>
      </c>
      <c r="G11" s="20" t="s">
        <v>23</v>
      </c>
      <c r="H11" s="21" t="s">
        <v>30</v>
      </c>
      <c r="I11" s="19" t="s">
        <v>22</v>
      </c>
      <c r="J11" s="20" t="s">
        <v>23</v>
      </c>
      <c r="K11" s="20" t="s">
        <v>30</v>
      </c>
      <c r="L11" s="20" t="s">
        <v>32</v>
      </c>
      <c r="M11" s="21"/>
      <c r="N11" s="66" t="s">
        <v>29</v>
      </c>
      <c r="O11" s="67" t="s">
        <v>3</v>
      </c>
      <c r="P11" s="67" t="s">
        <v>2</v>
      </c>
      <c r="Q11" s="98" t="s">
        <v>3</v>
      </c>
    </row>
    <row r="12" spans="1:17" x14ac:dyDescent="0.3">
      <c r="A12" s="13"/>
      <c r="B12" s="109"/>
      <c r="C12" s="110"/>
      <c r="D12" s="109"/>
      <c r="E12" s="111"/>
      <c r="F12" s="110"/>
      <c r="G12" s="109"/>
      <c r="H12" s="111"/>
      <c r="I12" s="110"/>
      <c r="J12" s="109"/>
      <c r="K12" s="109"/>
      <c r="L12" s="109"/>
      <c r="M12" s="111"/>
      <c r="N12" s="110" t="s">
        <v>31</v>
      </c>
      <c r="O12" s="109" t="s">
        <v>31</v>
      </c>
      <c r="P12" s="109" t="s">
        <v>31</v>
      </c>
      <c r="Q12" s="111"/>
    </row>
    <row r="13" spans="1:17" x14ac:dyDescent="0.3">
      <c r="A13" s="14"/>
      <c r="B13" s="1"/>
      <c r="C13" s="2"/>
      <c r="D13" s="1"/>
      <c r="E13" s="3"/>
      <c r="F13" s="2"/>
      <c r="G13" s="1"/>
      <c r="H13" s="3"/>
      <c r="I13" s="10"/>
      <c r="J13" s="1"/>
      <c r="K13" s="1"/>
      <c r="L13" s="1"/>
      <c r="M13" s="3"/>
      <c r="N13" s="2"/>
      <c r="O13" s="1"/>
      <c r="P13" s="1"/>
      <c r="Q13" s="3"/>
    </row>
    <row r="14" spans="1:17" s="1" customFormat="1" ht="50.5" x14ac:dyDescent="0.3">
      <c r="A14" s="14" t="s">
        <v>4</v>
      </c>
      <c r="B14" s="146" t="s">
        <v>65</v>
      </c>
      <c r="C14" s="113"/>
      <c r="D14" s="114"/>
      <c r="E14" s="115"/>
      <c r="F14" s="116">
        <f>[1]Summary!F16</f>
        <v>63112464.000286795</v>
      </c>
      <c r="G14" s="105">
        <f>[1]Summary!G16</f>
        <v>55578669.419949219</v>
      </c>
      <c r="H14" s="117">
        <f>[1]Summary!H16</f>
        <v>63916165.659063287</v>
      </c>
      <c r="I14" s="12">
        <f>[1]Summary!I16</f>
        <v>241720737.12109843</v>
      </c>
      <c r="J14" s="7">
        <f>[1]Summary!J16</f>
        <v>53355522.643151246</v>
      </c>
      <c r="K14" s="7">
        <f>[1]Summary!K16</f>
        <v>147007181.01584554</v>
      </c>
      <c r="L14" s="8">
        <f>[1]Summary!L16</f>
        <v>442083440.78009522</v>
      </c>
      <c r="M14" s="3"/>
      <c r="N14" s="36"/>
      <c r="O14" s="9"/>
      <c r="P14" s="9"/>
      <c r="Q14" s="3"/>
    </row>
    <row r="15" spans="1:17" s="82" customFormat="1" x14ac:dyDescent="0.3">
      <c r="A15" s="69"/>
      <c r="B15" s="118"/>
      <c r="C15" s="70"/>
      <c r="D15" s="71"/>
      <c r="E15" s="72"/>
      <c r="F15" s="73"/>
      <c r="G15" s="74"/>
      <c r="H15" s="75"/>
      <c r="I15" s="76"/>
      <c r="J15" s="77"/>
      <c r="K15" s="77"/>
      <c r="L15" s="78"/>
      <c r="M15" s="79"/>
      <c r="N15" s="80"/>
      <c r="O15" s="81"/>
      <c r="P15" s="81"/>
      <c r="Q15" s="79"/>
    </row>
    <row r="16" spans="1:17" s="1" customFormat="1" x14ac:dyDescent="0.3">
      <c r="A16" s="14" t="s">
        <v>5</v>
      </c>
      <c r="B16" s="112" t="s">
        <v>62</v>
      </c>
      <c r="C16" s="119">
        <f>[1]Summary!C18</f>
        <v>29767536.068281412</v>
      </c>
      <c r="D16" s="120">
        <f>[1]Summary!D18</f>
        <v>23749954.373026226</v>
      </c>
      <c r="E16" s="121">
        <f>[1]Summary!E18</f>
        <v>28667136.676903039</v>
      </c>
      <c r="F16" s="122">
        <f>[1]Summary!F18</f>
        <v>26409684.536180262</v>
      </c>
      <c r="G16" s="108">
        <f>[1]Summary!G18</f>
        <v>19902036.877855189</v>
      </c>
      <c r="H16" s="123">
        <f>[1]Summary!H18</f>
        <v>25169964.816629305</v>
      </c>
      <c r="I16" s="106">
        <f>[1]Summary!I18</f>
        <v>101149091.7735704</v>
      </c>
      <c r="J16" s="7">
        <f>[1]Summary!J18</f>
        <v>19105955.402740981</v>
      </c>
      <c r="K16" s="7">
        <f>[1]Summary!K18</f>
        <v>57890919.078247398</v>
      </c>
      <c r="L16" s="8">
        <f>[1]Summary!L18</f>
        <v>178145966.2545588</v>
      </c>
      <c r="M16" s="22">
        <f>L16/L14</f>
        <v>0.40296909999660818</v>
      </c>
      <c r="N16" s="53">
        <f>[1]Summary!N18</f>
        <v>3.3980000000000001</v>
      </c>
      <c r="O16" s="54">
        <f>[1]Summary!O18</f>
        <v>0.80449999999999999</v>
      </c>
      <c r="P16" s="54">
        <f>[1]Summary!P18</f>
        <v>2.0194000000000001</v>
      </c>
      <c r="Q16" s="99"/>
    </row>
    <row r="17" spans="1:17" s="82" customFormat="1" x14ac:dyDescent="0.3">
      <c r="A17" s="69"/>
      <c r="B17" s="118"/>
      <c r="C17" s="83"/>
      <c r="D17" s="84"/>
      <c r="E17" s="85"/>
      <c r="F17" s="86"/>
      <c r="G17" s="87"/>
      <c r="H17" s="88"/>
      <c r="I17" s="76"/>
      <c r="J17" s="77"/>
      <c r="K17" s="77"/>
      <c r="L17" s="78"/>
      <c r="M17" s="89"/>
      <c r="N17" s="90"/>
      <c r="O17" s="91"/>
      <c r="P17" s="91"/>
      <c r="Q17" s="100"/>
    </row>
    <row r="18" spans="1:17" s="1" customFormat="1" x14ac:dyDescent="0.3">
      <c r="A18" s="14" t="s">
        <v>6</v>
      </c>
      <c r="B18" s="124" t="s">
        <v>61</v>
      </c>
      <c r="C18" s="122"/>
      <c r="D18" s="125"/>
      <c r="E18" s="126"/>
      <c r="F18" s="47"/>
      <c r="G18" s="48"/>
      <c r="H18" s="49"/>
      <c r="I18" s="12">
        <f>[1]Summary!I20</f>
        <v>140571645.34752804</v>
      </c>
      <c r="J18" s="7">
        <f>[1]Summary!J20</f>
        <v>34249567.240410268</v>
      </c>
      <c r="K18" s="7">
        <f>[1]Summary!K20</f>
        <v>89116261.937598139</v>
      </c>
      <c r="L18" s="8">
        <f>[1]Summary!L20</f>
        <v>263937474.52553645</v>
      </c>
      <c r="M18" s="22">
        <f>L18/L14</f>
        <v>0.59703090000339187</v>
      </c>
      <c r="N18" s="55"/>
      <c r="O18" s="56"/>
      <c r="P18" s="56"/>
      <c r="Q18" s="99"/>
    </row>
    <row r="19" spans="1:17" s="94" customFormat="1" x14ac:dyDescent="0.3">
      <c r="A19" s="92"/>
      <c r="B19" s="118"/>
      <c r="C19" s="93"/>
      <c r="E19" s="95"/>
      <c r="F19" s="93"/>
      <c r="H19" s="95"/>
      <c r="I19" s="76"/>
      <c r="J19" s="77"/>
      <c r="K19" s="77"/>
      <c r="L19" s="78"/>
      <c r="M19" s="89"/>
      <c r="N19" s="96"/>
      <c r="O19" s="97"/>
      <c r="P19" s="97"/>
      <c r="Q19" s="101"/>
    </row>
    <row r="20" spans="1:17" x14ac:dyDescent="0.3">
      <c r="A20" s="14"/>
      <c r="B20" s="1"/>
      <c r="C20" s="2" t="s">
        <v>43</v>
      </c>
      <c r="D20" s="1" t="s">
        <v>57</v>
      </c>
      <c r="E20" s="3"/>
      <c r="F20" s="2" t="s">
        <v>26</v>
      </c>
      <c r="G20" s="1" t="s">
        <v>27</v>
      </c>
      <c r="H20" s="3"/>
      <c r="I20" s="2"/>
      <c r="J20" s="1"/>
      <c r="K20" s="1"/>
      <c r="L20" s="1"/>
      <c r="M20" s="3"/>
      <c r="N20" s="55" t="s">
        <v>29</v>
      </c>
      <c r="O20" s="159" t="s">
        <v>3</v>
      </c>
      <c r="P20" s="159" t="s">
        <v>29</v>
      </c>
      <c r="Q20" s="160" t="s">
        <v>3</v>
      </c>
    </row>
    <row r="21" spans="1:17" x14ac:dyDescent="0.3">
      <c r="A21" s="14"/>
      <c r="B21" s="1"/>
      <c r="C21" s="2"/>
      <c r="D21" s="1"/>
      <c r="E21" s="3"/>
      <c r="F21" s="2" t="s">
        <v>28</v>
      </c>
      <c r="G21" s="1" t="s">
        <v>28</v>
      </c>
      <c r="H21" s="3"/>
      <c r="I21" s="2" t="s">
        <v>22</v>
      </c>
      <c r="J21" s="1" t="s">
        <v>24</v>
      </c>
      <c r="K21" s="1"/>
      <c r="L21" s="1"/>
      <c r="M21" s="3"/>
      <c r="N21" s="55" t="s">
        <v>42</v>
      </c>
      <c r="O21" s="56" t="s">
        <v>42</v>
      </c>
      <c r="P21" s="56" t="s">
        <v>31</v>
      </c>
      <c r="Q21" s="99" t="s">
        <v>31</v>
      </c>
    </row>
    <row r="22" spans="1:17" x14ac:dyDescent="0.3">
      <c r="A22" s="14"/>
      <c r="B22" s="127" t="s">
        <v>33</v>
      </c>
      <c r="C22" s="107">
        <f>[1]Summary!C24</f>
        <v>28683143.310190517</v>
      </c>
      <c r="D22" s="108">
        <f>[1]Summary!D24</f>
        <v>209058.80855074007</v>
      </c>
      <c r="E22" s="65"/>
      <c r="F22" s="16">
        <f>[1]Summary!F24</f>
        <v>1.3595241180858028E-3</v>
      </c>
      <c r="G22" s="15">
        <f>[1]Summary!G24</f>
        <v>1.3070561535222438E-3</v>
      </c>
      <c r="H22" s="3"/>
      <c r="I22" s="12">
        <f>[1]Summary!I24</f>
        <v>191110.5421689683</v>
      </c>
      <c r="J22" s="7">
        <f>[1]Summary!J24</f>
        <v>161246.06616148984</v>
      </c>
      <c r="K22" s="1"/>
      <c r="L22" s="1"/>
      <c r="M22" s="3"/>
      <c r="N22" s="55"/>
      <c r="O22" s="56"/>
      <c r="P22" s="56">
        <f>[1]Summary!P24</f>
        <v>0.91410000000000002</v>
      </c>
      <c r="Q22" s="99">
        <f>[1]Summary!Q24</f>
        <v>0.77129999999999999</v>
      </c>
    </row>
    <row r="23" spans="1:17" x14ac:dyDescent="0.3">
      <c r="A23" s="14"/>
      <c r="B23" s="127" t="s">
        <v>34</v>
      </c>
      <c r="C23" s="107">
        <f>[1]Summary!C25</f>
        <v>2607512241.6819906</v>
      </c>
      <c r="D23" s="108">
        <f>[1]Summary!D25</f>
        <v>8339610.9662882211</v>
      </c>
      <c r="E23" s="65"/>
      <c r="F23" s="16">
        <f>[1]Summary!F25</f>
        <v>0.11156259928710137</v>
      </c>
      <c r="G23" s="15">
        <f>[1]Summary!G25</f>
        <v>0.10702988730952281</v>
      </c>
      <c r="H23" s="3"/>
      <c r="I23" s="12">
        <f>[1]Summary!I25</f>
        <v>15682538.141034799</v>
      </c>
      <c r="J23" s="7">
        <f>[1]Summary!J25</f>
        <v>13203830.794768082</v>
      </c>
      <c r="K23" s="1"/>
      <c r="L23" s="1"/>
      <c r="M23" s="3"/>
      <c r="N23" s="55"/>
      <c r="O23" s="56"/>
      <c r="P23" s="56">
        <f>[1]Summary!P25</f>
        <v>1.8805000000000001</v>
      </c>
      <c r="Q23" s="99">
        <f>[1]Summary!Q25</f>
        <v>1.5832999999999999</v>
      </c>
    </row>
    <row r="24" spans="1:17" x14ac:dyDescent="0.3">
      <c r="A24" s="14"/>
      <c r="B24" s="127" t="s">
        <v>35</v>
      </c>
      <c r="C24" s="107">
        <f>[1]Summary!C26</f>
        <v>2418939987.1202941</v>
      </c>
      <c r="D24" s="108"/>
      <c r="E24" s="65"/>
      <c r="F24" s="16">
        <f>[1]Summary!F26</f>
        <v>0.10910787775143693</v>
      </c>
      <c r="G24" s="15">
        <f>[1]Summary!G26</f>
        <v>0.10761019125110056</v>
      </c>
      <c r="H24" s="3"/>
      <c r="I24" s="12">
        <f>[1]Summary!I26</f>
        <v>15337473.895896439</v>
      </c>
      <c r="J24" s="7">
        <f>[1]Summary!J26</f>
        <v>13275420.471696086</v>
      </c>
      <c r="K24" s="1"/>
      <c r="L24" s="1"/>
      <c r="M24" s="3"/>
      <c r="N24" s="55">
        <f>[1]Summary!N26</f>
        <v>0.6341</v>
      </c>
      <c r="O24" s="56">
        <f>[1]Summary!O26</f>
        <v>0.54879999999999995</v>
      </c>
      <c r="P24" s="56"/>
      <c r="Q24" s="99"/>
    </row>
    <row r="25" spans="1:17" x14ac:dyDescent="0.3">
      <c r="A25" s="14"/>
      <c r="B25" s="127" t="s">
        <v>36</v>
      </c>
      <c r="C25" s="107">
        <f>[1]Summary!C27</f>
        <v>4940740405.3541479</v>
      </c>
      <c r="D25" s="108"/>
      <c r="E25" s="65"/>
      <c r="F25" s="16">
        <f>[1]Summary!F27</f>
        <v>0.28215310144511047</v>
      </c>
      <c r="G25" s="15">
        <f>[1]Summary!G27</f>
        <v>0.2869736494966636</v>
      </c>
      <c r="H25" s="3"/>
      <c r="I25" s="12">
        <f>[1]Summary!I27</f>
        <v>39662725.710047171</v>
      </c>
      <c r="J25" s="7">
        <f>[1]Summary!J27</f>
        <v>35402742.222395062</v>
      </c>
      <c r="K25" s="1"/>
      <c r="L25" s="1"/>
      <c r="M25" s="3"/>
      <c r="N25" s="55">
        <f>[1]Summary!N27</f>
        <v>0.80279999999999996</v>
      </c>
      <c r="O25" s="56">
        <f>[1]Summary!O27</f>
        <v>0.71650000000000003</v>
      </c>
      <c r="P25" s="56"/>
      <c r="Q25" s="99"/>
    </row>
    <row r="26" spans="1:17" x14ac:dyDescent="0.3">
      <c r="A26" s="14"/>
      <c r="B26" s="127" t="s">
        <v>37</v>
      </c>
      <c r="C26" s="107">
        <f>[1]Summary!C28</f>
        <v>4785245771.8454657</v>
      </c>
      <c r="D26" s="108"/>
      <c r="E26" s="65"/>
      <c r="F26" s="16">
        <f>[1]Summary!F28</f>
        <v>0.25556427599591625</v>
      </c>
      <c r="G26" s="15">
        <f>[1]Summary!G28</f>
        <v>0.26049413517212544</v>
      </c>
      <c r="H26" s="3"/>
      <c r="I26" s="12">
        <f>[1]Summary!I28</f>
        <v>35925090.768795714</v>
      </c>
      <c r="J26" s="7">
        <f>[1]Summary!J28</f>
        <v>32136074.98151746</v>
      </c>
      <c r="K26" s="1"/>
      <c r="L26" s="1"/>
      <c r="M26" s="3"/>
      <c r="N26" s="55">
        <f>[1]Summary!N28</f>
        <v>0.75070000000000003</v>
      </c>
      <c r="O26" s="56">
        <f>[1]Summary!O28</f>
        <v>0.67159999999999997</v>
      </c>
      <c r="P26" s="56"/>
      <c r="Q26" s="99"/>
    </row>
    <row r="27" spans="1:17" x14ac:dyDescent="0.3">
      <c r="A27" s="14"/>
      <c r="B27" s="127" t="s">
        <v>38</v>
      </c>
      <c r="C27" s="107">
        <f>[1]Summary!C29</f>
        <v>646239903.55606985</v>
      </c>
      <c r="D27" s="108"/>
      <c r="E27" s="65"/>
      <c r="F27" s="16">
        <f>[1]Summary!F29</f>
        <v>2.8960781312124248E-2</v>
      </c>
      <c r="G27" s="15">
        <f>[1]Summary!G29</f>
        <v>3.1370573872872419E-2</v>
      </c>
      <c r="H27" s="3"/>
      <c r="I27" s="12">
        <f>[1]Summary!I29</f>
        <v>4071064.6795952474</v>
      </c>
      <c r="J27" s="7">
        <f>[1]Summary!J29</f>
        <v>3870056.8576168725</v>
      </c>
      <c r="K27" s="1"/>
      <c r="L27" s="1"/>
      <c r="M27" s="3"/>
      <c r="N27" s="55">
        <f>[1]Summary!N29</f>
        <v>0.63</v>
      </c>
      <c r="O27" s="56">
        <f>[1]Summary!O29</f>
        <v>0.59889999999999999</v>
      </c>
      <c r="P27" s="56"/>
      <c r="Q27" s="99"/>
    </row>
    <row r="28" spans="1:17" x14ac:dyDescent="0.3">
      <c r="A28" s="14"/>
      <c r="B28" s="127" t="s">
        <v>39</v>
      </c>
      <c r="C28" s="107">
        <f>[1]Summary!C30</f>
        <v>1088728238.9759412</v>
      </c>
      <c r="D28" s="108">
        <f>[1]Summary!D30</f>
        <v>2833564.5234159497</v>
      </c>
      <c r="E28" s="65"/>
      <c r="F28" s="16">
        <f>[1]Summary!F30</f>
        <v>4.909082288824531E-2</v>
      </c>
      <c r="G28" s="15">
        <f>[1]Summary!G30</f>
        <v>4.6693411409508528E-2</v>
      </c>
      <c r="H28" s="3"/>
      <c r="I28" s="12">
        <f>[1]Summary!I30</f>
        <v>6900777.744864732</v>
      </c>
      <c r="J28" s="7">
        <f>[1]Summary!J30</f>
        <v>5760371.4156838981</v>
      </c>
      <c r="K28" s="1"/>
      <c r="L28" s="1"/>
      <c r="M28" s="3"/>
      <c r="N28" s="55"/>
      <c r="O28" s="56"/>
      <c r="P28" s="56">
        <f>[1]Summary!P30</f>
        <v>2.4354</v>
      </c>
      <c r="Q28" s="99">
        <f>[1]Summary!Q30</f>
        <v>2.0329000000000002</v>
      </c>
    </row>
    <row r="29" spans="1:17" x14ac:dyDescent="0.3">
      <c r="A29" s="14"/>
      <c r="B29" s="127" t="s">
        <v>40</v>
      </c>
      <c r="C29" s="107">
        <f>[1]Summary!C31</f>
        <v>644525439.2559793</v>
      </c>
      <c r="D29" s="108"/>
      <c r="E29" s="65"/>
      <c r="F29" s="16">
        <f>[1]Summary!F31</f>
        <v>3.1180501100940287E-2</v>
      </c>
      <c r="G29" s="15">
        <f>[1]Summary!G31</f>
        <v>2.9505768969439232E-2</v>
      </c>
      <c r="H29" s="3"/>
      <c r="I29" s="12">
        <f>[1]Summary!I31</f>
        <v>4383094.342519586</v>
      </c>
      <c r="J29" s="7">
        <f>[1]Summary!J31</f>
        <v>3640003.6544496217</v>
      </c>
      <c r="K29" s="1"/>
      <c r="L29" s="1"/>
      <c r="M29" s="3"/>
      <c r="N29" s="55">
        <f>[1]Summary!N31</f>
        <v>0.68</v>
      </c>
      <c r="O29" s="56">
        <f>[1]Summary!O31</f>
        <v>0.56479999999999997</v>
      </c>
      <c r="P29" s="56"/>
      <c r="Q29" s="99"/>
    </row>
    <row r="30" spans="1:17" x14ac:dyDescent="0.3">
      <c r="A30" s="14"/>
      <c r="B30" s="127" t="s">
        <v>41</v>
      </c>
      <c r="C30" s="107">
        <f>[1]Summary!C32</f>
        <v>2018672031.3380694</v>
      </c>
      <c r="D30" s="108"/>
      <c r="E30" s="65"/>
      <c r="F30" s="16">
        <f>[1]Summary!F32</f>
        <v>0.12520620461788695</v>
      </c>
      <c r="G30" s="15">
        <f>[1]Summary!G32</f>
        <v>0.12424978925123088</v>
      </c>
      <c r="H30" s="3"/>
      <c r="I30" s="12">
        <f>[1]Summary!I32</f>
        <v>17600442.190855633</v>
      </c>
      <c r="J30" s="7">
        <f>[1]Summary!J32</f>
        <v>15328178.276170895</v>
      </c>
      <c r="K30" s="1"/>
      <c r="L30" s="1"/>
      <c r="M30" s="3"/>
      <c r="N30" s="55">
        <f>[1]Summary!N32</f>
        <v>0.87190000000000001</v>
      </c>
      <c r="O30" s="56">
        <f>[1]Summary!O32</f>
        <v>0.75929999999999997</v>
      </c>
      <c r="P30" s="56"/>
      <c r="Q30" s="99"/>
    </row>
    <row r="31" spans="1:17" s="1" customFormat="1" x14ac:dyDescent="0.3">
      <c r="A31" s="14"/>
      <c r="B31" s="128" t="s">
        <v>0</v>
      </c>
      <c r="C31" s="107">
        <f>[1]Summary!C34</f>
        <v>32202925.882329196</v>
      </c>
      <c r="D31" s="108"/>
      <c r="E31" s="65"/>
      <c r="F31" s="16">
        <f>[1]Summary!F34</f>
        <v>1.2169877992872821E-3</v>
      </c>
      <c r="G31" s="15">
        <f>[1]Summary!G34</f>
        <v>1.186928891938354E-3</v>
      </c>
      <c r="H31" s="3"/>
      <c r="I31" s="12">
        <f>[1]Summary!I34</f>
        <v>171073.97731368046</v>
      </c>
      <c r="J31" s="7">
        <f>[1]Summary!J34</f>
        <v>146426.46692930977</v>
      </c>
      <c r="M31" s="3"/>
      <c r="N31" s="55">
        <f>[1]Summary!N34</f>
        <v>0.53120000000000001</v>
      </c>
      <c r="O31" s="56">
        <f>[1]Summary!O34</f>
        <v>0.45469999999999999</v>
      </c>
      <c r="P31" s="56"/>
      <c r="Q31" s="99"/>
    </row>
    <row r="32" spans="1:17" s="1" customFormat="1" x14ac:dyDescent="0.3">
      <c r="A32" s="14"/>
      <c r="B32" s="128" t="s">
        <v>59</v>
      </c>
      <c r="C32" s="107">
        <f>[1]Summary!C33</f>
        <v>108545497.20391387</v>
      </c>
      <c r="D32" s="108"/>
      <c r="E32" s="65"/>
      <c r="F32" s="16">
        <f>[1]Summary!F33</f>
        <v>4.0405831003968076E-3</v>
      </c>
      <c r="G32" s="15">
        <f>[1]Summary!G33</f>
        <v>3.1392145776815211E-3</v>
      </c>
      <c r="H32" s="3"/>
      <c r="I32" s="12">
        <f>[1]Summary!I33</f>
        <v>567991.41458619537</v>
      </c>
      <c r="J32" s="7">
        <f>[1]Summary!J33</f>
        <v>387271.80934337236</v>
      </c>
      <c r="M32" s="3"/>
      <c r="N32" s="55">
        <f>[1]Summary!N33</f>
        <v>0.52329999999999999</v>
      </c>
      <c r="O32" s="56">
        <f>[1]Summary!O33</f>
        <v>0.35680000000000001</v>
      </c>
      <c r="P32" s="56"/>
      <c r="Q32" s="99"/>
    </row>
    <row r="33" spans="1:17" ht="13.5" thickBot="1" x14ac:dyDescent="0.35">
      <c r="A33" s="43"/>
      <c r="B33" s="129" t="s">
        <v>60</v>
      </c>
      <c r="C33" s="130">
        <f>[1]Summary!C35</f>
        <v>14822616.987148363</v>
      </c>
      <c r="D33" s="131"/>
      <c r="E33" s="132"/>
      <c r="F33" s="133">
        <f>[1]Summary!F35</f>
        <v>5.5674058346827837E-4</v>
      </c>
      <c r="G33" s="134">
        <f>[1]Summary!G35</f>
        <v>4.3939364439421854E-4</v>
      </c>
      <c r="H33" s="4"/>
      <c r="I33" s="45">
        <f>[1]Summary!I35</f>
        <v>78261.939849878661</v>
      </c>
      <c r="J33" s="46">
        <f>[1]Summary!J35</f>
        <v>54206.161276239734</v>
      </c>
      <c r="K33" s="58"/>
      <c r="L33" s="58"/>
      <c r="M33" s="102"/>
      <c r="N33" s="57">
        <f>[1]Summary!N35</f>
        <v>0.52800000000000002</v>
      </c>
      <c r="O33" s="58">
        <f>[1]Summary!O35</f>
        <v>0.36570000000000003</v>
      </c>
      <c r="P33" s="11"/>
      <c r="Q33" s="4"/>
    </row>
    <row r="34" spans="1:17" x14ac:dyDescent="0.3">
      <c r="B34" s="144"/>
      <c r="C34" s="5"/>
      <c r="D34" s="5"/>
      <c r="E34" s="5"/>
      <c r="N34" s="145"/>
      <c r="O34" s="145"/>
    </row>
    <row r="35" spans="1:17" x14ac:dyDescent="0.3">
      <c r="A35" s="5" t="s">
        <v>63</v>
      </c>
      <c r="C35" s="104"/>
      <c r="D35" s="5"/>
      <c r="E35" s="5"/>
    </row>
    <row r="36" spans="1:17" x14ac:dyDescent="0.3">
      <c r="C36" s="59"/>
    </row>
    <row r="37" spans="1:17" x14ac:dyDescent="0.3">
      <c r="C37" s="59"/>
    </row>
    <row r="38" spans="1:17" x14ac:dyDescent="0.3">
      <c r="C38" s="59"/>
    </row>
    <row r="39" spans="1:17" x14ac:dyDescent="0.3">
      <c r="C39" s="59"/>
    </row>
    <row r="40" spans="1:17" x14ac:dyDescent="0.3">
      <c r="C40" s="59"/>
    </row>
    <row r="41" spans="1:17" x14ac:dyDescent="0.3">
      <c r="C41" s="59"/>
    </row>
    <row r="42" spans="1:17" x14ac:dyDescent="0.3">
      <c r="C42" s="59"/>
    </row>
    <row r="43" spans="1:17" x14ac:dyDescent="0.3">
      <c r="C43" s="59"/>
    </row>
    <row r="44" spans="1:17" x14ac:dyDescent="0.3">
      <c r="C44" s="59"/>
    </row>
    <row r="45" spans="1:17" x14ac:dyDescent="0.3">
      <c r="C45" s="59"/>
    </row>
  </sheetData>
  <phoneticPr fontId="6" type="noConversion"/>
  <pageMargins left="0.75" right="0.75" top="1" bottom="1" header="0.5" footer="0.5"/>
  <pageSetup paperSize="17" scale="87" orientation="landscape" r:id="rId1"/>
  <headerFooter alignWithMargins="0"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2"/>
  <sheetViews>
    <sheetView workbookViewId="0">
      <selection activeCell="C20" sqref="C20"/>
    </sheetView>
  </sheetViews>
  <sheetFormatPr defaultRowHeight="13" x14ac:dyDescent="0.3"/>
  <cols>
    <col min="1" max="1" width="11.90625" bestFit="1" customWidth="1"/>
    <col min="2" max="2" width="14.6328125" bestFit="1" customWidth="1"/>
    <col min="3" max="3" width="13.453125" bestFit="1" customWidth="1"/>
    <col min="4" max="4" width="16" customWidth="1"/>
    <col min="5" max="5" width="14.6328125" bestFit="1" customWidth="1"/>
    <col min="6" max="6" width="7.54296875" customWidth="1"/>
    <col min="9" max="9" width="10.453125" customWidth="1"/>
    <col min="10" max="10" width="10" bestFit="1" customWidth="1"/>
    <col min="11" max="11" width="11.6328125" customWidth="1"/>
  </cols>
  <sheetData>
    <row r="1" spans="1:6" x14ac:dyDescent="0.3">
      <c r="A1" s="135" t="s">
        <v>14</v>
      </c>
      <c r="B1" s="136"/>
      <c r="C1" s="136"/>
      <c r="D1" s="136"/>
      <c r="E1" s="136"/>
      <c r="F1" s="137"/>
    </row>
    <row r="2" spans="1:6" ht="26" x14ac:dyDescent="0.3">
      <c r="A2" s="181" t="s">
        <v>69</v>
      </c>
      <c r="B2" s="136"/>
      <c r="C2" s="136"/>
      <c r="D2" s="136"/>
      <c r="E2" s="136"/>
      <c r="F2" s="137"/>
    </row>
    <row r="3" spans="1:6" x14ac:dyDescent="0.3">
      <c r="A3" s="137"/>
      <c r="B3" s="137"/>
      <c r="C3" s="137"/>
      <c r="D3" s="137"/>
      <c r="E3" s="137"/>
      <c r="F3" s="137"/>
    </row>
    <row r="4" spans="1:6" s="63" customFormat="1" x14ac:dyDescent="0.3">
      <c r="A4" s="173"/>
      <c r="B4" s="171" t="s">
        <v>9</v>
      </c>
      <c r="C4" s="171" t="s">
        <v>10</v>
      </c>
      <c r="D4" s="171" t="s">
        <v>11</v>
      </c>
      <c r="E4" s="171" t="s">
        <v>12</v>
      </c>
      <c r="F4" s="171" t="s">
        <v>13</v>
      </c>
    </row>
    <row r="5" spans="1:6" s="63" customFormat="1" ht="17.25" customHeight="1" x14ac:dyDescent="0.3">
      <c r="A5" s="174"/>
      <c r="B5" s="172"/>
      <c r="C5" s="172"/>
      <c r="D5" s="172"/>
      <c r="E5" s="172"/>
      <c r="F5" s="172"/>
    </row>
    <row r="6" spans="1:6" x14ac:dyDescent="0.3">
      <c r="A6" s="138" t="s">
        <v>21</v>
      </c>
      <c r="B6" s="139">
        <f>Summary!I14</f>
        <v>241720737.12109843</v>
      </c>
      <c r="C6" s="139">
        <f>Summary!J14</f>
        <v>53355522.643151246</v>
      </c>
      <c r="D6" s="139">
        <f>Summary!K14</f>
        <v>147007181.01584554</v>
      </c>
      <c r="E6" s="139">
        <f>Summary!L14</f>
        <v>442083440.78009522</v>
      </c>
      <c r="F6" s="138"/>
    </row>
    <row r="7" spans="1:6" x14ac:dyDescent="0.3">
      <c r="A7" s="138"/>
      <c r="B7" s="140"/>
      <c r="C7" s="140"/>
      <c r="D7" s="140"/>
      <c r="E7" s="140"/>
      <c r="F7" s="138"/>
    </row>
    <row r="8" spans="1:6" x14ac:dyDescent="0.3">
      <c r="A8" s="138" t="s">
        <v>25</v>
      </c>
      <c r="B8" s="139">
        <f>Summary!I16</f>
        <v>101149091.7735704</v>
      </c>
      <c r="C8" s="139">
        <f>Summary!J16</f>
        <v>19105955.402740981</v>
      </c>
      <c r="D8" s="139">
        <f>Summary!K16</f>
        <v>57890919.078247398</v>
      </c>
      <c r="E8" s="139">
        <f>Summary!L16</f>
        <v>178145966.2545588</v>
      </c>
      <c r="F8" s="141">
        <f>Summary!M16</f>
        <v>0.40296909999660818</v>
      </c>
    </row>
    <row r="9" spans="1:6" x14ac:dyDescent="0.3">
      <c r="A9" s="138"/>
      <c r="B9" s="140"/>
      <c r="C9" s="140"/>
      <c r="D9" s="140"/>
      <c r="E9" s="140"/>
      <c r="F9" s="142"/>
    </row>
    <row r="10" spans="1:6" x14ac:dyDescent="0.3">
      <c r="A10" s="138" t="s">
        <v>8</v>
      </c>
      <c r="B10" s="139">
        <f>Summary!I18</f>
        <v>140571645.34752804</v>
      </c>
      <c r="C10" s="139">
        <f>Summary!J18</f>
        <v>34249567.240410268</v>
      </c>
      <c r="D10" s="139">
        <f>Summary!K18</f>
        <v>89116261.937598139</v>
      </c>
      <c r="E10" s="139">
        <f>Summary!L18</f>
        <v>263937474.52553645</v>
      </c>
      <c r="F10" s="141">
        <f>Summary!M18</f>
        <v>0.59703090000339187</v>
      </c>
    </row>
    <row r="11" spans="1:6" x14ac:dyDescent="0.3">
      <c r="A11" s="138" t="s">
        <v>41</v>
      </c>
      <c r="B11" s="139">
        <f>VLOOKUP(A11,Summary!$B$22:$Q$33,8,FALSE)</f>
        <v>17600442.190855633</v>
      </c>
      <c r="C11" s="139">
        <f>Summary!J$18*VLOOKUP(A11,Summary!$B$22:$G$33,6,FALSE)</f>
        <v>4255501.5115668373</v>
      </c>
      <c r="D11" s="139">
        <f>Summary!K$18*VLOOKUP(A11,Summary!$B$22:$G$33,6,FALSE)</f>
        <v>11072676.764604056</v>
      </c>
      <c r="E11" s="140">
        <f>SUM(B11:D11)</f>
        <v>32928620.467026524</v>
      </c>
      <c r="F11" s="143"/>
    </row>
    <row r="12" spans="1:6" x14ac:dyDescent="0.3">
      <c r="A12" s="138" t="s">
        <v>36</v>
      </c>
      <c r="B12" s="139">
        <f>VLOOKUP(A12,Summary!$B$22:$Q$33,8,FALSE)</f>
        <v>39662725.710047171</v>
      </c>
      <c r="C12" s="139">
        <f>Summary!J$18*VLOOKUP(A12,Summary!$B$22:$G$33,6,FALSE)</f>
        <v>9828723.3046619091</v>
      </c>
      <c r="D12" s="139">
        <f>Summary!K$18*VLOOKUP(A12,Summary!$B$22:$G$33,6,FALSE)</f>
        <v>25574018.917733151</v>
      </c>
      <c r="E12" s="140">
        <f t="shared" ref="E12:E21" si="0">SUM(B12:D12)</f>
        <v>75065467.932442233</v>
      </c>
      <c r="F12" s="138"/>
    </row>
    <row r="13" spans="1:6" x14ac:dyDescent="0.3">
      <c r="A13" s="138" t="s">
        <v>37</v>
      </c>
      <c r="B13" s="139">
        <f>VLOOKUP(A13,Summary!$B$22:$Q$33,8,FALSE)</f>
        <v>35925090.768795714</v>
      </c>
      <c r="C13" s="139">
        <f>Summary!J$18*VLOOKUP(A13,Summary!$B$22:$G$33,6,FALSE)</f>
        <v>8921811.398310231</v>
      </c>
      <c r="D13" s="139">
        <f>Summary!K$18*VLOOKUP(A13,Summary!$B$22:$G$33,6,FALSE)</f>
        <v>23214263.583207227</v>
      </c>
      <c r="E13" s="140">
        <f t="shared" si="0"/>
        <v>68061165.750313163</v>
      </c>
      <c r="F13" s="138"/>
    </row>
    <row r="14" spans="1:6" x14ac:dyDescent="0.3">
      <c r="A14" s="138" t="s">
        <v>38</v>
      </c>
      <c r="B14" s="139">
        <f>VLOOKUP(A14,Summary!$B$22:$Q$33,8,FALSE)</f>
        <v>4071064.6795952474</v>
      </c>
      <c r="C14" s="139">
        <f>Summary!J$18*VLOOKUP(A14,Summary!$B$22:$G$33,6,FALSE)</f>
        <v>1074428.5792292014</v>
      </c>
      <c r="D14" s="139">
        <f>Summary!K$18*VLOOKUP(A14,Summary!$B$22:$G$33,6,FALSE)</f>
        <v>2795628.2783876709</v>
      </c>
      <c r="E14" s="140">
        <f t="shared" si="0"/>
        <v>7941121.5372121204</v>
      </c>
      <c r="F14" s="138"/>
    </row>
    <row r="15" spans="1:6" x14ac:dyDescent="0.3">
      <c r="A15" s="138" t="s">
        <v>40</v>
      </c>
      <c r="B15" s="139">
        <f>VLOOKUP(A15,Summary!$B$22:$Q$33,8,FALSE)</f>
        <v>4383094.342519586</v>
      </c>
      <c r="C15" s="139">
        <f>Summary!J$18*VLOOKUP(A15,Summary!$B$22:$G$33,6,FALSE)</f>
        <v>1010559.8182988197</v>
      </c>
      <c r="D15" s="139">
        <f>Summary!K$18*VLOOKUP(A15,Summary!$B$22:$G$33,6,FALSE)</f>
        <v>2629443.8361508017</v>
      </c>
      <c r="E15" s="140">
        <f t="shared" si="0"/>
        <v>8023097.9969692072</v>
      </c>
      <c r="F15" s="138"/>
    </row>
    <row r="16" spans="1:6" x14ac:dyDescent="0.3">
      <c r="A16" s="138" t="s">
        <v>39</v>
      </c>
      <c r="B16" s="139">
        <f>VLOOKUP(A16,Summary!$B$22:$Q$33,8,FALSE)</f>
        <v>6900777.744864732</v>
      </c>
      <c r="C16" s="139">
        <f>Summary!J$18*VLOOKUP(A16,Summary!$B$22:$G$33,6,FALSE)</f>
        <v>1599229.1337541023</v>
      </c>
      <c r="D16" s="139">
        <f>Summary!K$18*VLOOKUP(A16,Summary!$B$22:$G$33,6,FALSE)</f>
        <v>4161142.2819297956</v>
      </c>
      <c r="E16" s="140">
        <f t="shared" si="0"/>
        <v>12661149.160548631</v>
      </c>
      <c r="F16" s="138"/>
    </row>
    <row r="17" spans="1:6" x14ac:dyDescent="0.3">
      <c r="A17" s="138" t="s">
        <v>35</v>
      </c>
      <c r="B17" s="139">
        <f>VLOOKUP(A17,Summary!$B$22:$Q$33,8,FALSE)</f>
        <v>15337473.895896439</v>
      </c>
      <c r="C17" s="139">
        <f>Summary!J$18*VLOOKUP(A17,Summary!$B$22:$G$33,6,FALSE)</f>
        <v>3685602.4810079774</v>
      </c>
      <c r="D17" s="139">
        <f>Summary!K$18*VLOOKUP(A17,Summary!$B$22:$G$33,6,FALSE)</f>
        <v>9589817.9906881098</v>
      </c>
      <c r="E17" s="140">
        <f t="shared" si="0"/>
        <v>28612894.367592528</v>
      </c>
      <c r="F17" s="138"/>
    </row>
    <row r="18" spans="1:6" x14ac:dyDescent="0.3">
      <c r="A18" s="138" t="s">
        <v>34</v>
      </c>
      <c r="B18" s="139">
        <f>VLOOKUP(A18,Summary!$B$22:$Q$33,8,FALSE)</f>
        <v>15682538.141034799</v>
      </c>
      <c r="C18" s="139">
        <f>Summary!J$18*VLOOKUP(A18,Summary!$B$22:$G$33,6,FALSE)</f>
        <v>3665727.3221410355</v>
      </c>
      <c r="D18" s="139">
        <f>Summary!K$18*VLOOKUP(A18,Summary!$B$22:$G$33,6,FALSE)</f>
        <v>9538103.4726270456</v>
      </c>
      <c r="E18" s="140">
        <f t="shared" si="0"/>
        <v>28886368.935802877</v>
      </c>
      <c r="F18" s="138"/>
    </row>
    <row r="19" spans="1:6" x14ac:dyDescent="0.3">
      <c r="A19" s="138" t="s">
        <v>53</v>
      </c>
      <c r="B19" s="139">
        <f>VLOOKUP(A19,Summary!$B$22:$Q$33,8,FALSE)</f>
        <v>191110.5421689683</v>
      </c>
      <c r="C19" s="139">
        <f>Summary!J$18*VLOOKUP(A19,Summary!$B$22:$G$33,6,FALSE)</f>
        <v>44766.107617052097</v>
      </c>
      <c r="D19" s="139">
        <f>Summary!K$18*VLOOKUP(A19,Summary!$B$22:$G$33,6,FALSE)</f>
        <v>116479.95854443776</v>
      </c>
      <c r="E19" s="140">
        <f>SUM(B19:D19)</f>
        <v>352356.60833045817</v>
      </c>
      <c r="F19" s="138"/>
    </row>
    <row r="20" spans="1:6" x14ac:dyDescent="0.3">
      <c r="A20" s="138" t="s">
        <v>0</v>
      </c>
      <c r="B20" s="139">
        <f>VLOOKUP(A20,Summary!$B$22:$Q$33,8,FALSE)</f>
        <v>171073.97731368046</v>
      </c>
      <c r="C20" s="139">
        <f>Summary!J$18*VLOOKUP(A20,Summary!$B$22:$G$33,6,FALSE)</f>
        <v>40651.800894028311</v>
      </c>
      <c r="D20" s="139">
        <f>Summary!K$18*VLOOKUP(A20,Summary!$B$22:$G$33,6,FALSE)</f>
        <v>105774.66603528147</v>
      </c>
      <c r="E20" s="140">
        <f>SUM(B20:D20)</f>
        <v>317500.44424299023</v>
      </c>
      <c r="F20" s="138"/>
    </row>
    <row r="21" spans="1:6" x14ac:dyDescent="0.3">
      <c r="A21" s="138" t="s">
        <v>59</v>
      </c>
      <c r="B21" s="139">
        <f>VLOOKUP(A21,Summary!$B$22:$Q$33,8,FALSE)</f>
        <v>567991.41458619537</v>
      </c>
      <c r="C21" s="139">
        <f>Summary!J$18*VLOOKUP(A21,Summary!$B$22:$G$33,6,FALSE)</f>
        <v>107516.74076037938</v>
      </c>
      <c r="D21" s="139">
        <f>Summary!K$18*VLOOKUP(A21,Summary!$B$22:$G$33,6,FALSE)</f>
        <v>279755.06858299294</v>
      </c>
      <c r="E21" s="140">
        <f t="shared" si="0"/>
        <v>955263.22392956773</v>
      </c>
      <c r="F21" s="138"/>
    </row>
    <row r="22" spans="1:6" x14ac:dyDescent="0.3">
      <c r="A22" s="138" t="s">
        <v>60</v>
      </c>
      <c r="B22" s="139">
        <f>VLOOKUP(A22,Summary!$B$22:$Q$33,8,FALSE)</f>
        <v>78261.939849878661</v>
      </c>
      <c r="C22" s="139">
        <f>Summary!J$18*VLOOKUP(A22,Summary!$B$22:$G$33,6,FALSE)</f>
        <v>15049.042168688706</v>
      </c>
      <c r="D22" s="139">
        <f>Summary!K$18*VLOOKUP(A22,Summary!$B$22:$G$33,6,FALSE)</f>
        <v>39157.119107551029</v>
      </c>
      <c r="E22" s="140">
        <f t="shared" ref="E22" si="1">SUM(B22:D22)</f>
        <v>132468.10112611839</v>
      </c>
      <c r="F22" s="138"/>
    </row>
  </sheetData>
  <mergeCells count="6">
    <mergeCell ref="F4:F5"/>
    <mergeCell ref="A4:A5"/>
    <mergeCell ref="B4:B5"/>
    <mergeCell ref="C4:C5"/>
    <mergeCell ref="D4:D5"/>
    <mergeCell ref="E4:E5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workbookViewId="0">
      <selection activeCell="G12" sqref="G12"/>
    </sheetView>
  </sheetViews>
  <sheetFormatPr defaultRowHeight="13" x14ac:dyDescent="0.3"/>
  <cols>
    <col min="1" max="1" width="30.90625" customWidth="1"/>
    <col min="2" max="2" width="30.90625" hidden="1" customWidth="1"/>
    <col min="3" max="3" width="12.54296875" customWidth="1"/>
    <col min="4" max="4" width="16.54296875" customWidth="1"/>
    <col min="5" max="5" width="10.453125" customWidth="1"/>
    <col min="6" max="6" width="16.08984375" customWidth="1"/>
  </cols>
  <sheetData>
    <row r="1" spans="1:7" x14ac:dyDescent="0.3">
      <c r="A1" s="29" t="s">
        <v>15</v>
      </c>
      <c r="B1" s="29"/>
      <c r="C1" s="28"/>
      <c r="D1" s="28"/>
      <c r="E1" s="28"/>
      <c r="F1" s="28"/>
    </row>
    <row r="2" spans="1:7" x14ac:dyDescent="0.3">
      <c r="A2" s="29" t="s">
        <v>71</v>
      </c>
      <c r="B2" s="29"/>
      <c r="C2" s="28"/>
      <c r="D2" s="28"/>
      <c r="E2" s="28"/>
      <c r="F2" s="28"/>
    </row>
    <row r="4" spans="1:7" ht="13.25" customHeight="1" x14ac:dyDescent="0.3">
      <c r="A4" s="179" t="s">
        <v>16</v>
      </c>
      <c r="B4" s="169"/>
      <c r="C4" s="38" t="s">
        <v>66</v>
      </c>
      <c r="D4" s="39"/>
      <c r="E4" s="38" t="s">
        <v>70</v>
      </c>
      <c r="F4" s="39"/>
    </row>
    <row r="5" spans="1:7" ht="13.25" customHeight="1" x14ac:dyDescent="0.3">
      <c r="A5" s="180"/>
      <c r="B5" s="170"/>
      <c r="C5" s="40" t="s">
        <v>22</v>
      </c>
      <c r="D5" s="40" t="s">
        <v>52</v>
      </c>
      <c r="E5" s="40" t="s">
        <v>22</v>
      </c>
      <c r="F5" s="40" t="s">
        <v>52</v>
      </c>
    </row>
    <row r="6" spans="1:7" x14ac:dyDescent="0.3">
      <c r="A6" s="37" t="s">
        <v>44</v>
      </c>
      <c r="B6" s="37" t="s">
        <v>41</v>
      </c>
      <c r="C6" s="103">
        <f>[2]RTSR_Table2!E6</f>
        <v>8.4460000000000004E-3</v>
      </c>
      <c r="D6" s="103">
        <f>[2]RTSR_Table2!F6</f>
        <v>7.43E-3</v>
      </c>
      <c r="E6" s="61">
        <f>VLOOKUP(B6,Summary!$B$22:$Q$33,13,FALSE)/100</f>
        <v>8.7189999999999993E-3</v>
      </c>
      <c r="F6" s="61">
        <f>VLOOKUP(B6,Summary!$B$22:$Q$33,14,FALSE)/100</f>
        <v>7.5929999999999999E-3</v>
      </c>
      <c r="G6" s="52"/>
    </row>
    <row r="7" spans="1:7" x14ac:dyDescent="0.3">
      <c r="A7" s="37" t="s">
        <v>45</v>
      </c>
      <c r="B7" s="37" t="s">
        <v>36</v>
      </c>
      <c r="C7" s="103">
        <f>[2]RTSR_Table2!E7</f>
        <v>7.7759999999999999E-3</v>
      </c>
      <c r="D7" s="103">
        <f>[2]RTSR_Table2!F7</f>
        <v>7.0120000000000009E-3</v>
      </c>
      <c r="E7" s="61">
        <f>VLOOKUP(B7,Summary!$B$22:$Q$33,13,FALSE)/100</f>
        <v>8.0280000000000004E-3</v>
      </c>
      <c r="F7" s="61">
        <f>VLOOKUP(B7,Summary!$B$22:$Q$33,14,FALSE)/100</f>
        <v>7.1650000000000004E-3</v>
      </c>
      <c r="G7" s="52"/>
    </row>
    <row r="8" spans="1:7" x14ac:dyDescent="0.3">
      <c r="A8" s="37" t="s">
        <v>46</v>
      </c>
      <c r="B8" s="37" t="s">
        <v>37</v>
      </c>
      <c r="C8" s="103">
        <f>[2]RTSR_Table2!E8</f>
        <v>7.2719999999999998E-3</v>
      </c>
      <c r="D8" s="103">
        <f>[2]RTSR_Table2!F8</f>
        <v>6.5710000000000005E-3</v>
      </c>
      <c r="E8" s="61">
        <f>VLOOKUP(B8,Summary!$B$22:$Q$33,13,FALSE)/100</f>
        <v>7.5070000000000007E-3</v>
      </c>
      <c r="F8" s="61">
        <f>VLOOKUP(B8,Summary!$B$22:$Q$33,14,FALSE)/100</f>
        <v>6.7159999999999997E-3</v>
      </c>
      <c r="G8" s="52"/>
    </row>
    <row r="9" spans="1:7" x14ac:dyDescent="0.3">
      <c r="A9" s="37" t="s">
        <v>47</v>
      </c>
      <c r="B9" s="37" t="s">
        <v>38</v>
      </c>
      <c r="C9" s="103">
        <f>[2]RTSR_Table2!E9</f>
        <v>6.1019999999999998E-3</v>
      </c>
      <c r="D9" s="103">
        <f>[2]RTSR_Table2!F9</f>
        <v>5.8599999999999998E-3</v>
      </c>
      <c r="E9" s="61">
        <f>VLOOKUP(B9,Summary!$B$22:$Q$33,13,FALSE)/100</f>
        <v>6.3E-3</v>
      </c>
      <c r="F9" s="61">
        <f>VLOOKUP(B9,Summary!$B$22:$Q$33,14,FALSE)/100</f>
        <v>5.9889999999999995E-3</v>
      </c>
      <c r="G9" s="52"/>
    </row>
    <row r="10" spans="1:7" x14ac:dyDescent="0.3">
      <c r="A10" s="37" t="s">
        <v>48</v>
      </c>
      <c r="B10" s="37" t="s">
        <v>40</v>
      </c>
      <c r="C10" s="103">
        <f>[2]RTSR_Table2!E10</f>
        <v>6.5869999999999991E-3</v>
      </c>
      <c r="D10" s="103">
        <f>[2]RTSR_Table2!F10</f>
        <v>5.5259999999999997E-3</v>
      </c>
      <c r="E10" s="61">
        <f>VLOOKUP(B10,Summary!$B$22:$Q$33,13,FALSE)/100</f>
        <v>6.8000000000000005E-3</v>
      </c>
      <c r="F10" s="61">
        <f>VLOOKUP(B10,Summary!$B$22:$Q$33,14,FALSE)/100</f>
        <v>5.6479999999999994E-3</v>
      </c>
      <c r="G10" s="52"/>
    </row>
    <row r="11" spans="1:7" x14ac:dyDescent="0.3">
      <c r="A11" s="37" t="s">
        <v>51</v>
      </c>
      <c r="B11" s="37" t="s">
        <v>39</v>
      </c>
      <c r="C11" s="103">
        <f>[2]RTSR_Table2!E11</f>
        <v>2.3591000000000002</v>
      </c>
      <c r="D11" s="103">
        <f>[2]RTSR_Table2!F11</f>
        <v>1.9892000000000001</v>
      </c>
      <c r="E11" s="61">
        <f>VLOOKUP(B11,Summary!$B$22:$Q$33,15,FALSE)</f>
        <v>2.4354</v>
      </c>
      <c r="F11" s="61">
        <f>VLOOKUP(B11,Summary!$B$22:$Q$33,16,FALSE)</f>
        <v>2.0329000000000002</v>
      </c>
      <c r="G11" s="52"/>
    </row>
    <row r="12" spans="1:7" x14ac:dyDescent="0.3">
      <c r="A12" s="37" t="s">
        <v>49</v>
      </c>
      <c r="B12" s="37" t="s">
        <v>35</v>
      </c>
      <c r="C12" s="103">
        <f>[2]RTSR_Table2!E12</f>
        <v>6.1419999999999999E-3</v>
      </c>
      <c r="D12" s="103">
        <f>[2]RTSR_Table2!F12</f>
        <v>5.3700000000000006E-3</v>
      </c>
      <c r="E12" s="61">
        <f>VLOOKUP(B12,Summary!$B$22:$Q$33,13,FALSE)/100</f>
        <v>6.3410000000000003E-3</v>
      </c>
      <c r="F12" s="61">
        <f>VLOOKUP(B12,Summary!$B$22:$Q$33,14,FALSE)/100</f>
        <v>5.4879999999999998E-3</v>
      </c>
      <c r="G12" s="52"/>
    </row>
    <row r="13" spans="1:7" x14ac:dyDescent="0.3">
      <c r="A13" s="37" t="s">
        <v>54</v>
      </c>
      <c r="B13" s="37" t="s">
        <v>34</v>
      </c>
      <c r="C13" s="103">
        <f>[2]RTSR_Table2!E13</f>
        <v>1.8216000000000001</v>
      </c>
      <c r="D13" s="103">
        <f>[2]RTSR_Table2!F13</f>
        <v>1.5491999999999999</v>
      </c>
      <c r="E13" s="61">
        <f>VLOOKUP(B13,Summary!$B$22:$Q$33,15,FALSE)</f>
        <v>1.8805000000000001</v>
      </c>
      <c r="F13" s="61">
        <f>VLOOKUP(B13,Summary!$B$22:$Q$33,16,FALSE)</f>
        <v>1.5832999999999999</v>
      </c>
      <c r="G13" s="52"/>
    </row>
    <row r="14" spans="1:7" x14ac:dyDescent="0.3">
      <c r="A14" s="37" t="s">
        <v>17</v>
      </c>
      <c r="B14" s="37" t="s">
        <v>33</v>
      </c>
      <c r="C14" s="103">
        <f>[2]RTSR_Table2!E14</f>
        <v>0.88549999999999995</v>
      </c>
      <c r="D14" s="103">
        <f>[2]RTSR_Table2!F14</f>
        <v>0.75470000000000004</v>
      </c>
      <c r="E14" s="61">
        <f>VLOOKUP(B14,Summary!$B$22:$Q$33,15,FALSE)</f>
        <v>0.91410000000000002</v>
      </c>
      <c r="F14" s="61">
        <f>VLOOKUP(B14,Summary!$B$22:$Q$33,16,FALSE)</f>
        <v>0.77129999999999999</v>
      </c>
      <c r="G14" s="52"/>
    </row>
    <row r="15" spans="1:7" x14ac:dyDescent="0.3">
      <c r="A15" s="41" t="s">
        <v>50</v>
      </c>
      <c r="B15" s="41" t="s">
        <v>0</v>
      </c>
      <c r="C15" s="103">
        <f>[2]RTSR_Table2!E15</f>
        <v>5.1459999999999995E-3</v>
      </c>
      <c r="D15" s="103">
        <f>[2]RTSR_Table2!F15</f>
        <v>4.4489999999999998E-3</v>
      </c>
      <c r="E15" s="61">
        <f>VLOOKUP(B15,Summary!$B$22:$Q$33,13,FALSE)/100</f>
        <v>5.3119999999999999E-3</v>
      </c>
      <c r="F15" s="61">
        <f>VLOOKUP(B15,Summary!$B$22:$Q$33,14,FALSE)/100</f>
        <v>4.5469999999999998E-3</v>
      </c>
      <c r="G15" s="52"/>
    </row>
    <row r="16" spans="1:7" x14ac:dyDescent="0.3">
      <c r="A16" s="41" t="s">
        <v>56</v>
      </c>
      <c r="B16" s="41" t="s">
        <v>59</v>
      </c>
      <c r="C16" s="103">
        <f>[2]RTSR_Table2!E16</f>
        <v>5.0690000000000006E-3</v>
      </c>
      <c r="D16" s="103">
        <f>[2]RTSR_Table2!F16</f>
        <v>3.4910000000000002E-3</v>
      </c>
      <c r="E16" s="61">
        <f>VLOOKUP(B16,Summary!$B$22:$Q$33,13,FALSE)/100</f>
        <v>5.2329999999999998E-3</v>
      </c>
      <c r="F16" s="61">
        <f>VLOOKUP(B16,Summary!$B$22:$Q$33,14,FALSE)/100</f>
        <v>3.568E-3</v>
      </c>
      <c r="G16" s="52"/>
    </row>
    <row r="17" spans="1:7" x14ac:dyDescent="0.3">
      <c r="A17" s="41" t="s">
        <v>55</v>
      </c>
      <c r="B17" s="41" t="s">
        <v>60</v>
      </c>
      <c r="C17" s="103">
        <f>[2]RTSR_Table2!E17</f>
        <v>5.1139999999999996E-3</v>
      </c>
      <c r="D17" s="103">
        <f>[2]RTSR_Table2!F17</f>
        <v>3.578E-3</v>
      </c>
      <c r="E17" s="61">
        <f>VLOOKUP(B17,Summary!$B$22:$Q$33,13,FALSE)/100</f>
        <v>5.28E-3</v>
      </c>
      <c r="F17" s="61">
        <f>VLOOKUP(B17,Summary!$B$22:$Q$33,14,FALSE)/100</f>
        <v>3.6570000000000001E-3</v>
      </c>
      <c r="G17" s="52"/>
    </row>
    <row r="18" spans="1:7" x14ac:dyDescent="0.3">
      <c r="A18" s="177" t="s">
        <v>18</v>
      </c>
      <c r="B18" s="167"/>
      <c r="C18" s="175">
        <f>[2]RTSR_Table2!$E$18</f>
        <v>3.2915000000000001</v>
      </c>
      <c r="D18" s="42" t="str">
        <f>[2]RTSR_Table2!$F$18</f>
        <v>0.7877 Line</v>
      </c>
      <c r="E18" s="175">
        <f>Summary!N16</f>
        <v>3.3980000000000001</v>
      </c>
      <c r="F18" s="62" t="str">
        <f>ROUND(Summary!O16,4)&amp;" Line"</f>
        <v>0.8045 Line</v>
      </c>
      <c r="G18" s="52"/>
    </row>
    <row r="19" spans="1:7" x14ac:dyDescent="0.3">
      <c r="A19" s="178"/>
      <c r="B19" s="168"/>
      <c r="C19" s="176"/>
      <c r="D19" s="182" t="str">
        <f>[2]RTSR_Table2!$F$19</f>
        <v>1.9755 Transf.</v>
      </c>
      <c r="E19" s="176"/>
      <c r="F19" s="60" t="str">
        <f>FIXED(ROUND(Summary!P16,4),4)&amp;" Transf."</f>
        <v>2.0194 Transf.</v>
      </c>
    </row>
    <row r="20" spans="1:7" x14ac:dyDescent="0.3">
      <c r="A20" s="30" t="s">
        <v>19</v>
      </c>
      <c r="B20" s="30"/>
    </row>
    <row r="21" spans="1:7" x14ac:dyDescent="0.3">
      <c r="A21" s="30" t="s">
        <v>20</v>
      </c>
      <c r="B21" s="30"/>
    </row>
  </sheetData>
  <mergeCells count="4">
    <mergeCell ref="C18:C19"/>
    <mergeCell ref="A18:A19"/>
    <mergeCell ref="A4:A5"/>
    <mergeCell ref="E18:E19"/>
  </mergeCells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DF8ED78F-3D59-4687-A03D-EDA67BD1E74D}"/>
</file>

<file path=customXml/itemProps2.xml><?xml version="1.0" encoding="utf-8"?>
<ds:datastoreItem xmlns:ds="http://schemas.openxmlformats.org/officeDocument/2006/customXml" ds:itemID="{D909C464-A6B0-43F0-BAE0-6D2A31456BDB}"/>
</file>

<file path=customXml/itemProps3.xml><?xml version="1.0" encoding="utf-8"?>
<ds:datastoreItem xmlns:ds="http://schemas.openxmlformats.org/officeDocument/2006/customXml" ds:itemID="{E3E6A093-F4C2-4771-943C-A6A5E99FE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RTSR_Table1</vt:lpstr>
      <vt:lpstr>RTSR_Table2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KIM Susan</cp:lastModifiedBy>
  <cp:lastPrinted>2017-02-16T00:22:34Z</cp:lastPrinted>
  <dcterms:created xsi:type="dcterms:W3CDTF">2009-06-17T18:19:45Z</dcterms:created>
  <dcterms:modified xsi:type="dcterms:W3CDTF">2019-08-02T14:02:12Z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