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fileSharing readOnlyRecommended="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zm\OneDrive - Kitchener-Wilmot Hydro Inc\Settlement September 6\"/>
    </mc:Choice>
  </mc:AlternateContent>
  <xr:revisionPtr revIDLastSave="22" documentId="13_ncr:1_{B6FC2DF0-5901-40FB-A1B9-5D650FD7C2FC}" xr6:coauthVersionLast="44" xr6:coauthVersionMax="45" xr10:uidLastSave="{D3637966-0FB5-42CE-BAE7-87DDAF85498F}"/>
  <bookViews>
    <workbookView xWindow="-120" yWindow="-120" windowWidth="29040" windowHeight="15870" tabRatio="936" activeTab="11" xr2:uid="{00000000-000D-0000-FFFF-FFFF00000000}"/>
  </bookViews>
  <sheets>
    <sheet name="Power" sheetId="59" r:id="rId1"/>
    <sheet name="Energy" sheetId="62" r:id="rId2"/>
    <sheet name="Customer" sheetId="63" r:id="rId3"/>
    <sheet name="ED" sheetId="71" r:id="rId4"/>
    <sheet name="Load" sheetId="64" r:id="rId5"/>
    <sheet name="19COP-Z" sheetId="78" r:id="rId6"/>
    <sheet name="20COP-Z" sheetId="79" r:id="rId7"/>
    <sheet name="Summary" sheetId="70" r:id="rId8"/>
    <sheet name="Tables" sheetId="69" r:id="rId9"/>
    <sheet name="IR Tables" sheetId="83" r:id="rId10"/>
    <sheet name="CDM" sheetId="72" r:id="rId11"/>
    <sheet name="App2-Z" sheetId="84" r:id="rId12"/>
  </sheets>
  <externalReferences>
    <externalReference r:id="rId13"/>
    <externalReference r:id="rId14"/>
    <externalReference r:id="rId15"/>
  </externalReferences>
  <definedNames>
    <definedName name="_xlnm._FilterDatabase" localSheetId="0" hidden="1">Power!$A$1:$X$145</definedName>
    <definedName name="_Order1" hidden="1">255</definedName>
    <definedName name="_Sort" hidden="1">[1]Sheet1!$G$40:$K$40</definedName>
    <definedName name="EBNUMBER">'[2]LDC Info'!$E$16</definedName>
    <definedName name="_xlnm.Print_Titles" localSheetId="0">Power!$1:$1</definedName>
    <definedName name="RebaseYear">'[2]LDC Info'!$E$28</definedName>
    <definedName name="TestYear">'[2]LDC Info'!$E$24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1" i="84" l="1"/>
  <c r="F81" i="84"/>
  <c r="B81" i="84"/>
  <c r="K80" i="84"/>
  <c r="F80" i="84"/>
  <c r="B80" i="84"/>
  <c r="B79" i="84"/>
  <c r="B78" i="84"/>
  <c r="B77" i="84"/>
  <c r="B76" i="84"/>
  <c r="F75" i="84"/>
  <c r="B75" i="84"/>
  <c r="B74" i="84"/>
  <c r="B73" i="84"/>
  <c r="B66" i="84"/>
  <c r="B65" i="84"/>
  <c r="K64" i="84"/>
  <c r="K79" i="84" s="1"/>
  <c r="F64" i="84"/>
  <c r="F79" i="84" s="1"/>
  <c r="B64" i="84"/>
  <c r="B63" i="84"/>
  <c r="K62" i="84"/>
  <c r="K77" i="84" s="1"/>
  <c r="F62" i="84"/>
  <c r="F77" i="84" s="1"/>
  <c r="B62" i="84"/>
  <c r="K61" i="84"/>
  <c r="F61" i="84"/>
  <c r="B61" i="84"/>
  <c r="B60" i="84"/>
  <c r="K59" i="84"/>
  <c r="K74" i="84" s="1"/>
  <c r="F59" i="84"/>
  <c r="F74" i="84" s="1"/>
  <c r="B59" i="84"/>
  <c r="K58" i="84"/>
  <c r="F58" i="84"/>
  <c r="F73" i="84" s="1"/>
  <c r="B58" i="84"/>
  <c r="G53" i="84"/>
  <c r="N52" i="84"/>
  <c r="M52" i="84"/>
  <c r="K52" i="84"/>
  <c r="I52" i="84"/>
  <c r="H52" i="84"/>
  <c r="F52" i="84"/>
  <c r="J52" i="84" s="1"/>
  <c r="J78" i="84" s="1"/>
  <c r="B52" i="84"/>
  <c r="N51" i="84"/>
  <c r="M51" i="84"/>
  <c r="K51" i="84"/>
  <c r="I51" i="84"/>
  <c r="H51" i="84"/>
  <c r="F51" i="84"/>
  <c r="B51" i="84"/>
  <c r="I40" i="84"/>
  <c r="I41" i="84" s="1"/>
  <c r="J39" i="84"/>
  <c r="J38" i="84"/>
  <c r="J37" i="84"/>
  <c r="J27" i="84"/>
  <c r="I27" i="84"/>
  <c r="F27" i="84"/>
  <c r="D27" i="84"/>
  <c r="G27" i="84" s="1"/>
  <c r="G26" i="84"/>
  <c r="L26" i="84" s="1"/>
  <c r="G25" i="84"/>
  <c r="L25" i="84" s="1"/>
  <c r="K24" i="84"/>
  <c r="M24" i="84" s="1"/>
  <c r="G24" i="84"/>
  <c r="L24" i="84" s="1"/>
  <c r="N24" i="84" s="1"/>
  <c r="K23" i="84"/>
  <c r="M23" i="84" s="1"/>
  <c r="G23" i="84"/>
  <c r="L23" i="84" s="1"/>
  <c r="N23" i="84" s="1"/>
  <c r="K22" i="84"/>
  <c r="M22" i="84" s="1"/>
  <c r="G22" i="84"/>
  <c r="L22" i="84" s="1"/>
  <c r="N22" i="84" s="1"/>
  <c r="K21" i="84"/>
  <c r="M21" i="84" s="1"/>
  <c r="G21" i="84"/>
  <c r="L21" i="84" s="1"/>
  <c r="N21" i="84" s="1"/>
  <c r="K20" i="84"/>
  <c r="M20" i="84" s="1"/>
  <c r="G20" i="84"/>
  <c r="L20" i="84" s="1"/>
  <c r="N20" i="84" s="1"/>
  <c r="K19" i="84"/>
  <c r="M19" i="84" s="1"/>
  <c r="G19" i="84"/>
  <c r="L19" i="84" s="1"/>
  <c r="N19" i="84" s="1"/>
  <c r="K18" i="84"/>
  <c r="G18" i="84"/>
  <c r="L18" i="84" s="1"/>
  <c r="Q41" i="62"/>
  <c r="Q40" i="62"/>
  <c r="K76" i="84" l="1"/>
  <c r="J51" i="84"/>
  <c r="J53" i="84" s="1"/>
  <c r="O51" i="84"/>
  <c r="D28" i="84"/>
  <c r="J40" i="84"/>
  <c r="L40" i="84" s="1"/>
  <c r="L41" i="84" s="1"/>
  <c r="K27" i="84"/>
  <c r="F53" i="84"/>
  <c r="K67" i="84"/>
  <c r="M18" i="84"/>
  <c r="F76" i="84"/>
  <c r="F86" i="84" s="1"/>
  <c r="G86" i="84" s="1"/>
  <c r="K86" i="84"/>
  <c r="K87" i="84" s="1"/>
  <c r="O52" i="84"/>
  <c r="O78" i="84" s="1"/>
  <c r="K78" i="84"/>
  <c r="L27" i="84"/>
  <c r="L28" i="84" s="1"/>
  <c r="I28" i="84"/>
  <c r="J28" i="84"/>
  <c r="J42" i="84" s="1"/>
  <c r="F67" i="84"/>
  <c r="K73" i="84"/>
  <c r="F78" i="84"/>
  <c r="G78" i="84" s="1"/>
  <c r="N18" i="84"/>
  <c r="F6" i="79"/>
  <c r="K82" i="84" l="1"/>
  <c r="L78" i="84"/>
  <c r="O53" i="84"/>
  <c r="J41" i="84"/>
  <c r="J43" i="84" s="1"/>
  <c r="F82" i="84"/>
  <c r="I42" i="84"/>
  <c r="I43" i="84" s="1"/>
  <c r="M28" i="84"/>
  <c r="L42" i="84"/>
  <c r="L43" i="84" s="1"/>
  <c r="N28" i="84"/>
  <c r="O28" i="84" l="1"/>
  <c r="G43" i="84"/>
  <c r="G58" i="84" s="1"/>
  <c r="G59" i="84" l="1"/>
  <c r="J59" i="84" s="1"/>
  <c r="J74" i="84" s="1"/>
  <c r="G74" i="84" s="1"/>
  <c r="G64" i="84"/>
  <c r="J64" i="84" s="1"/>
  <c r="J79" i="84" s="1"/>
  <c r="G79" i="84" s="1"/>
  <c r="G60" i="84"/>
  <c r="J60" i="84" s="1"/>
  <c r="J75" i="84" s="1"/>
  <c r="L58" i="84"/>
  <c r="G63" i="84"/>
  <c r="J63" i="84" s="1"/>
  <c r="G66" i="84"/>
  <c r="J66" i="84" s="1"/>
  <c r="J81" i="84" s="1"/>
  <c r="G62" i="84"/>
  <c r="J62" i="84" s="1"/>
  <c r="J77" i="84" s="1"/>
  <c r="G77" i="84" s="1"/>
  <c r="G61" i="84"/>
  <c r="J61" i="84" s="1"/>
  <c r="J76" i="84" s="1"/>
  <c r="G76" i="84" s="1"/>
  <c r="G65" i="84"/>
  <c r="J65" i="84" s="1"/>
  <c r="J80" i="84" s="1"/>
  <c r="J58" i="84"/>
  <c r="O58" i="84" l="1"/>
  <c r="L59" i="84"/>
  <c r="J67" i="84"/>
  <c r="J73" i="84"/>
  <c r="G73" i="84" l="1"/>
  <c r="J82" i="84"/>
  <c r="O59" i="84"/>
  <c r="O74" i="84" s="1"/>
  <c r="L74" i="84" s="1"/>
  <c r="L60" i="84"/>
  <c r="O73" i="84"/>
  <c r="L73" i="84" l="1"/>
  <c r="L61" i="84"/>
  <c r="O60" i="84"/>
  <c r="L62" i="84" l="1"/>
  <c r="O61" i="84"/>
  <c r="O76" i="84" s="1"/>
  <c r="L76" i="84" l="1"/>
  <c r="L63" i="84"/>
  <c r="O62" i="84"/>
  <c r="O77" i="84" l="1"/>
  <c r="O63" i="84"/>
  <c r="L64" i="84"/>
  <c r="L65" i="84" l="1"/>
  <c r="O64" i="84"/>
  <c r="O79" i="84" s="1"/>
  <c r="L79" i="84" s="1"/>
  <c r="L77" i="84"/>
  <c r="L66" i="84" l="1"/>
  <c r="O66" i="84" s="1"/>
  <c r="O65" i="84"/>
  <c r="O80" i="84" s="1"/>
  <c r="O81" i="84" l="1"/>
  <c r="O82" i="84" s="1"/>
  <c r="O67" i="84"/>
  <c r="F19" i="78" l="1"/>
  <c r="E32" i="79"/>
  <c r="E31" i="79"/>
  <c r="Y5" i="83" l="1"/>
  <c r="X5" i="83"/>
  <c r="J26" i="64"/>
  <c r="J25" i="64"/>
  <c r="J24" i="64"/>
  <c r="J23" i="64"/>
  <c r="J22" i="64"/>
  <c r="J21" i="64"/>
  <c r="AD3" i="72"/>
  <c r="AC3" i="72"/>
  <c r="AH3" i="72"/>
  <c r="J31" i="64" l="1"/>
  <c r="AD4" i="72" s="1"/>
  <c r="AH4" i="72" l="1"/>
  <c r="AB3" i="72"/>
  <c r="E30" i="69" l="1"/>
  <c r="E29" i="69"/>
  <c r="E28" i="69"/>
  <c r="Y4" i="83"/>
  <c r="L12" i="83"/>
  <c r="K12" i="83"/>
  <c r="J12" i="83"/>
  <c r="G12" i="83"/>
  <c r="F12" i="83"/>
  <c r="E12" i="83"/>
  <c r="D12" i="83"/>
  <c r="C12" i="83"/>
  <c r="B12" i="83"/>
  <c r="T5" i="83"/>
  <c r="R5" i="83"/>
  <c r="P5" i="83"/>
  <c r="W4" i="83"/>
  <c r="X4" i="83"/>
  <c r="V4" i="83"/>
  <c r="T4" i="83"/>
  <c r="R4" i="83"/>
  <c r="P4" i="83"/>
  <c r="T3" i="83"/>
  <c r="R3" i="83"/>
  <c r="P3" i="83"/>
  <c r="M20" i="70"/>
  <c r="L20" i="70"/>
  <c r="K20" i="70"/>
  <c r="J20" i="70"/>
  <c r="I20" i="70"/>
  <c r="H20" i="70"/>
  <c r="G20" i="70"/>
  <c r="F20" i="70"/>
  <c r="E20" i="70"/>
  <c r="D20" i="70"/>
  <c r="C20" i="70"/>
  <c r="B20" i="70"/>
  <c r="L7" i="63"/>
  <c r="E64" i="70" s="1"/>
  <c r="L15" i="63"/>
  <c r="L14" i="63"/>
  <c r="L13" i="63"/>
  <c r="L12" i="63"/>
  <c r="L11" i="63"/>
  <c r="L10" i="63"/>
  <c r="L9" i="63"/>
  <c r="L8" i="63"/>
  <c r="L6" i="63"/>
  <c r="L5" i="63"/>
  <c r="L4" i="63"/>
  <c r="L3" i="63"/>
  <c r="I15" i="63"/>
  <c r="I14" i="63"/>
  <c r="I13" i="63"/>
  <c r="I12" i="63"/>
  <c r="I11" i="63"/>
  <c r="I10" i="63"/>
  <c r="I9" i="63"/>
  <c r="I8" i="63"/>
  <c r="I7" i="63"/>
  <c r="I6" i="63"/>
  <c r="I5" i="63"/>
  <c r="I4" i="63"/>
  <c r="I3" i="63"/>
  <c r="K65" i="70"/>
  <c r="J65" i="70"/>
  <c r="I65" i="70"/>
  <c r="H65" i="70"/>
  <c r="G65" i="70"/>
  <c r="F65" i="70"/>
  <c r="E65" i="70"/>
  <c r="D65" i="70"/>
  <c r="C65" i="70"/>
  <c r="B65" i="70"/>
  <c r="M66" i="70"/>
  <c r="L66" i="70"/>
  <c r="K66" i="70"/>
  <c r="J66" i="70"/>
  <c r="I66" i="70"/>
  <c r="H66" i="70"/>
  <c r="G66" i="70"/>
  <c r="F66" i="70"/>
  <c r="E66" i="70"/>
  <c r="D66" i="70"/>
  <c r="C66" i="70"/>
  <c r="B66" i="70"/>
  <c r="M61" i="70"/>
  <c r="L61" i="70"/>
  <c r="K61" i="70"/>
  <c r="J61" i="70"/>
  <c r="I61" i="70"/>
  <c r="H61" i="70"/>
  <c r="G61" i="70"/>
  <c r="F61" i="70"/>
  <c r="E61" i="70"/>
  <c r="D61" i="70"/>
  <c r="C61" i="70"/>
  <c r="B61" i="70"/>
  <c r="L60" i="70"/>
  <c r="K60" i="70"/>
  <c r="J60" i="70"/>
  <c r="I60" i="70"/>
  <c r="H60" i="70"/>
  <c r="G60" i="70"/>
  <c r="F60" i="70"/>
  <c r="E60" i="70"/>
  <c r="D60" i="70"/>
  <c r="C60" i="70"/>
  <c r="B60" i="70"/>
  <c r="M32" i="70"/>
  <c r="L32" i="70"/>
  <c r="K32" i="70"/>
  <c r="J32" i="70"/>
  <c r="I32" i="70"/>
  <c r="H32" i="70"/>
  <c r="G32" i="70"/>
  <c r="F32" i="70"/>
  <c r="E32" i="70"/>
  <c r="D32" i="70"/>
  <c r="C32" i="70"/>
  <c r="B32" i="70"/>
  <c r="M27" i="70"/>
  <c r="L27" i="70"/>
  <c r="K27" i="70"/>
  <c r="J27" i="70"/>
  <c r="I27" i="70"/>
  <c r="H27" i="70"/>
  <c r="G27" i="70"/>
  <c r="F27" i="70"/>
  <c r="E27" i="70"/>
  <c r="D27" i="70"/>
  <c r="C27" i="70"/>
  <c r="B27" i="70"/>
  <c r="M22" i="70"/>
  <c r="L22" i="70"/>
  <c r="K22" i="70"/>
  <c r="J22" i="70"/>
  <c r="I22" i="70"/>
  <c r="H22" i="70"/>
  <c r="G22" i="70"/>
  <c r="F22" i="70"/>
  <c r="E22" i="70"/>
  <c r="D22" i="70"/>
  <c r="C22" i="70"/>
  <c r="C51" i="70" s="1"/>
  <c r="B22" i="70"/>
  <c r="K21" i="70"/>
  <c r="J21" i="70"/>
  <c r="I21" i="70"/>
  <c r="H21" i="70"/>
  <c r="G21" i="70"/>
  <c r="F21" i="70"/>
  <c r="E21" i="70"/>
  <c r="D21" i="70"/>
  <c r="C21" i="70"/>
  <c r="B21" i="70"/>
  <c r="M41" i="70"/>
  <c r="L41" i="70"/>
  <c r="K41" i="70"/>
  <c r="J41" i="70"/>
  <c r="I41" i="70"/>
  <c r="H41" i="70"/>
  <c r="G41" i="70"/>
  <c r="F41" i="70"/>
  <c r="E41" i="70"/>
  <c r="D41" i="70"/>
  <c r="C41" i="70"/>
  <c r="B41" i="70"/>
  <c r="D40" i="70"/>
  <c r="C40" i="70"/>
  <c r="B40" i="70"/>
  <c r="K39" i="70"/>
  <c r="J39" i="70"/>
  <c r="I39" i="70"/>
  <c r="H39" i="70"/>
  <c r="G39" i="70"/>
  <c r="F39" i="70"/>
  <c r="E39" i="70"/>
  <c r="D39" i="70"/>
  <c r="C39" i="70"/>
  <c r="B39" i="70"/>
  <c r="K40" i="70"/>
  <c r="J40" i="70"/>
  <c r="I40" i="70"/>
  <c r="H40" i="70"/>
  <c r="G40" i="70"/>
  <c r="F40" i="70"/>
  <c r="E40" i="70"/>
  <c r="K8" i="70"/>
  <c r="J8" i="70"/>
  <c r="I8" i="70"/>
  <c r="H8" i="70"/>
  <c r="G8" i="70"/>
  <c r="F8" i="70"/>
  <c r="E8" i="70"/>
  <c r="D8" i="70"/>
  <c r="C8" i="70"/>
  <c r="B8" i="70"/>
  <c r="C8" i="79"/>
  <c r="C6" i="79"/>
  <c r="C7" i="79"/>
  <c r="C5" i="79"/>
  <c r="E44" i="79"/>
  <c r="E43" i="79"/>
  <c r="E42" i="79"/>
  <c r="E41" i="79"/>
  <c r="E40" i="79"/>
  <c r="E39" i="79"/>
  <c r="E38" i="79"/>
  <c r="E33" i="79"/>
  <c r="E30" i="79"/>
  <c r="E29" i="79"/>
  <c r="E28" i="79"/>
  <c r="E27" i="79"/>
  <c r="E51" i="70" l="1"/>
  <c r="I51" i="70"/>
  <c r="L51" i="70"/>
  <c r="J51" i="70"/>
  <c r="D51" i="70"/>
  <c r="F51" i="70"/>
  <c r="G51" i="70"/>
  <c r="H51" i="70"/>
  <c r="M51" i="70"/>
  <c r="K51" i="70"/>
  <c r="B51" i="70"/>
  <c r="C5" i="78" l="1"/>
  <c r="C6" i="78"/>
  <c r="C7" i="78"/>
  <c r="C8" i="78"/>
  <c r="E26" i="64"/>
  <c r="E25" i="64"/>
  <c r="E24" i="64"/>
  <c r="E23" i="64"/>
  <c r="E22" i="64"/>
  <c r="E21" i="64"/>
  <c r="E20" i="64"/>
  <c r="E19" i="64"/>
  <c r="E18" i="64"/>
  <c r="E17" i="64"/>
  <c r="D26" i="64"/>
  <c r="D25" i="64"/>
  <c r="D24" i="64"/>
  <c r="D23" i="64"/>
  <c r="D22" i="64"/>
  <c r="D21" i="64"/>
  <c r="D20" i="64"/>
  <c r="D19" i="64"/>
  <c r="D18" i="64"/>
  <c r="D17" i="64"/>
  <c r="C26" i="64"/>
  <c r="C25" i="64"/>
  <c r="C24" i="64"/>
  <c r="C23" i="64"/>
  <c r="C22" i="64"/>
  <c r="C21" i="64"/>
  <c r="C20" i="64"/>
  <c r="B26" i="64"/>
  <c r="B25" i="64"/>
  <c r="B24" i="64"/>
  <c r="B23" i="64"/>
  <c r="B22" i="64"/>
  <c r="B21" i="64"/>
  <c r="B20" i="64"/>
  <c r="B31" i="64" s="1"/>
  <c r="B19" i="64"/>
  <c r="B18" i="64"/>
  <c r="B17" i="64"/>
  <c r="H14" i="64"/>
  <c r="H13" i="64"/>
  <c r="G13" i="64"/>
  <c r="I12" i="64"/>
  <c r="F12" i="64"/>
  <c r="I11" i="64"/>
  <c r="F11" i="64"/>
  <c r="I10" i="64"/>
  <c r="F10" i="64"/>
  <c r="I9" i="64"/>
  <c r="F9" i="64"/>
  <c r="I8" i="64"/>
  <c r="F8" i="64"/>
  <c r="I7" i="64"/>
  <c r="F7" i="64"/>
  <c r="I6" i="64"/>
  <c r="F6" i="64"/>
  <c r="I5" i="64"/>
  <c r="F5" i="64"/>
  <c r="I4" i="64"/>
  <c r="F4" i="64"/>
  <c r="I3" i="64"/>
  <c r="I13" i="64" s="1"/>
  <c r="F3" i="64"/>
  <c r="D31" i="64" l="1"/>
  <c r="E31" i="64"/>
  <c r="C31" i="64"/>
  <c r="I14" i="64"/>
  <c r="G14" i="64" s="1"/>
  <c r="F13" i="64"/>
  <c r="F14" i="64"/>
  <c r="F528" i="69" l="1"/>
  <c r="O528" i="69"/>
  <c r="H528" i="69"/>
  <c r="G528" i="69"/>
  <c r="E528" i="69"/>
  <c r="D528" i="69"/>
  <c r="C528" i="69"/>
  <c r="D536" i="69"/>
  <c r="D537" i="69"/>
  <c r="D533" i="69"/>
  <c r="D534" i="69"/>
  <c r="G536" i="69"/>
  <c r="G537" i="69"/>
  <c r="H536" i="69"/>
  <c r="H537" i="69"/>
  <c r="E536" i="69"/>
  <c r="E537" i="69"/>
  <c r="F536" i="69"/>
  <c r="F537" i="69"/>
  <c r="H216" i="69"/>
  <c r="G216" i="69"/>
  <c r="F216" i="69"/>
  <c r="E216" i="69"/>
  <c r="D216" i="69"/>
  <c r="C216" i="69"/>
  <c r="H29" i="69"/>
  <c r="G29" i="69"/>
  <c r="F29" i="69"/>
  <c r="D29" i="69"/>
  <c r="C29" i="69"/>
  <c r="J522" i="69"/>
  <c r="I522" i="69"/>
  <c r="H522" i="69"/>
  <c r="G522" i="69"/>
  <c r="F522" i="69"/>
  <c r="E522" i="69"/>
  <c r="D522" i="69"/>
  <c r="D523" i="69" s="1"/>
  <c r="D524" i="69" s="1"/>
  <c r="J516" i="69"/>
  <c r="I516" i="69"/>
  <c r="H516" i="69"/>
  <c r="G516" i="69"/>
  <c r="F516" i="69"/>
  <c r="E516" i="69"/>
  <c r="E517" i="69" s="1"/>
  <c r="E518" i="69" s="1"/>
  <c r="D516" i="69"/>
  <c r="D517" i="69" s="1"/>
  <c r="D518" i="69" s="1"/>
  <c r="J511" i="69"/>
  <c r="J512" i="69"/>
  <c r="I511" i="69"/>
  <c r="I512" i="69"/>
  <c r="H511" i="69"/>
  <c r="H512" i="69"/>
  <c r="G511" i="69"/>
  <c r="G512" i="69"/>
  <c r="E511" i="69"/>
  <c r="E512" i="69"/>
  <c r="D511" i="69"/>
  <c r="D512" i="69"/>
  <c r="H505" i="69"/>
  <c r="H506" i="69"/>
  <c r="G505" i="69"/>
  <c r="G506" i="69"/>
  <c r="F505" i="69"/>
  <c r="F506" i="69"/>
  <c r="E505" i="69"/>
  <c r="E506" i="69"/>
  <c r="D505" i="69"/>
  <c r="D506" i="69"/>
  <c r="H481" i="69"/>
  <c r="H482" i="69"/>
  <c r="G481" i="69"/>
  <c r="G482" i="69"/>
  <c r="F481" i="69"/>
  <c r="F482" i="69"/>
  <c r="E481" i="69"/>
  <c r="E482" i="69"/>
  <c r="D481" i="69"/>
  <c r="D482" i="69"/>
  <c r="D457" i="69"/>
  <c r="D458" i="69"/>
  <c r="H457" i="69"/>
  <c r="H458" i="69"/>
  <c r="G457" i="69"/>
  <c r="G458" i="69"/>
  <c r="F457" i="69"/>
  <c r="F458" i="69"/>
  <c r="E457" i="69"/>
  <c r="E458" i="69"/>
  <c r="H433" i="69"/>
  <c r="H434" i="69"/>
  <c r="G433" i="69"/>
  <c r="G434" i="69"/>
  <c r="F433" i="69"/>
  <c r="F434" i="69"/>
  <c r="E433" i="69"/>
  <c r="E434" i="69"/>
  <c r="D433" i="69"/>
  <c r="D434" i="69"/>
  <c r="H415" i="69"/>
  <c r="H416" i="69"/>
  <c r="G415" i="69"/>
  <c r="G416" i="69"/>
  <c r="F415" i="69"/>
  <c r="F416" i="69"/>
  <c r="E415" i="69"/>
  <c r="E416" i="69"/>
  <c r="D415" i="69"/>
  <c r="D416" i="69"/>
  <c r="H397" i="69"/>
  <c r="H398" i="69"/>
  <c r="G397" i="69"/>
  <c r="G398" i="69"/>
  <c r="F397" i="69"/>
  <c r="F398" i="69"/>
  <c r="E397" i="69"/>
  <c r="E398" i="69"/>
  <c r="D397" i="69"/>
  <c r="D398" i="69"/>
  <c r="H379" i="69"/>
  <c r="H380" i="69"/>
  <c r="G379" i="69"/>
  <c r="G380" i="69"/>
  <c r="F379" i="69"/>
  <c r="F380" i="69"/>
  <c r="E379" i="69"/>
  <c r="E380" i="69"/>
  <c r="D379" i="69"/>
  <c r="D380" i="69"/>
  <c r="F511" i="69"/>
  <c r="F512" i="69"/>
  <c r="D14" i="71"/>
  <c r="D13" i="71"/>
  <c r="K27" i="63"/>
  <c r="B15" i="62"/>
  <c r="B14" i="62"/>
  <c r="B13" i="62"/>
  <c r="B12" i="62"/>
  <c r="B11" i="62"/>
  <c r="B10" i="62"/>
  <c r="B9" i="62"/>
  <c r="B8" i="62"/>
  <c r="B7" i="62"/>
  <c r="B6" i="62"/>
  <c r="C498" i="69"/>
  <c r="C474" i="69"/>
  <c r="C450" i="69"/>
  <c r="C364" i="69"/>
  <c r="C373" i="69"/>
  <c r="C359" i="69"/>
  <c r="C426" i="69"/>
  <c r="C358" i="69"/>
  <c r="C420" i="69"/>
  <c r="C353" i="69"/>
  <c r="C486" i="69"/>
  <c r="C354" i="69"/>
  <c r="C492" i="69"/>
  <c r="C349" i="69"/>
  <c r="C468" i="69"/>
  <c r="C344" i="69"/>
  <c r="C444" i="69"/>
  <c r="C343" i="69"/>
  <c r="C438" i="69"/>
  <c r="C340" i="69"/>
  <c r="C408" i="69"/>
  <c r="C339" i="69"/>
  <c r="C402" i="69"/>
  <c r="C336" i="69"/>
  <c r="C335" i="69"/>
  <c r="H210" i="69"/>
  <c r="G210" i="69"/>
  <c r="F210" i="69"/>
  <c r="E210" i="69"/>
  <c r="D210" i="69"/>
  <c r="C210" i="69"/>
  <c r="C222" i="69"/>
  <c r="D222" i="69"/>
  <c r="E222" i="69"/>
  <c r="F222" i="69"/>
  <c r="G222" i="69"/>
  <c r="H222" i="69"/>
  <c r="C169" i="69"/>
  <c r="D169" i="69"/>
  <c r="E169" i="69"/>
  <c r="F169" i="69"/>
  <c r="G169" i="69"/>
  <c r="H169" i="69"/>
  <c r="I171" i="69"/>
  <c r="I172" i="69"/>
  <c r="I173" i="69"/>
  <c r="I174" i="69"/>
  <c r="I175" i="69"/>
  <c r="I176" i="69"/>
  <c r="I177" i="69"/>
  <c r="I178" i="69"/>
  <c r="I179" i="69"/>
  <c r="I180" i="69"/>
  <c r="C10" i="79"/>
  <c r="D33" i="79" s="1"/>
  <c r="B10" i="79"/>
  <c r="B22" i="79" s="1"/>
  <c r="C10" i="78"/>
  <c r="B10" i="78"/>
  <c r="B158" i="59"/>
  <c r="B157" i="59"/>
  <c r="B156" i="59"/>
  <c r="B155" i="59"/>
  <c r="B154" i="59"/>
  <c r="C158" i="59"/>
  <c r="C157" i="59"/>
  <c r="C156" i="59"/>
  <c r="C155" i="59"/>
  <c r="C154" i="59"/>
  <c r="U46" i="72"/>
  <c r="U45" i="72"/>
  <c r="U47" i="72"/>
  <c r="T47" i="72"/>
  <c r="G79" i="62" s="1"/>
  <c r="T45" i="72"/>
  <c r="F15" i="64"/>
  <c r="F16" i="64" s="1"/>
  <c r="G16" i="64" s="1"/>
  <c r="O86" i="62"/>
  <c r="B85" i="79"/>
  <c r="E83" i="79"/>
  <c r="D81" i="79"/>
  <c r="E77" i="79"/>
  <c r="E76" i="79"/>
  <c r="E75" i="79"/>
  <c r="E74" i="79"/>
  <c r="E73" i="79"/>
  <c r="E72" i="79"/>
  <c r="D70" i="79"/>
  <c r="E66" i="79"/>
  <c r="E65" i="79"/>
  <c r="E64" i="79"/>
  <c r="E63" i="79"/>
  <c r="F63" i="79" s="1"/>
  <c r="E62" i="79"/>
  <c r="E61" i="79"/>
  <c r="D59" i="79"/>
  <c r="E55" i="79"/>
  <c r="E54" i="79"/>
  <c r="E53" i="79"/>
  <c r="E52" i="79"/>
  <c r="E51" i="79"/>
  <c r="E50" i="79"/>
  <c r="D48" i="79"/>
  <c r="C43" i="79"/>
  <c r="C42" i="79"/>
  <c r="C41" i="79"/>
  <c r="C40" i="79"/>
  <c r="C39" i="79"/>
  <c r="C38" i="79"/>
  <c r="D37" i="79"/>
  <c r="D26" i="79"/>
  <c r="A22" i="79"/>
  <c r="A55" i="79" s="1"/>
  <c r="A21" i="79"/>
  <c r="A32" i="79" s="1"/>
  <c r="A20" i="79"/>
  <c r="A75" i="79" s="1"/>
  <c r="A19" i="79"/>
  <c r="A52" i="79" s="1"/>
  <c r="A18" i="79"/>
  <c r="A40" i="79" s="1"/>
  <c r="A17" i="79"/>
  <c r="A16" i="79"/>
  <c r="A82" i="79" s="1"/>
  <c r="B85" i="78"/>
  <c r="E83" i="78"/>
  <c r="D81" i="78"/>
  <c r="E77" i="78"/>
  <c r="E76" i="78"/>
  <c r="E75" i="78"/>
  <c r="E74" i="78"/>
  <c r="E73" i="78"/>
  <c r="E72" i="78"/>
  <c r="D70" i="78"/>
  <c r="E66" i="78"/>
  <c r="E65" i="78"/>
  <c r="E64" i="78"/>
  <c r="E63" i="78"/>
  <c r="F63" i="78" s="1"/>
  <c r="E62" i="78"/>
  <c r="E61" i="78"/>
  <c r="D59" i="78"/>
  <c r="E55" i="78"/>
  <c r="E54" i="78"/>
  <c r="E53" i="78"/>
  <c r="E52" i="78"/>
  <c r="E51" i="78"/>
  <c r="E50" i="78"/>
  <c r="D48" i="78"/>
  <c r="C43" i="78"/>
  <c r="C42" i="78"/>
  <c r="C41" i="78"/>
  <c r="C40" i="78"/>
  <c r="C39" i="78"/>
  <c r="C38" i="78"/>
  <c r="D37" i="78"/>
  <c r="D26" i="78"/>
  <c r="C22" i="78"/>
  <c r="A22" i="78"/>
  <c r="A66" i="78" s="1"/>
  <c r="C21" i="78"/>
  <c r="A21" i="78"/>
  <c r="A43" i="78" s="1"/>
  <c r="C20" i="78"/>
  <c r="A20" i="78"/>
  <c r="A19" i="78"/>
  <c r="A30" i="78" s="1"/>
  <c r="C18" i="78"/>
  <c r="A18" i="78"/>
  <c r="A40" i="78" s="1"/>
  <c r="C17" i="78"/>
  <c r="A17" i="78"/>
  <c r="A39" i="78" s="1"/>
  <c r="A16" i="78"/>
  <c r="A27" i="78" s="1"/>
  <c r="B22" i="78"/>
  <c r="A66" i="79"/>
  <c r="A42" i="79"/>
  <c r="A38" i="79"/>
  <c r="A60" i="79"/>
  <c r="A49" i="79"/>
  <c r="A71" i="79"/>
  <c r="A27" i="79"/>
  <c r="A50" i="79"/>
  <c r="A72" i="79"/>
  <c r="A61" i="79"/>
  <c r="A28" i="79"/>
  <c r="A83" i="79"/>
  <c r="A39" i="79"/>
  <c r="A74" i="79"/>
  <c r="A41" i="79"/>
  <c r="A63" i="79"/>
  <c r="A62" i="78"/>
  <c r="A41" i="78"/>
  <c r="A74" i="78"/>
  <c r="A28" i="78"/>
  <c r="A31" i="78"/>
  <c r="A42" i="78"/>
  <c r="A53" i="78"/>
  <c r="A64" i="78"/>
  <c r="A75" i="78"/>
  <c r="A55" i="78"/>
  <c r="A44" i="78"/>
  <c r="D33" i="78"/>
  <c r="I504" i="69"/>
  <c r="F33" i="78"/>
  <c r="D44" i="78"/>
  <c r="F44" i="78" s="1"/>
  <c r="C320" i="69"/>
  <c r="D320" i="69"/>
  <c r="E320" i="69"/>
  <c r="C305" i="69"/>
  <c r="D305" i="69"/>
  <c r="E305" i="69"/>
  <c r="C291" i="69"/>
  <c r="D291" i="69"/>
  <c r="E291" i="69"/>
  <c r="C276" i="69"/>
  <c r="D276" i="69"/>
  <c r="A338" i="69"/>
  <c r="E276" i="69"/>
  <c r="F276" i="69"/>
  <c r="G276" i="69"/>
  <c r="H276" i="69"/>
  <c r="C271" i="69"/>
  <c r="D271" i="69"/>
  <c r="E271" i="69"/>
  <c r="F271" i="69"/>
  <c r="G271" i="69"/>
  <c r="H271" i="69"/>
  <c r="C266" i="69"/>
  <c r="D266" i="69"/>
  <c r="E266" i="69"/>
  <c r="F266" i="69"/>
  <c r="G266" i="69"/>
  <c r="H266" i="69"/>
  <c r="C204" i="69"/>
  <c r="D204" i="69"/>
  <c r="E204" i="69"/>
  <c r="F204" i="69"/>
  <c r="G204" i="69"/>
  <c r="H204" i="69"/>
  <c r="C198" i="69"/>
  <c r="D198" i="69"/>
  <c r="E198" i="69"/>
  <c r="F198" i="69"/>
  <c r="G198" i="69"/>
  <c r="H198" i="69"/>
  <c r="C183" i="69"/>
  <c r="D183" i="69"/>
  <c r="E183" i="69"/>
  <c r="F183" i="69"/>
  <c r="G183" i="69"/>
  <c r="H183" i="69"/>
  <c r="C163" i="69"/>
  <c r="D163" i="69"/>
  <c r="E163" i="69"/>
  <c r="F163" i="69"/>
  <c r="G163" i="69"/>
  <c r="H163" i="69"/>
  <c r="C149" i="69"/>
  <c r="D149" i="69"/>
  <c r="E149" i="69"/>
  <c r="F149" i="69"/>
  <c r="G149" i="69"/>
  <c r="H149" i="69"/>
  <c r="C135" i="69"/>
  <c r="D135" i="69"/>
  <c r="E135" i="69"/>
  <c r="F135" i="69"/>
  <c r="G135" i="69"/>
  <c r="H135" i="69"/>
  <c r="C59" i="69"/>
  <c r="D59" i="69"/>
  <c r="E59" i="69"/>
  <c r="F59" i="69"/>
  <c r="G59" i="69"/>
  <c r="H59" i="69"/>
  <c r="C245" i="69"/>
  <c r="D245" i="69"/>
  <c r="E245" i="69"/>
  <c r="F245" i="69"/>
  <c r="G245" i="69"/>
  <c r="H245" i="69"/>
  <c r="I245" i="69"/>
  <c r="I253" i="69"/>
  <c r="I254" i="69"/>
  <c r="I255" i="69"/>
  <c r="I256" i="69"/>
  <c r="I257" i="69"/>
  <c r="H258" i="69"/>
  <c r="I258" i="69"/>
  <c r="B244" i="69"/>
  <c r="E239" i="69"/>
  <c r="D239" i="69"/>
  <c r="F239" i="69" s="1"/>
  <c r="G239" i="69" s="1"/>
  <c r="E238" i="69"/>
  <c r="D238" i="69"/>
  <c r="F238" i="69" s="1"/>
  <c r="G238" i="69" s="1"/>
  <c r="E237" i="69"/>
  <c r="F237" i="69" s="1"/>
  <c r="G237" i="69" s="1"/>
  <c r="D237" i="69"/>
  <c r="E236" i="69"/>
  <c r="E235" i="69"/>
  <c r="F235" i="69" s="1"/>
  <c r="G235" i="69" s="1"/>
  <c r="E234" i="69"/>
  <c r="E233" i="69"/>
  <c r="E232" i="69"/>
  <c r="E231" i="69"/>
  <c r="E230" i="69"/>
  <c r="F230" i="69" s="1"/>
  <c r="G230" i="69" s="1"/>
  <c r="E229" i="69"/>
  <c r="D236" i="69"/>
  <c r="F236" i="69"/>
  <c r="G236" i="69" s="1"/>
  <c r="D235" i="69"/>
  <c r="D234" i="69"/>
  <c r="F234" i="69" s="1"/>
  <c r="G234" i="69" s="1"/>
  <c r="D233" i="69"/>
  <c r="D232" i="69"/>
  <c r="F232" i="69" s="1"/>
  <c r="G232" i="69" s="1"/>
  <c r="D231" i="69"/>
  <c r="D230" i="69"/>
  <c r="D229" i="69"/>
  <c r="D228" i="69"/>
  <c r="E228" i="69"/>
  <c r="E268" i="69"/>
  <c r="D268" i="69"/>
  <c r="C268" i="69"/>
  <c r="E267" i="69"/>
  <c r="D267" i="69"/>
  <c r="C267" i="69"/>
  <c r="A273" i="69"/>
  <c r="A272" i="69"/>
  <c r="A268" i="69"/>
  <c r="A267" i="69"/>
  <c r="A201" i="69"/>
  <c r="A282" i="69"/>
  <c r="A285" i="69"/>
  <c r="A200" i="69"/>
  <c r="A281" i="69"/>
  <c r="A284" i="69"/>
  <c r="C293" i="69"/>
  <c r="C294" i="69"/>
  <c r="C295" i="69"/>
  <c r="E146" i="69"/>
  <c r="E139" i="69"/>
  <c r="E138" i="69"/>
  <c r="E137" i="69"/>
  <c r="E47" i="69"/>
  <c r="E46" i="69"/>
  <c r="E45" i="69"/>
  <c r="E66" i="69"/>
  <c r="D13" i="63"/>
  <c r="U35" i="72"/>
  <c r="H251" i="69"/>
  <c r="H255" i="69"/>
  <c r="G255" i="69"/>
  <c r="F255" i="69"/>
  <c r="E255" i="69"/>
  <c r="H254" i="69"/>
  <c r="G254" i="69"/>
  <c r="F254" i="69"/>
  <c r="E254" i="69"/>
  <c r="D254" i="69"/>
  <c r="H253" i="69"/>
  <c r="G253" i="69"/>
  <c r="F253" i="69"/>
  <c r="E253" i="69"/>
  <c r="D253" i="69"/>
  <c r="C253" i="69"/>
  <c r="G256" i="69"/>
  <c r="H256" i="69"/>
  <c r="G257" i="69"/>
  <c r="S33" i="72"/>
  <c r="F249" i="69" s="1"/>
  <c r="F256" i="69"/>
  <c r="H257" i="69"/>
  <c r="T33" i="72"/>
  <c r="G249" i="69"/>
  <c r="U34" i="72"/>
  <c r="V34" i="72" s="1"/>
  <c r="I250" i="69" s="1"/>
  <c r="U33" i="72"/>
  <c r="T34" i="72"/>
  <c r="V35" i="72"/>
  <c r="I251" i="69" s="1"/>
  <c r="G250" i="69"/>
  <c r="V33" i="72"/>
  <c r="I249" i="69" s="1"/>
  <c r="H249" i="69"/>
  <c r="U32" i="72"/>
  <c r="H248" i="69"/>
  <c r="U31" i="72"/>
  <c r="H247" i="69"/>
  <c r="T32" i="72"/>
  <c r="G248" i="69" s="1"/>
  <c r="S32" i="72"/>
  <c r="F248" i="69"/>
  <c r="R32" i="72"/>
  <c r="E248" i="69"/>
  <c r="T31" i="72"/>
  <c r="G247" i="69"/>
  <c r="S31" i="72"/>
  <c r="V31" i="72" s="1"/>
  <c r="I247" i="69" s="1"/>
  <c r="R31" i="72"/>
  <c r="E247" i="69"/>
  <c r="Q31" i="72"/>
  <c r="D247" i="69"/>
  <c r="U30" i="72"/>
  <c r="H246" i="69"/>
  <c r="T30" i="72"/>
  <c r="G246" i="69" s="1"/>
  <c r="S30" i="72"/>
  <c r="F246" i="69"/>
  <c r="R30" i="72"/>
  <c r="E246" i="69"/>
  <c r="Q30" i="72"/>
  <c r="D246" i="69"/>
  <c r="P30" i="72"/>
  <c r="V30" i="72" s="1"/>
  <c r="I246" i="69" s="1"/>
  <c r="D263" i="69"/>
  <c r="V32" i="72"/>
  <c r="I248" i="69" s="1"/>
  <c r="S123" i="69"/>
  <c r="E302" i="69"/>
  <c r="E301" i="69"/>
  <c r="E300" i="69"/>
  <c r="E299" i="69"/>
  <c r="E298" i="69"/>
  <c r="E297" i="69"/>
  <c r="E296" i="69"/>
  <c r="E295" i="69"/>
  <c r="F295" i="69" s="1"/>
  <c r="E294" i="69"/>
  <c r="E293" i="69"/>
  <c r="D302" i="69"/>
  <c r="D301" i="69"/>
  <c r="D300" i="69"/>
  <c r="D299" i="69"/>
  <c r="D298" i="69"/>
  <c r="D297" i="69"/>
  <c r="D296" i="69"/>
  <c r="D295" i="69"/>
  <c r="D294" i="69"/>
  <c r="D293" i="69"/>
  <c r="S122" i="69"/>
  <c r="I10" i="62"/>
  <c r="I11" i="62"/>
  <c r="I12" i="62"/>
  <c r="I13" i="62"/>
  <c r="I14" i="62"/>
  <c r="I15" i="62"/>
  <c r="D344" i="69"/>
  <c r="D444" i="69" s="1"/>
  <c r="D445" i="69" s="1"/>
  <c r="D446" i="69" s="1"/>
  <c r="E33" i="69"/>
  <c r="H344" i="69"/>
  <c r="H444" i="69" s="1"/>
  <c r="E37" i="69"/>
  <c r="J31" i="62"/>
  <c r="J30" i="62"/>
  <c r="J29" i="62"/>
  <c r="J28" i="62"/>
  <c r="J27" i="62"/>
  <c r="J40" i="62" s="1"/>
  <c r="J26" i="62"/>
  <c r="J25" i="62"/>
  <c r="K14" i="63"/>
  <c r="L39" i="70" s="1"/>
  <c r="D12" i="63"/>
  <c r="D11" i="63"/>
  <c r="D10" i="63"/>
  <c r="D24" i="63" s="1"/>
  <c r="D9" i="63"/>
  <c r="D8" i="63"/>
  <c r="D7" i="63"/>
  <c r="E14" i="63"/>
  <c r="E15" i="63" s="1"/>
  <c r="F27" i="63"/>
  <c r="F26" i="63"/>
  <c r="F25" i="63"/>
  <c r="F24" i="63"/>
  <c r="F33" i="63" s="1"/>
  <c r="F23" i="63"/>
  <c r="F22" i="63"/>
  <c r="I9" i="62"/>
  <c r="E141" i="69"/>
  <c r="E49" i="69"/>
  <c r="C298" i="69"/>
  <c r="D345" i="69"/>
  <c r="D450" i="69"/>
  <c r="D451" i="69" s="1"/>
  <c r="D452" i="69" s="1"/>
  <c r="C302" i="69"/>
  <c r="H345" i="69"/>
  <c r="H450" i="69" s="1"/>
  <c r="C296" i="69"/>
  <c r="F345" i="69"/>
  <c r="F450" i="69" s="1"/>
  <c r="E345" i="69"/>
  <c r="E450" i="69" s="1"/>
  <c r="C300" i="69"/>
  <c r="E145" i="69"/>
  <c r="I145" i="69" s="1"/>
  <c r="E53" i="69"/>
  <c r="C299" i="69"/>
  <c r="E140" i="69"/>
  <c r="E48" i="69"/>
  <c r="E144" i="69"/>
  <c r="E52" i="69"/>
  <c r="I52" i="69" s="1"/>
  <c r="C297" i="69"/>
  <c r="G345" i="69"/>
  <c r="G450" i="69"/>
  <c r="C301" i="69"/>
  <c r="F301" i="69" s="1"/>
  <c r="N9" i="62"/>
  <c r="N10" i="62"/>
  <c r="N11" i="62"/>
  <c r="N12" i="62"/>
  <c r="C15" i="69" s="1"/>
  <c r="N15" i="62"/>
  <c r="C18" i="69" s="1"/>
  <c r="G31" i="62"/>
  <c r="D316" i="69"/>
  <c r="C316" i="69"/>
  <c r="H67" i="62"/>
  <c r="I67" i="62"/>
  <c r="P31" i="62"/>
  <c r="P30" i="62"/>
  <c r="P29" i="62"/>
  <c r="P28" i="62"/>
  <c r="P27" i="62"/>
  <c r="P26" i="62"/>
  <c r="P25" i="62"/>
  <c r="P40" i="62"/>
  <c r="E27" i="63"/>
  <c r="E26" i="63"/>
  <c r="E25" i="63"/>
  <c r="E24" i="63"/>
  <c r="E23" i="63"/>
  <c r="E22" i="63"/>
  <c r="E33" i="63" s="1"/>
  <c r="X20" i="72"/>
  <c r="X21" i="72" s="1"/>
  <c r="W20" i="72"/>
  <c r="W21" i="72" s="1"/>
  <c r="V20" i="72"/>
  <c r="V21" i="72" s="1"/>
  <c r="U20" i="72"/>
  <c r="U21" i="72" s="1"/>
  <c r="T20" i="72"/>
  <c r="S20" i="72"/>
  <c r="R20" i="72"/>
  <c r="Q20" i="72"/>
  <c r="I27" i="63"/>
  <c r="D27" i="63"/>
  <c r="C27" i="63"/>
  <c r="B27" i="63"/>
  <c r="I26" i="63"/>
  <c r="H26" i="63"/>
  <c r="G26" i="63"/>
  <c r="D26" i="63"/>
  <c r="C26" i="63"/>
  <c r="B26" i="63"/>
  <c r="I25" i="63"/>
  <c r="H25" i="63"/>
  <c r="G25" i="63"/>
  <c r="C25" i="63"/>
  <c r="B25" i="63"/>
  <c r="I24" i="63"/>
  <c r="H24" i="63"/>
  <c r="G24" i="63"/>
  <c r="C24" i="63"/>
  <c r="B24" i="63"/>
  <c r="I23" i="63"/>
  <c r="H23" i="63"/>
  <c r="G23" i="63"/>
  <c r="D23" i="63"/>
  <c r="C23" i="63"/>
  <c r="B23" i="63"/>
  <c r="H22" i="63"/>
  <c r="G22" i="63"/>
  <c r="D22" i="63"/>
  <c r="C22" i="63"/>
  <c r="B22" i="63"/>
  <c r="H21" i="63"/>
  <c r="H33" i="63" s="1"/>
  <c r="H31" i="63" s="1"/>
  <c r="G14" i="63" s="1"/>
  <c r="G21" i="63"/>
  <c r="D21" i="63"/>
  <c r="C21" i="63"/>
  <c r="B21" i="63"/>
  <c r="H20" i="63"/>
  <c r="G20" i="63"/>
  <c r="D20" i="63"/>
  <c r="C20" i="63"/>
  <c r="C33" i="63" s="1"/>
  <c r="C31" i="63" s="1"/>
  <c r="C14" i="63" s="1"/>
  <c r="B20" i="63"/>
  <c r="B33" i="63" s="1"/>
  <c r="I19" i="63"/>
  <c r="H19" i="63"/>
  <c r="G19" i="63"/>
  <c r="D19" i="63"/>
  <c r="C19" i="63"/>
  <c r="B19" i="63"/>
  <c r="I18" i="63"/>
  <c r="H18" i="63"/>
  <c r="G18" i="63"/>
  <c r="D18" i="63"/>
  <c r="C18" i="63"/>
  <c r="B18" i="63"/>
  <c r="M31" i="62"/>
  <c r="M30" i="62"/>
  <c r="M29" i="62"/>
  <c r="M28" i="62"/>
  <c r="M41" i="62" s="1"/>
  <c r="M27" i="62"/>
  <c r="M26" i="62"/>
  <c r="M23" i="62"/>
  <c r="M22" i="62"/>
  <c r="M36" i="62" s="1"/>
  <c r="L30" i="62"/>
  <c r="L29" i="62"/>
  <c r="L28" i="62"/>
  <c r="L42" i="62" s="1"/>
  <c r="L27" i="62"/>
  <c r="L40" i="62" s="1"/>
  <c r="L26" i="62"/>
  <c r="L25" i="62"/>
  <c r="L24" i="62"/>
  <c r="L23" i="62"/>
  <c r="L22" i="62"/>
  <c r="K30" i="62"/>
  <c r="K29" i="62"/>
  <c r="K28" i="62"/>
  <c r="K41" i="62" s="1"/>
  <c r="K27" i="62"/>
  <c r="K26" i="62"/>
  <c r="K25" i="62"/>
  <c r="K24" i="62"/>
  <c r="K23" i="62"/>
  <c r="K22" i="62"/>
  <c r="I31" i="62"/>
  <c r="I27" i="62"/>
  <c r="I26" i="62"/>
  <c r="I25" i="62"/>
  <c r="I24" i="62"/>
  <c r="I23" i="62"/>
  <c r="I22" i="62"/>
  <c r="H31" i="62"/>
  <c r="H30" i="62"/>
  <c r="H29" i="62"/>
  <c r="H28" i="62"/>
  <c r="H27" i="62"/>
  <c r="H26" i="62"/>
  <c r="H25" i="62"/>
  <c r="H24" i="62"/>
  <c r="H23" i="62"/>
  <c r="H22" i="62"/>
  <c r="G23" i="62"/>
  <c r="G30" i="62"/>
  <c r="G29" i="62"/>
  <c r="G28" i="62"/>
  <c r="G27" i="62"/>
  <c r="G26" i="62"/>
  <c r="G25" i="62"/>
  <c r="G24" i="62"/>
  <c r="G22" i="62"/>
  <c r="N8" i="62"/>
  <c r="C11" i="69" s="1"/>
  <c r="N7" i="62"/>
  <c r="N6" i="62"/>
  <c r="C14" i="71"/>
  <c r="C13" i="71"/>
  <c r="B14" i="71"/>
  <c r="B13" i="71"/>
  <c r="D12" i="71"/>
  <c r="D11" i="71"/>
  <c r="D10" i="71"/>
  <c r="D9" i="71"/>
  <c r="D8" i="71"/>
  <c r="D7" i="71"/>
  <c r="D6" i="71"/>
  <c r="D5" i="71"/>
  <c r="D4" i="71"/>
  <c r="D3" i="71"/>
  <c r="M40" i="62"/>
  <c r="H42" i="62"/>
  <c r="L39" i="62"/>
  <c r="M44" i="62"/>
  <c r="K36" i="62"/>
  <c r="K40" i="62"/>
  <c r="L43" i="62"/>
  <c r="G44" i="62"/>
  <c r="H44" i="62"/>
  <c r="Q21" i="72"/>
  <c r="R21" i="72"/>
  <c r="S21" i="72"/>
  <c r="T21" i="72"/>
  <c r="N14" i="72"/>
  <c r="D6" i="72"/>
  <c r="E6" i="72" s="1"/>
  <c r="D14" i="72"/>
  <c r="E14" i="72" s="1"/>
  <c r="D7" i="72"/>
  <c r="E7" i="72"/>
  <c r="K7" i="72" s="1"/>
  <c r="D9" i="72"/>
  <c r="E9" i="72"/>
  <c r="K9" i="72"/>
  <c r="D16" i="72"/>
  <c r="E16" i="72" s="1"/>
  <c r="C19" i="72"/>
  <c r="D2" i="72"/>
  <c r="E2" i="72" s="1"/>
  <c r="D10" i="72"/>
  <c r="E10" i="72" s="1"/>
  <c r="D17" i="72"/>
  <c r="E17" i="72"/>
  <c r="K17" i="72" s="1"/>
  <c r="D8" i="72"/>
  <c r="E8" i="72"/>
  <c r="K8" i="72"/>
  <c r="D15" i="72"/>
  <c r="E15" i="72" s="1"/>
  <c r="D3" i="72"/>
  <c r="E3" i="72" s="1"/>
  <c r="D11" i="72"/>
  <c r="E11" i="72"/>
  <c r="K11" i="72" s="1"/>
  <c r="D4" i="72"/>
  <c r="E4" i="72"/>
  <c r="K4" i="72"/>
  <c r="D12" i="72"/>
  <c r="E12" i="72" s="1"/>
  <c r="D5" i="72"/>
  <c r="E5" i="72" s="1"/>
  <c r="D13" i="72"/>
  <c r="E13" i="72"/>
  <c r="K13" i="72" s="1"/>
  <c r="H359" i="69"/>
  <c r="H426" i="69" s="1"/>
  <c r="G359" i="69"/>
  <c r="G426" i="69" s="1"/>
  <c r="F359" i="69"/>
  <c r="F426" i="69" s="1"/>
  <c r="E359" i="69"/>
  <c r="E426" i="69" s="1"/>
  <c r="D359" i="69"/>
  <c r="D426" i="69" s="1"/>
  <c r="D427" i="69" s="1"/>
  <c r="D428" i="69" s="1"/>
  <c r="H355" i="69"/>
  <c r="H498" i="69" s="1"/>
  <c r="G355" i="69"/>
  <c r="G498" i="69"/>
  <c r="F355" i="69"/>
  <c r="F498" i="69" s="1"/>
  <c r="E355" i="69"/>
  <c r="D355" i="69"/>
  <c r="H354" i="69"/>
  <c r="H492" i="69" s="1"/>
  <c r="G354" i="69"/>
  <c r="G492" i="69" s="1"/>
  <c r="F354" i="69"/>
  <c r="F492" i="69" s="1"/>
  <c r="E354" i="69"/>
  <c r="E492" i="69" s="1"/>
  <c r="D354" i="69"/>
  <c r="D492" i="69" s="1"/>
  <c r="D493" i="69" s="1"/>
  <c r="D494" i="69" s="1"/>
  <c r="H350" i="69"/>
  <c r="H364" i="69" s="1"/>
  <c r="G350" i="69"/>
  <c r="G364" i="69" s="1"/>
  <c r="F350" i="69"/>
  <c r="F474" i="69"/>
  <c r="E350" i="69"/>
  <c r="E474" i="69" s="1"/>
  <c r="D350" i="69"/>
  <c r="D474" i="69" s="1"/>
  <c r="I367" i="69"/>
  <c r="J367" i="69"/>
  <c r="I368" i="69"/>
  <c r="H367" i="69"/>
  <c r="G367" i="69"/>
  <c r="F367" i="69"/>
  <c r="E367" i="69"/>
  <c r="D367" i="69"/>
  <c r="J368" i="69"/>
  <c r="H368" i="69"/>
  <c r="G368" i="69"/>
  <c r="F368" i="69"/>
  <c r="E368" i="69"/>
  <c r="D368" i="69"/>
  <c r="H349" i="69"/>
  <c r="H468" i="69" s="1"/>
  <c r="G349" i="69"/>
  <c r="G468" i="69" s="1"/>
  <c r="F349" i="69"/>
  <c r="F468" i="69" s="1"/>
  <c r="E349" i="69"/>
  <c r="E468" i="69" s="1"/>
  <c r="D349" i="69"/>
  <c r="D468" i="69" s="1"/>
  <c r="D469" i="69" s="1"/>
  <c r="D470" i="69" s="1"/>
  <c r="H340" i="69"/>
  <c r="H408" i="69" s="1"/>
  <c r="G340" i="69"/>
  <c r="G408" i="69" s="1"/>
  <c r="F340" i="69"/>
  <c r="F408" i="69" s="1"/>
  <c r="E340" i="69"/>
  <c r="D340" i="69"/>
  <c r="D408" i="69" s="1"/>
  <c r="D409" i="69" s="1"/>
  <c r="D410" i="69" s="1"/>
  <c r="H336" i="69"/>
  <c r="H390" i="69" s="1"/>
  <c r="G336" i="69"/>
  <c r="G390" i="69" s="1"/>
  <c r="F336" i="69"/>
  <c r="E336" i="69"/>
  <c r="E390" i="69" s="1"/>
  <c r="D336" i="69"/>
  <c r="D390" i="69" s="1"/>
  <c r="D391" i="69" s="1"/>
  <c r="D392" i="69" s="1"/>
  <c r="H62" i="69"/>
  <c r="G62" i="69"/>
  <c r="F62" i="69"/>
  <c r="E62" i="69"/>
  <c r="D62" i="69"/>
  <c r="C62" i="69"/>
  <c r="H54" i="69"/>
  <c r="H358" i="69" s="1"/>
  <c r="H420" i="69" s="1"/>
  <c r="D54" i="69"/>
  <c r="H339" i="69" s="1"/>
  <c r="H402" i="69" s="1"/>
  <c r="H403" i="69" s="1"/>
  <c r="H404" i="69" s="1"/>
  <c r="C54" i="69"/>
  <c r="H335" i="69" s="1"/>
  <c r="H53" i="69"/>
  <c r="G53" i="69"/>
  <c r="G353" i="69" s="1"/>
  <c r="G486" i="69" s="1"/>
  <c r="F53" i="69"/>
  <c r="G348" i="69" s="1"/>
  <c r="G462" i="69" s="1"/>
  <c r="D53" i="69"/>
  <c r="G339" i="69" s="1"/>
  <c r="G402" i="69" s="1"/>
  <c r="C53" i="69"/>
  <c r="G335" i="69"/>
  <c r="H52" i="69"/>
  <c r="G52" i="69"/>
  <c r="F52" i="69"/>
  <c r="F348" i="69" s="1"/>
  <c r="F462" i="69" s="1"/>
  <c r="D52" i="69"/>
  <c r="F339" i="69" s="1"/>
  <c r="F402" i="69" s="1"/>
  <c r="C52" i="69"/>
  <c r="H51" i="69"/>
  <c r="F358" i="69" s="1"/>
  <c r="F420" i="69" s="1"/>
  <c r="G51" i="69"/>
  <c r="E353" i="69" s="1"/>
  <c r="E486" i="69" s="1"/>
  <c r="F51" i="69"/>
  <c r="E348" i="69" s="1"/>
  <c r="E462" i="69" s="1"/>
  <c r="D51" i="69"/>
  <c r="E339" i="69" s="1"/>
  <c r="E402" i="69" s="1"/>
  <c r="C51" i="69"/>
  <c r="H50" i="69"/>
  <c r="D358" i="69" s="1"/>
  <c r="D420" i="69" s="1"/>
  <c r="D421" i="69" s="1"/>
  <c r="D422" i="69" s="1"/>
  <c r="G50" i="69"/>
  <c r="F50" i="69"/>
  <c r="D348" i="69"/>
  <c r="D462" i="69" s="1"/>
  <c r="D463" i="69" s="1"/>
  <c r="D464" i="69" s="1"/>
  <c r="D50" i="69"/>
  <c r="D339" i="69" s="1"/>
  <c r="D402" i="69" s="1"/>
  <c r="D403" i="69" s="1"/>
  <c r="D404" i="69" s="1"/>
  <c r="C50" i="69"/>
  <c r="D335" i="69" s="1"/>
  <c r="H49" i="69"/>
  <c r="I49" i="69" s="1"/>
  <c r="G49" i="69"/>
  <c r="F49" i="69"/>
  <c r="D49" i="69"/>
  <c r="C49" i="69"/>
  <c r="G48" i="69"/>
  <c r="F48" i="69"/>
  <c r="D48" i="69"/>
  <c r="C48" i="69"/>
  <c r="I48" i="69" s="1"/>
  <c r="G47" i="69"/>
  <c r="F47" i="69"/>
  <c r="D47" i="69"/>
  <c r="C47" i="69"/>
  <c r="H46" i="69"/>
  <c r="G46" i="69"/>
  <c r="F46" i="69"/>
  <c r="D46" i="69"/>
  <c r="D65" i="69" s="1"/>
  <c r="C46" i="69"/>
  <c r="I43" i="69"/>
  <c r="H45" i="69"/>
  <c r="G45" i="69"/>
  <c r="F45" i="69"/>
  <c r="D45" i="69"/>
  <c r="C45" i="69"/>
  <c r="A39" i="69"/>
  <c r="A56" i="69"/>
  <c r="H37" i="69"/>
  <c r="H73" i="69" s="1"/>
  <c r="G37" i="69"/>
  <c r="F37" i="69"/>
  <c r="D37" i="69"/>
  <c r="D73" i="69" s="1"/>
  <c r="D180" i="69" s="1"/>
  <c r="C37" i="69"/>
  <c r="C73" i="69" s="1"/>
  <c r="H36" i="69"/>
  <c r="H72" i="69" s="1"/>
  <c r="G36" i="69"/>
  <c r="F36" i="69"/>
  <c r="D36" i="69"/>
  <c r="D72" i="69" s="1"/>
  <c r="C36" i="69"/>
  <c r="C72" i="69" s="1"/>
  <c r="C179" i="69" s="1"/>
  <c r="H35" i="69"/>
  <c r="H71" i="69" s="1"/>
  <c r="H178" i="69" s="1"/>
  <c r="G35" i="69"/>
  <c r="G71" i="69" s="1"/>
  <c r="G178" i="69" s="1"/>
  <c r="F35" i="69"/>
  <c r="F71" i="69" s="1"/>
  <c r="D35" i="69"/>
  <c r="C35" i="69"/>
  <c r="C71" i="69" s="1"/>
  <c r="H34" i="69"/>
  <c r="H70" i="69" s="1"/>
  <c r="H177" i="69" s="1"/>
  <c r="G34" i="69"/>
  <c r="F34" i="69"/>
  <c r="F70" i="69" s="1"/>
  <c r="D34" i="69"/>
  <c r="D70" i="69" s="1"/>
  <c r="C34" i="69"/>
  <c r="H33" i="69"/>
  <c r="H69" i="69" s="1"/>
  <c r="G33" i="69"/>
  <c r="G69" i="69" s="1"/>
  <c r="G79" i="69" s="1"/>
  <c r="F33" i="69"/>
  <c r="F69" i="69" s="1"/>
  <c r="F79" i="69" s="1"/>
  <c r="D33" i="69"/>
  <c r="D69" i="69" s="1"/>
  <c r="C33" i="69"/>
  <c r="C69" i="69" s="1"/>
  <c r="H32" i="69"/>
  <c r="G32" i="69"/>
  <c r="F32" i="69"/>
  <c r="D32" i="69"/>
  <c r="D68" i="69" s="1"/>
  <c r="C32" i="69"/>
  <c r="C68" i="69" s="1"/>
  <c r="C175" i="69" s="1"/>
  <c r="H31" i="69"/>
  <c r="G31" i="69"/>
  <c r="G67" i="69" s="1"/>
  <c r="G174" i="69" s="1"/>
  <c r="F31" i="69"/>
  <c r="F67" i="69" s="1"/>
  <c r="F174" i="69" s="1"/>
  <c r="D31" i="69"/>
  <c r="D67" i="69" s="1"/>
  <c r="C31" i="69"/>
  <c r="H30" i="69"/>
  <c r="G30" i="69"/>
  <c r="F30" i="69"/>
  <c r="F66" i="69" s="1"/>
  <c r="D30" i="69"/>
  <c r="D66" i="69" s="1"/>
  <c r="D173" i="69" s="1"/>
  <c r="C30" i="69"/>
  <c r="C66" i="69" s="1"/>
  <c r="C173" i="69" s="1"/>
  <c r="I26" i="69"/>
  <c r="H28" i="69"/>
  <c r="H64" i="69" s="1"/>
  <c r="H171" i="69" s="1"/>
  <c r="G28" i="69"/>
  <c r="G64" i="69" s="1"/>
  <c r="F28" i="69"/>
  <c r="F64" i="69" s="1"/>
  <c r="D28" i="69"/>
  <c r="C28" i="69"/>
  <c r="C64" i="69" s="1"/>
  <c r="C171" i="69" s="1"/>
  <c r="H146" i="69"/>
  <c r="H160" i="69" s="1"/>
  <c r="D146" i="69"/>
  <c r="C146" i="69"/>
  <c r="H145" i="69"/>
  <c r="G145" i="69"/>
  <c r="F145" i="69"/>
  <c r="D145" i="69"/>
  <c r="C145" i="69"/>
  <c r="H144" i="69"/>
  <c r="I144" i="69" s="1"/>
  <c r="G144" i="69"/>
  <c r="G159" i="69" s="1"/>
  <c r="F144" i="69"/>
  <c r="D144" i="69"/>
  <c r="C144" i="69"/>
  <c r="H143" i="69"/>
  <c r="G143" i="69"/>
  <c r="F143" i="69"/>
  <c r="D143" i="69"/>
  <c r="D157" i="69" s="1"/>
  <c r="C143" i="69"/>
  <c r="C157" i="69" s="1"/>
  <c r="H142" i="69"/>
  <c r="G142" i="69"/>
  <c r="F142" i="69"/>
  <c r="D142" i="69"/>
  <c r="C142" i="69"/>
  <c r="H141" i="69"/>
  <c r="G141" i="69"/>
  <c r="G155" i="69" s="1"/>
  <c r="F141" i="69"/>
  <c r="F156" i="69" s="1"/>
  <c r="D141" i="69"/>
  <c r="C141" i="69"/>
  <c r="G140" i="69"/>
  <c r="F140" i="69"/>
  <c r="D140" i="69"/>
  <c r="C140" i="69"/>
  <c r="G139" i="69"/>
  <c r="G153" i="69" s="1"/>
  <c r="F139" i="69"/>
  <c r="F154" i="69" s="1"/>
  <c r="D139" i="69"/>
  <c r="C139" i="69"/>
  <c r="H138" i="69"/>
  <c r="G138" i="69"/>
  <c r="F138" i="69"/>
  <c r="D138" i="69"/>
  <c r="C138" i="69"/>
  <c r="C152" i="69" s="1"/>
  <c r="H137" i="69"/>
  <c r="H152" i="69" s="1"/>
  <c r="G137" i="69"/>
  <c r="F137" i="69"/>
  <c r="D137" i="69"/>
  <c r="C137" i="69"/>
  <c r="D107" i="69"/>
  <c r="X24" i="59"/>
  <c r="W24" i="59"/>
  <c r="V24" i="59"/>
  <c r="U24" i="59"/>
  <c r="T24" i="59"/>
  <c r="S24" i="59"/>
  <c r="D115" i="69" s="1"/>
  <c r="R24" i="59"/>
  <c r="Q24" i="59"/>
  <c r="X23" i="59"/>
  <c r="W23" i="59"/>
  <c r="V23" i="59"/>
  <c r="U23" i="59"/>
  <c r="T23" i="59"/>
  <c r="S23" i="59"/>
  <c r="D114" i="69" s="1"/>
  <c r="R23" i="59"/>
  <c r="Q23" i="59"/>
  <c r="X22" i="59"/>
  <c r="W22" i="59"/>
  <c r="V22" i="59"/>
  <c r="U22" i="59"/>
  <c r="T22" i="59"/>
  <c r="D113" i="69"/>
  <c r="S22" i="59"/>
  <c r="R22" i="59"/>
  <c r="Q22" i="59"/>
  <c r="X21" i="59"/>
  <c r="W21" i="59"/>
  <c r="V21" i="59"/>
  <c r="U21" i="59"/>
  <c r="T21" i="59"/>
  <c r="S21" i="59"/>
  <c r="D112" i="69" s="1"/>
  <c r="R21" i="59"/>
  <c r="Q21" i="59"/>
  <c r="X20" i="59"/>
  <c r="W20" i="59"/>
  <c r="V20" i="59"/>
  <c r="U20" i="59"/>
  <c r="T20" i="59"/>
  <c r="D111" i="69" s="1"/>
  <c r="S20" i="59"/>
  <c r="R20" i="59"/>
  <c r="Q20" i="59"/>
  <c r="X19" i="59"/>
  <c r="W19" i="59"/>
  <c r="V19" i="59"/>
  <c r="U19" i="59"/>
  <c r="T19" i="59"/>
  <c r="S19" i="59"/>
  <c r="D110" i="69" s="1"/>
  <c r="R19" i="59"/>
  <c r="Q19" i="59"/>
  <c r="X18" i="59"/>
  <c r="W18" i="59"/>
  <c r="V18" i="59"/>
  <c r="U18" i="59"/>
  <c r="T18" i="59"/>
  <c r="S18" i="59"/>
  <c r="D109" i="69" s="1"/>
  <c r="R18" i="59"/>
  <c r="Q18" i="59"/>
  <c r="X17" i="59"/>
  <c r="W17" i="59"/>
  <c r="V17" i="59"/>
  <c r="U17" i="59"/>
  <c r="T17" i="59"/>
  <c r="S17" i="59"/>
  <c r="D116" i="69" s="1"/>
  <c r="R17" i="59"/>
  <c r="Q17" i="59"/>
  <c r="S14" i="59"/>
  <c r="R14" i="59"/>
  <c r="Q14" i="59"/>
  <c r="S13" i="59"/>
  <c r="R13" i="59"/>
  <c r="Q13" i="59"/>
  <c r="S12" i="59"/>
  <c r="R12" i="59"/>
  <c r="Q12" i="59"/>
  <c r="Q8" i="59"/>
  <c r="Q7" i="59"/>
  <c r="Q6" i="59"/>
  <c r="D106" i="69"/>
  <c r="Q5" i="59"/>
  <c r="D105" i="69" s="1"/>
  <c r="Q4" i="59"/>
  <c r="M46" i="70"/>
  <c r="L46" i="70"/>
  <c r="M45" i="70"/>
  <c r="L45" i="70"/>
  <c r="K45" i="70"/>
  <c r="K46" i="70"/>
  <c r="H46" i="70"/>
  <c r="E46" i="70"/>
  <c r="E56" i="70" s="1"/>
  <c r="E71" i="70" s="1"/>
  <c r="D46" i="70"/>
  <c r="D56" i="70" s="1"/>
  <c r="D71" i="70" s="1"/>
  <c r="C46" i="70"/>
  <c r="C56" i="70" s="1"/>
  <c r="C71" i="70" s="1"/>
  <c r="B46" i="70"/>
  <c r="B56" i="70" s="1"/>
  <c r="B71" i="70" s="1"/>
  <c r="J45" i="70"/>
  <c r="F45" i="70"/>
  <c r="E45" i="70"/>
  <c r="D45" i="70"/>
  <c r="C45" i="70"/>
  <c r="B45" i="70"/>
  <c r="J46" i="70"/>
  <c r="I46" i="70"/>
  <c r="G46" i="70"/>
  <c r="F46" i="70"/>
  <c r="F56" i="70" s="1"/>
  <c r="F71" i="70" s="1"/>
  <c r="G45" i="70"/>
  <c r="H45" i="70"/>
  <c r="I45" i="70"/>
  <c r="J36" i="70"/>
  <c r="I36" i="70"/>
  <c r="H36" i="70"/>
  <c r="G36" i="70"/>
  <c r="F36" i="70"/>
  <c r="E36" i="70"/>
  <c r="D36" i="70"/>
  <c r="C36" i="70"/>
  <c r="B36" i="70"/>
  <c r="K35" i="70"/>
  <c r="J35" i="70"/>
  <c r="I35" i="70"/>
  <c r="H35" i="70"/>
  <c r="G35" i="70"/>
  <c r="F35" i="70"/>
  <c r="C35" i="70"/>
  <c r="B35" i="70"/>
  <c r="K31" i="70"/>
  <c r="J31" i="70"/>
  <c r="I31" i="70"/>
  <c r="H31" i="70"/>
  <c r="G31" i="70"/>
  <c r="F31" i="70"/>
  <c r="E31" i="70"/>
  <c r="D31" i="70"/>
  <c r="C31" i="70"/>
  <c r="B31" i="70"/>
  <c r="J30" i="70"/>
  <c r="I30" i="70"/>
  <c r="H30" i="70"/>
  <c r="G30" i="70"/>
  <c r="F30" i="70"/>
  <c r="E30" i="70"/>
  <c r="D30" i="70"/>
  <c r="C30" i="70"/>
  <c r="B30" i="70"/>
  <c r="J26" i="70"/>
  <c r="I26" i="70"/>
  <c r="H26" i="70"/>
  <c r="G26" i="70"/>
  <c r="F26" i="70"/>
  <c r="E26" i="70"/>
  <c r="D26" i="70"/>
  <c r="C26" i="70"/>
  <c r="B26" i="70"/>
  <c r="J25" i="70"/>
  <c r="I25" i="70"/>
  <c r="H25" i="70"/>
  <c r="G25" i="70"/>
  <c r="F25" i="70"/>
  <c r="E25" i="70"/>
  <c r="D25" i="70"/>
  <c r="C25" i="70"/>
  <c r="B25" i="70"/>
  <c r="J17" i="70"/>
  <c r="I17" i="70"/>
  <c r="H17" i="70"/>
  <c r="G17" i="70"/>
  <c r="F17" i="70"/>
  <c r="E17" i="70"/>
  <c r="D17" i="70"/>
  <c r="C17" i="70"/>
  <c r="B17" i="70"/>
  <c r="K16" i="70"/>
  <c r="J16" i="70"/>
  <c r="I16" i="70"/>
  <c r="H16" i="70"/>
  <c r="G16" i="70"/>
  <c r="F16" i="70"/>
  <c r="E16" i="70"/>
  <c r="D16" i="70"/>
  <c r="C16" i="70"/>
  <c r="B16" i="70"/>
  <c r="J13" i="70"/>
  <c r="I13" i="70"/>
  <c r="H13" i="70"/>
  <c r="G13" i="70"/>
  <c r="F13" i="70"/>
  <c r="E13" i="70"/>
  <c r="D13" i="70"/>
  <c r="C13" i="70"/>
  <c r="B13" i="70"/>
  <c r="K12" i="70"/>
  <c r="J12" i="70"/>
  <c r="I12" i="70"/>
  <c r="H12" i="70"/>
  <c r="G12" i="70"/>
  <c r="F12" i="70"/>
  <c r="E12" i="70"/>
  <c r="D12" i="70"/>
  <c r="C12" i="70"/>
  <c r="B12" i="70"/>
  <c r="A146" i="69"/>
  <c r="A160" i="69"/>
  <c r="A180" i="69"/>
  <c r="A194" i="69"/>
  <c r="A302" i="69"/>
  <c r="A316" i="69"/>
  <c r="A141" i="69"/>
  <c r="A155" i="69"/>
  <c r="A175" i="69"/>
  <c r="A189" i="69"/>
  <c r="A297" i="69"/>
  <c r="A311" i="69"/>
  <c r="A142" i="69"/>
  <c r="A156" i="69"/>
  <c r="A176" i="69"/>
  <c r="A190" i="69"/>
  <c r="A298" i="69"/>
  <c r="A312" i="69"/>
  <c r="A143" i="69"/>
  <c r="A157" i="69"/>
  <c r="A177" i="69"/>
  <c r="A191" i="69"/>
  <c r="A299" i="69"/>
  <c r="A313" i="69"/>
  <c r="A144" i="69"/>
  <c r="A158" i="69"/>
  <c r="A178" i="69"/>
  <c r="A192" i="69"/>
  <c r="A300" i="69"/>
  <c r="A314" i="69"/>
  <c r="A145" i="69"/>
  <c r="A159" i="69"/>
  <c r="A179" i="69"/>
  <c r="A193" i="69"/>
  <c r="A301" i="69"/>
  <c r="A315" i="69"/>
  <c r="A73" i="69"/>
  <c r="A90" i="69"/>
  <c r="A72" i="69"/>
  <c r="A89" i="69"/>
  <c r="A71" i="69"/>
  <c r="A88" i="69"/>
  <c r="A70" i="69"/>
  <c r="A87" i="69"/>
  <c r="A69" i="69"/>
  <c r="A86" i="69"/>
  <c r="A68" i="69"/>
  <c r="A85" i="69"/>
  <c r="A37" i="69"/>
  <c r="A54" i="69"/>
  <c r="A36" i="69"/>
  <c r="A53" i="69"/>
  <c r="A35" i="69"/>
  <c r="A52" i="69"/>
  <c r="A34" i="69"/>
  <c r="A51" i="69"/>
  <c r="A33" i="69"/>
  <c r="A50" i="69"/>
  <c r="A32" i="69"/>
  <c r="A49" i="69"/>
  <c r="C348" i="69"/>
  <c r="C462" i="69"/>
  <c r="F291" i="69"/>
  <c r="F320" i="69"/>
  <c r="A140" i="69"/>
  <c r="A154" i="69"/>
  <c r="A174" i="69"/>
  <c r="A188" i="69"/>
  <c r="A296" i="69"/>
  <c r="A310" i="69"/>
  <c r="A139" i="69"/>
  <c r="A153" i="69"/>
  <c r="A173" i="69"/>
  <c r="A187" i="69"/>
  <c r="A295" i="69"/>
  <c r="A309" i="69"/>
  <c r="A138" i="69"/>
  <c r="A152" i="69"/>
  <c r="A172" i="69"/>
  <c r="A186" i="69"/>
  <c r="A294" i="69"/>
  <c r="A308" i="69"/>
  <c r="A137" i="69"/>
  <c r="A151" i="69"/>
  <c r="A171" i="69"/>
  <c r="A185" i="69"/>
  <c r="A293" i="69"/>
  <c r="A307" i="69"/>
  <c r="A75" i="69"/>
  <c r="A92" i="69"/>
  <c r="A74" i="69"/>
  <c r="A91" i="69"/>
  <c r="A67" i="69"/>
  <c r="A84" i="69"/>
  <c r="A66" i="69"/>
  <c r="A83" i="69"/>
  <c r="A65" i="69"/>
  <c r="A82" i="69"/>
  <c r="A64" i="69"/>
  <c r="A81" i="69"/>
  <c r="A38" i="69"/>
  <c r="A55" i="69"/>
  <c r="A31" i="69"/>
  <c r="A48" i="69"/>
  <c r="A30" i="69"/>
  <c r="A47" i="69"/>
  <c r="A29" i="69"/>
  <c r="A46" i="69"/>
  <c r="A28" i="69"/>
  <c r="A45" i="69"/>
  <c r="A26" i="69"/>
  <c r="A43" i="69"/>
  <c r="A62" i="69"/>
  <c r="J59" i="70"/>
  <c r="I59" i="70"/>
  <c r="I64" i="70"/>
  <c r="G59" i="70"/>
  <c r="F59" i="70"/>
  <c r="C59" i="70"/>
  <c r="B59" i="70"/>
  <c r="F8" i="69"/>
  <c r="C64" i="70"/>
  <c r="F17" i="69"/>
  <c r="J64" i="70"/>
  <c r="F16" i="69"/>
  <c r="F14" i="69"/>
  <c r="F64" i="70"/>
  <c r="F13" i="69"/>
  <c r="U125" i="69"/>
  <c r="U126" i="69" s="1"/>
  <c r="T125" i="69"/>
  <c r="T126" i="69"/>
  <c r="S125" i="69"/>
  <c r="R125" i="69"/>
  <c r="R126" i="69"/>
  <c r="Q125" i="69"/>
  <c r="Q126" i="69" s="1"/>
  <c r="C150" i="59"/>
  <c r="M125" i="69"/>
  <c r="M126" i="69"/>
  <c r="C151" i="59"/>
  <c r="N125" i="69"/>
  <c r="N126" i="69"/>
  <c r="C152" i="59"/>
  <c r="O125" i="69"/>
  <c r="O126" i="69" s="1"/>
  <c r="C153" i="59"/>
  <c r="P125" i="69"/>
  <c r="P126" i="69" s="1"/>
  <c r="C149" i="59"/>
  <c r="L125" i="69"/>
  <c r="L126" i="69" s="1"/>
  <c r="B149" i="59"/>
  <c r="L120" i="69"/>
  <c r="L124" i="69" s="1"/>
  <c r="B150" i="59"/>
  <c r="M120" i="69"/>
  <c r="M124" i="69" s="1"/>
  <c r="B151" i="59"/>
  <c r="N120" i="69"/>
  <c r="N124" i="69" s="1"/>
  <c r="B152" i="59"/>
  <c r="O120" i="69"/>
  <c r="O124" i="69" s="1"/>
  <c r="B153" i="59"/>
  <c r="P120" i="69"/>
  <c r="P124" i="69" s="1"/>
  <c r="Q120" i="69"/>
  <c r="Q124" i="69" s="1"/>
  <c r="S120" i="69"/>
  <c r="S124" i="69" s="1"/>
  <c r="U120" i="69"/>
  <c r="U124" i="69" s="1"/>
  <c r="R120" i="69"/>
  <c r="R124" i="69" s="1"/>
  <c r="T120" i="69"/>
  <c r="T124" i="69"/>
  <c r="F5" i="59"/>
  <c r="F9" i="59"/>
  <c r="F13" i="59"/>
  <c r="F17" i="59"/>
  <c r="F21" i="59"/>
  <c r="F25" i="59"/>
  <c r="F29" i="59"/>
  <c r="F33" i="59"/>
  <c r="F37" i="59"/>
  <c r="F41" i="59"/>
  <c r="F45" i="59"/>
  <c r="F49" i="59"/>
  <c r="F53" i="59"/>
  <c r="F57" i="59"/>
  <c r="F61" i="59"/>
  <c r="F65" i="59"/>
  <c r="F69" i="59"/>
  <c r="F73" i="59"/>
  <c r="F77" i="59"/>
  <c r="F81" i="59"/>
  <c r="F85" i="59"/>
  <c r="F89" i="59"/>
  <c r="F93" i="59"/>
  <c r="F97" i="59"/>
  <c r="F101" i="59"/>
  <c r="F105" i="59"/>
  <c r="F109" i="59"/>
  <c r="F113" i="59"/>
  <c r="F117" i="59"/>
  <c r="F121" i="59"/>
  <c r="F125" i="59"/>
  <c r="F129" i="59"/>
  <c r="F133" i="59"/>
  <c r="F137" i="59"/>
  <c r="F141" i="59"/>
  <c r="F145" i="59"/>
  <c r="F19" i="59"/>
  <c r="F31" i="59"/>
  <c r="F43" i="59"/>
  <c r="F47" i="59"/>
  <c r="N57" i="59"/>
  <c r="O57" i="59" s="1"/>
  <c r="F59" i="59"/>
  <c r="F63" i="59"/>
  <c r="F71" i="59"/>
  <c r="F75" i="59"/>
  <c r="F79" i="59"/>
  <c r="F83" i="59"/>
  <c r="F87" i="59"/>
  <c r="F91" i="59"/>
  <c r="F95" i="59"/>
  <c r="F99" i="59"/>
  <c r="F103" i="59"/>
  <c r="F107" i="59"/>
  <c r="F111" i="59"/>
  <c r="F115" i="59"/>
  <c r="F119" i="59"/>
  <c r="F123" i="59"/>
  <c r="F127" i="59"/>
  <c r="F131" i="59"/>
  <c r="F135" i="59"/>
  <c r="F139" i="59"/>
  <c r="F143" i="59"/>
  <c r="F7" i="59"/>
  <c r="F11" i="59"/>
  <c r="F23" i="59"/>
  <c r="F67" i="59"/>
  <c r="F3" i="59"/>
  <c r="F15" i="59"/>
  <c r="F27" i="59"/>
  <c r="F35" i="59"/>
  <c r="F39" i="59"/>
  <c r="F51" i="59"/>
  <c r="F55" i="59"/>
  <c r="F4" i="59"/>
  <c r="F8" i="59"/>
  <c r="F12" i="59"/>
  <c r="F16" i="59"/>
  <c r="F20" i="59"/>
  <c r="F24" i="59"/>
  <c r="F28" i="59"/>
  <c r="F32" i="59"/>
  <c r="F36" i="59"/>
  <c r="F40" i="59"/>
  <c r="F44" i="59"/>
  <c r="F48" i="59"/>
  <c r="F52" i="59"/>
  <c r="F56" i="59"/>
  <c r="F60" i="59"/>
  <c r="F64" i="59"/>
  <c r="F68" i="59"/>
  <c r="F72" i="59"/>
  <c r="F76" i="59"/>
  <c r="F80" i="59"/>
  <c r="F84" i="59"/>
  <c r="F88" i="59"/>
  <c r="F92" i="59"/>
  <c r="F96" i="59"/>
  <c r="F100" i="59"/>
  <c r="F104" i="59"/>
  <c r="F108" i="59"/>
  <c r="F112" i="59"/>
  <c r="F116" i="59"/>
  <c r="F120" i="59"/>
  <c r="F124" i="59"/>
  <c r="F128" i="59"/>
  <c r="F132" i="59"/>
  <c r="F136" i="59"/>
  <c r="F140" i="59"/>
  <c r="F144" i="59"/>
  <c r="N47" i="59"/>
  <c r="O47" i="59" s="1"/>
  <c r="F10" i="59"/>
  <c r="F18" i="59"/>
  <c r="F22" i="59"/>
  <c r="F26" i="59"/>
  <c r="F30" i="59"/>
  <c r="F34" i="59"/>
  <c r="F38" i="59"/>
  <c r="F42" i="59"/>
  <c r="F46" i="59"/>
  <c r="F50" i="59"/>
  <c r="F54" i="59"/>
  <c r="F58" i="59"/>
  <c r="F62" i="59"/>
  <c r="F66" i="59"/>
  <c r="F70" i="59"/>
  <c r="F74" i="59"/>
  <c r="F78" i="59"/>
  <c r="F82" i="59"/>
  <c r="F86" i="59"/>
  <c r="F90" i="59"/>
  <c r="F94" i="59"/>
  <c r="F98" i="59"/>
  <c r="F102" i="59"/>
  <c r="F106" i="59"/>
  <c r="F110" i="59"/>
  <c r="F114" i="59"/>
  <c r="F118" i="59"/>
  <c r="F122" i="59"/>
  <c r="F126" i="59"/>
  <c r="F130" i="59"/>
  <c r="F134" i="59"/>
  <c r="F138" i="59"/>
  <c r="F142" i="59"/>
  <c r="F2" i="59"/>
  <c r="F6" i="59"/>
  <c r="F14" i="59"/>
  <c r="F154" i="59"/>
  <c r="D329" i="69"/>
  <c r="F159" i="59"/>
  <c r="F156" i="59"/>
  <c r="F329" i="69"/>
  <c r="F155" i="59"/>
  <c r="E329" i="69"/>
  <c r="F151" i="59"/>
  <c r="C123" i="69"/>
  <c r="F160" i="59"/>
  <c r="F149" i="59"/>
  <c r="F158" i="59"/>
  <c r="H329" i="69"/>
  <c r="F157" i="59"/>
  <c r="G329" i="69"/>
  <c r="F153" i="59"/>
  <c r="C125" i="69"/>
  <c r="F150" i="59"/>
  <c r="C122" i="69"/>
  <c r="F152" i="59"/>
  <c r="C124" i="69"/>
  <c r="C128" i="69"/>
  <c r="C126" i="69"/>
  <c r="C127" i="69"/>
  <c r="F162" i="59"/>
  <c r="C121" i="69"/>
  <c r="C129" i="69"/>
  <c r="C130" i="69"/>
  <c r="C307" i="69"/>
  <c r="C308" i="69"/>
  <c r="C309" i="69"/>
  <c r="C310" i="69"/>
  <c r="C311" i="69"/>
  <c r="C312" i="69"/>
  <c r="C313" i="69"/>
  <c r="E316" i="69"/>
  <c r="F4" i="70"/>
  <c r="F75" i="70"/>
  <c r="G4" i="70"/>
  <c r="G75" i="70" s="1"/>
  <c r="K4" i="70"/>
  <c r="K75" i="70" s="1"/>
  <c r="I4" i="70"/>
  <c r="I75" i="70"/>
  <c r="E4" i="70"/>
  <c r="E75" i="70"/>
  <c r="H4" i="70"/>
  <c r="H75" i="70" s="1"/>
  <c r="J4" i="70"/>
  <c r="J75" i="70" s="1"/>
  <c r="B4" i="70"/>
  <c r="B75" i="70" s="1"/>
  <c r="C4" i="70"/>
  <c r="C75" i="70" s="1"/>
  <c r="D4" i="70"/>
  <c r="D75" i="70"/>
  <c r="E315" i="69"/>
  <c r="D315" i="69"/>
  <c r="E314" i="69"/>
  <c r="D314" i="69"/>
  <c r="E313" i="69"/>
  <c r="D313" i="69"/>
  <c r="E312" i="69"/>
  <c r="D312" i="69"/>
  <c r="E311" i="69"/>
  <c r="D311" i="69"/>
  <c r="E310" i="69"/>
  <c r="D310" i="69"/>
  <c r="E309" i="69"/>
  <c r="D309" i="69"/>
  <c r="E308" i="69"/>
  <c r="D308" i="69"/>
  <c r="E307" i="69"/>
  <c r="C10" i="69"/>
  <c r="C12" i="69"/>
  <c r="C13" i="69"/>
  <c r="C14" i="69"/>
  <c r="K26" i="63"/>
  <c r="K25" i="63"/>
  <c r="K24" i="63"/>
  <c r="K23" i="63"/>
  <c r="K22" i="63"/>
  <c r="K21" i="63"/>
  <c r="K20" i="63"/>
  <c r="K19" i="63"/>
  <c r="K18" i="63"/>
  <c r="K33" i="63" s="1"/>
  <c r="K31" i="63" s="1"/>
  <c r="H7" i="63"/>
  <c r="H6" i="63"/>
  <c r="H139" i="69" s="1"/>
  <c r="H153" i="69" s="1"/>
  <c r="M24" i="62"/>
  <c r="H47" i="69"/>
  <c r="D59" i="70"/>
  <c r="M25" i="62"/>
  <c r="I21" i="63"/>
  <c r="I22" i="63"/>
  <c r="H48" i="69"/>
  <c r="H140" i="69"/>
  <c r="I140" i="69" s="1"/>
  <c r="E35" i="70"/>
  <c r="E59" i="70"/>
  <c r="D64" i="70"/>
  <c r="F11" i="69"/>
  <c r="F28" i="62"/>
  <c r="F29" i="62"/>
  <c r="F30" i="62"/>
  <c r="F31" i="62"/>
  <c r="F32" i="62"/>
  <c r="F33" i="62"/>
  <c r="F27" i="62"/>
  <c r="F26" i="62"/>
  <c r="F25" i="62"/>
  <c r="F24" i="62"/>
  <c r="F23" i="62"/>
  <c r="F22" i="62"/>
  <c r="B14" i="63"/>
  <c r="C55" i="69" s="1"/>
  <c r="K13" i="70"/>
  <c r="K36" i="70"/>
  <c r="K17" i="70"/>
  <c r="K26" i="70"/>
  <c r="F146" i="69"/>
  <c r="K31" i="62"/>
  <c r="K44" i="62" s="1"/>
  <c r="K25" i="70"/>
  <c r="F54" i="69"/>
  <c r="H348" i="69"/>
  <c r="H462" i="69" s="1"/>
  <c r="G146" i="69"/>
  <c r="K59" i="70"/>
  <c r="F18" i="69"/>
  <c r="K30" i="70"/>
  <c r="G54" i="69"/>
  <c r="H353" i="69" s="1"/>
  <c r="H486" i="69" s="1"/>
  <c r="H27" i="63"/>
  <c r="L31" i="62"/>
  <c r="L44" i="62" s="1"/>
  <c r="K64" i="70"/>
  <c r="G27" i="63"/>
  <c r="G33" i="63"/>
  <c r="G31" i="63" s="1"/>
  <c r="F14" i="63" s="1"/>
  <c r="E154" i="69"/>
  <c r="C65" i="69"/>
  <c r="C172" i="69" s="1"/>
  <c r="E358" i="69"/>
  <c r="E420" i="69" s="1"/>
  <c r="E421" i="69" s="1"/>
  <c r="E422" i="69" s="1"/>
  <c r="S126" i="69"/>
  <c r="C156" i="69"/>
  <c r="G18" i="69"/>
  <c r="H18" i="69" s="1"/>
  <c r="C553" i="69"/>
  <c r="G157" i="69"/>
  <c r="D364" i="69"/>
  <c r="D373" i="69"/>
  <c r="H523" i="69"/>
  <c r="H524" i="69" s="1"/>
  <c r="I523" i="69"/>
  <c r="I524" i="69" s="1"/>
  <c r="G152" i="69"/>
  <c r="G160" i="69"/>
  <c r="E155" i="69"/>
  <c r="C362" i="69"/>
  <c r="C371" i="69"/>
  <c r="F160" i="69"/>
  <c r="D498" i="69"/>
  <c r="D499" i="69" s="1"/>
  <c r="D500" i="69" s="1"/>
  <c r="C384" i="69"/>
  <c r="F228" i="69"/>
  <c r="G228" i="69" s="1"/>
  <c r="G523" i="69"/>
  <c r="G524" i="69" s="1"/>
  <c r="C154" i="69"/>
  <c r="F157" i="69"/>
  <c r="D159" i="69"/>
  <c r="F229" i="69"/>
  <c r="G229" i="69"/>
  <c r="G517" i="69"/>
  <c r="G518" i="69" s="1"/>
  <c r="D152" i="69"/>
  <c r="C390" i="69"/>
  <c r="C547" i="69"/>
  <c r="C363" i="69"/>
  <c r="C372" i="69"/>
  <c r="I47" i="69"/>
  <c r="D160" i="69"/>
  <c r="F294" i="69"/>
  <c r="G156" i="69"/>
  <c r="F335" i="69"/>
  <c r="F384" i="69" s="1"/>
  <c r="H156" i="69"/>
  <c r="C160" i="69"/>
  <c r="G343" i="69"/>
  <c r="G438" i="69" s="1"/>
  <c r="G17" i="69"/>
  <c r="H17" i="69" s="1"/>
  <c r="F152" i="69"/>
  <c r="F153" i="69"/>
  <c r="F155" i="69"/>
  <c r="G158" i="69"/>
  <c r="D156" i="69"/>
  <c r="D155" i="69"/>
  <c r="J523" i="69"/>
  <c r="J524" i="69" s="1"/>
  <c r="C159" i="69"/>
  <c r="G358" i="69"/>
  <c r="G420" i="69" s="1"/>
  <c r="G421" i="69" s="1"/>
  <c r="G422" i="69" s="1"/>
  <c r="E153" i="69"/>
  <c r="E152" i="69"/>
  <c r="H157" i="69"/>
  <c r="F302" i="69"/>
  <c r="I137" i="69"/>
  <c r="C158" i="69"/>
  <c r="D154" i="69"/>
  <c r="F158" i="69"/>
  <c r="F159" i="69"/>
  <c r="C155" i="69"/>
  <c r="D153" i="69"/>
  <c r="D353" i="69"/>
  <c r="D486" i="69" s="1"/>
  <c r="D487" i="69" s="1"/>
  <c r="D488" i="69" s="1"/>
  <c r="F523" i="69"/>
  <c r="F524" i="69" s="1"/>
  <c r="J517" i="69"/>
  <c r="J518" i="69" s="1"/>
  <c r="I517" i="69"/>
  <c r="I518" i="69"/>
  <c r="H517" i="69"/>
  <c r="H518" i="69"/>
  <c r="F353" i="69"/>
  <c r="F300" i="69"/>
  <c r="C541" i="69"/>
  <c r="F486" i="69"/>
  <c r="F487" i="69"/>
  <c r="F488" i="69" s="1"/>
  <c r="A29" i="79" l="1"/>
  <c r="A44" i="79"/>
  <c r="A30" i="79"/>
  <c r="A33" i="79"/>
  <c r="A77" i="79"/>
  <c r="A77" i="78"/>
  <c r="A50" i="78"/>
  <c r="A62" i="79"/>
  <c r="A53" i="79"/>
  <c r="A61" i="78"/>
  <c r="A83" i="78"/>
  <c r="A51" i="79"/>
  <c r="A33" i="78"/>
  <c r="A73" i="79"/>
  <c r="A64" i="79"/>
  <c r="A31" i="79"/>
  <c r="A72" i="78"/>
  <c r="A49" i="78"/>
  <c r="A29" i="78"/>
  <c r="D22" i="78"/>
  <c r="D55" i="78" s="1"/>
  <c r="F55" i="78" s="1"/>
  <c r="A82" i="78"/>
  <c r="A63" i="78"/>
  <c r="A51" i="78"/>
  <c r="A32" i="78"/>
  <c r="A60" i="78"/>
  <c r="A52" i="78"/>
  <c r="A76" i="78"/>
  <c r="A38" i="78"/>
  <c r="A65" i="78"/>
  <c r="A71" i="78"/>
  <c r="A54" i="78"/>
  <c r="A73" i="78"/>
  <c r="A65" i="79"/>
  <c r="A54" i="79"/>
  <c r="A43" i="79"/>
  <c r="A76" i="79"/>
  <c r="D66" i="78"/>
  <c r="F66" i="78" s="1"/>
  <c r="F33" i="79"/>
  <c r="D44" i="79"/>
  <c r="F44" i="79" s="1"/>
  <c r="I505" i="69"/>
  <c r="I506" i="69" s="1"/>
  <c r="I53" i="69"/>
  <c r="E55" i="70"/>
  <c r="E70" i="70" s="1"/>
  <c r="E50" i="70"/>
  <c r="M56" i="70"/>
  <c r="M71" i="70" s="1"/>
  <c r="E403" i="69"/>
  <c r="E404" i="69" s="1"/>
  <c r="F343" i="69"/>
  <c r="G487" i="69"/>
  <c r="G488" i="69" s="1"/>
  <c r="G40" i="62"/>
  <c r="J41" i="62"/>
  <c r="F296" i="69"/>
  <c r="J504" i="69"/>
  <c r="J505" i="69" s="1"/>
  <c r="J506" i="69" s="1"/>
  <c r="F65" i="69"/>
  <c r="F172" i="69" s="1"/>
  <c r="E160" i="69"/>
  <c r="F55" i="70"/>
  <c r="F70" i="70" s="1"/>
  <c r="F50" i="70"/>
  <c r="H499" i="69"/>
  <c r="H500" i="69" s="1"/>
  <c r="L56" i="70"/>
  <c r="L71" i="70" s="1"/>
  <c r="I146" i="69"/>
  <c r="G50" i="70"/>
  <c r="G55" i="70"/>
  <c r="G70" i="70" s="1"/>
  <c r="H56" i="70"/>
  <c r="H71" i="70" s="1"/>
  <c r="P41" i="62"/>
  <c r="K55" i="70"/>
  <c r="K70" i="70" s="1"/>
  <c r="K50" i="70"/>
  <c r="I46" i="69"/>
  <c r="F517" i="69"/>
  <c r="F518" i="69" s="1"/>
  <c r="H50" i="70"/>
  <c r="H55" i="70"/>
  <c r="H70" i="70" s="1"/>
  <c r="K56" i="70"/>
  <c r="K71" i="70" s="1"/>
  <c r="E487" i="69"/>
  <c r="E488" i="69" s="1"/>
  <c r="I50" i="70"/>
  <c r="I55" i="70"/>
  <c r="I70" i="70" s="1"/>
  <c r="H43" i="62"/>
  <c r="K42" i="62"/>
  <c r="M42" i="62"/>
  <c r="P43" i="62"/>
  <c r="J56" i="70"/>
  <c r="J71" i="70" s="1"/>
  <c r="B50" i="70"/>
  <c r="B55" i="70"/>
  <c r="B70" i="70" s="1"/>
  <c r="J55" i="70"/>
  <c r="J70" i="70" s="1"/>
  <c r="J50" i="70"/>
  <c r="G56" i="70"/>
  <c r="G71" i="70" s="1"/>
  <c r="G373" i="69"/>
  <c r="E364" i="69"/>
  <c r="E373" i="69" s="1"/>
  <c r="G36" i="62"/>
  <c r="H36" i="62"/>
  <c r="E240" i="69"/>
  <c r="D50" i="70"/>
  <c r="D55" i="70"/>
  <c r="D70" i="70" s="1"/>
  <c r="E159" i="69"/>
  <c r="E523" i="69"/>
  <c r="E524" i="69" s="1"/>
  <c r="C50" i="70"/>
  <c r="C55" i="70"/>
  <c r="C70" i="70" s="1"/>
  <c r="I56" i="70"/>
  <c r="I71" i="70" s="1"/>
  <c r="F72" i="69"/>
  <c r="H373" i="69"/>
  <c r="F297" i="69"/>
  <c r="H451" i="69"/>
  <c r="H452" i="69" s="1"/>
  <c r="I45" i="69"/>
  <c r="F233" i="69"/>
  <c r="G233" i="69" s="1"/>
  <c r="G14" i="69"/>
  <c r="H14" i="69" s="1"/>
  <c r="G463" i="69"/>
  <c r="G464" i="69" s="1"/>
  <c r="H463" i="69"/>
  <c r="H464" i="69" s="1"/>
  <c r="D384" i="69"/>
  <c r="F403" i="69"/>
  <c r="F404" i="69" s="1"/>
  <c r="F15" i="63"/>
  <c r="L25" i="70"/>
  <c r="F55" i="69"/>
  <c r="E463" i="69"/>
  <c r="E464" i="69" s="1"/>
  <c r="F463" i="69"/>
  <c r="F464" i="69" s="1"/>
  <c r="H384" i="69"/>
  <c r="F421" i="69"/>
  <c r="F422" i="69" s="1"/>
  <c r="G362" i="69"/>
  <c r="G371" i="69" s="1"/>
  <c r="H421" i="69"/>
  <c r="H422" i="69" s="1"/>
  <c r="I33" i="63"/>
  <c r="I31" i="63" s="1"/>
  <c r="H14" i="63" s="1"/>
  <c r="D83" i="78"/>
  <c r="F83" i="78" s="1"/>
  <c r="D55" i="69"/>
  <c r="C15" i="63"/>
  <c r="L16" i="70"/>
  <c r="L30" i="70"/>
  <c r="G15" i="63"/>
  <c r="G55" i="69"/>
  <c r="H487" i="69"/>
  <c r="H488" i="69" s="1"/>
  <c r="C165" i="69"/>
  <c r="I335" i="69"/>
  <c r="G403" i="69"/>
  <c r="G404" i="69" s="1"/>
  <c r="G154" i="69"/>
  <c r="L12" i="70"/>
  <c r="E54" i="70"/>
  <c r="E69" i="70" s="1"/>
  <c r="E49" i="70"/>
  <c r="E335" i="69"/>
  <c r="G384" i="69"/>
  <c r="L41" i="62"/>
  <c r="I28" i="62"/>
  <c r="I141" i="69"/>
  <c r="C153" i="69"/>
  <c r="H159" i="69"/>
  <c r="I20" i="63"/>
  <c r="B64" i="70"/>
  <c r="D71" i="69"/>
  <c r="D178" i="69" s="1"/>
  <c r="M43" i="62"/>
  <c r="G65" i="69"/>
  <c r="G172" i="69" s="1"/>
  <c r="B15" i="63"/>
  <c r="H67" i="69"/>
  <c r="H174" i="69" s="1"/>
  <c r="I139" i="69"/>
  <c r="H155" i="69"/>
  <c r="I138" i="69"/>
  <c r="D158" i="69"/>
  <c r="G66" i="69"/>
  <c r="E50" i="69"/>
  <c r="H65" i="69"/>
  <c r="H158" i="69"/>
  <c r="I49" i="70"/>
  <c r="I54" i="70"/>
  <c r="I69" i="70" s="1"/>
  <c r="H66" i="69"/>
  <c r="H173" i="69" s="1"/>
  <c r="E51" i="69"/>
  <c r="E343" i="69" s="1"/>
  <c r="E438" i="69" s="1"/>
  <c r="E142" i="69"/>
  <c r="K15" i="63"/>
  <c r="M39" i="70" s="1"/>
  <c r="E54" i="69"/>
  <c r="F9" i="69"/>
  <c r="G9" i="69" s="1"/>
  <c r="H9" i="69" s="1"/>
  <c r="B49" i="70"/>
  <c r="B54" i="70"/>
  <c r="J49" i="70"/>
  <c r="J54" i="70"/>
  <c r="J69" i="70" s="1"/>
  <c r="G68" i="69"/>
  <c r="F73" i="69"/>
  <c r="L38" i="62"/>
  <c r="D25" i="63"/>
  <c r="D33" i="63" s="1"/>
  <c r="D31" i="63" s="1"/>
  <c r="D14" i="63" s="1"/>
  <c r="E143" i="69"/>
  <c r="D35" i="70"/>
  <c r="D54" i="70" s="1"/>
  <c r="D69" i="70" s="1"/>
  <c r="C49" i="70"/>
  <c r="C54" i="70"/>
  <c r="C69" i="70" s="1"/>
  <c r="K49" i="70"/>
  <c r="K54" i="70"/>
  <c r="K69" i="70" s="1"/>
  <c r="H68" i="69"/>
  <c r="G73" i="69"/>
  <c r="G180" i="69" s="1"/>
  <c r="D82" i="78"/>
  <c r="F54" i="70"/>
  <c r="F69" i="70" s="1"/>
  <c r="F49" i="70"/>
  <c r="H154" i="69"/>
  <c r="F12" i="69"/>
  <c r="G64" i="70"/>
  <c r="F10" i="69"/>
  <c r="G70" i="69"/>
  <c r="G177" i="69" s="1"/>
  <c r="E64" i="69"/>
  <c r="E171" i="69" s="1"/>
  <c r="D553" i="69"/>
  <c r="D554" i="69" s="1"/>
  <c r="D555" i="69" s="1"/>
  <c r="D475" i="69"/>
  <c r="D476" i="69" s="1"/>
  <c r="G474" i="69"/>
  <c r="G475" i="69" s="1"/>
  <c r="G476" i="69" s="1"/>
  <c r="E498" i="69"/>
  <c r="E499" i="69" s="1"/>
  <c r="E500" i="69" s="1"/>
  <c r="F298" i="69"/>
  <c r="F293" i="69"/>
  <c r="F299" i="69"/>
  <c r="F475" i="69"/>
  <c r="F476" i="69" s="1"/>
  <c r="E475" i="69"/>
  <c r="E476" i="69" s="1"/>
  <c r="F451" i="69"/>
  <c r="F452" i="69" s="1"/>
  <c r="G451" i="69"/>
  <c r="G452" i="69" s="1"/>
  <c r="F553" i="69"/>
  <c r="F499" i="69"/>
  <c r="F500" i="69" s="1"/>
  <c r="G499" i="69"/>
  <c r="G500" i="69" s="1"/>
  <c r="E553" i="69"/>
  <c r="E554" i="69" s="1"/>
  <c r="E555" i="69" s="1"/>
  <c r="E451" i="69"/>
  <c r="E452" i="69" s="1"/>
  <c r="H474" i="69"/>
  <c r="F364" i="69"/>
  <c r="F373" i="69" s="1"/>
  <c r="M38" i="62"/>
  <c r="G38" i="62"/>
  <c r="H38" i="62"/>
  <c r="K43" i="62"/>
  <c r="G39" i="62"/>
  <c r="H39" i="62"/>
  <c r="I37" i="62"/>
  <c r="K37" i="62"/>
  <c r="L36" i="62"/>
  <c r="H40" i="62"/>
  <c r="K38" i="62"/>
  <c r="E391" i="69"/>
  <c r="E392" i="69" s="1"/>
  <c r="F83" i="69"/>
  <c r="F173" i="69"/>
  <c r="F187" i="69" s="1"/>
  <c r="E427" i="69"/>
  <c r="E428" i="69" s="1"/>
  <c r="I39" i="62"/>
  <c r="M37" i="62"/>
  <c r="C9" i="69"/>
  <c r="D9" i="69" s="1"/>
  <c r="E9" i="69" s="1"/>
  <c r="G43" i="62"/>
  <c r="H41" i="62"/>
  <c r="H37" i="62"/>
  <c r="H50" i="62" s="1"/>
  <c r="H192" i="69"/>
  <c r="K39" i="62"/>
  <c r="L37" i="62"/>
  <c r="G176" i="69"/>
  <c r="G41" i="62"/>
  <c r="I36" i="62"/>
  <c r="J43" i="62"/>
  <c r="C86" i="69"/>
  <c r="D12" i="69"/>
  <c r="E12" i="69" s="1"/>
  <c r="D15" i="69"/>
  <c r="E15" i="69" s="1"/>
  <c r="G87" i="69"/>
  <c r="G88" i="69"/>
  <c r="C314" i="69"/>
  <c r="H469" i="69"/>
  <c r="H470" i="69" s="1"/>
  <c r="I28" i="69"/>
  <c r="I29" i="62"/>
  <c r="I42" i="62" s="1"/>
  <c r="C82" i="69"/>
  <c r="D83" i="69"/>
  <c r="F176" i="69"/>
  <c r="E34" i="69"/>
  <c r="E70" i="69" s="1"/>
  <c r="E177" i="69" s="1"/>
  <c r="H90" i="69"/>
  <c r="P44" i="62"/>
  <c r="N13" i="62"/>
  <c r="I38" i="62"/>
  <c r="D11" i="69"/>
  <c r="E11" i="69" s="1"/>
  <c r="G42" i="62"/>
  <c r="E344" i="69"/>
  <c r="E444" i="69" s="1"/>
  <c r="E445" i="69" s="1"/>
  <c r="E446" i="69" s="1"/>
  <c r="M39" i="62"/>
  <c r="G37" i="62"/>
  <c r="E35" i="69"/>
  <c r="E71" i="69" s="1"/>
  <c r="E178" i="69" s="1"/>
  <c r="J42" i="62"/>
  <c r="I267" i="69"/>
  <c r="D177" i="69"/>
  <c r="F344" i="69"/>
  <c r="F444" i="69" s="1"/>
  <c r="P42" i="62"/>
  <c r="P50" i="62" s="1"/>
  <c r="P48" i="62" s="1"/>
  <c r="P32" i="62" s="1"/>
  <c r="P33" i="62" s="1"/>
  <c r="P60" i="62" s="1"/>
  <c r="E31" i="69"/>
  <c r="E67" i="69" s="1"/>
  <c r="E174" i="69" s="1"/>
  <c r="E32" i="69"/>
  <c r="E68" i="69" s="1"/>
  <c r="I40" i="62"/>
  <c r="H86" i="69"/>
  <c r="H176" i="69"/>
  <c r="H191" i="69" s="1"/>
  <c r="H79" i="69"/>
  <c r="F178" i="69"/>
  <c r="F88" i="69"/>
  <c r="D175" i="69"/>
  <c r="D85" i="69"/>
  <c r="D84" i="69"/>
  <c r="D174" i="69"/>
  <c r="D188" i="69" s="1"/>
  <c r="H175" i="69"/>
  <c r="H189" i="69" s="1"/>
  <c r="H85" i="69"/>
  <c r="H82" i="69"/>
  <c r="H83" i="69"/>
  <c r="H172" i="69"/>
  <c r="H187" i="69" s="1"/>
  <c r="F177" i="69"/>
  <c r="F87" i="69"/>
  <c r="H84" i="69"/>
  <c r="D363" i="69"/>
  <c r="D372" i="69" s="1"/>
  <c r="G409" i="69"/>
  <c r="G410" i="69" s="1"/>
  <c r="D64" i="69"/>
  <c r="D171" i="69" s="1"/>
  <c r="C186" i="69"/>
  <c r="H493" i="69"/>
  <c r="H494" i="69" s="1"/>
  <c r="I268" i="69"/>
  <c r="H427" i="69"/>
  <c r="H428" i="69" s="1"/>
  <c r="D172" i="69"/>
  <c r="D187" i="69" s="1"/>
  <c r="F84" i="69"/>
  <c r="G85" i="69"/>
  <c r="I30" i="69"/>
  <c r="F89" i="69"/>
  <c r="C89" i="69"/>
  <c r="H363" i="69"/>
  <c r="H372" i="69" s="1"/>
  <c r="G191" i="69"/>
  <c r="D176" i="69"/>
  <c r="D87" i="69"/>
  <c r="F469" i="69"/>
  <c r="F470" i="69" s="1"/>
  <c r="G469" i="69"/>
  <c r="G470" i="69" s="1"/>
  <c r="H180" i="69"/>
  <c r="C176" i="69"/>
  <c r="C190" i="69" s="1"/>
  <c r="G84" i="69"/>
  <c r="H87" i="69"/>
  <c r="I41" i="62"/>
  <c r="J44" i="62"/>
  <c r="J50" i="62" s="1"/>
  <c r="J48" i="62" s="1"/>
  <c r="J32" i="62" s="1"/>
  <c r="G192" i="69"/>
  <c r="F90" i="69"/>
  <c r="I33" i="69"/>
  <c r="I30" i="62"/>
  <c r="E36" i="69"/>
  <c r="E72" i="69" s="1"/>
  <c r="C83" i="69"/>
  <c r="G83" i="69"/>
  <c r="C315" i="69"/>
  <c r="N14" i="62"/>
  <c r="G344" i="69"/>
  <c r="C178" i="69"/>
  <c r="C193" i="69" s="1"/>
  <c r="H88" i="69"/>
  <c r="E493" i="69"/>
  <c r="E494" i="69" s="1"/>
  <c r="D179" i="69"/>
  <c r="D90" i="69"/>
  <c r="D89" i="69"/>
  <c r="H188" i="69"/>
  <c r="F171" i="69"/>
  <c r="F186" i="69" s="1"/>
  <c r="F82" i="69"/>
  <c r="G86" i="69"/>
  <c r="G175" i="69"/>
  <c r="H409" i="69"/>
  <c r="H410" i="69" s="1"/>
  <c r="H547" i="69"/>
  <c r="G427" i="69"/>
  <c r="G428" i="69" s="1"/>
  <c r="F427" i="69"/>
  <c r="F428" i="69" s="1"/>
  <c r="E173" i="69"/>
  <c r="C180" i="69"/>
  <c r="C194" i="69" s="1"/>
  <c r="C90" i="69"/>
  <c r="H391" i="69"/>
  <c r="H392" i="69" s="1"/>
  <c r="F493" i="69"/>
  <c r="F494" i="69" s="1"/>
  <c r="G493" i="69"/>
  <c r="G494" i="69" s="1"/>
  <c r="G72" i="69"/>
  <c r="H89" i="69"/>
  <c r="H179" i="69"/>
  <c r="H193" i="69" s="1"/>
  <c r="C79" i="69"/>
  <c r="F179" i="69"/>
  <c r="D13" i="69"/>
  <c r="E13" i="69" s="1"/>
  <c r="D14" i="69"/>
  <c r="E14" i="69" s="1"/>
  <c r="E408" i="69"/>
  <c r="F180" i="69"/>
  <c r="E469" i="69"/>
  <c r="E470" i="69" s="1"/>
  <c r="D307" i="69"/>
  <c r="D317" i="69" s="1"/>
  <c r="F68" i="69"/>
  <c r="C70" i="69"/>
  <c r="I37" i="69"/>
  <c r="D547" i="69"/>
  <c r="D548" i="69" s="1"/>
  <c r="D549" i="69" s="1"/>
  <c r="C187" i="69"/>
  <c r="G173" i="69"/>
  <c r="D79" i="69"/>
  <c r="D86" i="69"/>
  <c r="E317" i="69"/>
  <c r="G171" i="69"/>
  <c r="G186" i="69" s="1"/>
  <c r="G82" i="69"/>
  <c r="C67" i="69"/>
  <c r="I29" i="69"/>
  <c r="E65" i="69"/>
  <c r="F390" i="69"/>
  <c r="G391" i="69" s="1"/>
  <c r="G392" i="69" s="1"/>
  <c r="N9" i="59"/>
  <c r="O9" i="59" s="1"/>
  <c r="N95" i="59"/>
  <c r="O95" i="59" s="1"/>
  <c r="N55" i="59"/>
  <c r="O55" i="59" s="1"/>
  <c r="N29" i="59"/>
  <c r="O29" i="59" s="1"/>
  <c r="N132" i="59"/>
  <c r="O132" i="59" s="1"/>
  <c r="N143" i="59"/>
  <c r="O143" i="59" s="1"/>
  <c r="N15" i="59"/>
  <c r="O15" i="59" s="1"/>
  <c r="N61" i="59"/>
  <c r="O61" i="59" s="1"/>
  <c r="N51" i="59"/>
  <c r="O51" i="59" s="1"/>
  <c r="N80" i="59"/>
  <c r="O80" i="59" s="1"/>
  <c r="N48" i="59"/>
  <c r="O48" i="59" s="1"/>
  <c r="N35" i="59"/>
  <c r="O35" i="59" s="1"/>
  <c r="N91" i="59"/>
  <c r="O91" i="59" s="1"/>
  <c r="N114" i="59"/>
  <c r="O114" i="59" s="1"/>
  <c r="N66" i="59"/>
  <c r="O66" i="59" s="1"/>
  <c r="N2" i="59"/>
  <c r="O2" i="59" s="1"/>
  <c r="N121" i="59"/>
  <c r="O121" i="59" s="1"/>
  <c r="N73" i="59"/>
  <c r="O73" i="59" s="1"/>
  <c r="N5" i="59"/>
  <c r="O5" i="59" s="1"/>
  <c r="N67" i="59"/>
  <c r="O67" i="59" s="1"/>
  <c r="N116" i="59"/>
  <c r="O116" i="59" s="1"/>
  <c r="N100" i="59"/>
  <c r="O100" i="59" s="1"/>
  <c r="N84" i="59"/>
  <c r="O84" i="59" s="1"/>
  <c r="N68" i="59"/>
  <c r="O68" i="59" s="1"/>
  <c r="N52" i="59"/>
  <c r="O52" i="59" s="1"/>
  <c r="N36" i="59"/>
  <c r="O36" i="59" s="1"/>
  <c r="N20" i="59"/>
  <c r="O20" i="59" s="1"/>
  <c r="N63" i="59"/>
  <c r="O63" i="59" s="1"/>
  <c r="N3" i="59"/>
  <c r="O3" i="59" s="1"/>
  <c r="N111" i="59"/>
  <c r="N39" i="59"/>
  <c r="N134" i="59"/>
  <c r="N118" i="59"/>
  <c r="O118" i="59" s="1"/>
  <c r="N102" i="59"/>
  <c r="O102" i="59" s="1"/>
  <c r="N86" i="59"/>
  <c r="O86" i="59" s="1"/>
  <c r="N70" i="59"/>
  <c r="O70" i="59" s="1"/>
  <c r="N54" i="59"/>
  <c r="O54" i="59" s="1"/>
  <c r="N38" i="59"/>
  <c r="O38" i="59" s="1"/>
  <c r="N22" i="59"/>
  <c r="O22" i="59" s="1"/>
  <c r="N6" i="59"/>
  <c r="O6" i="59" s="1"/>
  <c r="N25" i="59"/>
  <c r="O25" i="59" s="1"/>
  <c r="N33" i="59"/>
  <c r="O33" i="59" s="1"/>
  <c r="N141" i="59"/>
  <c r="O141" i="59" s="1"/>
  <c r="N125" i="59"/>
  <c r="O125" i="59" s="1"/>
  <c r="N109" i="59"/>
  <c r="O109" i="59" s="1"/>
  <c r="N93" i="59"/>
  <c r="O93" i="59" s="1"/>
  <c r="N77" i="59"/>
  <c r="O77" i="59" s="1"/>
  <c r="N13" i="59"/>
  <c r="O13" i="59" s="1"/>
  <c r="N96" i="59"/>
  <c r="O96" i="59" s="1"/>
  <c r="N16" i="59"/>
  <c r="O16" i="59" s="1"/>
  <c r="N130" i="59"/>
  <c r="O130" i="59" s="1"/>
  <c r="N34" i="59"/>
  <c r="O34" i="59" s="1"/>
  <c r="N89" i="59"/>
  <c r="O89" i="59" s="1"/>
  <c r="N115" i="59"/>
  <c r="O115" i="59" s="1"/>
  <c r="N144" i="59"/>
  <c r="O144" i="59" s="1"/>
  <c r="N12" i="59"/>
  <c r="O12" i="59" s="1"/>
  <c r="N31" i="59"/>
  <c r="O31" i="59" s="1"/>
  <c r="N135" i="59"/>
  <c r="O135" i="59" s="1"/>
  <c r="N87" i="59"/>
  <c r="N17" i="59"/>
  <c r="O17" i="59" s="1"/>
  <c r="N124" i="59"/>
  <c r="O124" i="59" s="1"/>
  <c r="N108" i="59"/>
  <c r="O108" i="59" s="1"/>
  <c r="N92" i="59"/>
  <c r="O92" i="59" s="1"/>
  <c r="N76" i="59"/>
  <c r="O76" i="59" s="1"/>
  <c r="N60" i="59"/>
  <c r="O60" i="59" s="1"/>
  <c r="N44" i="59"/>
  <c r="O44" i="59" s="1"/>
  <c r="N28" i="59"/>
  <c r="O28" i="59" s="1"/>
  <c r="N27" i="59"/>
  <c r="O27" i="59" s="1"/>
  <c r="N131" i="59"/>
  <c r="O131" i="59" s="1"/>
  <c r="N79" i="59"/>
  <c r="O79" i="59" s="1"/>
  <c r="N142" i="59"/>
  <c r="O142" i="59" s="1"/>
  <c r="N126" i="59"/>
  <c r="O126" i="59" s="1"/>
  <c r="N110" i="59"/>
  <c r="O110" i="59" s="1"/>
  <c r="N94" i="59"/>
  <c r="O94" i="59" s="1"/>
  <c r="N78" i="59"/>
  <c r="O78" i="59" s="1"/>
  <c r="N62" i="59"/>
  <c r="O62" i="59" s="1"/>
  <c r="N46" i="59"/>
  <c r="O46" i="59" s="1"/>
  <c r="N30" i="59"/>
  <c r="O30" i="59" s="1"/>
  <c r="N14" i="59"/>
  <c r="O14" i="59" s="1"/>
  <c r="N49" i="59"/>
  <c r="O49" i="59" s="1"/>
  <c r="N133" i="59"/>
  <c r="O133" i="59" s="1"/>
  <c r="N117" i="59"/>
  <c r="O117" i="59" s="1"/>
  <c r="N101" i="59"/>
  <c r="O101" i="59" s="1"/>
  <c r="N85" i="59"/>
  <c r="O85" i="59" s="1"/>
  <c r="N69" i="59"/>
  <c r="O69" i="59" s="1"/>
  <c r="N103" i="59"/>
  <c r="O103" i="59" s="1"/>
  <c r="N140" i="59"/>
  <c r="O140" i="59" s="1"/>
  <c r="N8" i="59"/>
  <c r="O8" i="59" s="1"/>
  <c r="N23" i="59"/>
  <c r="O23" i="59" s="1"/>
  <c r="N127" i="59"/>
  <c r="O127" i="59" s="1"/>
  <c r="N75" i="59"/>
  <c r="O75" i="59" s="1"/>
  <c r="N45" i="59"/>
  <c r="O45" i="59" s="1"/>
  <c r="N65" i="59"/>
  <c r="O65" i="59" s="1"/>
  <c r="N128" i="59"/>
  <c r="O128" i="59" s="1"/>
  <c r="N112" i="59"/>
  <c r="O112" i="59" s="1"/>
  <c r="N64" i="59"/>
  <c r="O64" i="59" s="1"/>
  <c r="N32" i="59"/>
  <c r="O32" i="59" s="1"/>
  <c r="N139" i="59"/>
  <c r="O139" i="59" s="1"/>
  <c r="N11" i="59"/>
  <c r="O11" i="59" s="1"/>
  <c r="N98" i="59"/>
  <c r="O98" i="59" s="1"/>
  <c r="N50" i="59"/>
  <c r="O50" i="59" s="1"/>
  <c r="N18" i="59"/>
  <c r="O18" i="59" s="1"/>
  <c r="N137" i="59"/>
  <c r="O137" i="59" s="1"/>
  <c r="N105" i="59"/>
  <c r="O105" i="59" s="1"/>
  <c r="N53" i="59"/>
  <c r="O53" i="59" s="1"/>
  <c r="N107" i="59"/>
  <c r="O107" i="59" s="1"/>
  <c r="N99" i="59"/>
  <c r="O99" i="59" s="1"/>
  <c r="N120" i="59"/>
  <c r="O120" i="59" s="1"/>
  <c r="N104" i="59"/>
  <c r="O104" i="59" s="1"/>
  <c r="N88" i="59"/>
  <c r="O88" i="59" s="1"/>
  <c r="N72" i="59"/>
  <c r="O72" i="59" s="1"/>
  <c r="N56" i="59"/>
  <c r="O56" i="59" s="1"/>
  <c r="N40" i="59"/>
  <c r="O40" i="59" s="1"/>
  <c r="N24" i="59"/>
  <c r="O24" i="59" s="1"/>
  <c r="N4" i="59"/>
  <c r="O4" i="59" s="1"/>
  <c r="N19" i="59"/>
  <c r="O19" i="59" s="1"/>
  <c r="N123" i="59"/>
  <c r="O123" i="59" s="1"/>
  <c r="N59" i="59"/>
  <c r="O59" i="59" s="1"/>
  <c r="N138" i="59"/>
  <c r="O138" i="59" s="1"/>
  <c r="N122" i="59"/>
  <c r="N106" i="59"/>
  <c r="O106" i="59" s="1"/>
  <c r="N90" i="59"/>
  <c r="O90" i="59" s="1"/>
  <c r="N74" i="59"/>
  <c r="N58" i="59"/>
  <c r="O58" i="59" s="1"/>
  <c r="N42" i="59"/>
  <c r="O42" i="59" s="1"/>
  <c r="N26" i="59"/>
  <c r="O26" i="59" s="1"/>
  <c r="N10" i="59"/>
  <c r="O10" i="59" s="1"/>
  <c r="N41" i="59"/>
  <c r="O41" i="59" s="1"/>
  <c r="N145" i="59"/>
  <c r="O145" i="59" s="1"/>
  <c r="N129" i="59"/>
  <c r="O129" i="59" s="1"/>
  <c r="N113" i="59"/>
  <c r="O113" i="59" s="1"/>
  <c r="N97" i="59"/>
  <c r="O97" i="59" s="1"/>
  <c r="N81" i="59"/>
  <c r="O81" i="59" s="1"/>
  <c r="N21" i="59"/>
  <c r="O21" i="59" s="1"/>
  <c r="N82" i="59"/>
  <c r="O82" i="59" s="1"/>
  <c r="N83" i="59"/>
  <c r="O83" i="59" s="1"/>
  <c r="N136" i="59"/>
  <c r="O136" i="59" s="1"/>
  <c r="N71" i="59"/>
  <c r="O71" i="59" s="1"/>
  <c r="N7" i="59"/>
  <c r="O7" i="59" s="1"/>
  <c r="N119" i="59"/>
  <c r="O119" i="59" s="1"/>
  <c r="N43" i="59"/>
  <c r="O43" i="59" s="1"/>
  <c r="N37" i="59"/>
  <c r="O37" i="59" s="1"/>
  <c r="O87" i="59"/>
  <c r="K16" i="72"/>
  <c r="K10" i="72"/>
  <c r="K3" i="72"/>
  <c r="E19" i="72"/>
  <c r="K2" i="72"/>
  <c r="K19" i="72" s="1"/>
  <c r="F2" i="72"/>
  <c r="G2" i="72" s="1"/>
  <c r="D26" i="72" s="1"/>
  <c r="K14" i="72"/>
  <c r="K12" i="72"/>
  <c r="K5" i="72"/>
  <c r="K15" i="72"/>
  <c r="K6" i="72"/>
  <c r="D240" i="69"/>
  <c r="F231" i="69"/>
  <c r="G231" i="69" s="1"/>
  <c r="J79" i="62"/>
  <c r="H79" i="62"/>
  <c r="I79" i="62"/>
  <c r="E263" i="69"/>
  <c r="G80" i="62"/>
  <c r="C246" i="69"/>
  <c r="F247" i="69"/>
  <c r="H250" i="69"/>
  <c r="D77" i="78" l="1"/>
  <c r="F77" i="78" s="1"/>
  <c r="L55" i="78" s="1"/>
  <c r="F362" i="69"/>
  <c r="F371" i="69" s="1"/>
  <c r="F438" i="69"/>
  <c r="F439" i="69" s="1"/>
  <c r="F440" i="69" s="1"/>
  <c r="B69" i="70"/>
  <c r="E55" i="69"/>
  <c r="D15" i="63"/>
  <c r="H15" i="63"/>
  <c r="L35" i="70"/>
  <c r="L54" i="70" s="1"/>
  <c r="H55" i="69"/>
  <c r="G12" i="69"/>
  <c r="H12" i="69" s="1"/>
  <c r="G13" i="69"/>
  <c r="H13" i="69" s="1"/>
  <c r="E158" i="69"/>
  <c r="E157" i="69"/>
  <c r="I50" i="69"/>
  <c r="E69" i="69"/>
  <c r="D343" i="69"/>
  <c r="D385" i="69"/>
  <c r="D386" i="69" s="1"/>
  <c r="G56" i="69"/>
  <c r="M30" i="70"/>
  <c r="E156" i="69"/>
  <c r="I142" i="69"/>
  <c r="I143" i="69"/>
  <c r="G49" i="70"/>
  <c r="H49" i="70"/>
  <c r="G54" i="70"/>
  <c r="G69" i="70" s="1"/>
  <c r="I51" i="69"/>
  <c r="I348" i="69"/>
  <c r="I462" i="69" s="1"/>
  <c r="I463" i="69" s="1"/>
  <c r="I464" i="69" s="1"/>
  <c r="F165" i="69"/>
  <c r="H54" i="70"/>
  <c r="G385" i="69"/>
  <c r="G386" i="69" s="1"/>
  <c r="G541" i="69"/>
  <c r="M16" i="70"/>
  <c r="D83" i="79"/>
  <c r="F83" i="79" s="1"/>
  <c r="D56" i="69"/>
  <c r="H343" i="69"/>
  <c r="I54" i="69"/>
  <c r="H385" i="69"/>
  <c r="H386" i="69" s="1"/>
  <c r="D49" i="70"/>
  <c r="C56" i="69"/>
  <c r="D82" i="79"/>
  <c r="M12" i="70"/>
  <c r="E384" i="69"/>
  <c r="E362" i="69"/>
  <c r="E371" i="69" s="1"/>
  <c r="I339" i="69"/>
  <c r="I402" i="69" s="1"/>
  <c r="I403" i="69" s="1"/>
  <c r="I404" i="69" s="1"/>
  <c r="D165" i="69"/>
  <c r="D192" i="69"/>
  <c r="L50" i="62"/>
  <c r="G195" i="69" s="1"/>
  <c r="I384" i="69"/>
  <c r="M25" i="70"/>
  <c r="F56" i="69"/>
  <c r="H59" i="70"/>
  <c r="H64" i="70"/>
  <c r="F15" i="69"/>
  <c r="E86" i="69"/>
  <c r="D88" i="69"/>
  <c r="G11" i="69"/>
  <c r="H11" i="69" s="1"/>
  <c r="G10" i="69"/>
  <c r="H10" i="69" s="1"/>
  <c r="D84" i="78"/>
  <c r="F82" i="78"/>
  <c r="F84" i="78" s="1"/>
  <c r="B91" i="78" s="1"/>
  <c r="E73" i="69"/>
  <c r="E180" i="69" s="1"/>
  <c r="G165" i="69"/>
  <c r="I353" i="69"/>
  <c r="I486" i="69" s="1"/>
  <c r="I487" i="69" s="1"/>
  <c r="I488" i="69" s="1"/>
  <c r="G553" i="69"/>
  <c r="G554" i="69" s="1"/>
  <c r="G555" i="69" s="1"/>
  <c r="F554" i="69"/>
  <c r="F555" i="69" s="1"/>
  <c r="H475" i="69"/>
  <c r="H476" i="69" s="1"/>
  <c r="H553" i="69"/>
  <c r="H190" i="69"/>
  <c r="D82" i="69"/>
  <c r="I35" i="69"/>
  <c r="K50" i="62"/>
  <c r="K48" i="62" s="1"/>
  <c r="K32" i="62" s="1"/>
  <c r="E84" i="69"/>
  <c r="F188" i="69"/>
  <c r="E87" i="69"/>
  <c r="D195" i="69"/>
  <c r="H48" i="62"/>
  <c r="H32" i="62" s="1"/>
  <c r="E85" i="69"/>
  <c r="M50" i="62"/>
  <c r="H195" i="69" s="1"/>
  <c r="I32" i="69"/>
  <c r="L48" i="62"/>
  <c r="L32" i="62" s="1"/>
  <c r="G200" i="69" s="1"/>
  <c r="I31" i="69"/>
  <c r="E175" i="69"/>
  <c r="E189" i="69" s="1"/>
  <c r="D191" i="69"/>
  <c r="C317" i="69"/>
  <c r="D10" i="69"/>
  <c r="E10" i="69" s="1"/>
  <c r="E192" i="69"/>
  <c r="F445" i="69"/>
  <c r="F446" i="69" s="1"/>
  <c r="F191" i="69"/>
  <c r="I34" i="69"/>
  <c r="E363" i="69"/>
  <c r="E372" i="69" s="1"/>
  <c r="I36" i="69"/>
  <c r="H186" i="69"/>
  <c r="E88" i="69"/>
  <c r="C16" i="69"/>
  <c r="D16" i="69" s="1"/>
  <c r="E16" i="69" s="1"/>
  <c r="F193" i="69"/>
  <c r="F363" i="69"/>
  <c r="F372" i="69" s="1"/>
  <c r="D189" i="69"/>
  <c r="G50" i="62"/>
  <c r="L33" i="62"/>
  <c r="M59" i="62"/>
  <c r="P59" i="62"/>
  <c r="D190" i="69"/>
  <c r="D186" i="69"/>
  <c r="F192" i="69"/>
  <c r="K59" i="62"/>
  <c r="K63" i="62" s="1"/>
  <c r="K83" i="62" s="1"/>
  <c r="J33" i="62"/>
  <c r="K60" i="62" s="1"/>
  <c r="K64" i="62" s="1"/>
  <c r="K84" i="62" s="1"/>
  <c r="G444" i="69"/>
  <c r="G363" i="69"/>
  <c r="G372" i="69" s="1"/>
  <c r="C17" i="69"/>
  <c r="H194" i="69"/>
  <c r="E179" i="69"/>
  <c r="E193" i="69" s="1"/>
  <c r="E89" i="69"/>
  <c r="I44" i="62"/>
  <c r="I43" i="62"/>
  <c r="E409" i="69"/>
  <c r="E410" i="69" s="1"/>
  <c r="E547" i="69"/>
  <c r="E548" i="69" s="1"/>
  <c r="E549" i="69" s="1"/>
  <c r="F409" i="69"/>
  <c r="F410" i="69" s="1"/>
  <c r="F547" i="69"/>
  <c r="F391" i="69"/>
  <c r="F392" i="69" s="1"/>
  <c r="C174" i="69"/>
  <c r="C85" i="69"/>
  <c r="C84" i="69"/>
  <c r="C177" i="69"/>
  <c r="C87" i="69"/>
  <c r="C88" i="69"/>
  <c r="E82" i="69"/>
  <c r="E172" i="69"/>
  <c r="E186" i="69" s="1"/>
  <c r="D194" i="69"/>
  <c r="D193" i="69"/>
  <c r="F175" i="69"/>
  <c r="F85" i="69"/>
  <c r="F86" i="69"/>
  <c r="F194" i="69"/>
  <c r="G190" i="69"/>
  <c r="G189" i="69"/>
  <c r="G187" i="69"/>
  <c r="G188" i="69"/>
  <c r="E83" i="69"/>
  <c r="G89" i="69"/>
  <c r="G179" i="69"/>
  <c r="G90" i="69"/>
  <c r="E188" i="69"/>
  <c r="N157" i="59"/>
  <c r="N154" i="59"/>
  <c r="D126" i="69" s="1"/>
  <c r="E126" i="69" s="1"/>
  <c r="O74" i="59"/>
  <c r="N155" i="59"/>
  <c r="N152" i="59"/>
  <c r="O39" i="59"/>
  <c r="N158" i="59"/>
  <c r="O111" i="59"/>
  <c r="N153" i="59"/>
  <c r="F5" i="70" s="1"/>
  <c r="N151" i="59"/>
  <c r="C8" i="62" s="1"/>
  <c r="N147" i="59"/>
  <c r="N150" i="59"/>
  <c r="N156" i="59"/>
  <c r="O156" i="59" s="1"/>
  <c r="N149" i="59"/>
  <c r="O149" i="59" s="1"/>
  <c r="O122" i="59"/>
  <c r="N159" i="59"/>
  <c r="N160" i="59"/>
  <c r="O134" i="59"/>
  <c r="P150" i="59"/>
  <c r="C5" i="70"/>
  <c r="O150" i="59"/>
  <c r="C7" i="62"/>
  <c r="D122" i="69"/>
  <c r="E122" i="69" s="1"/>
  <c r="P153" i="59"/>
  <c r="J5" i="70"/>
  <c r="C14" i="62"/>
  <c r="O157" i="59"/>
  <c r="G330" i="69"/>
  <c r="G331" i="69" s="1"/>
  <c r="D129" i="69"/>
  <c r="E129" i="69" s="1"/>
  <c r="P157" i="59"/>
  <c r="F240" i="69"/>
  <c r="G240" i="69" s="1"/>
  <c r="D27" i="72"/>
  <c r="D28" i="72" s="1"/>
  <c r="D29" i="72" s="1"/>
  <c r="D30" i="72" s="1"/>
  <c r="D31" i="72" s="1"/>
  <c r="D32" i="72" s="1"/>
  <c r="D33" i="72" s="1"/>
  <c r="D34" i="72" s="1"/>
  <c r="D35" i="72" s="1"/>
  <c r="D36" i="72" s="1"/>
  <c r="D37" i="72" s="1"/>
  <c r="J80" i="62"/>
  <c r="I80" i="62"/>
  <c r="H80" i="62"/>
  <c r="D284" i="69"/>
  <c r="D272" i="69"/>
  <c r="E272" i="69"/>
  <c r="E284" i="69"/>
  <c r="C272" i="69"/>
  <c r="O79" i="62"/>
  <c r="C284" i="69"/>
  <c r="H554" i="69" l="1"/>
  <c r="H555" i="69" s="1"/>
  <c r="L49" i="70"/>
  <c r="F541" i="69"/>
  <c r="G542" i="69" s="1"/>
  <c r="G439" i="69"/>
  <c r="G440" i="69" s="1"/>
  <c r="X14" i="62"/>
  <c r="W14" i="62"/>
  <c r="T14" i="62"/>
  <c r="V14" i="62"/>
  <c r="R14" i="62"/>
  <c r="U14" i="62"/>
  <c r="AA14" i="62"/>
  <c r="P83" i="62" s="1"/>
  <c r="L40" i="70" s="1"/>
  <c r="S14" i="62"/>
  <c r="Y14" i="62" s="1"/>
  <c r="H69" i="70"/>
  <c r="J348" i="69"/>
  <c r="J462" i="69" s="1"/>
  <c r="J463" i="69" s="1"/>
  <c r="J464" i="69" s="1"/>
  <c r="F166" i="69"/>
  <c r="B6" i="78"/>
  <c r="F6" i="78" s="1"/>
  <c r="M48" i="62"/>
  <c r="M32" i="62" s="1"/>
  <c r="H438" i="69"/>
  <c r="H362" i="69"/>
  <c r="H371" i="69" s="1"/>
  <c r="M35" i="70"/>
  <c r="H56" i="69"/>
  <c r="J339" i="69"/>
  <c r="J402" i="69" s="1"/>
  <c r="J403" i="69" s="1"/>
  <c r="J404" i="69" s="1"/>
  <c r="D166" i="69"/>
  <c r="E90" i="69"/>
  <c r="L59" i="70"/>
  <c r="L64" i="70"/>
  <c r="L69" i="70" s="1"/>
  <c r="F19" i="69"/>
  <c r="G19" i="69" s="1"/>
  <c r="H19" i="69" s="1"/>
  <c r="D84" i="79"/>
  <c r="F82" i="79"/>
  <c r="F84" i="79" s="1"/>
  <c r="B91" i="79" s="1"/>
  <c r="E56" i="69"/>
  <c r="J335" i="69"/>
  <c r="C166" i="69"/>
  <c r="G15" i="69"/>
  <c r="H15" i="69" s="1"/>
  <c r="G16" i="69"/>
  <c r="H16" i="69" s="1"/>
  <c r="I385" i="69"/>
  <c r="I386" i="69" s="1"/>
  <c r="G166" i="69"/>
  <c r="J353" i="69"/>
  <c r="J486" i="69" s="1"/>
  <c r="J487" i="69" s="1"/>
  <c r="J488" i="69" s="1"/>
  <c r="D438" i="69"/>
  <c r="D362" i="69"/>
  <c r="D371" i="69" s="1"/>
  <c r="F195" i="69"/>
  <c r="E385" i="69"/>
  <c r="E386" i="69" s="1"/>
  <c r="E541" i="69"/>
  <c r="F385" i="69"/>
  <c r="F386" i="69" s="1"/>
  <c r="E79" i="69"/>
  <c r="E176" i="69"/>
  <c r="E191" i="69" s="1"/>
  <c r="H165" i="69"/>
  <c r="I358" i="69"/>
  <c r="I420" i="69" s="1"/>
  <c r="I421" i="69" s="1"/>
  <c r="I422" i="69" s="1"/>
  <c r="E165" i="69"/>
  <c r="I165" i="69" s="1"/>
  <c r="I343" i="69"/>
  <c r="I55" i="69"/>
  <c r="B6" i="79"/>
  <c r="M54" i="70"/>
  <c r="M49" i="70"/>
  <c r="E22" i="78"/>
  <c r="F22" i="78" s="1"/>
  <c r="E21" i="78"/>
  <c r="E17" i="78"/>
  <c r="E20" i="78"/>
  <c r="E22" i="79"/>
  <c r="E21" i="79"/>
  <c r="E20" i="79"/>
  <c r="E17" i="79"/>
  <c r="F200" i="69"/>
  <c r="K33" i="62"/>
  <c r="L60" i="62" s="1"/>
  <c r="L59" i="62"/>
  <c r="L68" i="62" s="1"/>
  <c r="H200" i="69"/>
  <c r="D200" i="69"/>
  <c r="I59" i="62"/>
  <c r="H33" i="62"/>
  <c r="G48" i="62"/>
  <c r="G32" i="62" s="1"/>
  <c r="C195" i="69"/>
  <c r="E187" i="69"/>
  <c r="F206" i="69"/>
  <c r="F278" i="69" s="1"/>
  <c r="F287" i="69" s="1"/>
  <c r="G206" i="69"/>
  <c r="G278" i="69" s="1"/>
  <c r="G287" i="69" s="1"/>
  <c r="M68" i="62"/>
  <c r="I50" i="62"/>
  <c r="E195" i="69" s="1"/>
  <c r="M60" i="62"/>
  <c r="G201" i="69"/>
  <c r="E194" i="69"/>
  <c r="G445" i="69"/>
  <c r="G446" i="69" s="1"/>
  <c r="G547" i="69"/>
  <c r="H548" i="69" s="1"/>
  <c r="H549" i="69" s="1"/>
  <c r="H445" i="69"/>
  <c r="H446" i="69" s="1"/>
  <c r="I272" i="69"/>
  <c r="D17" i="69"/>
  <c r="E17" i="69" s="1"/>
  <c r="D18" i="69"/>
  <c r="E18" i="69" s="1"/>
  <c r="C189" i="69"/>
  <c r="C188" i="69"/>
  <c r="C18" i="79"/>
  <c r="C17" i="79"/>
  <c r="C20" i="79"/>
  <c r="C21" i="79"/>
  <c r="C22" i="79"/>
  <c r="D22" i="79" s="1"/>
  <c r="F190" i="69"/>
  <c r="F189" i="69"/>
  <c r="G193" i="69"/>
  <c r="G194" i="69"/>
  <c r="F548" i="69"/>
  <c r="F549" i="69" s="1"/>
  <c r="C191" i="69"/>
  <c r="C192" i="69"/>
  <c r="O153" i="59"/>
  <c r="C10" i="62"/>
  <c r="G5" i="70"/>
  <c r="G76" i="70" s="1"/>
  <c r="D125" i="69"/>
  <c r="E125" i="69" s="1"/>
  <c r="O154" i="59"/>
  <c r="D330" i="69"/>
  <c r="D331" i="69" s="1"/>
  <c r="C11" i="62"/>
  <c r="P149" i="59"/>
  <c r="C6" i="62"/>
  <c r="P154" i="59"/>
  <c r="D121" i="69"/>
  <c r="E121" i="69" s="1"/>
  <c r="B5" i="70"/>
  <c r="B76" i="70" s="1"/>
  <c r="D123" i="69"/>
  <c r="E123" i="69" s="1"/>
  <c r="N162" i="59"/>
  <c r="P162" i="59" s="1"/>
  <c r="N164" i="59"/>
  <c r="P164" i="59" s="1"/>
  <c r="P151" i="59"/>
  <c r="O147" i="59"/>
  <c r="I5" i="70"/>
  <c r="I76" i="70" s="1"/>
  <c r="H330" i="69"/>
  <c r="H331" i="69" s="1"/>
  <c r="K5" i="70"/>
  <c r="P158" i="59"/>
  <c r="O158" i="59"/>
  <c r="C15" i="62"/>
  <c r="D130" i="69"/>
  <c r="E130" i="69" s="1"/>
  <c r="P156" i="59"/>
  <c r="O152" i="59"/>
  <c r="C9" i="62"/>
  <c r="E5" i="70"/>
  <c r="D124" i="69"/>
  <c r="E124" i="69" s="1"/>
  <c r="P152" i="59"/>
  <c r="F330" i="69"/>
  <c r="F331" i="69" s="1"/>
  <c r="D128" i="69"/>
  <c r="E128" i="69" s="1"/>
  <c r="O151" i="59"/>
  <c r="C17" i="62"/>
  <c r="D132" i="69"/>
  <c r="J330" i="69"/>
  <c r="M5" i="70"/>
  <c r="M76" i="70" s="1"/>
  <c r="P155" i="59"/>
  <c r="E330" i="69"/>
  <c r="E331" i="69" s="1"/>
  <c r="O155" i="59"/>
  <c r="D127" i="69"/>
  <c r="E127" i="69" s="1"/>
  <c r="C12" i="62"/>
  <c r="H5" i="70"/>
  <c r="C13" i="62"/>
  <c r="D131" i="69"/>
  <c r="C16" i="62"/>
  <c r="L5" i="70"/>
  <c r="L76" i="70" s="1"/>
  <c r="I330" i="69"/>
  <c r="D5" i="70"/>
  <c r="D6" i="70" s="1"/>
  <c r="J76" i="70"/>
  <c r="J6" i="70"/>
  <c r="C76" i="70"/>
  <c r="C6" i="70"/>
  <c r="F76" i="70"/>
  <c r="F6" i="70"/>
  <c r="B6" i="70"/>
  <c r="F37" i="72"/>
  <c r="F3" i="72" s="1"/>
  <c r="G3" i="72" s="1"/>
  <c r="D38" i="72" s="1"/>
  <c r="E37" i="72"/>
  <c r="J2" i="72" s="1"/>
  <c r="I284" i="69"/>
  <c r="O80" i="62"/>
  <c r="C273" i="69"/>
  <c r="C285" i="69"/>
  <c r="D273" i="69"/>
  <c r="D285" i="69"/>
  <c r="E273" i="69"/>
  <c r="E285" i="69"/>
  <c r="G543" i="69" l="1"/>
  <c r="P529" i="69"/>
  <c r="P530" i="69" s="1"/>
  <c r="G530" i="69" s="1"/>
  <c r="G531" i="69" s="1"/>
  <c r="W13" i="62"/>
  <c r="S13" i="62"/>
  <c r="V13" i="62"/>
  <c r="AA13" i="62"/>
  <c r="U13" i="62"/>
  <c r="R13" i="62"/>
  <c r="Y13" i="62" s="1"/>
  <c r="T13" i="62"/>
  <c r="X13" i="62"/>
  <c r="V12" i="62"/>
  <c r="R12" i="62"/>
  <c r="U12" i="62"/>
  <c r="T12" i="62"/>
  <c r="S12" i="62"/>
  <c r="X12" i="62"/>
  <c r="AA12" i="62"/>
  <c r="W12" i="62"/>
  <c r="E17" i="62"/>
  <c r="F201" i="69"/>
  <c r="G6" i="70"/>
  <c r="R15" i="62"/>
  <c r="X15" i="62"/>
  <c r="W15" i="62"/>
  <c r="AA15" i="62"/>
  <c r="P84" i="62" s="1"/>
  <c r="V15" i="62"/>
  <c r="U15" i="62"/>
  <c r="T15" i="62"/>
  <c r="S15" i="62"/>
  <c r="W11" i="62"/>
  <c r="AA11" i="62"/>
  <c r="T11" i="62"/>
  <c r="V11" i="62"/>
  <c r="S11" i="62"/>
  <c r="R11" i="62"/>
  <c r="X11" i="62"/>
  <c r="U11" i="62"/>
  <c r="E16" i="62"/>
  <c r="J358" i="69"/>
  <c r="J420" i="69" s="1"/>
  <c r="J421" i="69" s="1"/>
  <c r="J422" i="69" s="1"/>
  <c r="H166" i="69"/>
  <c r="F542" i="69"/>
  <c r="N59" i="62"/>
  <c r="M33" i="62"/>
  <c r="E190" i="69"/>
  <c r="J384" i="69"/>
  <c r="J343" i="69"/>
  <c r="J438" i="69" s="1"/>
  <c r="E166" i="69"/>
  <c r="I166" i="69" s="1"/>
  <c r="D439" i="69"/>
  <c r="D440" i="69" s="1"/>
  <c r="D541" i="69"/>
  <c r="D542" i="69" s="1"/>
  <c r="D543" i="69" s="1"/>
  <c r="E439" i="69"/>
  <c r="E440" i="69" s="1"/>
  <c r="I56" i="69"/>
  <c r="H439" i="69"/>
  <c r="H440" i="69" s="1"/>
  <c r="H541" i="69"/>
  <c r="H542" i="69" s="1"/>
  <c r="M59" i="70"/>
  <c r="F20" i="69"/>
  <c r="G20" i="69" s="1"/>
  <c r="H20" i="69" s="1"/>
  <c r="M64" i="70"/>
  <c r="M69" i="70" s="1"/>
  <c r="I438" i="69"/>
  <c r="I439" i="69" s="1"/>
  <c r="I440" i="69" s="1"/>
  <c r="I362" i="69"/>
  <c r="I371" i="69" s="1"/>
  <c r="D201" i="69"/>
  <c r="I60" i="62"/>
  <c r="I68" i="62"/>
  <c r="D206" i="69"/>
  <c r="D278" i="69" s="1"/>
  <c r="G33" i="62"/>
  <c r="C200" i="69"/>
  <c r="H59" i="62"/>
  <c r="F207" i="69"/>
  <c r="F279" i="69" s="1"/>
  <c r="F288" i="69" s="1"/>
  <c r="L69" i="62"/>
  <c r="I32" i="62"/>
  <c r="I33" i="62" s="1"/>
  <c r="G207" i="69"/>
  <c r="G279" i="69" s="1"/>
  <c r="G288" i="69" s="1"/>
  <c r="M69" i="62"/>
  <c r="G548" i="69"/>
  <c r="G549" i="69" s="1"/>
  <c r="D55" i="79"/>
  <c r="F22" i="79"/>
  <c r="D76" i="70"/>
  <c r="I6" i="70"/>
  <c r="E76" i="70"/>
  <c r="E6" i="70"/>
  <c r="K6" i="70"/>
  <c r="K76" i="70"/>
  <c r="H6" i="70"/>
  <c r="H76" i="70"/>
  <c r="D39" i="72"/>
  <c r="D40" i="72" s="1"/>
  <c r="D41" i="72" s="1"/>
  <c r="D42" i="72" s="1"/>
  <c r="D43" i="72" s="1"/>
  <c r="D44" i="72" s="1"/>
  <c r="D45" i="72" s="1"/>
  <c r="D46" i="72" s="1"/>
  <c r="D47" i="72" s="1"/>
  <c r="D48" i="72" s="1"/>
  <c r="D49" i="72" s="1"/>
  <c r="L2" i="72"/>
  <c r="I285" i="69"/>
  <c r="I273" i="69"/>
  <c r="Y15" i="62" l="1"/>
  <c r="Y12" i="62"/>
  <c r="Y11" i="62"/>
  <c r="Z11" i="62" s="1"/>
  <c r="E542" i="69"/>
  <c r="E543" i="69" s="1"/>
  <c r="M40" i="70"/>
  <c r="O85" i="62"/>
  <c r="J439" i="69"/>
  <c r="J440" i="69" s="1"/>
  <c r="Q529" i="69"/>
  <c r="Q530" i="69" s="1"/>
  <c r="H530" i="69" s="1"/>
  <c r="H531" i="69" s="1"/>
  <c r="H543" i="69"/>
  <c r="F543" i="69"/>
  <c r="O529" i="69"/>
  <c r="O530" i="69" s="1"/>
  <c r="F530" i="69" s="1"/>
  <c r="F531" i="69" s="1"/>
  <c r="I541" i="69"/>
  <c r="I542" i="69" s="1"/>
  <c r="I543" i="69" s="1"/>
  <c r="J362" i="69"/>
  <c r="J371" i="69" s="1"/>
  <c r="N60" i="62"/>
  <c r="H201" i="69"/>
  <c r="J541" i="69"/>
  <c r="J385" i="69"/>
  <c r="J386" i="69" s="1"/>
  <c r="N68" i="62"/>
  <c r="H206" i="69"/>
  <c r="H278" i="69" s="1"/>
  <c r="H287" i="69" s="1"/>
  <c r="I69" i="62"/>
  <c r="D207" i="69"/>
  <c r="D279" i="69" s="1"/>
  <c r="J59" i="62"/>
  <c r="O59" i="62" s="1"/>
  <c r="E200" i="69"/>
  <c r="C206" i="69"/>
  <c r="C278" i="69" s="1"/>
  <c r="H68" i="62"/>
  <c r="H60" i="62"/>
  <c r="C201" i="69"/>
  <c r="E201" i="69"/>
  <c r="J60" i="62"/>
  <c r="F55" i="79"/>
  <c r="D66" i="79"/>
  <c r="F66" i="79" s="1"/>
  <c r="D77" i="79"/>
  <c r="F77" i="79" s="1"/>
  <c r="M8" i="70"/>
  <c r="G64" i="62"/>
  <c r="L8" i="70"/>
  <c r="G63" i="62"/>
  <c r="E49" i="72"/>
  <c r="J3" i="72" s="1"/>
  <c r="F49" i="72"/>
  <c r="F4" i="72" s="1"/>
  <c r="G4" i="72" s="1"/>
  <c r="D50" i="72" s="1"/>
  <c r="N529" i="69" l="1"/>
  <c r="N530" i="69" s="1"/>
  <c r="E530" i="69" s="1"/>
  <c r="E531" i="69" s="1"/>
  <c r="E532" i="69" s="1"/>
  <c r="I530" i="69"/>
  <c r="I531" i="69" s="1"/>
  <c r="J542" i="69"/>
  <c r="J543" i="69" s="1"/>
  <c r="H207" i="69"/>
  <c r="H279" i="69" s="1"/>
  <c r="H288" i="69" s="1"/>
  <c r="N69" i="62"/>
  <c r="G59" i="62"/>
  <c r="J68" i="62"/>
  <c r="O68" i="62" s="1"/>
  <c r="N72" i="62" s="1"/>
  <c r="N63" i="62" s="1"/>
  <c r="E206" i="69"/>
  <c r="E278" i="69" s="1"/>
  <c r="I278" i="69" s="1"/>
  <c r="H69" i="62"/>
  <c r="C207" i="69"/>
  <c r="C279" i="69" s="1"/>
  <c r="E207" i="69"/>
  <c r="O60" i="62"/>
  <c r="G60" i="62"/>
  <c r="G69" i="62" s="1"/>
  <c r="J69" i="62"/>
  <c r="G83" i="62"/>
  <c r="G68" i="62"/>
  <c r="G84" i="62"/>
  <c r="D51" i="72"/>
  <c r="D52" i="72" s="1"/>
  <c r="D53" i="72" s="1"/>
  <c r="D54" i="72" s="1"/>
  <c r="D55" i="72" s="1"/>
  <c r="D56" i="72" s="1"/>
  <c r="D57" i="72" s="1"/>
  <c r="D58" i="72" s="1"/>
  <c r="D59" i="72" s="1"/>
  <c r="D60" i="72" s="1"/>
  <c r="D61" i="72" s="1"/>
  <c r="L3" i="72"/>
  <c r="E533" i="69" l="1"/>
  <c r="E534" i="69" s="1"/>
  <c r="E535" i="69" s="1"/>
  <c r="F532" i="69"/>
  <c r="I206" i="69"/>
  <c r="L72" i="62"/>
  <c r="L63" i="62" s="1"/>
  <c r="I349" i="69" s="1"/>
  <c r="I468" i="69" s="1"/>
  <c r="I469" i="69" s="1"/>
  <c r="I470" i="69" s="1"/>
  <c r="M72" i="62"/>
  <c r="M63" i="62" s="1"/>
  <c r="O69" i="62"/>
  <c r="H73" i="62" s="1"/>
  <c r="N83" i="62"/>
  <c r="M60" i="70" s="1"/>
  <c r="I359" i="69"/>
  <c r="I426" i="69" s="1"/>
  <c r="I427" i="69" s="1"/>
  <c r="I428" i="69" s="1"/>
  <c r="H212" i="69"/>
  <c r="E279" i="69"/>
  <c r="I279" i="69" s="1"/>
  <c r="I207" i="69"/>
  <c r="H72" i="62"/>
  <c r="B5" i="78"/>
  <c r="J72" i="62"/>
  <c r="I72" i="62"/>
  <c r="E61" i="72"/>
  <c r="J4" i="72" s="1"/>
  <c r="F61" i="72"/>
  <c r="F5" i="72" s="1"/>
  <c r="G5" i="72" s="1"/>
  <c r="D62" i="72"/>
  <c r="G532" i="69" l="1"/>
  <c r="F533" i="69"/>
  <c r="F534" i="69" s="1"/>
  <c r="F535" i="69" s="1"/>
  <c r="I354" i="69"/>
  <c r="I492" i="69" s="1"/>
  <c r="I493" i="69" s="1"/>
  <c r="I494" i="69" s="1"/>
  <c r="I350" i="69"/>
  <c r="I474" i="69" s="1"/>
  <c r="I475" i="69" s="1"/>
  <c r="I476" i="69" s="1"/>
  <c r="L83" i="62"/>
  <c r="F212" i="69"/>
  <c r="G212" i="69"/>
  <c r="M83" i="62"/>
  <c r="G218" i="69" s="1"/>
  <c r="L73" i="62"/>
  <c r="L64" i="62" s="1"/>
  <c r="N73" i="62"/>
  <c r="N64" i="62" s="1"/>
  <c r="J359" i="69" s="1"/>
  <c r="J426" i="69" s="1"/>
  <c r="J427" i="69" s="1"/>
  <c r="J428" i="69" s="1"/>
  <c r="M73" i="62"/>
  <c r="M64" i="62" s="1"/>
  <c r="J354" i="69" s="1"/>
  <c r="J492" i="69" s="1"/>
  <c r="J493" i="69" s="1"/>
  <c r="J494" i="69" s="1"/>
  <c r="B5" i="79"/>
  <c r="I73" i="62"/>
  <c r="I64" i="62" s="1"/>
  <c r="J73" i="62"/>
  <c r="J64" i="62" s="1"/>
  <c r="M84" i="62"/>
  <c r="H218" i="69"/>
  <c r="B9" i="78"/>
  <c r="H38" i="69"/>
  <c r="H74" i="69" s="1"/>
  <c r="H91" i="69" s="1"/>
  <c r="L36" i="70"/>
  <c r="L26" i="70"/>
  <c r="F218" i="69"/>
  <c r="E322" i="69"/>
  <c r="I355" i="69"/>
  <c r="I498" i="69" s="1"/>
  <c r="I499" i="69" s="1"/>
  <c r="I500" i="69" s="1"/>
  <c r="L31" i="70"/>
  <c r="B8" i="78"/>
  <c r="B20" i="78" s="1"/>
  <c r="D20" i="78" s="1"/>
  <c r="E281" i="69"/>
  <c r="E287" i="69" s="1"/>
  <c r="J63" i="62"/>
  <c r="I63" i="62"/>
  <c r="D281" i="69"/>
  <c r="D287" i="69" s="1"/>
  <c r="O72" i="62"/>
  <c r="H63" i="62"/>
  <c r="C281" i="69"/>
  <c r="C282" i="69"/>
  <c r="H64" i="62"/>
  <c r="L4" i="72"/>
  <c r="D63" i="72"/>
  <c r="D64" i="72" s="1"/>
  <c r="D65" i="72" s="1"/>
  <c r="D66" i="72" s="1"/>
  <c r="D67" i="72" s="1"/>
  <c r="D68" i="72" s="1"/>
  <c r="D69" i="72" s="1"/>
  <c r="D70" i="72" s="1"/>
  <c r="D71" i="72" s="1"/>
  <c r="D72" i="72" s="1"/>
  <c r="D73" i="72" s="1"/>
  <c r="G38" i="69" l="1"/>
  <c r="G74" i="69" s="1"/>
  <c r="G91" i="69" s="1"/>
  <c r="D282" i="69"/>
  <c r="D288" i="69" s="1"/>
  <c r="B7" i="78"/>
  <c r="B19" i="78" s="1"/>
  <c r="D19" i="78" s="1"/>
  <c r="F38" i="69"/>
  <c r="F74" i="69" s="1"/>
  <c r="F91" i="69" s="1"/>
  <c r="G213" i="69"/>
  <c r="G533" i="69"/>
  <c r="G534" i="69" s="1"/>
  <c r="G535" i="69" s="1"/>
  <c r="H532" i="69"/>
  <c r="H213" i="69"/>
  <c r="E282" i="69"/>
  <c r="E288" i="69" s="1"/>
  <c r="O73" i="62"/>
  <c r="D30" i="78"/>
  <c r="D322" i="69"/>
  <c r="N84" i="62"/>
  <c r="F213" i="69"/>
  <c r="J349" i="69"/>
  <c r="J468" i="69" s="1"/>
  <c r="J469" i="69" s="1"/>
  <c r="J470" i="69" s="1"/>
  <c r="L84" i="62"/>
  <c r="D31" i="78"/>
  <c r="B21" i="78"/>
  <c r="D21" i="78" s="1"/>
  <c r="J350" i="69"/>
  <c r="J474" i="69" s="1"/>
  <c r="J475" i="69" s="1"/>
  <c r="J476" i="69" s="1"/>
  <c r="D323" i="69"/>
  <c r="D53" i="78"/>
  <c r="F20" i="78"/>
  <c r="D52" i="78"/>
  <c r="J355" i="69"/>
  <c r="J498" i="69" s="1"/>
  <c r="J499" i="69" s="1"/>
  <c r="J500" i="69" s="1"/>
  <c r="E323" i="69"/>
  <c r="B8" i="79"/>
  <c r="M31" i="70"/>
  <c r="G219" i="69"/>
  <c r="G39" i="69"/>
  <c r="G75" i="69" s="1"/>
  <c r="G92" i="69" s="1"/>
  <c r="F39" i="69"/>
  <c r="F75" i="69" s="1"/>
  <c r="F92" i="69" s="1"/>
  <c r="M26" i="70"/>
  <c r="C213" i="69"/>
  <c r="H84" i="62"/>
  <c r="O64" i="62"/>
  <c r="C287" i="69"/>
  <c r="I287" i="69" s="1"/>
  <c r="I281" i="69"/>
  <c r="C288" i="69"/>
  <c r="O63" i="62"/>
  <c r="C212" i="69"/>
  <c r="H83" i="62"/>
  <c r="I84" i="62"/>
  <c r="D213" i="69"/>
  <c r="I83" i="62"/>
  <c r="D212" i="69"/>
  <c r="E213" i="69"/>
  <c r="J75" i="62"/>
  <c r="J84" i="62"/>
  <c r="M21" i="70" s="1"/>
  <c r="E212" i="69"/>
  <c r="J83" i="62"/>
  <c r="L21" i="70" s="1"/>
  <c r="F73" i="72"/>
  <c r="F6" i="72" s="1"/>
  <c r="G6" i="72" s="1"/>
  <c r="D74" i="72" s="1"/>
  <c r="E73" i="72"/>
  <c r="J5" i="72" s="1"/>
  <c r="B9" i="79" l="1"/>
  <c r="I532" i="69"/>
  <c r="H533" i="69"/>
  <c r="H534" i="69" s="1"/>
  <c r="H535" i="69" s="1"/>
  <c r="F219" i="69"/>
  <c r="H219" i="69"/>
  <c r="H39" i="69"/>
  <c r="H75" i="69" s="1"/>
  <c r="H92" i="69" s="1"/>
  <c r="B7" i="79"/>
  <c r="B19" i="79" s="1"/>
  <c r="D19" i="79" s="1"/>
  <c r="I288" i="69"/>
  <c r="I282" i="69"/>
  <c r="M36" i="70"/>
  <c r="D31" i="79"/>
  <c r="I414" i="69"/>
  <c r="D32" i="78"/>
  <c r="D54" i="78"/>
  <c r="F21" i="78"/>
  <c r="D30" i="79"/>
  <c r="F30" i="78"/>
  <c r="D41" i="78"/>
  <c r="F41" i="78" s="1"/>
  <c r="B20" i="79"/>
  <c r="D20" i="79" s="1"/>
  <c r="I480" i="69"/>
  <c r="F52" i="78"/>
  <c r="D74" i="78"/>
  <c r="F74" i="78" s="1"/>
  <c r="D42" i="78"/>
  <c r="F42" i="78" s="1"/>
  <c r="F31" i="78"/>
  <c r="D64" i="78"/>
  <c r="F64" i="78" s="1"/>
  <c r="F53" i="78"/>
  <c r="D75" i="78"/>
  <c r="F75" i="78" s="1"/>
  <c r="C19" i="69"/>
  <c r="D19" i="69" s="1"/>
  <c r="E19" i="69" s="1"/>
  <c r="D38" i="69"/>
  <c r="D74" i="69" s="1"/>
  <c r="D91" i="69" s="1"/>
  <c r="L17" i="70"/>
  <c r="D218" i="69"/>
  <c r="B3" i="78"/>
  <c r="I340" i="69"/>
  <c r="I408" i="69" s="1"/>
  <c r="E38" i="69"/>
  <c r="E74" i="69" s="1"/>
  <c r="E91" i="69" s="1"/>
  <c r="I344" i="69"/>
  <c r="I444" i="69" s="1"/>
  <c r="I445" i="69" s="1"/>
  <c r="I446" i="69" s="1"/>
  <c r="B4" i="78"/>
  <c r="B18" i="78" s="1"/>
  <c r="D18" i="78" s="1"/>
  <c r="E218" i="69"/>
  <c r="D39" i="69"/>
  <c r="D75" i="69" s="1"/>
  <c r="D219" i="69"/>
  <c r="B3" i="79"/>
  <c r="M17" i="70"/>
  <c r="J340" i="69"/>
  <c r="J408" i="69" s="1"/>
  <c r="C20" i="69"/>
  <c r="C218" i="69"/>
  <c r="I336" i="69"/>
  <c r="C38" i="69"/>
  <c r="O83" i="62"/>
  <c r="L65" i="70" s="1"/>
  <c r="B2" i="78"/>
  <c r="L13" i="70"/>
  <c r="C39" i="69"/>
  <c r="M13" i="70"/>
  <c r="C219" i="69"/>
  <c r="O84" i="62"/>
  <c r="B2" i="79"/>
  <c r="J336" i="69"/>
  <c r="B4" i="79"/>
  <c r="E39" i="69"/>
  <c r="E75" i="69" s="1"/>
  <c r="J344" i="69"/>
  <c r="J444" i="69" s="1"/>
  <c r="E219" i="69"/>
  <c r="I212" i="69"/>
  <c r="I213" i="69"/>
  <c r="D75" i="72"/>
  <c r="D76" i="72" s="1"/>
  <c r="D77" i="72" s="1"/>
  <c r="D78" i="72" s="1"/>
  <c r="D79" i="72" s="1"/>
  <c r="D80" i="72" s="1"/>
  <c r="D81" i="72" s="1"/>
  <c r="D82" i="72" s="1"/>
  <c r="D83" i="72" s="1"/>
  <c r="D84" i="72" s="1"/>
  <c r="D85" i="72" s="1"/>
  <c r="L5" i="72"/>
  <c r="B21" i="79" l="1"/>
  <c r="D21" i="79" s="1"/>
  <c r="D54" i="79" s="1"/>
  <c r="L55" i="70"/>
  <c r="L70" i="70" s="1"/>
  <c r="M65" i="70"/>
  <c r="O87" i="62"/>
  <c r="L50" i="70"/>
  <c r="M55" i="70"/>
  <c r="M50" i="70"/>
  <c r="L52" i="78"/>
  <c r="I415" i="69"/>
  <c r="I416" i="69" s="1"/>
  <c r="D92" i="69"/>
  <c r="L53" i="78"/>
  <c r="D53" i="79"/>
  <c r="F20" i="79"/>
  <c r="D52" i="79"/>
  <c r="D41" i="79"/>
  <c r="F41" i="79" s="1"/>
  <c r="F30" i="79"/>
  <c r="D76" i="78"/>
  <c r="F76" i="78" s="1"/>
  <c r="F54" i="78"/>
  <c r="D65" i="78"/>
  <c r="F65" i="78" s="1"/>
  <c r="D43" i="78"/>
  <c r="F43" i="78" s="1"/>
  <c r="F32" i="78"/>
  <c r="F31" i="79"/>
  <c r="D42" i="79"/>
  <c r="F42" i="79" s="1"/>
  <c r="I481" i="69"/>
  <c r="I482" i="69" s="1"/>
  <c r="E92" i="69"/>
  <c r="I218" i="69"/>
  <c r="I219" i="69"/>
  <c r="D20" i="69"/>
  <c r="E20" i="69" s="1"/>
  <c r="K410" i="69"/>
  <c r="I409" i="69"/>
  <c r="I410" i="69" s="1"/>
  <c r="B18" i="79"/>
  <c r="D18" i="79" s="1"/>
  <c r="B17" i="78"/>
  <c r="D17" i="78" s="1"/>
  <c r="C4" i="78"/>
  <c r="C322" i="69"/>
  <c r="F322" i="69" s="1"/>
  <c r="I345" i="69"/>
  <c r="J363" i="69"/>
  <c r="J372" i="69" s="1"/>
  <c r="J390" i="69"/>
  <c r="B16" i="78"/>
  <c r="B11" i="78"/>
  <c r="J445" i="69"/>
  <c r="J446" i="69" s="1"/>
  <c r="B11" i="79"/>
  <c r="B16" i="79"/>
  <c r="J409" i="69"/>
  <c r="J410" i="69" s="1"/>
  <c r="L410" i="69"/>
  <c r="D51" i="78"/>
  <c r="I39" i="69"/>
  <c r="C75" i="69"/>
  <c r="C74" i="69"/>
  <c r="C91" i="69" s="1"/>
  <c r="I38" i="69"/>
  <c r="B17" i="79"/>
  <c r="D17" i="79" s="1"/>
  <c r="C4" i="79"/>
  <c r="J345" i="69"/>
  <c r="C323" i="69"/>
  <c r="F323" i="69" s="1"/>
  <c r="I363" i="69"/>
  <c r="I372" i="69" s="1"/>
  <c r="I390" i="69"/>
  <c r="F85" i="72"/>
  <c r="F7" i="72" s="1"/>
  <c r="G7" i="72" s="1"/>
  <c r="D86" i="72"/>
  <c r="E85" i="72"/>
  <c r="J6" i="72" s="1"/>
  <c r="D32" i="79" l="1"/>
  <c r="F21" i="79"/>
  <c r="J480" i="69"/>
  <c r="J481" i="69" s="1"/>
  <c r="J482" i="69" s="1"/>
  <c r="J414" i="69"/>
  <c r="J415" i="69" s="1"/>
  <c r="J416" i="69" s="1"/>
  <c r="J378" i="69"/>
  <c r="J456" i="69"/>
  <c r="M70" i="70"/>
  <c r="D74" i="79"/>
  <c r="F74" i="79" s="1"/>
  <c r="F52" i="79"/>
  <c r="F54" i="79"/>
  <c r="D76" i="79"/>
  <c r="F76" i="79" s="1"/>
  <c r="D65" i="79"/>
  <c r="F65" i="79" s="1"/>
  <c r="L54" i="78"/>
  <c r="D64" i="79"/>
  <c r="F64" i="79" s="1"/>
  <c r="F53" i="79"/>
  <c r="D75" i="79"/>
  <c r="F75" i="79" s="1"/>
  <c r="I456" i="69"/>
  <c r="D43" i="79"/>
  <c r="F43" i="79" s="1"/>
  <c r="F32" i="79"/>
  <c r="C92" i="69"/>
  <c r="D29" i="79"/>
  <c r="C11" i="79"/>
  <c r="D51" i="79"/>
  <c r="M410" i="69"/>
  <c r="D16" i="78"/>
  <c r="B23" i="78"/>
  <c r="D29" i="78"/>
  <c r="C11" i="78"/>
  <c r="J391" i="69"/>
  <c r="J392" i="69" s="1"/>
  <c r="J547" i="69"/>
  <c r="F17" i="78"/>
  <c r="D50" i="78"/>
  <c r="D28" i="78"/>
  <c r="I396" i="69"/>
  <c r="I391" i="69"/>
  <c r="I392" i="69" s="1"/>
  <c r="I547" i="69"/>
  <c r="I548" i="69" s="1"/>
  <c r="I549" i="69" s="1"/>
  <c r="D16" i="79"/>
  <c r="B23" i="79"/>
  <c r="I364" i="69"/>
  <c r="I373" i="69" s="1"/>
  <c r="I450" i="69"/>
  <c r="I451" i="69" s="1"/>
  <c r="I452" i="69" s="1"/>
  <c r="J364" i="69"/>
  <c r="J373" i="69" s="1"/>
  <c r="J450" i="69"/>
  <c r="F17" i="79"/>
  <c r="D28" i="79"/>
  <c r="D50" i="79"/>
  <c r="D62" i="78"/>
  <c r="F62" i="78" s="1"/>
  <c r="F51" i="78"/>
  <c r="D73" i="78"/>
  <c r="F73" i="78" s="1"/>
  <c r="D87" i="72"/>
  <c r="D88" i="72" s="1"/>
  <c r="D89" i="72" s="1"/>
  <c r="D90" i="72" s="1"/>
  <c r="D91" i="72" s="1"/>
  <c r="D92" i="72" s="1"/>
  <c r="D93" i="72" s="1"/>
  <c r="D94" i="72" s="1"/>
  <c r="D95" i="72" s="1"/>
  <c r="D96" i="72" s="1"/>
  <c r="D97" i="72" s="1"/>
  <c r="L6" i="72"/>
  <c r="J396" i="69" l="1"/>
  <c r="J457" i="69"/>
  <c r="J458" i="69" s="1"/>
  <c r="I432" i="69"/>
  <c r="L52" i="79"/>
  <c r="L53" i="79"/>
  <c r="L54" i="79"/>
  <c r="I457" i="69"/>
  <c r="I458" i="69" s="1"/>
  <c r="F19" i="79"/>
  <c r="L51" i="78"/>
  <c r="D40" i="78"/>
  <c r="F40" i="78" s="1"/>
  <c r="F29" i="78"/>
  <c r="F18" i="78"/>
  <c r="I433" i="69"/>
  <c r="I434" i="69" s="1"/>
  <c r="D39" i="79"/>
  <c r="F39" i="79" s="1"/>
  <c r="F28" i="79"/>
  <c r="F28" i="78"/>
  <c r="D39" i="78"/>
  <c r="F39" i="78" s="1"/>
  <c r="F50" i="79"/>
  <c r="D72" i="79"/>
  <c r="F72" i="79" s="1"/>
  <c r="D61" i="79"/>
  <c r="F61" i="79" s="1"/>
  <c r="J397" i="69"/>
  <c r="J398" i="69" s="1"/>
  <c r="F50" i="78"/>
  <c r="D72" i="78"/>
  <c r="F72" i="78" s="1"/>
  <c r="D61" i="78"/>
  <c r="F61" i="78" s="1"/>
  <c r="F16" i="78"/>
  <c r="D49" i="78"/>
  <c r="D23" i="78"/>
  <c r="D27" i="78"/>
  <c r="F29" i="79"/>
  <c r="D40" i="79"/>
  <c r="F40" i="79" s="1"/>
  <c r="J451" i="69"/>
  <c r="J452" i="69" s="1"/>
  <c r="D23" i="79"/>
  <c r="F16" i="79"/>
  <c r="D27" i="79"/>
  <c r="D49" i="79"/>
  <c r="I378" i="69"/>
  <c r="J548" i="69"/>
  <c r="J549" i="69" s="1"/>
  <c r="I397" i="69"/>
  <c r="I398" i="69" s="1"/>
  <c r="I553" i="69"/>
  <c r="I554" i="69" s="1"/>
  <c r="I555" i="69" s="1"/>
  <c r="F51" i="79"/>
  <c r="D73" i="79"/>
  <c r="F73" i="79" s="1"/>
  <c r="D62" i="79"/>
  <c r="F62" i="79" s="1"/>
  <c r="F97" i="72"/>
  <c r="F8" i="72" s="1"/>
  <c r="G8" i="72" s="1"/>
  <c r="D98" i="72" s="1"/>
  <c r="E97" i="72"/>
  <c r="J7" i="72" s="1"/>
  <c r="L7" i="72" s="1"/>
  <c r="L50" i="79" l="1"/>
  <c r="F23" i="78"/>
  <c r="B86" i="78" s="1"/>
  <c r="F18" i="79"/>
  <c r="F23" i="79" s="1"/>
  <c r="B86" i="79" s="1"/>
  <c r="L50" i="78"/>
  <c r="F49" i="79"/>
  <c r="F56" i="79" s="1"/>
  <c r="D56" i="79"/>
  <c r="D71" i="79"/>
  <c r="D60" i="79"/>
  <c r="L51" i="79"/>
  <c r="F27" i="78"/>
  <c r="F34" i="78" s="1"/>
  <c r="B88" i="78" s="1"/>
  <c r="D38" i="78"/>
  <c r="F38" i="78" s="1"/>
  <c r="F45" i="78" s="1"/>
  <c r="B89" i="78" s="1"/>
  <c r="D38" i="79"/>
  <c r="F38" i="79" s="1"/>
  <c r="F45" i="79" s="1"/>
  <c r="B89" i="79" s="1"/>
  <c r="F27" i="79"/>
  <c r="F34" i="79" s="1"/>
  <c r="B88" i="79" s="1"/>
  <c r="F49" i="78"/>
  <c r="F56" i="78" s="1"/>
  <c r="D60" i="78"/>
  <c r="D71" i="78"/>
  <c r="D56" i="78"/>
  <c r="I379" i="69"/>
  <c r="I380" i="69" s="1"/>
  <c r="I528" i="69"/>
  <c r="J379" i="69"/>
  <c r="J380" i="69" s="1"/>
  <c r="J432" i="69"/>
  <c r="D99" i="72"/>
  <c r="D100" i="72" s="1"/>
  <c r="D101" i="72" s="1"/>
  <c r="D102" i="72" s="1"/>
  <c r="D103" i="72" s="1"/>
  <c r="D104" i="72" s="1"/>
  <c r="D105" i="72" s="1"/>
  <c r="D106" i="72" s="1"/>
  <c r="D107" i="72" s="1"/>
  <c r="D108" i="72" s="1"/>
  <c r="D109" i="72" s="1"/>
  <c r="F71" i="78" l="1"/>
  <c r="D78" i="78"/>
  <c r="F60" i="78"/>
  <c r="F67" i="78" s="1"/>
  <c r="B87" i="78" s="1"/>
  <c r="D67" i="78"/>
  <c r="D67" i="79"/>
  <c r="F60" i="79"/>
  <c r="F67" i="79" s="1"/>
  <c r="B87" i="79" s="1"/>
  <c r="F71" i="79"/>
  <c r="D78" i="79"/>
  <c r="I536" i="69"/>
  <c r="I537" i="69" s="1"/>
  <c r="I533" i="69"/>
  <c r="I534" i="69" s="1"/>
  <c r="J528" i="69"/>
  <c r="J536" i="69" s="1"/>
  <c r="J537" i="69" s="1"/>
  <c r="J553" i="69"/>
  <c r="J554" i="69" s="1"/>
  <c r="J555" i="69" s="1"/>
  <c r="J433" i="69"/>
  <c r="J434" i="69" s="1"/>
  <c r="D110" i="72"/>
  <c r="F109" i="72"/>
  <c r="F9" i="72" s="1"/>
  <c r="G9" i="72" s="1"/>
  <c r="E109" i="72"/>
  <c r="J8" i="72" s="1"/>
  <c r="L8" i="72" s="1"/>
  <c r="F78" i="78" l="1"/>
  <c r="B90" i="78" s="1"/>
  <c r="B92" i="78" s="1"/>
  <c r="L49" i="78"/>
  <c r="F78" i="79"/>
  <c r="B90" i="79" s="1"/>
  <c r="B92" i="79" s="1"/>
  <c r="L49" i="79"/>
  <c r="D111" i="72"/>
  <c r="D112" i="72" s="1"/>
  <c r="D113" i="72" s="1"/>
  <c r="D114" i="72" s="1"/>
  <c r="D115" i="72" s="1"/>
  <c r="D116" i="72" s="1"/>
  <c r="D117" i="72" s="1"/>
  <c r="D118" i="72" s="1"/>
  <c r="D119" i="72" s="1"/>
  <c r="D120" i="72" s="1"/>
  <c r="D121" i="72" s="1"/>
  <c r="C90" i="79" l="1"/>
  <c r="F121" i="72"/>
  <c r="F10" i="72" s="1"/>
  <c r="G10" i="72" s="1"/>
  <c r="D122" i="72" s="1"/>
  <c r="E121" i="72"/>
  <c r="J9" i="72" s="1"/>
  <c r="L9" i="72" s="1"/>
  <c r="D123" i="72" l="1"/>
  <c r="D124" i="72" s="1"/>
  <c r="D125" i="72" s="1"/>
  <c r="D126" i="72" s="1"/>
  <c r="D127" i="72" s="1"/>
  <c r="D128" i="72" s="1"/>
  <c r="D129" i="72" s="1"/>
  <c r="D130" i="72" s="1"/>
  <c r="D131" i="72" s="1"/>
  <c r="D132" i="72" s="1"/>
  <c r="D133" i="72" s="1"/>
  <c r="D134" i="72" l="1"/>
  <c r="F133" i="72"/>
  <c r="F11" i="72" s="1"/>
  <c r="G11" i="72" s="1"/>
  <c r="E133" i="72"/>
  <c r="J10" i="72" s="1"/>
  <c r="L10" i="72" s="1"/>
  <c r="D135" i="72" l="1"/>
  <c r="D136" i="72" s="1"/>
  <c r="D137" i="72" s="1"/>
  <c r="D138" i="72" s="1"/>
  <c r="D139" i="72" s="1"/>
  <c r="D140" i="72" s="1"/>
  <c r="D141" i="72" s="1"/>
  <c r="D142" i="72" s="1"/>
  <c r="D143" i="72" s="1"/>
  <c r="D144" i="72" s="1"/>
  <c r="D145" i="72" s="1"/>
  <c r="D146" i="72" l="1"/>
  <c r="F145" i="72"/>
  <c r="F12" i="72" s="1"/>
  <c r="G12" i="72" s="1"/>
  <c r="E145" i="72"/>
  <c r="J11" i="72" s="1"/>
  <c r="L11" i="72" s="1"/>
  <c r="D147" i="72" l="1"/>
  <c r="D148" i="72" s="1"/>
  <c r="D149" i="72" s="1"/>
  <c r="D150" i="72" s="1"/>
  <c r="D151" i="72" s="1"/>
  <c r="D152" i="72" s="1"/>
  <c r="D153" i="72" s="1"/>
  <c r="D154" i="72" s="1"/>
  <c r="D155" i="72" s="1"/>
  <c r="D156" i="72" s="1"/>
  <c r="D157" i="72" s="1"/>
  <c r="E157" i="72" l="1"/>
  <c r="J12" i="72" s="1"/>
  <c r="L12" i="72" s="1"/>
  <c r="F157" i="72"/>
  <c r="F13" i="72" s="1"/>
  <c r="G13" i="72" s="1"/>
  <c r="D158" i="72" s="1"/>
  <c r="D159" i="72" l="1"/>
  <c r="D160" i="72" s="1"/>
  <c r="D161" i="72" s="1"/>
  <c r="D162" i="72" s="1"/>
  <c r="D163" i="72" s="1"/>
  <c r="D164" i="72" s="1"/>
  <c r="D165" i="72" s="1"/>
  <c r="D166" i="72" s="1"/>
  <c r="D167" i="72" s="1"/>
  <c r="D168" i="72" s="1"/>
  <c r="D169" i="72" s="1"/>
  <c r="F169" i="72" l="1"/>
  <c r="F14" i="72" s="1"/>
  <c r="G14" i="72" s="1"/>
  <c r="D170" i="72" s="1"/>
  <c r="E169" i="72"/>
  <c r="J13" i="72" s="1"/>
  <c r="L13" i="72" s="1"/>
  <c r="D171" i="72" l="1"/>
  <c r="D172" i="72" s="1"/>
  <c r="D173" i="72" s="1"/>
  <c r="D174" i="72" s="1"/>
  <c r="D175" i="72" s="1"/>
  <c r="D176" i="72" s="1"/>
  <c r="D177" i="72" s="1"/>
  <c r="D178" i="72" s="1"/>
  <c r="D179" i="72" s="1"/>
  <c r="D180" i="72" s="1"/>
  <c r="D181" i="72" s="1"/>
  <c r="E181" i="72" l="1"/>
  <c r="J14" i="72" s="1"/>
  <c r="L14" i="72" s="1"/>
  <c r="F181" i="72"/>
  <c r="F15" i="72" s="1"/>
  <c r="G15" i="72" s="1"/>
  <c r="D182" i="72"/>
  <c r="D183" i="72" l="1"/>
  <c r="D184" i="72" s="1"/>
  <c r="D185" i="72" s="1"/>
  <c r="D186" i="72" s="1"/>
  <c r="D187" i="72" s="1"/>
  <c r="D188" i="72" s="1"/>
  <c r="D189" i="72" s="1"/>
  <c r="D190" i="72" s="1"/>
  <c r="D191" i="72" s="1"/>
  <c r="D192" i="72" s="1"/>
  <c r="D193" i="72" s="1"/>
  <c r="E193" i="72" l="1"/>
  <c r="J15" i="72" s="1"/>
  <c r="L15" i="72" s="1"/>
  <c r="F193" i="72"/>
  <c r="F16" i="72" s="1"/>
  <c r="G16" i="72" s="1"/>
  <c r="D194" i="72" s="1"/>
  <c r="D195" i="72" l="1"/>
  <c r="D196" i="72" s="1"/>
  <c r="D197" i="72" s="1"/>
  <c r="D198" i="72" s="1"/>
  <c r="D199" i="72" s="1"/>
  <c r="D200" i="72" s="1"/>
  <c r="D201" i="72" s="1"/>
  <c r="D202" i="72" s="1"/>
  <c r="D203" i="72" s="1"/>
  <c r="D204" i="72" s="1"/>
  <c r="D205" i="72" s="1"/>
  <c r="E205" i="72" l="1"/>
  <c r="J16" i="72" s="1"/>
  <c r="F205" i="72"/>
  <c r="F17" i="72" s="1"/>
  <c r="G17" i="72" s="1"/>
  <c r="D206" i="72" s="1"/>
  <c r="D207" i="72" l="1"/>
  <c r="D208" i="72" s="1"/>
  <c r="D209" i="72" s="1"/>
  <c r="D210" i="72" s="1"/>
  <c r="D211" i="72" s="1"/>
  <c r="D212" i="72" s="1"/>
  <c r="D213" i="72" s="1"/>
  <c r="D214" i="72" s="1"/>
  <c r="D215" i="72" s="1"/>
  <c r="D216" i="72" s="1"/>
  <c r="D217" i="72" s="1"/>
  <c r="F217" i="72" s="1"/>
  <c r="E217" i="72" l="1"/>
  <c r="J17" i="72" s="1"/>
  <c r="J19" i="72" s="1"/>
  <c r="Z15" i="62"/>
  <c r="Z13" i="62"/>
  <c r="Z12" i="62"/>
  <c r="Z14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Annual Stats file - Not Including Losses
</t>
        </r>
      </text>
    </comment>
    <comment ref="L48" authorId="0" shapeId="0" xr:uid="{9DB88F1B-4948-46BD-866A-49F21EC9E46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2018 Excluded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57740338-E90D-45EA-955A-7BBA08CD7AB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7B45F931-47A4-4EEC-877F-F3606F893CF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K3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LRT added several USL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D27" authorId="0" shapeId="0" xr:uid="{957B00BF-032C-4175-BFE0-7249941951B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Not including WMP</t>
        </r>
      </text>
    </comment>
    <comment ref="K27" authorId="0" shapeId="0" xr:uid="{6E7EAB83-82BF-4BAD-A7C3-618CA3BFD0BF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Make sure this matches the GA Workform</t>
        </r>
      </text>
    </comment>
  </commentList>
</comments>
</file>

<file path=xl/sharedStrings.xml><?xml version="1.0" encoding="utf-8"?>
<sst xmlns="http://schemas.openxmlformats.org/spreadsheetml/2006/main" count="1176" uniqueCount="431">
  <si>
    <t>IESO</t>
  </si>
  <si>
    <t>Generation</t>
  </si>
  <si>
    <t>Large Use Losses</t>
  </si>
  <si>
    <t>Street Lighting</t>
  </si>
  <si>
    <t>Purchased</t>
  </si>
  <si>
    <t>Heating Degree Days</t>
  </si>
  <si>
    <t>Cooling Degree Days</t>
  </si>
  <si>
    <t>Number of Days in Month</t>
  </si>
  <si>
    <t>Spring Fall Flag</t>
  </si>
  <si>
    <t>Number of Peak Hours</t>
  </si>
  <si>
    <t>CDM</t>
  </si>
  <si>
    <t>Residential Customers</t>
  </si>
  <si>
    <t xml:space="preserve">Predicted Purchases </t>
  </si>
  <si>
    <t>MAPE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</si>
  <si>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</si>
  <si>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</si>
  <si>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</si>
  <si>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</si>
  <si>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</si>
  <si>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</si>
  <si>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</si>
  <si>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</si>
  <si>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</si>
  <si>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</si>
  <si>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</si>
  <si>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</si>
  <si>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</si>
  <si>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</si>
  <si>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</si>
  <si>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</si>
  <si>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</si>
  <si>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</si>
  <si>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</si>
  <si>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</si>
  <si>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</si>
  <si>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</si>
  <si>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</si>
  <si>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</si>
  <si>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Weather Normal</t>
  </si>
  <si>
    <t>Total to 2018</t>
  </si>
  <si>
    <t>Check totals above should be zero</t>
  </si>
  <si>
    <t>Actual Purchases</t>
  </si>
  <si>
    <t>Modeled Purchases</t>
  </si>
  <si>
    <t>Loss Factor</t>
  </si>
  <si>
    <t>Total Billed</t>
  </si>
  <si>
    <t xml:space="preserve">Residential </t>
  </si>
  <si>
    <t>GS&lt;50 kW</t>
  </si>
  <si>
    <t>GS&gt;50 kW</t>
  </si>
  <si>
    <t>GS&gt;50 kW Cl A</t>
  </si>
  <si>
    <t>Large User</t>
  </si>
  <si>
    <t xml:space="preserve">Streetlights </t>
  </si>
  <si>
    <t>USL</t>
  </si>
  <si>
    <t>GS&gt;50 kW WMP</t>
  </si>
  <si>
    <t>LTLT</t>
  </si>
  <si>
    <t>Weather Normal Projection</t>
  </si>
  <si>
    <t>Annual kWh at the Meter</t>
  </si>
  <si>
    <t>Weather Normalized</t>
  </si>
  <si>
    <t>Check</t>
  </si>
  <si>
    <t>Average</t>
  </si>
  <si>
    <t>Usage/
Customer</t>
  </si>
  <si>
    <t>GS&gt;50 kW
Cl A</t>
  </si>
  <si>
    <t xml:space="preserve">Used </t>
  </si>
  <si>
    <t xml:space="preserve">Geomean </t>
  </si>
  <si>
    <t>Class A</t>
  </si>
  <si>
    <t>WMP</t>
  </si>
  <si>
    <t>Non Weather Corrected Forecast</t>
  </si>
  <si>
    <t>Weather Corrected Forecast</t>
  </si>
  <si>
    <t>Weather Normalization Percentage from 2006 Hydro One Study</t>
  </si>
  <si>
    <t>% Weather Sensitive</t>
  </si>
  <si>
    <t xml:space="preserve">Total </t>
  </si>
  <si>
    <t>Allocation of Weather Sensitive Amount</t>
  </si>
  <si>
    <t>GS&gt; Cl B</t>
  </si>
  <si>
    <t>Manual Adjustment to the Load Forecast from 2019 and 2020 Programs on a Net Level</t>
  </si>
  <si>
    <t xml:space="preserve">Weather Corrected Forecast after 2019 and 2020 CDM Adjustments        </t>
  </si>
  <si>
    <t>Average Number of Customers or Connections</t>
  </si>
  <si>
    <t>Subtotal</t>
  </si>
  <si>
    <t>Embedded Distributor</t>
  </si>
  <si>
    <t xml:space="preserve">Growth Rate in Customer Numbers </t>
  </si>
  <si>
    <t>Used</t>
  </si>
  <si>
    <t>WNHI - Embedded Distributor</t>
  </si>
  <si>
    <t>Wellesley</t>
  </si>
  <si>
    <t>kW</t>
  </si>
  <si>
    <t>kWh</t>
  </si>
  <si>
    <t>Avg/month</t>
  </si>
  <si>
    <t>Bridge</t>
  </si>
  <si>
    <t>Test</t>
  </si>
  <si>
    <t>Meter History</t>
  </si>
  <si>
    <t>Start</t>
  </si>
  <si>
    <t>End</t>
  </si>
  <si>
    <t>Annual kW for those classes that charge distribution volumetric charges on a kW basis</t>
  </si>
  <si>
    <t>GS&gt;50 kW
Class A</t>
  </si>
  <si>
    <t>TX
Allowance
GS&gt;50kW</t>
  </si>
  <si>
    <t>TX
Allowance
Large User</t>
  </si>
  <si>
    <t>GS&gt;50 kW
WMP</t>
  </si>
  <si>
    <t>kW/kWh</t>
  </si>
  <si>
    <t>2019 Load Forecast</t>
  </si>
  <si>
    <t>2018  %RPP</t>
  </si>
  <si>
    <t>GS&gt;50 kW, WMP</t>
  </si>
  <si>
    <t>Class A w/Loss</t>
  </si>
  <si>
    <t>GS&gt;50 kW, Class A</t>
  </si>
  <si>
    <t>COP</t>
  </si>
  <si>
    <t>Distribution</t>
  </si>
  <si>
    <t>TOTAL</t>
  </si>
  <si>
    <t>Commodity RPP</t>
  </si>
  <si>
    <t>2019 Forecasted Metered kWhs</t>
  </si>
  <si>
    <t>2019
Loss Factor</t>
  </si>
  <si>
    <t>Class per Load Forecast RPP</t>
  </si>
  <si>
    <t>Exclude Wholesale Market Participants</t>
  </si>
  <si>
    <t>Transmission - Network</t>
  </si>
  <si>
    <t>Volume</t>
  </si>
  <si>
    <t>Class per Load Forecast</t>
  </si>
  <si>
    <t>Metric</t>
  </si>
  <si>
    <t>Include Wholesale Market Participants</t>
  </si>
  <si>
    <t>Transmission - Connection</t>
  </si>
  <si>
    <t>Wholesale Market Service</t>
  </si>
  <si>
    <t>Capacity Based Recovery</t>
  </si>
  <si>
    <t>Exclude Class A Customers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</si>
  <si>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</si>
  <si>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</si>
  <si>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</si>
  <si>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</si>
  <si>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</si>
  <si>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</si>
  <si>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4708-Rural Rate Assistance </t>
  </si>
  <si>
    <t xml:space="preserve">4751-Smart Meter Entity </t>
  </si>
  <si>
    <t>2020 Load Forecast</t>
  </si>
  <si>
    <t>2020 Forecasted Metered kWhs</t>
  </si>
  <si>
    <t>2020
Loss Factor</t>
  </si>
  <si>
    <t>Proposed RTSR-Network</t>
  </si>
  <si>
    <t>Proposed RTSR-Connection</t>
  </si>
  <si>
    <t xml:space="preserve"> Weather Normal Load Forecast for 2020 Rate Application</t>
  </si>
  <si>
    <t xml:space="preserve">2009
Actual </t>
  </si>
  <si>
    <t xml:space="preserve">2010
Actual </t>
  </si>
  <si>
    <t xml:space="preserve">2011
Actual </t>
  </si>
  <si>
    <t xml:space="preserve">2012
Actual </t>
  </si>
  <si>
    <t xml:space="preserve">2013
Actual </t>
  </si>
  <si>
    <t xml:space="preserve">2014
Actual </t>
  </si>
  <si>
    <t xml:space="preserve">2015
Actual </t>
  </si>
  <si>
    <t xml:space="preserve">2016
Actual </t>
  </si>
  <si>
    <t xml:space="preserve">2017
Actual </t>
  </si>
  <si>
    <t xml:space="preserve">2018
Actual </t>
  </si>
  <si>
    <t>2019 Weather Normal</t>
  </si>
  <si>
    <t>2020 Weather Normal</t>
  </si>
  <si>
    <t>Actual kWh Purchases</t>
  </si>
  <si>
    <t>Predicted kWh Purchases</t>
  </si>
  <si>
    <t>% Difference</t>
  </si>
  <si>
    <t>Billed kWh (excl Embedded)</t>
  </si>
  <si>
    <t>By Class</t>
  </si>
  <si>
    <t xml:space="preserve">  Customers</t>
  </si>
  <si>
    <t xml:space="preserve">  kWh</t>
  </si>
  <si>
    <t xml:space="preserve">  kW</t>
  </si>
  <si>
    <t xml:space="preserve">  Connections</t>
  </si>
  <si>
    <t>Wholesale Market Participants</t>
  </si>
  <si>
    <r>
      <t>Total of Above (</t>
    </r>
    <r>
      <rPr>
        <b/>
        <sz val="10"/>
        <color rgb="FFFF0000"/>
        <rFont val="Arial"/>
        <family val="2"/>
      </rPr>
      <t>excl.</t>
    </r>
    <r>
      <rPr>
        <b/>
        <sz val="10"/>
        <rFont val="Arial"/>
        <family val="2"/>
      </rPr>
      <t xml:space="preserve"> WMP and ED)</t>
    </r>
  </si>
  <si>
    <t xml:space="preserve">  Customer/Connections</t>
  </si>
  <si>
    <t xml:space="preserve">  kW from applicable classes</t>
  </si>
  <si>
    <t>Total of Above (incl. WMP and ED)</t>
  </si>
  <si>
    <r>
      <t>Total from Model (</t>
    </r>
    <r>
      <rPr>
        <b/>
        <sz val="10"/>
        <color rgb="FFFF0000"/>
        <rFont val="Arial"/>
        <family val="2"/>
      </rPr>
      <t>excl.</t>
    </r>
    <r>
      <rPr>
        <b/>
        <sz val="10"/>
        <rFont val="Arial"/>
        <family val="2"/>
      </rPr>
      <t xml:space="preserve"> WMP and ED)</t>
    </r>
  </si>
  <si>
    <t>Total from Model (incl. WMP and ED)</t>
  </si>
  <si>
    <t>Check should all be zero</t>
  </si>
  <si>
    <t>Actual</t>
  </si>
  <si>
    <t>Predicted</t>
  </si>
  <si>
    <t>Table 3.1.9 Summary of Load and Customer/Connection Forecast</t>
  </si>
  <si>
    <t>Year</t>
  </si>
  <si>
    <t>Billed
(GWh)</t>
  </si>
  <si>
    <t>Growth 
(GWh)</t>
  </si>
  <si>
    <t>Percent 
Change</t>
  </si>
  <si>
    <t>Customer/
Connection
Count</t>
  </si>
  <si>
    <t xml:space="preserve">Growth </t>
  </si>
  <si>
    <t>Percent 
Change
(%)</t>
  </si>
  <si>
    <t>Billed (GWh) and Customer Count / Connections</t>
  </si>
  <si>
    <t>2014 Board Approved</t>
  </si>
  <si>
    <t xml:space="preserve">2008 Actual </t>
  </si>
  <si>
    <t>2009 Actual</t>
  </si>
  <si>
    <t xml:space="preserve">2010 Actual </t>
  </si>
  <si>
    <t xml:space="preserve">2011 Actual </t>
  </si>
  <si>
    <t>2012 Actual</t>
  </si>
  <si>
    <t xml:space="preserve">2013 Actual </t>
  </si>
  <si>
    <t xml:space="preserve">2014 Actual </t>
  </si>
  <si>
    <t xml:space="preserve">2015 Actual </t>
  </si>
  <si>
    <t xml:space="preserve">2016 Actual </t>
  </si>
  <si>
    <t xml:space="preserve">2017 Actual </t>
  </si>
  <si>
    <t xml:space="preserve">2018 Actual </t>
  </si>
  <si>
    <t>2019 Bridge</t>
  </si>
  <si>
    <t>2020 Test</t>
  </si>
  <si>
    <t>Table 3-2 Billed and Number of Customers / Connections by Rate Class</t>
  </si>
  <si>
    <t>Large
User</t>
  </si>
  <si>
    <t>Street
Lighting</t>
  </si>
  <si>
    <t>Billed (GWh)</t>
  </si>
  <si>
    <t>Average Number of Customers/Connections</t>
  </si>
  <si>
    <t>Table 3.1.9-4 Annual Usage per Customer/Connection by Rate Class</t>
  </si>
  <si>
    <t xml:space="preserve">Usage per Customer/Connection (kWh per customer/connection) </t>
  </si>
  <si>
    <t>Annual Growth Rate in Usage per Customer/Connection</t>
  </si>
  <si>
    <t>2014 Approved vs. 2014 Actual</t>
  </si>
  <si>
    <t>Table 3-4
CDM Summary</t>
  </si>
  <si>
    <t>2014 through 2018 Final Results - kWh</t>
  </si>
  <si>
    <t>kWh savings from programs with presistent impact</t>
  </si>
  <si>
    <t>Table 3-5 Statistical Results</t>
  </si>
  <si>
    <t>Statistic</t>
  </si>
  <si>
    <t>Value</t>
  </si>
  <si>
    <t>F Test</t>
  </si>
  <si>
    <t>T-stats by Coefficient</t>
  </si>
  <si>
    <t>CDM Activity</t>
  </si>
  <si>
    <t xml:space="preserve">Table 3.1.6-3 Total System Purchases </t>
  </si>
  <si>
    <t xml:space="preserve">Actual </t>
  </si>
  <si>
    <t xml:space="preserve">Predicted 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</si>
  <si>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</si>
  <si>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</si>
  <si>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</si>
  <si>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</si>
  <si>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</si>
  <si>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</si>
  <si>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</si>
  <si>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</si>
  <si>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</si>
  <si>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</si>
  <si>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Purchased Energy (GWh)</t>
  </si>
  <si>
    <t>RESOP</t>
  </si>
  <si>
    <t>FIT</t>
  </si>
  <si>
    <t>microFIT</t>
  </si>
  <si>
    <t>Table 3.1.9-1 Historical Customer/Connection Data</t>
  </si>
  <si>
    <t>Number of Customers/Connections</t>
  </si>
  <si>
    <t>Table 3.1.9-2 Growth Rate in Customer/Connections</t>
  </si>
  <si>
    <t>Growth Rate in Customers/Connections for Energy</t>
  </si>
  <si>
    <t>Table 3.1.9-3 Customer/Connection Forecast</t>
  </si>
  <si>
    <t>Forecast Number of Customers/Connections</t>
  </si>
  <si>
    <t>Table 3.1.11-1 Historical Annual Usage per Customer</t>
  </si>
  <si>
    <t>Embedded
Distributor</t>
  </si>
  <si>
    <t>Annual kWh Usage Per Customer/Connection</t>
  </si>
  <si>
    <t>Table 3.1.11-2 Growth Rate in Usage Per Customer/Connection</t>
  </si>
  <si>
    <t>Growth Rate in Customer/Connection</t>
  </si>
  <si>
    <t>Geometric Mean</t>
  </si>
  <si>
    <t>Table 3.1.9-5 Forecast Annual kWh Usage per Customer/Connection</t>
  </si>
  <si>
    <t>Forecast Annual kWh Usage per Customers/Connection</t>
  </si>
  <si>
    <t>Table 3.1.10-1 Non-normalized Weather Billed Forecast (GWh)</t>
  </si>
  <si>
    <t>Non-normalized Weather Billed Energy Forecast (GWh)</t>
  </si>
  <si>
    <t>2019 (Not Normalized)</t>
  </si>
  <si>
    <t>2020 (Not Normalized)</t>
  </si>
  <si>
    <t>Table 3.1.10-3 Normalized Weather Billed Forecast (GWh)</t>
  </si>
  <si>
    <t>Normalized Weather Billed Energy Forecast (GWh)</t>
  </si>
  <si>
    <t>2019 (Normalized)</t>
  </si>
  <si>
    <t>2020 (Normalized)</t>
  </si>
  <si>
    <t>Table 3.1.10-4 CDM Adjusted Normalized Weather Billed Forecast (GWh)</t>
  </si>
  <si>
    <t>Table 3.1.10-2 Weather Sensitivity by Rate Class</t>
  </si>
  <si>
    <t>Weather Sensitivity</t>
  </si>
  <si>
    <t>Table 3-15 Average Net to Gross Percentage</t>
  </si>
  <si>
    <t>CDM Results (Gross)</t>
  </si>
  <si>
    <t>CDM Results (Net)</t>
  </si>
  <si>
    <t>Difference
#</t>
  </si>
  <si>
    <t xml:space="preserve"> Difference
%</t>
  </si>
  <si>
    <t>Table 3.2-1 Net Savings Forecast</t>
  </si>
  <si>
    <t>5 Year 2015 to 2020 kWh Net Savings Forecast</t>
  </si>
  <si>
    <t>2015 Programs</t>
  </si>
  <si>
    <t>2016 Programs</t>
  </si>
  <si>
    <t>2017 Programs</t>
  </si>
  <si>
    <t>2018 Programs</t>
  </si>
  <si>
    <t>2019 Programs</t>
  </si>
  <si>
    <t>2020 Programs</t>
  </si>
  <si>
    <t>Table 3.2-2 2019 - 2020 Manual CDM Adjustment with 1/2 year rule (kWh)</t>
  </si>
  <si>
    <t>Total Manual CDM Adjustment (kWh)</t>
  </si>
  <si>
    <t>Table 3.2.1-1 Rate Class CDM Allocator</t>
  </si>
  <si>
    <t>Table 3.2.1-2: Manual CDM Adjustment by Rate Class (kWh)</t>
  </si>
  <si>
    <t>Table 3.2.1-3 Alignment of Non-Weather Normal to CDM Adjusted Weather Normal Forecast</t>
  </si>
  <si>
    <t>2019 Non-Normalized Bridge</t>
  </si>
  <si>
    <t>2020 Non-Normalized Test</t>
  </si>
  <si>
    <t>Weather Adjustment (GWh)</t>
  </si>
  <si>
    <t>CDM Adjustment (GWh)</t>
  </si>
  <si>
    <t>Weather Normalized Billed Energy Forecast (GWh)</t>
  </si>
  <si>
    <t>2019 Normalized Bridge</t>
  </si>
  <si>
    <t>2020 Normalized Test</t>
  </si>
  <si>
    <t>Table 3.1.11-1 Historical Annual kW per Applicable Rate Class</t>
  </si>
  <si>
    <t>Billed Annual kW</t>
  </si>
  <si>
    <t>Table 3.1.11-2 Historical kW/kWh Ratio per Applicable Rate Class</t>
  </si>
  <si>
    <t>Ratio of kW to kWh</t>
  </si>
  <si>
    <t>Average 2009 to 2018</t>
  </si>
  <si>
    <t>Table 3.1.11-3 kW Forecast by Applicable Rate Class</t>
  </si>
  <si>
    <t>Predicted Billed kW</t>
  </si>
  <si>
    <t>Table 3.2.2-1 Summary of Forecast</t>
  </si>
  <si>
    <t>2014
Board Approved</t>
  </si>
  <si>
    <t>2014
Actual</t>
  </si>
  <si>
    <t>2015 
Actual</t>
  </si>
  <si>
    <t>2016
Actual</t>
  </si>
  <si>
    <t>2017
Actual</t>
  </si>
  <si>
    <t>2018
Actual</t>
  </si>
  <si>
    <t xml:space="preserve">2019
Normalized Bridge </t>
  </si>
  <si>
    <t>2020
Normalized Test</t>
  </si>
  <si>
    <t>ACTUAL AND PREDICTED KWH PURCHASES</t>
  </si>
  <si>
    <t>% Difference of actual and predicted purchases</t>
  </si>
  <si>
    <t>BILLING DETERMINANTS BY CLASS</t>
  </si>
  <si>
    <t>Residential</t>
  </si>
  <si>
    <t>Connections</t>
  </si>
  <si>
    <t>Sub-Total of Above</t>
  </si>
  <si>
    <t>Total incl Embedded Distributor</t>
  </si>
  <si>
    <t>Table 3.3.1.1-1 Residential Distribution Revenue</t>
  </si>
  <si>
    <t>Variance</t>
  </si>
  <si>
    <t>Table 3.3.1.1-2 Residential Customers</t>
  </si>
  <si>
    <t xml:space="preserve">2019
Bridge </t>
  </si>
  <si>
    <t>2020
Test</t>
  </si>
  <si>
    <t>Table 3.3.1.1-3 Residential Consumption</t>
  </si>
  <si>
    <t>Table 3.3.1.2-1 General Service &lt;50 kW Distribution Revenue</t>
  </si>
  <si>
    <t>Table 3.3.1.2-2 General Service &lt;50kW Customers</t>
  </si>
  <si>
    <t>Table 3.3.1.2-3 General Service &lt;50kW Consumption</t>
  </si>
  <si>
    <t>Table 3.3.1.3-1 Unmetered Scattered Load Distribution Revenue</t>
  </si>
  <si>
    <t>Table 3.3.1.3-2 Unmetered Scattered Load Connections</t>
  </si>
  <si>
    <t>Table 3.3.1.3-3 Unmetered Scattered Load Consumption</t>
  </si>
  <si>
    <t>Table 3.3.1.4-1 General Service &gt;50 kW Distribution Revenue</t>
  </si>
  <si>
    <t>Table 3.3.1.4-2 General Service &gt;50kW Customers</t>
  </si>
  <si>
    <t>Table 3.3.1.4-3 General Service &gt;50kW Consumption</t>
  </si>
  <si>
    <t>Table 3.3.1.4-4 General Service &gt;50kW Demand</t>
  </si>
  <si>
    <t>Table 3.3.1.5-1 Large User Distribution Revenue</t>
  </si>
  <si>
    <t>Table 3.3.1.5-2 Large User Customers</t>
  </si>
  <si>
    <t>Table 3.3.1.5-3 Large User Consumption</t>
  </si>
  <si>
    <t>Table 3.3.1.5-4 Large User Demand</t>
  </si>
  <si>
    <t>Table 3.3.1.6-1 Street Lighting Distribution Revenue</t>
  </si>
  <si>
    <t>Table 3.3.1.6-2 Street Lighting Connections</t>
  </si>
  <si>
    <t>Table 3.3.1.6-3 Street Lighting Consumption</t>
  </si>
  <si>
    <t>Table 3.3.1.6-4 Street Lighting Demand</t>
  </si>
  <si>
    <t>Table 3.3.1.7-1 Embedded Distributor Distribution Revenue</t>
  </si>
  <si>
    <t>Table 3.3.1.7-2 Embedded Distributor Customers</t>
  </si>
  <si>
    <t>Table 3.3.1.7-3 Embedded Distributor Consumption</t>
  </si>
  <si>
    <t>Table 3.3.1.7-4 Embedded Distributor Demand</t>
  </si>
  <si>
    <t>Price Cap</t>
  </si>
  <si>
    <t>Customer Increase</t>
  </si>
  <si>
    <t>Expected Increase</t>
  </si>
  <si>
    <t>Expected Revenue</t>
  </si>
  <si>
    <t>$ Variance</t>
  </si>
  <si>
    <t>% Variance</t>
  </si>
  <si>
    <t>Cumulative Variance</t>
  </si>
  <si>
    <t>Application</t>
  </si>
  <si>
    <t>Interrogatories</t>
  </si>
  <si>
    <t>Settlement</t>
  </si>
  <si>
    <t>2020 LRAM Threshold</t>
  </si>
  <si>
    <t>Streetlight Connections</t>
  </si>
  <si>
    <t>USL Connections</t>
  </si>
  <si>
    <r>
      <t xml:space="preserve">Total Annual CDM Results </t>
    </r>
    <r>
      <rPr>
        <sz val="10"/>
        <color rgb="FFFF0000"/>
        <rFont val="Arial"/>
        <family val="2"/>
      </rPr>
      <t>(Gross)</t>
    </r>
  </si>
  <si>
    <r>
      <t xml:space="preserve">Total Annual CDM Results </t>
    </r>
    <r>
      <rPr>
        <sz val="10"/>
        <color rgb="FFFF0000"/>
        <rFont val="Arial"/>
        <family val="2"/>
      </rPr>
      <t>(Net)</t>
    </r>
  </si>
  <si>
    <t>Full year Increase over previous year</t>
  </si>
  <si>
    <t>Half year pattern</t>
  </si>
  <si>
    <t>3.1.7-1 CDM Activity Variable Supporting Data</t>
  </si>
  <si>
    <t>Jan</t>
  </si>
  <si>
    <t>Program Year</t>
  </si>
  <si>
    <t>GS&lt;50
kW</t>
  </si>
  <si>
    <t>GS&gt;50
kW</t>
  </si>
  <si>
    <t>Feb</t>
  </si>
  <si>
    <t>Third Tranche</t>
  </si>
  <si>
    <t>Mar</t>
  </si>
  <si>
    <t>kW where applicable</t>
  </si>
  <si>
    <t>.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</si>
  <si>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</si>
  <si>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</si>
  <si>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</si>
  <si>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</si>
  <si>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</si>
  <si>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</si>
  <si>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</si>
  <si>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</si>
  <si>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</si>
  <si>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</si>
  <si>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t>5 Year 2015 to 2020 target</t>
  </si>
  <si>
    <t xml:space="preserve"> Proposed Cost of Service Method</t>
  </si>
  <si>
    <t>Apply 1/2 year rule</t>
  </si>
  <si>
    <t>File Number:</t>
  </si>
  <si>
    <t>EB-2019-0049</t>
  </si>
  <si>
    <t>In the green shaded cell (row 18-26) enter the most recent 12-month actual data. If there is a material difference between actual and forecasted consumption data, use forecasted data and provide an explanation</t>
  </si>
  <si>
    <t>Exhibit:</t>
  </si>
  <si>
    <t>Tab:</t>
  </si>
  <si>
    <t>Schedule:</t>
  </si>
  <si>
    <t>Page:</t>
  </si>
  <si>
    <t>Date:</t>
  </si>
  <si>
    <t xml:space="preserve"> </t>
  </si>
  <si>
    <t xml:space="preserve">Commodity Expense </t>
  </si>
  <si>
    <t>Step 1:</t>
  </si>
  <si>
    <t>Allocation of Commodity</t>
  </si>
  <si>
    <t>2018 Historical Actuals</t>
  </si>
  <si>
    <t>non-RPP</t>
  </si>
  <si>
    <t>RPP</t>
  </si>
  <si>
    <t>Proportions (by Class)</t>
  </si>
  <si>
    <t> </t>
  </si>
  <si>
    <t>non GA mod</t>
  </si>
  <si>
    <t>GA mod</t>
  </si>
  <si>
    <t>Customer Class Name</t>
  </si>
  <si>
    <t>Last Actual kWh's</t>
  </si>
  <si>
    <t>Class A kWh</t>
  </si>
  <si>
    <t>Class B kWh</t>
  </si>
  <si>
    <t>%</t>
  </si>
  <si>
    <t>General Service &lt; 50 kW</t>
  </si>
  <si>
    <t>General Service 50 to 2999 kW</t>
  </si>
  <si>
    <t>General Service 3000-4999 kW</t>
  </si>
  <si>
    <t>Unmetered Scattered Load</t>
  </si>
  <si>
    <t xml:space="preserve">Street Lighting </t>
  </si>
  <si>
    <t>other</t>
  </si>
  <si>
    <t>Step 2:</t>
  </si>
  <si>
    <t>Forecasted Commodity Prices</t>
  </si>
  <si>
    <t>Step 2a:</t>
  </si>
  <si>
    <t>GA Modifier</t>
  </si>
  <si>
    <t>($/MWh)</t>
  </si>
  <si>
    <t>Source:</t>
  </si>
  <si>
    <t xml:space="preserve">   Table 1: RPP Prices and GA Modifier: May 1, 2018 to April 30, 2019*</t>
  </si>
  <si>
    <t>Step 2b:</t>
  </si>
  <si>
    <t xml:space="preserve"> Table 1: Average RPP Supply Cost Summary**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</si>
  <si>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</si>
  <si>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</si>
  <si>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</si>
  <si>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</si>
  <si>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</si>
  <si>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</si>
  <si>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</si>
  <si>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$/kWh</t>
  </si>
  <si>
    <t>Percentage shares (%)</t>
  </si>
  <si>
    <t>non-RPP (GA mod/non-GA mod), RPP</t>
  </si>
  <si>
    <t>WEIGHTED AVERAGE PRICE ($/kWh)</t>
  </si>
  <si>
    <t>(Sum of I43, J43 and L43)</t>
  </si>
  <si>
    <t>Step 3:</t>
  </si>
  <si>
    <t>Commodity Expense</t>
  </si>
  <si>
    <t>(volumes for the bridge and test year are loss adjusted)</t>
  </si>
  <si>
    <t>Customer</t>
  </si>
  <si>
    <t>Revenue</t>
  </si>
  <si>
    <t>Expense</t>
  </si>
  <si>
    <t>kWh Volume</t>
  </si>
  <si>
    <t>kW Volume</t>
  </si>
  <si>
    <t>HOEP Rate/kWh</t>
  </si>
  <si>
    <t>Avg GA/kW</t>
  </si>
  <si>
    <t>Amount</t>
  </si>
  <si>
    <t>Class B</t>
  </si>
  <si>
    <t>Class Name</t>
  </si>
  <si>
    <t>UoM</t>
  </si>
  <si>
    <t>USA #</t>
  </si>
  <si>
    <t>rate ($/kWh):</t>
  </si>
  <si>
    <t>avg rate ($/kWh):</t>
  </si>
  <si>
    <r>
      <t>*</t>
    </r>
    <r>
      <rPr>
        <i/>
        <sz val="10"/>
        <rFont val="Arial"/>
        <family val="2"/>
      </rPr>
      <t>Regulated Price Plan Prices and the Global Adjustment Modifier for the Period May 1, 2018 – April 30, 2019</t>
    </r>
  </si>
  <si>
    <r>
      <t>**</t>
    </r>
    <r>
      <rPr>
        <i/>
        <sz val="10"/>
        <rFont val="Arial"/>
        <family val="2"/>
      </rPr>
      <t xml:space="preserve"> Regulated Price Plan Cost Suppy Report May 1, 2018 - April 30,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</si>
</sst>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0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_);_(@_)"/>
    <numFmt numFmtId="166" formatCode="_(* #,##0.0_);_(* \(#,##0.0\);_(* &quot;-&quot;?_);_(@_)"/>
    <numFmt numFmtId="167" formatCode="0.0%"/>
    <numFmt numFmtId="168" formatCode="#,##0;\(#,##0\)"/>
    <numFmt numFmtId="169" formatCode="0.0000"/>
    <numFmt numFmtId="170" formatCode="#,##0.0000"/>
    <numFmt numFmtId="171" formatCode="#,##0.000"/>
    <numFmt numFmtId="172" formatCode="#,##0.00000"/>
    <numFmt numFmtId="173" formatCode="0.0000%"/>
    <numFmt numFmtId="174" formatCode="#,##0.0000_);\(#,##0.0000\)"/>
    <numFmt numFmtId="175" formatCode="_(* #,##0_);_(* \(#,##0\);_(* &quot;-&quot;??_);_(@_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0.000000000"/>
    <numFmt numFmtId="180" formatCode="0.0;\(0.0\)"/>
    <numFmt numFmtId="181" formatCode="0.0%;\(0.0%\)"/>
    <numFmt numFmtId="182" formatCode="0;\(0\)"/>
    <numFmt numFmtId="183" formatCode="0.0"/>
    <numFmt numFmtId="184" formatCode="#,##0.0;\(#,##0.0\)"/>
    <numFmt numFmtId="185" formatCode="0.0000%;\(0.0%\)"/>
    <numFmt numFmtId="186" formatCode="000000000#"/>
    <numFmt numFmtId="187" formatCode="yyyy/mm/dd"/>
    <numFmt numFmtId="188" formatCode="0.00000"/>
    <numFmt numFmtId="189" formatCode="_-* #,##0.00_-;\-* #,##0.00_-;_-* &quot;-&quot;??_-;_-@_-"/>
    <numFmt numFmtId="190" formatCode="_-* #,##0_-;\-* #,##0_-;_-* &quot;-&quot;??_-;_-@_-"/>
    <numFmt numFmtId="191" formatCode="_-* #,##0.00_-;\-* #,##0.00_-;_-* \-??_-;_-@_-"/>
    <numFmt numFmtId="192" formatCode="0.000"/>
    <numFmt numFmtId="193" formatCode="0.00000%"/>
    <numFmt numFmtId="194" formatCode="0.0000000%"/>
    <numFmt numFmtId="195" formatCode="_(* #,##0.0_);_(* \(#,##0.0\);_(* &quot;-&quot;??_);_(@_)"/>
    <numFmt numFmtId="196" formatCode="mm/dd/yyyy"/>
    <numFmt numFmtId="197" formatCode="0\-0"/>
    <numFmt numFmtId="198" formatCode="##\-#"/>
    <numFmt numFmtId="199" formatCode="&quot;£ &quot;#,##0.00;[Red]\-&quot;£ &quot;#,##0.00"/>
    <numFmt numFmtId="200" formatCode="#,##0.00000000;\(#,##0.00000000\)"/>
    <numFmt numFmtId="201" formatCode="_(* #,##0.0000_);_(* \(#,##0.0000\);_(* &quot;-&quot;????_);_(@_)"/>
    <numFmt numFmtId="202" formatCode="0.00%;\(0.00%\)"/>
    <numFmt numFmtId="203" formatCode="_-* #,##0_-;\-* #,##0_-;_-* \-??_-;_-@_-"/>
    <numFmt numFmtId="204" formatCode="\$#,##0.0000_);&quot;($&quot;#,##0.0000\)"/>
    <numFmt numFmtId="205" formatCode="\$#,##0.00_);&quot;($&quot;#,##0.00\)"/>
    <numFmt numFmtId="206" formatCode="\$#,##0.00000_);&quot;($&quot;#,##0.00000\)"/>
    <numFmt numFmtId="207" formatCode="_(&quot;$&quot;* #,##0.0000_);_(&quot;$&quot;* \(#,##0.0000\);_(&quot;$&quot;* &quot;-&quot;??_);_(@_)"/>
    <numFmt numFmtId="209" formatCode="_-* #,##0.00000_-;\-* #,##0.00000_-;_-* \-??_-;_-@_-"/>
    <numFmt numFmtId="210" formatCode="\$#,##0"/>
  </numFmts>
  <fonts count="65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Mangal"/>
      <family val="2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i/>
      <sz val="8"/>
      <color indexed="22"/>
      <name val="Arial"/>
      <family val="2"/>
    </font>
    <font>
      <sz val="8"/>
      <name val="Arial"/>
      <family val="2"/>
      <charset val="1"/>
    </font>
    <font>
      <b/>
      <sz val="14"/>
      <name val="Arial"/>
      <family val="2"/>
      <charset val="1"/>
    </font>
    <font>
      <b/>
      <u/>
      <sz val="12"/>
      <name val="Arial"/>
      <family val="2"/>
      <charset val="1"/>
    </font>
    <font>
      <b/>
      <u/>
      <sz val="10"/>
      <name val="Arial"/>
      <family val="2"/>
      <charset val="1"/>
    </font>
    <font>
      <b/>
      <sz val="10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i/>
      <sz val="10"/>
      <name val="Arial"/>
      <family val="2"/>
      <charset val="1"/>
    </font>
    <font>
      <i/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  <charset val="1"/>
    </font>
    <font>
      <b/>
      <u/>
      <sz val="11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color rgb="FFFF0000"/>
      <name val="Arial"/>
      <family val="2"/>
      <charset val="1"/>
    </font>
  </fonts>
  <fills count="5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32"/>
      </patternFill>
    </fill>
    <fill>
      <patternFill patternType="solid">
        <fgColor theme="6" tint="0.79998168889431442"/>
        <bgColor indexed="58"/>
      </patternFill>
    </fill>
    <fill>
      <patternFill patternType="solid">
        <fgColor theme="0"/>
        <bgColor indexed="5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117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6" fillId="0" borderId="0"/>
    <xf numFmtId="0" fontId="2" fillId="2" borderId="1" applyNumberFormat="0" applyFont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0" fillId="0" borderId="0"/>
    <xf numFmtId="0" fontId="3" fillId="0" borderId="0"/>
    <xf numFmtId="189" fontId="3" fillId="0" borderId="0" applyFont="0" applyFill="0" applyBorder="0" applyAlignment="0" applyProtection="0"/>
    <xf numFmtId="191" fontId="26" fillId="0" borderId="0" applyFill="0" applyBorder="0" applyAlignment="0" applyProtection="0"/>
    <xf numFmtId="9" fontId="26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0" borderId="8" applyNumberFormat="0" applyProtection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95" fontId="3" fillId="0" borderId="0"/>
    <xf numFmtId="164" fontId="3" fillId="0" borderId="0"/>
    <xf numFmtId="195" fontId="3" fillId="0" borderId="0"/>
    <xf numFmtId="195" fontId="3" fillId="0" borderId="0"/>
    <xf numFmtId="195" fontId="3" fillId="0" borderId="0"/>
    <xf numFmtId="195" fontId="3" fillId="0" borderId="0"/>
    <xf numFmtId="196" fontId="3" fillId="0" borderId="0"/>
    <xf numFmtId="197" fontId="3" fillId="0" borderId="0"/>
    <xf numFmtId="196" fontId="3" fillId="0" borderId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7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4" borderId="0" applyNumberFormat="0" applyBorder="0" applyAlignment="0" applyProtection="0"/>
    <xf numFmtId="0" fontId="27" fillId="38" borderId="0" applyNumberFormat="0" applyBorder="0" applyAlignment="0" applyProtection="0"/>
    <xf numFmtId="0" fontId="44" fillId="19" borderId="0" applyNumberFormat="0" applyBorder="0" applyAlignment="0" applyProtection="0"/>
    <xf numFmtId="0" fontId="44" fillId="23" borderId="0" applyNumberFormat="0" applyBorder="0" applyAlignment="0" applyProtection="0"/>
    <xf numFmtId="0" fontId="44" fillId="27" borderId="0" applyNumberFormat="0" applyBorder="0" applyAlignment="0" applyProtection="0"/>
    <xf numFmtId="0" fontId="44" fillId="31" borderId="0" applyNumberFormat="0" applyBorder="0" applyAlignment="0" applyProtection="0"/>
    <xf numFmtId="0" fontId="44" fillId="35" borderId="0" applyNumberFormat="0" applyBorder="0" applyAlignment="0" applyProtection="0"/>
    <xf numFmtId="0" fontId="44" fillId="39" borderId="0" applyNumberFormat="0" applyBorder="0" applyAlignment="0" applyProtection="0"/>
    <xf numFmtId="0" fontId="44" fillId="1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6" borderId="0" applyNumberFormat="0" applyBorder="0" applyAlignment="0" applyProtection="0"/>
    <xf numFmtId="0" fontId="35" fillId="11" borderId="0" applyNumberFormat="0" applyBorder="0" applyAlignment="0" applyProtection="0"/>
    <xf numFmtId="0" fontId="39" fillId="14" borderId="37" applyNumberFormat="0" applyAlignment="0" applyProtection="0"/>
    <xf numFmtId="0" fontId="41" fillId="15" borderId="40" applyNumberFormat="0" applyAlignment="0" applyProtection="0"/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4" fillId="10" borderId="0" applyNumberFormat="0" applyBorder="0" applyAlignment="0" applyProtection="0"/>
    <xf numFmtId="38" fontId="23" fillId="9" borderId="0" applyNumberFormat="0" applyBorder="0" applyAlignment="0" applyProtection="0"/>
    <xf numFmtId="38" fontId="23" fillId="9" borderId="0" applyNumberFormat="0" applyBorder="0" applyAlignment="0" applyProtection="0"/>
    <xf numFmtId="0" fontId="31" fillId="0" borderId="34" applyNumberFormat="0" applyFill="0" applyAlignment="0" applyProtection="0"/>
    <xf numFmtId="0" fontId="32" fillId="0" borderId="35" applyNumberFormat="0" applyFill="0" applyAlignment="0" applyProtection="0"/>
    <xf numFmtId="0" fontId="33" fillId="0" borderId="36" applyNumberFormat="0" applyFill="0" applyAlignment="0" applyProtection="0"/>
    <xf numFmtId="0" fontId="33" fillId="0" borderId="0" applyNumberFormat="0" applyFill="0" applyBorder="0" applyAlignment="0" applyProtection="0"/>
    <xf numFmtId="10" fontId="23" fillId="41" borderId="8" applyNumberFormat="0" applyBorder="0" applyAlignment="0" applyProtection="0"/>
    <xf numFmtId="10" fontId="23" fillId="41" borderId="8" applyNumberFormat="0" applyBorder="0" applyAlignment="0" applyProtection="0"/>
    <xf numFmtId="0" fontId="37" fillId="13" borderId="37" applyNumberFormat="0" applyAlignment="0" applyProtection="0"/>
    <xf numFmtId="0" fontId="40" fillId="0" borderId="39" applyNumberFormat="0" applyFill="0" applyAlignment="0" applyProtection="0"/>
    <xf numFmtId="198" fontId="3" fillId="0" borderId="0"/>
    <xf numFmtId="175" fontId="3" fillId="0" borderId="0"/>
    <xf numFmtId="198" fontId="3" fillId="0" borderId="0"/>
    <xf numFmtId="198" fontId="3" fillId="0" borderId="0"/>
    <xf numFmtId="198" fontId="3" fillId="0" borderId="0"/>
    <xf numFmtId="198" fontId="3" fillId="0" borderId="0"/>
    <xf numFmtId="0" fontId="36" fillId="12" borderId="0" applyNumberFormat="0" applyBorder="0" applyAlignment="0" applyProtection="0"/>
    <xf numFmtId="199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7" fillId="2" borderId="1" applyNumberFormat="0" applyFont="0" applyAlignment="0" applyProtection="0"/>
    <xf numFmtId="0" fontId="38" fillId="14" borderId="38" applyNumberFormat="0" applyAlignment="0" applyProtection="0"/>
    <xf numFmtId="10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0" borderId="0" applyNumberFormat="0" applyBorder="0" applyAlignment="0"/>
    <xf numFmtId="0" fontId="46" fillId="0" borderId="0" applyNumberFormat="0" applyBorder="0" applyAlignment="0"/>
    <xf numFmtId="0" fontId="47" fillId="0" borderId="0" applyNumberFormat="0" applyBorder="0" applyAlignment="0"/>
    <xf numFmtId="0" fontId="24" fillId="0" borderId="26">
      <alignment horizontal="center" vertical="center"/>
    </xf>
    <xf numFmtId="0" fontId="30" fillId="0" borderId="0" applyNumberFormat="0" applyFill="0" applyBorder="0" applyAlignment="0" applyProtection="0"/>
    <xf numFmtId="0" fontId="29" fillId="0" borderId="41" applyNumberFormat="0" applyFill="0" applyAlignment="0" applyProtection="0"/>
    <xf numFmtId="0" fontId="42" fillId="0" borderId="0" applyNumberForma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44" fontId="3" fillId="0" borderId="0" applyFont="0" applyFill="0" applyBorder="0" applyAlignment="0" applyProtection="0"/>
    <xf numFmtId="0" fontId="27" fillId="0" borderId="0"/>
    <xf numFmtId="189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751">
    <xf numFmtId="0" fontId="0" fillId="0" borderId="0" xfId="0"/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17" fontId="0" fillId="0" borderId="2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 wrapText="1"/>
    </xf>
    <xf numFmtId="41" fontId="0" fillId="0" borderId="0" xfId="0" applyNumberFormat="1"/>
    <xf numFmtId="41" fontId="0" fillId="0" borderId="2" xfId="0" applyNumberFormat="1" applyBorder="1"/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3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 indent="1"/>
    </xf>
    <xf numFmtId="167" fontId="0" fillId="0" borderId="0" xfId="9" applyNumberFormat="1" applyFont="1" applyAlignment="1">
      <alignment horizontal="right" indent="1"/>
    </xf>
    <xf numFmtId="41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right" indent="1"/>
    </xf>
    <xf numFmtId="167" fontId="0" fillId="0" borderId="2" xfId="9" applyNumberFormat="1" applyFon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168" fontId="0" fillId="0" borderId="0" xfId="0" applyNumberFormat="1" applyAlignment="1">
      <alignment horizontal="right" indent="4"/>
    </xf>
    <xf numFmtId="0" fontId="3" fillId="0" borderId="0" xfId="0" applyFont="1" applyAlignment="1">
      <alignment horizontal="left" indent="1"/>
    </xf>
    <xf numFmtId="41" fontId="0" fillId="0" borderId="0" xfId="0" applyNumberFormat="1" applyAlignment="1">
      <alignment horizontal="center"/>
    </xf>
    <xf numFmtId="0" fontId="3" fillId="4" borderId="0" xfId="0" applyFont="1" applyFill="1" applyAlignment="1">
      <alignment horizontal="left" indent="1"/>
    </xf>
    <xf numFmtId="0" fontId="0" fillId="4" borderId="0" xfId="0" applyFill="1" applyAlignment="1">
      <alignment horizontal="center"/>
    </xf>
    <xf numFmtId="41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1" fillId="0" borderId="0" xfId="0" applyFont="1"/>
    <xf numFmtId="3" fontId="10" fillId="0" borderId="0" xfId="10" applyNumberFormat="1" applyAlignment="1">
      <alignment horizontal="center"/>
    </xf>
    <xf numFmtId="10" fontId="0" fillId="0" borderId="0" xfId="9" applyNumberFormat="1" applyFont="1" applyAlignment="1">
      <alignment horizontal="center"/>
    </xf>
    <xf numFmtId="17" fontId="0" fillId="0" borderId="0" xfId="0" applyNumberFormat="1"/>
    <xf numFmtId="3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right" indent="1"/>
    </xf>
    <xf numFmtId="0" fontId="3" fillId="0" borderId="0" xfId="0" applyFont="1"/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17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0" fontId="0" fillId="5" borderId="0" xfId="0" applyFill="1" applyAlignment="1">
      <alignment horizontal="right"/>
    </xf>
    <xf numFmtId="170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2" fillId="0" borderId="8" xfId="0" applyFont="1" applyBorder="1"/>
    <xf numFmtId="0" fontId="11" fillId="0" borderId="0" xfId="0" applyFont="1" applyAlignment="1">
      <alignment horizontal="center"/>
    </xf>
    <xf numFmtId="3" fontId="0" fillId="0" borderId="8" xfId="0" applyNumberFormat="1" applyBorder="1" applyAlignment="1">
      <alignment horizontal="left" indent="1"/>
    </xf>
    <xf numFmtId="37" fontId="0" fillId="0" borderId="8" xfId="0" applyNumberFormat="1" applyBorder="1"/>
    <xf numFmtId="174" fontId="0" fillId="0" borderId="8" xfId="0" applyNumberFormat="1" applyBorder="1"/>
    <xf numFmtId="9" fontId="9" fillId="0" borderId="8" xfId="9" applyBorder="1"/>
    <xf numFmtId="175" fontId="10" fillId="0" borderId="8" xfId="10" applyNumberFormat="1" applyBorder="1"/>
    <xf numFmtId="37" fontId="0" fillId="0" borderId="0" xfId="0" applyNumberFormat="1"/>
    <xf numFmtId="3" fontId="3" fillId="0" borderId="8" xfId="0" applyNumberFormat="1" applyFont="1" applyBorder="1" applyAlignment="1">
      <alignment horizontal="left" indent="1"/>
    </xf>
    <xf numFmtId="37" fontId="11" fillId="0" borderId="8" xfId="0" applyNumberFormat="1" applyFont="1" applyBorder="1"/>
    <xf numFmtId="3" fontId="0" fillId="0" borderId="0" xfId="0" applyNumberFormat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8" xfId="0" applyFont="1" applyBorder="1"/>
    <xf numFmtId="174" fontId="0" fillId="0" borderId="8" xfId="0" applyNumberFormat="1" applyBorder="1" applyAlignment="1">
      <alignment horizontal="center"/>
    </xf>
    <xf numFmtId="5" fontId="0" fillId="0" borderId="8" xfId="0" applyNumberFormat="1" applyBorder="1"/>
    <xf numFmtId="177" fontId="0" fillId="0" borderId="8" xfId="0" applyNumberFormat="1" applyBorder="1"/>
    <xf numFmtId="5" fontId="11" fillId="0" borderId="8" xfId="0" applyNumberFormat="1" applyFont="1" applyBorder="1"/>
    <xf numFmtId="0" fontId="11" fillId="0" borderId="0" xfId="0" applyFont="1" applyAlignment="1">
      <alignment horizontal="left" indent="1"/>
    </xf>
    <xf numFmtId="37" fontId="11" fillId="0" borderId="0" xfId="0" applyNumberFormat="1" applyFont="1"/>
    <xf numFmtId="177" fontId="0" fillId="0" borderId="0" xfId="0" applyNumberFormat="1"/>
    <xf numFmtId="5" fontId="11" fillId="0" borderId="0" xfId="0" applyNumberFormat="1" applyFont="1"/>
    <xf numFmtId="0" fontId="12" fillId="0" borderId="9" xfId="0" applyFont="1" applyBorder="1"/>
    <xf numFmtId="0" fontId="11" fillId="0" borderId="17" xfId="0" applyFont="1" applyBorder="1"/>
    <xf numFmtId="0" fontId="11" fillId="0" borderId="15" xfId="0" applyFont="1" applyBorder="1"/>
    <xf numFmtId="0" fontId="11" fillId="0" borderId="16" xfId="0" applyFont="1" applyBorder="1"/>
    <xf numFmtId="178" fontId="0" fillId="0" borderId="8" xfId="0" applyNumberFormat="1" applyBorder="1"/>
    <xf numFmtId="3" fontId="3" fillId="3" borderId="8" xfId="0" applyNumberFormat="1" applyFont="1" applyFill="1" applyBorder="1" applyAlignment="1">
      <alignment horizontal="left" indent="1"/>
    </xf>
    <xf numFmtId="37" fontId="0" fillId="3" borderId="8" xfId="0" applyNumberFormat="1" applyFill="1" applyBorder="1"/>
    <xf numFmtId="174" fontId="0" fillId="3" borderId="8" xfId="0" applyNumberFormat="1" applyFill="1" applyBorder="1" applyAlignment="1">
      <alignment horizontal="center"/>
    </xf>
    <xf numFmtId="178" fontId="0" fillId="3" borderId="8" xfId="0" applyNumberFormat="1" applyFill="1" applyBorder="1"/>
    <xf numFmtId="5" fontId="0" fillId="3" borderId="8" xfId="0" applyNumberFormat="1" applyFill="1" applyBorder="1"/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0" xfId="0" applyBorder="1"/>
    <xf numFmtId="0" fontId="0" fillId="0" borderId="21" xfId="0" applyBorder="1"/>
    <xf numFmtId="5" fontId="0" fillId="0" borderId="13" xfId="0" applyNumberFormat="1" applyBorder="1"/>
    <xf numFmtId="0" fontId="3" fillId="0" borderId="21" xfId="0" applyFont="1" applyBorder="1"/>
    <xf numFmtId="10" fontId="9" fillId="0" borderId="8" xfId="9" applyNumberFormat="1" applyBorder="1"/>
    <xf numFmtId="3" fontId="3" fillId="0" borderId="8" xfId="0" applyNumberFormat="1" applyFont="1" applyBorder="1" applyAlignment="1">
      <alignment horizontal="right" indent="1"/>
    </xf>
    <xf numFmtId="3" fontId="3" fillId="3" borderId="8" xfId="0" applyNumberFormat="1" applyFont="1" applyFill="1" applyBorder="1" applyAlignment="1">
      <alignment horizontal="right" indent="1"/>
    </xf>
    <xf numFmtId="169" fontId="0" fillId="0" borderId="0" xfId="0" applyNumberFormat="1"/>
    <xf numFmtId="2" fontId="0" fillId="0" borderId="0" xfId="0" applyNumberFormat="1"/>
    <xf numFmtId="178" fontId="3" fillId="0" borderId="8" xfId="0" applyNumberFormat="1" applyFont="1" applyBorder="1"/>
    <xf numFmtId="14" fontId="0" fillId="0" borderId="0" xfId="0" applyNumberFormat="1"/>
    <xf numFmtId="176" fontId="0" fillId="0" borderId="0" xfId="0" applyNumberFormat="1"/>
    <xf numFmtId="5" fontId="0" fillId="0" borderId="0" xfId="0" applyNumberFormat="1"/>
    <xf numFmtId="10" fontId="0" fillId="0" borderId="0" xfId="0" applyNumberFormat="1"/>
    <xf numFmtId="10" fontId="0" fillId="3" borderId="0" xfId="0" applyNumberFormat="1" applyFill="1" applyAlignment="1">
      <alignment horizontal="right" indent="1"/>
    </xf>
    <xf numFmtId="3" fontId="3" fillId="0" borderId="0" xfId="0" applyNumberFormat="1" applyFont="1"/>
    <xf numFmtId="0" fontId="11" fillId="0" borderId="0" xfId="0" applyFont="1" applyAlignment="1">
      <alignment horizontal="right"/>
    </xf>
    <xf numFmtId="0" fontId="18" fillId="0" borderId="0" xfId="0" applyFont="1" applyAlignment="1">
      <alignment horizontal="left" vertical="center"/>
    </xf>
    <xf numFmtId="0" fontId="19" fillId="0" borderId="0" xfId="0" applyFont="1"/>
    <xf numFmtId="0" fontId="18" fillId="0" borderId="0" xfId="11" applyFont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indent="1"/>
    </xf>
    <xf numFmtId="0" fontId="18" fillId="3" borderId="11" xfId="0" applyFont="1" applyFill="1" applyBorder="1" applyAlignment="1">
      <alignment horizontal="left" vertical="center" indent="1"/>
    </xf>
    <xf numFmtId="164" fontId="19" fillId="3" borderId="8" xfId="0" applyNumberFormat="1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left" vertical="center"/>
    </xf>
    <xf numFmtId="37" fontId="19" fillId="3" borderId="8" xfId="0" applyNumberFormat="1" applyFont="1" applyFill="1" applyBorder="1" applyAlignment="1">
      <alignment horizontal="center" vertical="center"/>
    </xf>
    <xf numFmtId="164" fontId="19" fillId="0" borderId="8" xfId="12" applyNumberFormat="1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180" fontId="19" fillId="0" borderId="8" xfId="0" applyNumberFormat="1" applyFont="1" applyBorder="1" applyAlignment="1">
      <alignment horizontal="right" vertical="center" indent="2"/>
    </xf>
    <xf numFmtId="181" fontId="19" fillId="0" borderId="0" xfId="0" applyNumberFormat="1" applyFont="1" applyAlignment="1">
      <alignment horizontal="center" vertical="center"/>
    </xf>
    <xf numFmtId="181" fontId="19" fillId="0" borderId="8" xfId="0" applyNumberFormat="1" applyFont="1" applyBorder="1" applyAlignment="1">
      <alignment horizontal="right" vertical="center" indent="2"/>
    </xf>
    <xf numFmtId="182" fontId="19" fillId="0" borderId="8" xfId="0" applyNumberFormat="1" applyFont="1" applyBorder="1" applyAlignment="1">
      <alignment horizontal="right" vertical="center" indent="2"/>
    </xf>
    <xf numFmtId="0" fontId="18" fillId="0" borderId="11" xfId="0" applyFont="1" applyBorder="1" applyAlignment="1">
      <alignment horizontal="left" vertical="center" wrapText="1" indent="1"/>
    </xf>
    <xf numFmtId="0" fontId="18" fillId="0" borderId="0" xfId="0" applyFont="1"/>
    <xf numFmtId="164" fontId="18" fillId="0" borderId="8" xfId="12" applyNumberFormat="1" applyFont="1" applyBorder="1" applyAlignment="1">
      <alignment horizontal="center" vertical="center"/>
    </xf>
    <xf numFmtId="180" fontId="18" fillId="0" borderId="8" xfId="0" applyNumberFormat="1" applyFont="1" applyBorder="1" applyAlignment="1">
      <alignment horizontal="right" vertical="center" indent="2"/>
    </xf>
    <xf numFmtId="181" fontId="18" fillId="0" borderId="8" xfId="0" applyNumberFormat="1" applyFont="1" applyBorder="1" applyAlignment="1">
      <alignment horizontal="right" vertical="center" indent="2"/>
    </xf>
    <xf numFmtId="3" fontId="18" fillId="0" borderId="8" xfId="0" applyNumberFormat="1" applyFont="1" applyBorder="1" applyAlignment="1">
      <alignment horizontal="center" vertical="center"/>
    </xf>
    <xf numFmtId="182" fontId="18" fillId="0" borderId="8" xfId="0" applyNumberFormat="1" applyFont="1" applyBorder="1" applyAlignment="1">
      <alignment horizontal="right" vertical="center" indent="2"/>
    </xf>
    <xf numFmtId="181" fontId="18" fillId="0" borderId="0" xfId="0" applyNumberFormat="1" applyFont="1" applyAlignment="1">
      <alignment horizontal="center" vertical="center"/>
    </xf>
    <xf numFmtId="164" fontId="18" fillId="0" borderId="0" xfId="0" applyNumberFormat="1" applyFont="1"/>
    <xf numFmtId="164" fontId="18" fillId="0" borderId="16" xfId="12" applyNumberFormat="1" applyFont="1" applyBorder="1" applyAlignment="1">
      <alignment horizontal="center" vertical="center"/>
    </xf>
    <xf numFmtId="180" fontId="18" fillId="0" borderId="16" xfId="0" applyNumberFormat="1" applyFont="1" applyBorder="1" applyAlignment="1">
      <alignment horizontal="center" vertical="center"/>
    </xf>
    <xf numFmtId="181" fontId="18" fillId="0" borderId="16" xfId="0" applyNumberFormat="1" applyFont="1" applyBorder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182" fontId="18" fillId="0" borderId="16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8" xfId="0" applyFont="1" applyBorder="1" applyAlignment="1">
      <alignment vertical="center"/>
    </xf>
    <xf numFmtId="0" fontId="19" fillId="0" borderId="8" xfId="0" applyFont="1" applyBorder="1"/>
    <xf numFmtId="0" fontId="19" fillId="3" borderId="8" xfId="0" applyFont="1" applyFill="1" applyBorder="1" applyAlignment="1">
      <alignment horizontal="left" vertical="center" indent="1"/>
    </xf>
    <xf numFmtId="0" fontId="18" fillId="3" borderId="8" xfId="0" applyFont="1" applyFill="1" applyBorder="1" applyAlignment="1">
      <alignment horizontal="left" vertical="center" indent="1"/>
    </xf>
    <xf numFmtId="164" fontId="19" fillId="3" borderId="8" xfId="0" applyNumberFormat="1" applyFont="1" applyFill="1" applyBorder="1" applyAlignment="1">
      <alignment horizontal="right" vertical="center" indent="2"/>
    </xf>
    <xf numFmtId="183" fontId="19" fillId="3" borderId="8" xfId="0" applyNumberFormat="1" applyFont="1" applyFill="1" applyBorder="1" applyAlignment="1">
      <alignment horizontal="center"/>
    </xf>
    <xf numFmtId="164" fontId="19" fillId="3" borderId="8" xfId="12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right" vertical="center" indent="2"/>
    </xf>
    <xf numFmtId="164" fontId="19" fillId="0" borderId="8" xfId="12" applyNumberFormat="1" applyFont="1" applyBorder="1" applyAlignment="1">
      <alignment horizontal="right" vertical="center" indent="2"/>
    </xf>
    <xf numFmtId="0" fontId="19" fillId="0" borderId="8" xfId="0" applyFont="1" applyBorder="1" applyAlignment="1">
      <alignment horizontal="left" vertical="center" wrapText="1"/>
    </xf>
    <xf numFmtId="183" fontId="19" fillId="0" borderId="0" xfId="0" applyNumberFormat="1" applyFont="1" applyAlignment="1">
      <alignment vertical="center"/>
    </xf>
    <xf numFmtId="3" fontId="19" fillId="3" borderId="8" xfId="12" applyNumberFormat="1" applyFont="1" applyFill="1" applyBorder="1" applyAlignment="1">
      <alignment horizontal="center" vertical="center"/>
    </xf>
    <xf numFmtId="3" fontId="19" fillId="0" borderId="8" xfId="12" applyNumberFormat="1" applyFont="1" applyBorder="1" applyAlignment="1">
      <alignment horizontal="center" vertical="center"/>
    </xf>
    <xf numFmtId="3" fontId="19" fillId="0" borderId="8" xfId="12" applyNumberFormat="1" applyFont="1" applyBorder="1" applyAlignment="1">
      <alignment horizontal="right" vertical="center" indent="2"/>
    </xf>
    <xf numFmtId="3" fontId="19" fillId="0" borderId="0" xfId="0" applyNumberFormat="1" applyFont="1"/>
    <xf numFmtId="3" fontId="18" fillId="0" borderId="8" xfId="12" applyNumberFormat="1" applyFont="1" applyBorder="1" applyAlignment="1">
      <alignment horizontal="center" vertical="center"/>
    </xf>
    <xf numFmtId="3" fontId="18" fillId="0" borderId="8" xfId="12" applyNumberFormat="1" applyFont="1" applyBorder="1" applyAlignment="1">
      <alignment horizontal="right" vertical="center" indent="2"/>
    </xf>
    <xf numFmtId="3" fontId="18" fillId="0" borderId="0" xfId="0" applyNumberFormat="1" applyFont="1"/>
    <xf numFmtId="3" fontId="18" fillId="0" borderId="0" xfId="11" applyNumberFormat="1" applyFont="1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3" fontId="19" fillId="3" borderId="8" xfId="0" applyNumberFormat="1" applyFont="1" applyFill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181" fontId="18" fillId="0" borderId="0" xfId="0" applyNumberFormat="1" applyFont="1" applyAlignment="1">
      <alignment vertical="center"/>
    </xf>
    <xf numFmtId="181" fontId="19" fillId="0" borderId="8" xfId="0" applyNumberFormat="1" applyFont="1" applyBorder="1" applyAlignment="1">
      <alignment horizontal="left" vertical="center" indent="1"/>
    </xf>
    <xf numFmtId="181" fontId="18" fillId="0" borderId="8" xfId="0" applyNumberFormat="1" applyFont="1" applyBorder="1" applyAlignment="1">
      <alignment horizontal="left" vertical="center" indent="1"/>
    </xf>
    <xf numFmtId="181" fontId="19" fillId="0" borderId="12" xfId="0" applyNumberFormat="1" applyFont="1" applyBorder="1" applyAlignment="1">
      <alignment horizontal="right" vertical="center" indent="2"/>
    </xf>
    <xf numFmtId="181" fontId="18" fillId="0" borderId="0" xfId="0" applyNumberFormat="1" applyFont="1" applyAlignment="1">
      <alignment horizontal="left" vertical="center" indent="1"/>
    </xf>
    <xf numFmtId="181" fontId="18" fillId="0" borderId="0" xfId="0" applyNumberFormat="1" applyFont="1" applyAlignment="1">
      <alignment horizontal="right" vertical="center" indent="2"/>
    </xf>
    <xf numFmtId="169" fontId="18" fillId="0" borderId="0" xfId="0" applyNumberFormat="1" applyFont="1" applyAlignment="1">
      <alignment horizontal="center"/>
    </xf>
    <xf numFmtId="167" fontId="18" fillId="0" borderId="0" xfId="9" applyNumberFormat="1" applyFont="1"/>
    <xf numFmtId="181" fontId="18" fillId="0" borderId="12" xfId="0" applyNumberFormat="1" applyFont="1" applyBorder="1" applyAlignment="1">
      <alignment horizontal="right" vertical="center" indent="2"/>
    </xf>
    <xf numFmtId="181" fontId="19" fillId="0" borderId="0" xfId="0" applyNumberFormat="1" applyFont="1" applyAlignment="1">
      <alignment horizontal="left" vertical="center"/>
    </xf>
    <xf numFmtId="181" fontId="18" fillId="0" borderId="0" xfId="0" applyNumberFormat="1" applyFont="1" applyAlignment="1">
      <alignment horizontal="left" vertical="center"/>
    </xf>
    <xf numFmtId="3" fontId="0" fillId="0" borderId="8" xfId="0" applyNumberForma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8" fillId="0" borderId="14" xfId="11" applyFont="1" applyBorder="1" applyAlignment="1">
      <alignment horizontal="center" vertical="center" wrapText="1"/>
    </xf>
    <xf numFmtId="9" fontId="19" fillId="0" borderId="8" xfId="12" applyNumberFormat="1" applyFont="1" applyBorder="1" applyAlignment="1">
      <alignment horizontal="center" vertical="center"/>
    </xf>
    <xf numFmtId="183" fontId="19" fillId="0" borderId="8" xfId="12" applyNumberFormat="1" applyFont="1" applyBorder="1" applyAlignment="1">
      <alignment horizontal="center" vertical="center"/>
    </xf>
    <xf numFmtId="180" fontId="19" fillId="0" borderId="8" xfId="12" applyNumberFormat="1" applyFont="1" applyBorder="1" applyAlignment="1">
      <alignment horizontal="center" vertical="center"/>
    </xf>
    <xf numFmtId="181" fontId="19" fillId="0" borderId="12" xfId="12" applyNumberFormat="1" applyFont="1" applyBorder="1" applyAlignment="1">
      <alignment horizontal="center" vertical="center"/>
    </xf>
    <xf numFmtId="181" fontId="18" fillId="0" borderId="12" xfId="12" applyNumberFormat="1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3" fontId="19" fillId="0" borderId="8" xfId="0" applyNumberFormat="1" applyFont="1" applyBorder="1" applyAlignment="1">
      <alignment horizontal="center" vertical="center" wrapText="1"/>
    </xf>
    <xf numFmtId="3" fontId="19" fillId="0" borderId="8" xfId="0" applyNumberFormat="1" applyFont="1" applyBorder="1" applyAlignment="1">
      <alignment horizontal="right" vertical="center" wrapText="1" indent="2"/>
    </xf>
    <xf numFmtId="181" fontId="19" fillId="0" borderId="8" xfId="0" applyNumberFormat="1" applyFont="1" applyBorder="1" applyAlignment="1">
      <alignment horizontal="center" vertical="center" wrapText="1"/>
    </xf>
    <xf numFmtId="181" fontId="19" fillId="0" borderId="0" xfId="0" applyNumberFormat="1" applyFont="1"/>
    <xf numFmtId="10" fontId="19" fillId="0" borderId="0" xfId="0" applyNumberFormat="1" applyFont="1"/>
    <xf numFmtId="181" fontId="19" fillId="0" borderId="8" xfId="0" applyNumberFormat="1" applyFont="1" applyBorder="1" applyAlignment="1">
      <alignment horizontal="right" vertical="center" wrapText="1" indent="2"/>
    </xf>
    <xf numFmtId="43" fontId="19" fillId="0" borderId="0" xfId="10" applyFont="1"/>
    <xf numFmtId="167" fontId="18" fillId="0" borderId="0" xfId="9" applyNumberFormat="1" applyFont="1" applyAlignment="1">
      <alignment vertical="center"/>
    </xf>
    <xf numFmtId="181" fontId="18" fillId="0" borderId="8" xfId="0" applyNumberFormat="1" applyFont="1" applyBorder="1" applyAlignment="1">
      <alignment horizontal="right" vertical="center" wrapText="1" indent="2"/>
    </xf>
    <xf numFmtId="184" fontId="18" fillId="0" borderId="0" xfId="0" applyNumberFormat="1" applyFont="1" applyAlignment="1">
      <alignment horizontal="center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7" fontId="19" fillId="0" borderId="8" xfId="0" applyNumberFormat="1" applyFont="1" applyBorder="1" applyAlignment="1">
      <alignment horizontal="center" vertical="center" wrapText="1"/>
    </xf>
    <xf numFmtId="9" fontId="19" fillId="0" borderId="0" xfId="0" applyNumberFormat="1" applyFont="1" applyAlignment="1">
      <alignment horizontal="center" vertical="center" wrapText="1"/>
    </xf>
    <xf numFmtId="3" fontId="19" fillId="0" borderId="8" xfId="0" applyNumberFormat="1" applyFont="1" applyBorder="1" applyAlignment="1">
      <alignment horizontal="right" vertical="center" wrapText="1" indent="1"/>
    </xf>
    <xf numFmtId="164" fontId="19" fillId="0" borderId="8" xfId="0" applyNumberFormat="1" applyFont="1" applyBorder="1" applyAlignment="1">
      <alignment horizontal="right" vertical="center" wrapText="1" indent="1"/>
    </xf>
    <xf numFmtId="0" fontId="18" fillId="0" borderId="11" xfId="0" applyFont="1" applyBorder="1" applyAlignment="1">
      <alignment horizontal="right" vertical="center" indent="1"/>
    </xf>
    <xf numFmtId="0" fontId="18" fillId="0" borderId="12" xfId="0" applyFont="1" applyBorder="1" applyAlignment="1">
      <alignment horizontal="right" vertical="center" indent="1"/>
    </xf>
    <xf numFmtId="180" fontId="19" fillId="0" borderId="8" xfId="0" applyNumberFormat="1" applyFont="1" applyBorder="1" applyAlignment="1">
      <alignment horizontal="right" vertical="center" wrapText="1" indent="1"/>
    </xf>
    <xf numFmtId="184" fontId="19" fillId="0" borderId="8" xfId="0" applyNumberFormat="1" applyFont="1" applyBorder="1" applyAlignment="1">
      <alignment horizontal="right" vertical="center" wrapText="1" indent="1"/>
    </xf>
    <xf numFmtId="3" fontId="19" fillId="0" borderId="0" xfId="0" applyNumberFormat="1" applyFont="1" applyAlignment="1">
      <alignment horizontal="center" vertical="center" wrapText="1"/>
    </xf>
    <xf numFmtId="185" fontId="19" fillId="0" borderId="8" xfId="0" applyNumberFormat="1" applyFont="1" applyBorder="1" applyAlignment="1">
      <alignment horizontal="center" vertical="center" wrapText="1"/>
    </xf>
    <xf numFmtId="185" fontId="18" fillId="0" borderId="8" xfId="0" applyNumberFormat="1" applyFont="1" applyBorder="1" applyAlignment="1">
      <alignment horizontal="center" vertical="center" wrapText="1"/>
    </xf>
    <xf numFmtId="173" fontId="19" fillId="0" borderId="0" xfId="0" applyNumberFormat="1" applyFont="1"/>
    <xf numFmtId="0" fontId="19" fillId="0" borderId="0" xfId="0" applyFont="1" applyAlignment="1">
      <alignment horizontal="left" vertical="center"/>
    </xf>
    <xf numFmtId="3" fontId="18" fillId="0" borderId="0" xfId="0" applyNumberFormat="1" applyFont="1" applyAlignment="1">
      <alignment horizontal="center" vertical="center" wrapText="1"/>
    </xf>
    <xf numFmtId="3" fontId="19" fillId="0" borderId="0" xfId="12" applyNumberFormat="1" applyFont="1" applyAlignment="1">
      <alignment horizontal="center" vertical="center"/>
    </xf>
    <xf numFmtId="181" fontId="18" fillId="0" borderId="8" xfId="12" applyNumberFormat="1" applyFont="1" applyBorder="1" applyAlignment="1">
      <alignment horizontal="center" vertical="center"/>
    </xf>
    <xf numFmtId="181" fontId="19" fillId="0" borderId="8" xfId="12" applyNumberFormat="1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3" fontId="19" fillId="0" borderId="8" xfId="0" applyNumberFormat="1" applyFont="1" applyBorder="1" applyAlignment="1">
      <alignment vertical="center"/>
    </xf>
    <xf numFmtId="3" fontId="19" fillId="0" borderId="8" xfId="0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16" fillId="0" borderId="8" xfId="0" applyNumberFormat="1" applyFont="1" applyBorder="1" applyAlignment="1">
      <alignment horizontal="center"/>
    </xf>
    <xf numFmtId="0" fontId="16" fillId="0" borderId="8" xfId="0" applyFont="1" applyBorder="1"/>
    <xf numFmtId="0" fontId="16" fillId="0" borderId="8" xfId="0" applyFont="1" applyBorder="1" applyAlignment="1">
      <alignment horizontal="left" vertical="center"/>
    </xf>
    <xf numFmtId="0" fontId="15" fillId="7" borderId="8" xfId="11" applyFont="1" applyFill="1" applyBorder="1" applyAlignment="1">
      <alignment horizontal="center" vertical="center" wrapText="1"/>
    </xf>
    <xf numFmtId="3" fontId="15" fillId="7" borderId="14" xfId="11" applyNumberFormat="1" applyFont="1" applyFill="1" applyBorder="1" applyAlignment="1">
      <alignment horizontal="center" vertical="center" wrapText="1"/>
    </xf>
    <xf numFmtId="0" fontId="15" fillId="7" borderId="14" xfId="11" applyFont="1" applyFill="1" applyBorder="1" applyAlignment="1">
      <alignment horizontal="center" vertical="center" wrapText="1"/>
    </xf>
    <xf numFmtId="3" fontId="15" fillId="7" borderId="8" xfId="1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2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2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0" fontId="17" fillId="0" borderId="2" xfId="0" applyFont="1" applyBorder="1" applyAlignment="1">
      <alignment horizontal="center"/>
    </xf>
    <xf numFmtId="4" fontId="17" fillId="0" borderId="2" xfId="0" applyNumberFormat="1" applyFont="1" applyBorder="1" applyAlignment="1">
      <alignment horizontal="center"/>
    </xf>
    <xf numFmtId="0" fontId="0" fillId="6" borderId="0" xfId="0" applyFill="1"/>
    <xf numFmtId="181" fontId="19" fillId="3" borderId="8" xfId="0" applyNumberFormat="1" applyFont="1" applyFill="1" applyBorder="1" applyAlignment="1">
      <alignment horizontal="left" vertical="center" indent="1"/>
    </xf>
    <xf numFmtId="181" fontId="18" fillId="3" borderId="8" xfId="0" applyNumberFormat="1" applyFont="1" applyFill="1" applyBorder="1" applyAlignment="1">
      <alignment horizontal="left" vertical="center" indent="1"/>
    </xf>
    <xf numFmtId="181" fontId="19" fillId="3" borderId="8" xfId="0" applyNumberFormat="1" applyFont="1" applyFill="1" applyBorder="1" applyAlignment="1">
      <alignment horizontal="right" vertical="center" indent="2"/>
    </xf>
    <xf numFmtId="181" fontId="19" fillId="3" borderId="12" xfId="0" applyNumberFormat="1" applyFont="1" applyFill="1" applyBorder="1" applyAlignment="1">
      <alignment horizontal="right" vertical="center" indent="2"/>
    </xf>
    <xf numFmtId="175" fontId="0" fillId="0" borderId="0" xfId="0" applyNumberFormat="1"/>
    <xf numFmtId="190" fontId="3" fillId="0" borderId="0" xfId="13" applyNumberFormat="1"/>
    <xf numFmtId="190" fontId="0" fillId="0" borderId="0" xfId="0" applyNumberFormat="1"/>
    <xf numFmtId="0" fontId="3" fillId="8" borderId="8" xfId="0" applyFont="1" applyFill="1" applyBorder="1" applyAlignment="1">
      <alignment horizontal="right" indent="1"/>
    </xf>
    <xf numFmtId="190" fontId="3" fillId="3" borderId="0" xfId="13" applyNumberFormat="1" applyFill="1"/>
    <xf numFmtId="0" fontId="0" fillId="8" borderId="8" xfId="0" applyFill="1" applyBorder="1" applyAlignment="1">
      <alignment horizontal="right" indent="1"/>
    </xf>
    <xf numFmtId="41" fontId="0" fillId="8" borderId="8" xfId="10" applyNumberFormat="1" applyFont="1" applyFill="1" applyBorder="1" applyAlignment="1">
      <alignment horizontal="right" indent="1"/>
    </xf>
    <xf numFmtId="41" fontId="0" fillId="8" borderId="8" xfId="0" applyNumberFormat="1" applyFill="1" applyBorder="1" applyAlignment="1">
      <alignment horizontal="right" indent="1"/>
    </xf>
    <xf numFmtId="41" fontId="0" fillId="0" borderId="8" xfId="0" applyNumberFormat="1" applyBorder="1"/>
    <xf numFmtId="3" fontId="0" fillId="0" borderId="0" xfId="10" applyNumberFormat="1" applyFont="1" applyAlignment="1">
      <alignment horizontal="center"/>
    </xf>
    <xf numFmtId="164" fontId="18" fillId="0" borderId="8" xfId="12" applyNumberFormat="1" applyFont="1" applyBorder="1" applyAlignment="1">
      <alignment horizontal="right" vertical="center" indent="2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168" fontId="0" fillId="3" borderId="0" xfId="0" applyNumberFormat="1" applyFill="1" applyAlignment="1">
      <alignment horizontal="center"/>
    </xf>
    <xf numFmtId="0" fontId="25" fillId="0" borderId="0" xfId="0" applyFont="1"/>
    <xf numFmtId="167" fontId="0" fillId="0" borderId="0" xfId="9" applyNumberFormat="1" applyFont="1"/>
    <xf numFmtId="4" fontId="0" fillId="0" borderId="0" xfId="0" applyNumberFormat="1"/>
    <xf numFmtId="3" fontId="3" fillId="0" borderId="0" xfId="0" applyNumberFormat="1" applyFont="1" applyAlignment="1">
      <alignment horizontal="left"/>
    </xf>
    <xf numFmtId="188" fontId="0" fillId="0" borderId="0" xfId="0" applyNumberFormat="1"/>
    <xf numFmtId="0" fontId="0" fillId="0" borderId="0" xfId="0" applyAlignment="1">
      <alignment vertical="center"/>
    </xf>
    <xf numFmtId="43" fontId="0" fillId="0" borderId="0" xfId="0" applyNumberFormat="1"/>
    <xf numFmtId="192" fontId="0" fillId="0" borderId="0" xfId="0" applyNumberFormat="1" applyAlignment="1">
      <alignment horizontal="center"/>
    </xf>
    <xf numFmtId="17" fontId="11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right"/>
    </xf>
    <xf numFmtId="3" fontId="15" fillId="7" borderId="14" xfId="11" quotePrefix="1" applyNumberFormat="1" applyFont="1" applyFill="1" applyBorder="1" applyAlignment="1">
      <alignment horizontal="center" vertical="center" wrapText="1"/>
    </xf>
    <xf numFmtId="41" fontId="19" fillId="0" borderId="0" xfId="0" applyNumberFormat="1" applyFont="1"/>
    <xf numFmtId="41" fontId="19" fillId="0" borderId="25" xfId="0" applyNumberFormat="1" applyFont="1" applyBorder="1"/>
    <xf numFmtId="0" fontId="5" fillId="8" borderId="4" xfId="0" applyFont="1" applyFill="1" applyBorder="1" applyAlignment="1">
      <alignment horizontal="centerContinuous"/>
    </xf>
    <xf numFmtId="0" fontId="0" fillId="8" borderId="0" xfId="0" applyFill="1"/>
    <xf numFmtId="179" fontId="0" fillId="8" borderId="0" xfId="0" applyNumberFormat="1" applyFill="1"/>
    <xf numFmtId="0" fontId="0" fillId="8" borderId="3" xfId="0" applyFill="1" applyBorder="1"/>
    <xf numFmtId="0" fontId="5" fillId="8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167" fontId="0" fillId="0" borderId="27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29" xfId="0" applyNumberFormat="1" applyBorder="1" applyAlignment="1">
      <alignment horizontal="right" indent="1"/>
    </xf>
    <xf numFmtId="41" fontId="0" fillId="5" borderId="27" xfId="0" applyNumberFormat="1" applyFill="1" applyBorder="1" applyAlignment="1">
      <alignment horizontal="center"/>
    </xf>
    <xf numFmtId="41" fontId="0" fillId="5" borderId="8" xfId="0" applyNumberFormat="1" applyFill="1" applyBorder="1" applyAlignment="1">
      <alignment horizontal="center"/>
    </xf>
    <xf numFmtId="41" fontId="0" fillId="0" borderId="29" xfId="0" applyNumberFormat="1" applyBorder="1"/>
    <xf numFmtId="41" fontId="0" fillId="0" borderId="27" xfId="0" applyNumberForma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30" xfId="0" applyNumberFormat="1" applyBorder="1" applyAlignment="1">
      <alignment horizontal="center"/>
    </xf>
    <xf numFmtId="41" fontId="0" fillId="0" borderId="31" xfId="0" applyNumberFormat="1" applyBorder="1" applyAlignment="1">
      <alignment horizontal="center"/>
    </xf>
    <xf numFmtId="41" fontId="0" fillId="0" borderId="32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33" xfId="0" applyNumberFormat="1" applyBorder="1"/>
    <xf numFmtId="193" fontId="0" fillId="0" borderId="0" xfId="0" applyNumberFormat="1"/>
    <xf numFmtId="194" fontId="0" fillId="0" borderId="0" xfId="0" applyNumberFormat="1"/>
    <xf numFmtId="41" fontId="0" fillId="0" borderId="42" xfId="0" applyNumberFormat="1" applyBorder="1" applyAlignment="1">
      <alignment horizontal="center"/>
    </xf>
    <xf numFmtId="10" fontId="3" fillId="0" borderId="0" xfId="9" applyNumberFormat="1" applyFont="1" applyAlignment="1">
      <alignment horizontal="left"/>
    </xf>
    <xf numFmtId="10" fontId="3" fillId="0" borderId="0" xfId="9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11" fillId="6" borderId="14" xfId="0" applyFont="1" applyFill="1" applyBorder="1" applyAlignment="1">
      <alignment horizontal="center"/>
    </xf>
    <xf numFmtId="0" fontId="28" fillId="0" borderId="0" xfId="16" applyFont="1"/>
    <xf numFmtId="0" fontId="28" fillId="0" borderId="0" xfId="20" applyFont="1" applyAlignment="1">
      <alignment horizontal="left" vertical="center"/>
    </xf>
    <xf numFmtId="184" fontId="28" fillId="0" borderId="0" xfId="20" applyNumberFormat="1" applyFont="1" applyAlignment="1">
      <alignment horizontal="center" vertical="center" wrapText="1"/>
    </xf>
    <xf numFmtId="180" fontId="28" fillId="0" borderId="0" xfId="20" applyNumberFormat="1" applyFont="1" applyAlignment="1">
      <alignment horizontal="center" vertical="center" wrapText="1"/>
    </xf>
    <xf numFmtId="3" fontId="19" fillId="0" borderId="8" xfId="20" applyNumberFormat="1" applyFont="1" applyBorder="1" applyAlignment="1">
      <alignment horizontal="center" vertical="center"/>
    </xf>
    <xf numFmtId="0" fontId="19" fillId="0" borderId="0" xfId="16" applyFont="1"/>
    <xf numFmtId="0" fontId="48" fillId="0" borderId="0" xfId="16" applyFont="1" applyAlignment="1">
      <alignment horizontal="center" vertical="center" wrapText="1"/>
    </xf>
    <xf numFmtId="0" fontId="28" fillId="0" borderId="0" xfId="20" applyFont="1"/>
    <xf numFmtId="0" fontId="1" fillId="0" borderId="15" xfId="112" applyFont="1" applyBorder="1" applyAlignment="1">
      <alignment horizontal="left" wrapText="1"/>
    </xf>
    <xf numFmtId="0" fontId="1" fillId="0" borderId="16" xfId="112" applyFont="1" applyBorder="1" applyAlignment="1">
      <alignment horizontal="left" wrapText="1"/>
    </xf>
    <xf numFmtId="3" fontId="19" fillId="0" borderId="16" xfId="20" applyNumberFormat="1" applyFont="1" applyBorder="1" applyAlignment="1">
      <alignment horizontal="center" vertical="center"/>
    </xf>
    <xf numFmtId="0" fontId="15" fillId="7" borderId="19" xfId="11" applyFont="1" applyFill="1" applyBorder="1" applyAlignment="1">
      <alignment horizontal="center" vertical="center" wrapText="1"/>
    </xf>
    <xf numFmtId="9" fontId="19" fillId="0" borderId="8" xfId="20" applyNumberFormat="1" applyFont="1" applyBorder="1" applyAlignment="1">
      <alignment horizontal="center" vertical="center" wrapText="1"/>
    </xf>
    <xf numFmtId="9" fontId="19" fillId="0" borderId="0" xfId="20" applyNumberFormat="1" applyFont="1" applyAlignment="1">
      <alignment horizontal="center" vertical="center" wrapText="1"/>
    </xf>
    <xf numFmtId="3" fontId="19" fillId="0" borderId="0" xfId="20" applyNumberFormat="1" applyFont="1" applyAlignment="1">
      <alignment horizontal="center" vertical="center"/>
    </xf>
    <xf numFmtId="37" fontId="19" fillId="0" borderId="8" xfId="2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/>
    </xf>
    <xf numFmtId="167" fontId="19" fillId="0" borderId="8" xfId="9" applyNumberFormat="1" applyFont="1" applyBorder="1" applyAlignment="1">
      <alignment horizontal="right" indent="2"/>
    </xf>
    <xf numFmtId="0" fontId="18" fillId="0" borderId="8" xfId="0" applyFont="1" applyBorder="1" applyAlignment="1">
      <alignment horizontal="center"/>
    </xf>
    <xf numFmtId="3" fontId="18" fillId="0" borderId="8" xfId="0" applyNumberFormat="1" applyFont="1" applyBorder="1" applyAlignment="1">
      <alignment horizontal="right" vertical="center" wrapText="1" indent="1"/>
    </xf>
    <xf numFmtId="167" fontId="18" fillId="0" borderId="8" xfId="9" applyNumberFormat="1" applyFont="1" applyBorder="1" applyAlignment="1">
      <alignment horizontal="right" indent="2"/>
    </xf>
    <xf numFmtId="3" fontId="19" fillId="0" borderId="0" xfId="0" applyNumberFormat="1" applyFont="1" applyAlignment="1">
      <alignment vertical="center"/>
    </xf>
    <xf numFmtId="167" fontId="19" fillId="0" borderId="8" xfId="0" applyNumberFormat="1" applyFont="1" applyBorder="1" applyAlignment="1">
      <alignment vertical="center"/>
    </xf>
    <xf numFmtId="184" fontId="0" fillId="0" borderId="0" xfId="0" applyNumberFormat="1" applyAlignment="1">
      <alignment horizontal="right" indent="1"/>
    </xf>
    <xf numFmtId="200" fontId="0" fillId="0" borderId="0" xfId="0" applyNumberFormat="1" applyAlignment="1">
      <alignment horizontal="right" indent="1"/>
    </xf>
    <xf numFmtId="10" fontId="0" fillId="0" borderId="0" xfId="9" applyNumberFormat="1" applyFont="1"/>
    <xf numFmtId="3" fontId="19" fillId="0" borderId="8" xfId="0" applyNumberFormat="1" applyFont="1" applyBorder="1"/>
    <xf numFmtId="10" fontId="19" fillId="0" borderId="8" xfId="9" applyNumberFormat="1" applyFont="1" applyBorder="1" applyAlignment="1">
      <alignment vertical="center"/>
    </xf>
    <xf numFmtId="10" fontId="3" fillId="0" borderId="0" xfId="9" applyNumberFormat="1" applyFont="1" applyAlignment="1">
      <alignment horizontal="right"/>
    </xf>
    <xf numFmtId="173" fontId="0" fillId="0" borderId="0" xfId="0" applyNumberFormat="1"/>
    <xf numFmtId="0" fontId="15" fillId="7" borderId="10" xfId="11" applyFont="1" applyFill="1" applyBorder="1" applyAlignment="1">
      <alignment vertical="center"/>
    </xf>
    <xf numFmtId="0" fontId="16" fillId="0" borderId="0" xfId="0" applyFont="1"/>
    <xf numFmtId="3" fontId="16" fillId="0" borderId="0" xfId="0" applyNumberFormat="1" applyFont="1"/>
    <xf numFmtId="3" fontId="0" fillId="0" borderId="0" xfId="0" applyNumberFormat="1" applyAlignment="1">
      <alignment horizontal="right"/>
    </xf>
    <xf numFmtId="3" fontId="25" fillId="0" borderId="0" xfId="0" applyNumberFormat="1" applyFont="1"/>
    <xf numFmtId="5" fontId="3" fillId="0" borderId="0" xfId="0" applyNumberFormat="1" applyFont="1"/>
    <xf numFmtId="3" fontId="19" fillId="0" borderId="44" xfId="0" applyNumberFormat="1" applyFont="1" applyBorder="1" applyAlignment="1">
      <alignment horizontal="right" indent="1"/>
    </xf>
    <xf numFmtId="3" fontId="19" fillId="0" borderId="45" xfId="0" applyNumberFormat="1" applyFont="1" applyBorder="1" applyAlignment="1">
      <alignment horizontal="right" indent="1"/>
    </xf>
    <xf numFmtId="3" fontId="16" fillId="0" borderId="18" xfId="0" applyNumberFormat="1" applyFont="1" applyBorder="1" applyAlignment="1">
      <alignment horizontal="right" indent="1"/>
    </xf>
    <xf numFmtId="10" fontId="16" fillId="0" borderId="8" xfId="9" applyNumberFormat="1" applyFont="1" applyBorder="1" applyAlignment="1">
      <alignment horizontal="right" indent="1"/>
    </xf>
    <xf numFmtId="0" fontId="19" fillId="0" borderId="0" xfId="0" applyFont="1" applyAlignment="1">
      <alignment horizontal="left" vertical="center" indent="1"/>
    </xf>
    <xf numFmtId="164" fontId="19" fillId="0" borderId="10" xfId="0" applyNumberFormat="1" applyFont="1" applyBorder="1" applyAlignment="1">
      <alignment horizontal="center" vertical="center" wrapText="1"/>
    </xf>
    <xf numFmtId="164" fontId="19" fillId="0" borderId="11" xfId="0" applyNumberFormat="1" applyFont="1" applyBorder="1" applyAlignment="1">
      <alignment horizontal="center" vertical="center" wrapText="1"/>
    </xf>
    <xf numFmtId="164" fontId="19" fillId="0" borderId="12" xfId="0" applyNumberFormat="1" applyFont="1" applyBorder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86" fontId="1" fillId="0" borderId="0" xfId="0" applyNumberFormat="1" applyFont="1" applyAlignment="1">
      <alignment horizontal="center"/>
    </xf>
    <xf numFmtId="187" fontId="1" fillId="0" borderId="0" xfId="0" applyNumberFormat="1" applyFont="1" applyAlignment="1">
      <alignment horizontal="center"/>
    </xf>
    <xf numFmtId="201" fontId="0" fillId="0" borderId="0" xfId="0" applyNumberFormat="1"/>
    <xf numFmtId="10" fontId="16" fillId="0" borderId="0" xfId="9" applyNumberFormat="1" applyFont="1"/>
    <xf numFmtId="0" fontId="15" fillId="7" borderId="0" xfId="11" applyFont="1" applyFill="1" applyBorder="1" applyAlignment="1">
      <alignment horizontal="center" vertical="center" wrapText="1"/>
    </xf>
    <xf numFmtId="3" fontId="15" fillId="7" borderId="0" xfId="11" applyNumberFormat="1" applyFont="1" applyFill="1" applyBorder="1" applyAlignment="1">
      <alignment horizontal="center" vertical="center" wrapText="1"/>
    </xf>
    <xf numFmtId="3" fontId="19" fillId="8" borderId="0" xfId="0" applyNumberFormat="1" applyFont="1" applyFill="1" applyBorder="1" applyAlignment="1">
      <alignment horizontal="right" indent="1"/>
    </xf>
    <xf numFmtId="10" fontId="16" fillId="8" borderId="0" xfId="9" applyNumberFormat="1" applyFont="1" applyFill="1" applyBorder="1" applyAlignment="1">
      <alignment horizontal="right" indent="1"/>
    </xf>
    <xf numFmtId="10" fontId="19" fillId="8" borderId="0" xfId="9" applyNumberFormat="1" applyFont="1" applyFill="1" applyBorder="1" applyAlignment="1">
      <alignment horizontal="right" indent="1"/>
    </xf>
    <xf numFmtId="3" fontId="16" fillId="8" borderId="0" xfId="0" applyNumberFormat="1" applyFont="1" applyFill="1" applyBorder="1" applyAlignment="1">
      <alignment horizontal="right" indent="1"/>
    </xf>
    <xf numFmtId="3" fontId="19" fillId="8" borderId="0" xfId="0" applyNumberFormat="1" applyFont="1" applyFill="1" applyBorder="1" applyAlignment="1">
      <alignment horizontal="right"/>
    </xf>
    <xf numFmtId="0" fontId="11" fillId="0" borderId="8" xfId="0" applyFont="1" applyBorder="1" applyAlignment="1">
      <alignment horizontal="left"/>
    </xf>
    <xf numFmtId="0" fontId="0" fillId="0" borderId="27" xfId="0" applyBorder="1" applyAlignment="1">
      <alignment horizontal="center"/>
    </xf>
    <xf numFmtId="0" fontId="3" fillId="0" borderId="0" xfId="0" applyFont="1" applyAlignment="1">
      <alignment horizontal="left"/>
    </xf>
    <xf numFmtId="37" fontId="19" fillId="8" borderId="0" xfId="0" applyNumberFormat="1" applyFont="1" applyFill="1" applyBorder="1" applyAlignment="1">
      <alignment horizontal="right" indent="1"/>
    </xf>
    <xf numFmtId="181" fontId="19" fillId="8" borderId="0" xfId="9" applyNumberFormat="1" applyFont="1" applyFill="1" applyBorder="1" applyAlignment="1">
      <alignment horizontal="right" indent="1"/>
    </xf>
    <xf numFmtId="202" fontId="19" fillId="8" borderId="0" xfId="9" applyNumberFormat="1" applyFont="1" applyFill="1" applyBorder="1" applyAlignment="1">
      <alignment horizontal="right" indent="1"/>
    </xf>
    <xf numFmtId="202" fontId="16" fillId="8" borderId="0" xfId="9" applyNumberFormat="1" applyFont="1" applyFill="1" applyBorder="1" applyAlignment="1">
      <alignment horizontal="right" indent="1"/>
    </xf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Continuous"/>
    </xf>
    <xf numFmtId="168" fontId="3" fillId="0" borderId="5" xfId="0" applyNumberFormat="1" applyFont="1" applyBorder="1" applyAlignment="1"/>
    <xf numFmtId="168" fontId="3" fillId="0" borderId="6" xfId="0" applyNumberFormat="1" applyFont="1" applyBorder="1" applyAlignment="1"/>
    <xf numFmtId="168" fontId="3" fillId="0" borderId="7" xfId="0" applyNumberFormat="1" applyFont="1" applyBorder="1" applyAlignment="1"/>
    <xf numFmtId="10" fontId="3" fillId="0" borderId="5" xfId="9" applyNumberFormat="1" applyFont="1" applyBorder="1" applyAlignment="1"/>
    <xf numFmtId="10" fontId="3" fillId="0" borderId="6" xfId="9" applyNumberFormat="1" applyFont="1" applyBorder="1" applyAlignment="1"/>
    <xf numFmtId="10" fontId="3" fillId="0" borderId="7" xfId="9" applyNumberFormat="1" applyFont="1" applyBorder="1" applyAlignment="1"/>
    <xf numFmtId="3" fontId="3" fillId="0" borderId="5" xfId="0" applyNumberFormat="1" applyFont="1" applyBorder="1" applyAlignment="1"/>
    <xf numFmtId="3" fontId="3" fillId="0" borderId="6" xfId="0" applyNumberFormat="1" applyFont="1" applyBorder="1" applyAlignment="1"/>
    <xf numFmtId="3" fontId="3" fillId="0" borderId="7" xfId="0" applyNumberFormat="1" applyFont="1" applyBorder="1" applyAlignment="1"/>
    <xf numFmtId="3" fontId="0" fillId="0" borderId="0" xfId="0" applyNumberFormat="1" applyFill="1" applyAlignment="1">
      <alignment horizontal="center"/>
    </xf>
    <xf numFmtId="3" fontId="3" fillId="0" borderId="0" xfId="0" applyNumberFormat="1" applyFont="1" applyFill="1" applyAlignment="1">
      <alignment horizontal="center" vertical="center" wrapText="1"/>
    </xf>
    <xf numFmtId="170" fontId="0" fillId="0" borderId="0" xfId="0" applyNumberFormat="1" applyFill="1" applyAlignment="1">
      <alignment horizontal="center"/>
    </xf>
    <xf numFmtId="3" fontId="11" fillId="0" borderId="0" xfId="0" applyNumberFormat="1" applyFon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68" fontId="3" fillId="0" borderId="0" xfId="0" applyNumberFormat="1" applyFont="1" applyFill="1" applyBorder="1" applyAlignment="1"/>
    <xf numFmtId="10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right" indent="1"/>
    </xf>
    <xf numFmtId="10" fontId="3" fillId="0" borderId="0" xfId="9" applyNumberFormat="1" applyFont="1" applyFill="1" applyBorder="1" applyAlignment="1"/>
    <xf numFmtId="10" fontId="3" fillId="0" borderId="0" xfId="9" applyNumberFormat="1" applyFont="1" applyFill="1" applyAlignment="1">
      <alignment horizontal="left"/>
    </xf>
    <xf numFmtId="184" fontId="0" fillId="0" borderId="0" xfId="0" applyNumberFormat="1" applyFill="1" applyAlignment="1">
      <alignment horizontal="right" indent="1"/>
    </xf>
    <xf numFmtId="200" fontId="0" fillId="0" borderId="0" xfId="0" applyNumberFormat="1" applyFill="1" applyAlignment="1">
      <alignment horizontal="right" indent="1"/>
    </xf>
    <xf numFmtId="3" fontId="0" fillId="0" borderId="0" xfId="0" applyNumberFormat="1" applyAlignment="1">
      <alignment horizontal="center" vertical="center"/>
    </xf>
    <xf numFmtId="43" fontId="0" fillId="0" borderId="0" xfId="10" applyFont="1"/>
    <xf numFmtId="168" fontId="0" fillId="0" borderId="0" xfId="0" applyNumberForma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168" fontId="0" fillId="0" borderId="0" xfId="0" applyNumberFormat="1" applyFill="1" applyBorder="1" applyAlignment="1">
      <alignment horizontal="right" indent="1"/>
    </xf>
    <xf numFmtId="3" fontId="0" fillId="0" borderId="0" xfId="0" applyNumberFormat="1" applyFill="1" applyBorder="1" applyAlignment="1">
      <alignment horizontal="center"/>
    </xf>
    <xf numFmtId="168" fontId="23" fillId="0" borderId="0" xfId="0" applyNumberFormat="1" applyFont="1" applyAlignment="1">
      <alignment horizontal="right" indent="1"/>
    </xf>
    <xf numFmtId="3" fontId="11" fillId="0" borderId="0" xfId="0" applyNumberFormat="1" applyFont="1" applyAlignment="1"/>
    <xf numFmtId="0" fontId="25" fillId="7" borderId="21" xfId="0" applyFont="1" applyFill="1" applyBorder="1" applyAlignment="1">
      <alignment horizontal="center"/>
    </xf>
    <xf numFmtId="0" fontId="25" fillId="7" borderId="20" xfId="0" applyFont="1" applyFill="1" applyBorder="1" applyAlignment="1">
      <alignment horizontal="center"/>
    </xf>
    <xf numFmtId="0" fontId="49" fillId="7" borderId="0" xfId="0" applyFont="1" applyFill="1" applyAlignment="1">
      <alignment vertical="center"/>
    </xf>
    <xf numFmtId="0" fontId="25" fillId="7" borderId="0" xfId="0" applyFont="1" applyFill="1" applyAlignment="1">
      <alignment horizontal="center"/>
    </xf>
    <xf numFmtId="0" fontId="3" fillId="42" borderId="0" xfId="0" applyFont="1" applyFill="1" applyAlignment="1">
      <alignment horizontal="center"/>
    </xf>
    <xf numFmtId="0" fontId="0" fillId="42" borderId="0" xfId="0" applyFill="1"/>
    <xf numFmtId="3" fontId="0" fillId="42" borderId="21" xfId="0" applyNumberFormat="1" applyFill="1" applyBorder="1" applyAlignment="1">
      <alignment horizontal="left" vertical="center" indent="1"/>
    </xf>
    <xf numFmtId="37" fontId="0" fillId="42" borderId="21" xfId="0" applyNumberFormat="1" applyFill="1" applyBorder="1" applyAlignment="1">
      <alignment vertical="center"/>
    </xf>
    <xf numFmtId="174" fontId="0" fillId="42" borderId="20" xfId="0" applyNumberFormat="1" applyFill="1" applyBorder="1" applyAlignment="1">
      <alignment vertical="center"/>
    </xf>
    <xf numFmtId="3" fontId="0" fillId="42" borderId="0" xfId="0" applyNumberFormat="1" applyFill="1" applyAlignment="1">
      <alignment horizontal="left" vertical="center" indent="1"/>
    </xf>
    <xf numFmtId="37" fontId="0" fillId="42" borderId="0" xfId="0" applyNumberFormat="1" applyFill="1" applyAlignment="1">
      <alignment horizontal="center" vertical="center"/>
    </xf>
    <xf numFmtId="9" fontId="3" fillId="42" borderId="0" xfId="101" applyFill="1" applyAlignment="1">
      <alignment horizontal="right" vertical="center" indent="1"/>
    </xf>
    <xf numFmtId="9" fontId="3" fillId="42" borderId="0" xfId="101" applyFill="1" applyAlignment="1">
      <alignment horizontal="center"/>
    </xf>
    <xf numFmtId="41" fontId="0" fillId="42" borderId="0" xfId="0" applyNumberFormat="1" applyFill="1"/>
    <xf numFmtId="175" fontId="3" fillId="42" borderId="20" xfId="21" applyNumberFormat="1" applyFill="1" applyBorder="1" applyAlignment="1">
      <alignment vertical="center"/>
    </xf>
    <xf numFmtId="3" fontId="3" fillId="42" borderId="21" xfId="0" applyNumberFormat="1" applyFont="1" applyFill="1" applyBorder="1" applyAlignment="1">
      <alignment horizontal="left" vertical="center" indent="1"/>
    </xf>
    <xf numFmtId="3" fontId="3" fillId="42" borderId="0" xfId="0" applyNumberFormat="1" applyFont="1" applyFill="1" applyAlignment="1">
      <alignment horizontal="left" vertical="center" indent="1"/>
    </xf>
    <xf numFmtId="0" fontId="11" fillId="42" borderId="19" xfId="0" applyFont="1" applyFill="1" applyBorder="1" applyAlignment="1">
      <alignment horizontal="left" vertical="center" indent="1"/>
    </xf>
    <xf numFmtId="37" fontId="11" fillId="42" borderId="19" xfId="0" applyNumberFormat="1" applyFont="1" applyFill="1" applyBorder="1" applyAlignment="1">
      <alignment vertical="center"/>
    </xf>
    <xf numFmtId="37" fontId="11" fillId="42" borderId="18" xfId="0" applyNumberFormat="1" applyFont="1" applyFill="1" applyBorder="1" applyAlignment="1">
      <alignment vertical="center"/>
    </xf>
    <xf numFmtId="0" fontId="11" fillId="42" borderId="0" xfId="0" applyFont="1" applyFill="1" applyAlignment="1">
      <alignment horizontal="left" vertical="center" indent="1"/>
    </xf>
    <xf numFmtId="37" fontId="11" fillId="42" borderId="0" xfId="0" applyNumberFormat="1" applyFont="1" applyFill="1" applyAlignment="1">
      <alignment horizontal="center" vertical="center"/>
    </xf>
    <xf numFmtId="0" fontId="15" fillId="7" borderId="10" xfId="1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/>
    </xf>
    <xf numFmtId="3" fontId="19" fillId="0" borderId="8" xfId="0" applyNumberFormat="1" applyFont="1" applyBorder="1" applyAlignment="1">
      <alignment horizontal="right" indent="1"/>
    </xf>
    <xf numFmtId="0" fontId="19" fillId="0" borderId="8" xfId="0" applyFont="1" applyBorder="1" applyAlignment="1">
      <alignment horizontal="right" indent="1"/>
    </xf>
    <xf numFmtId="3" fontId="0" fillId="0" borderId="0" xfId="0" applyNumberFormat="1" applyAlignment="1">
      <alignment vertical="center"/>
    </xf>
    <xf numFmtId="0" fontId="11" fillId="0" borderId="0" xfId="0" applyFont="1" applyBorder="1"/>
    <xf numFmtId="5" fontId="11" fillId="0" borderId="0" xfId="0" applyNumberFormat="1" applyFont="1" applyBorder="1"/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9" fillId="0" borderId="10" xfId="0" applyFont="1" applyBorder="1" applyAlignment="1">
      <alignment horizontal="left" vertical="center" indent="1"/>
    </xf>
    <xf numFmtId="0" fontId="19" fillId="0" borderId="8" xfId="0" applyFont="1" applyBorder="1" applyAlignment="1">
      <alignment horizontal="left" vertical="center" indent="1"/>
    </xf>
    <xf numFmtId="0" fontId="15" fillId="7" borderId="10" xfId="11" applyFont="1" applyFill="1" applyBorder="1" applyAlignment="1">
      <alignment horizontal="center" vertical="center"/>
    </xf>
    <xf numFmtId="0" fontId="15" fillId="7" borderId="12" xfId="1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 wrapText="1" indent="1"/>
    </xf>
    <xf numFmtId="3" fontId="19" fillId="0" borderId="8" xfId="0" applyNumberFormat="1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 indent="1"/>
    </xf>
    <xf numFmtId="3" fontId="3" fillId="0" borderId="1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0" borderId="10" xfId="0" applyFont="1" applyBorder="1" applyAlignment="1">
      <alignment horizontal="left" vertical="center" indent="1"/>
    </xf>
    <xf numFmtId="0" fontId="19" fillId="0" borderId="12" xfId="0" applyFont="1" applyBorder="1" applyAlignment="1">
      <alignment horizontal="left" vertical="center" indent="1"/>
    </xf>
    <xf numFmtId="0" fontId="19" fillId="0" borderId="8" xfId="0" applyFont="1" applyBorder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7" borderId="10" xfId="11" applyFont="1" applyFill="1" applyBorder="1" applyAlignment="1">
      <alignment horizontal="center" vertical="center"/>
    </xf>
    <xf numFmtId="0" fontId="15" fillId="7" borderId="12" xfId="1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5" fillId="7" borderId="19" xfId="11" applyFont="1" applyFill="1" applyBorder="1" applyAlignment="1">
      <alignment horizontal="center" vertical="center"/>
    </xf>
    <xf numFmtId="0" fontId="15" fillId="7" borderId="2" xfId="11" applyFont="1" applyFill="1" applyBorder="1" applyAlignment="1">
      <alignment horizontal="center" vertical="center"/>
    </xf>
    <xf numFmtId="0" fontId="15" fillId="7" borderId="18" xfId="11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 indent="1"/>
    </xf>
    <xf numFmtId="3" fontId="19" fillId="0" borderId="8" xfId="0" applyNumberFormat="1" applyFont="1" applyBorder="1" applyAlignment="1">
      <alignment horizontal="left" vertical="center"/>
    </xf>
    <xf numFmtId="0" fontId="15" fillId="7" borderId="8" xfId="1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6" fillId="0" borderId="8" xfId="0" applyFont="1" applyBorder="1" applyAlignment="1">
      <alignment horizontal="left"/>
    </xf>
    <xf numFmtId="0" fontId="19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8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0" xfId="0" applyFont="1" applyBorder="1" applyAlignment="1">
      <alignment horizontal="left" vertical="center" indent="1"/>
    </xf>
    <xf numFmtId="0" fontId="16" fillId="0" borderId="12" xfId="0" applyFont="1" applyBorder="1" applyAlignment="1">
      <alignment horizontal="left" vertical="center" indent="1"/>
    </xf>
    <xf numFmtId="3" fontId="18" fillId="8" borderId="19" xfId="11" applyNumberFormat="1" applyFont="1" applyFill="1" applyBorder="1" applyAlignment="1">
      <alignment horizontal="center" vertical="center"/>
    </xf>
    <xf numFmtId="3" fontId="18" fillId="8" borderId="2" xfId="11" applyNumberFormat="1" applyFont="1" applyFill="1" applyBorder="1" applyAlignment="1">
      <alignment horizontal="center" vertical="center"/>
    </xf>
    <xf numFmtId="3" fontId="18" fillId="8" borderId="18" xfId="11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5" fillId="7" borderId="15" xfId="11" applyFont="1" applyFill="1" applyBorder="1" applyAlignment="1">
      <alignment horizontal="center" vertical="center"/>
    </xf>
    <xf numFmtId="0" fontId="15" fillId="7" borderId="16" xfId="11" applyFont="1" applyFill="1" applyBorder="1" applyAlignment="1">
      <alignment horizontal="center" vertical="center"/>
    </xf>
    <xf numFmtId="0" fontId="15" fillId="7" borderId="17" xfId="1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 indent="1"/>
    </xf>
    <xf numFmtId="0" fontId="15" fillId="7" borderId="14" xfId="11" applyFont="1" applyFill="1" applyBorder="1" applyAlignment="1">
      <alignment horizontal="center" vertical="center"/>
    </xf>
    <xf numFmtId="0" fontId="15" fillId="7" borderId="11" xfId="11" applyFont="1" applyFill="1" applyBorder="1" applyAlignment="1">
      <alignment horizontal="center" vertical="center"/>
    </xf>
    <xf numFmtId="1" fontId="19" fillId="0" borderId="15" xfId="0" applyNumberFormat="1" applyFont="1" applyBorder="1" applyAlignment="1">
      <alignment horizontal="left" vertical="center" indent="1"/>
    </xf>
    <xf numFmtId="1" fontId="19" fillId="0" borderId="16" xfId="0" applyNumberFormat="1" applyFont="1" applyBorder="1" applyAlignment="1">
      <alignment horizontal="left" vertical="center" indent="1"/>
    </xf>
    <xf numFmtId="1" fontId="19" fillId="0" borderId="17" xfId="0" applyNumberFormat="1" applyFont="1" applyBorder="1" applyAlignment="1">
      <alignment horizontal="left" vertical="center" indent="1"/>
    </xf>
    <xf numFmtId="1" fontId="19" fillId="0" borderId="8" xfId="0" applyNumberFormat="1" applyFont="1" applyBorder="1" applyAlignment="1">
      <alignment horizontal="left" vertical="center" indent="1"/>
    </xf>
    <xf numFmtId="3" fontId="3" fillId="0" borderId="10" xfId="0" applyNumberFormat="1" applyFon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18" fillId="0" borderId="8" xfId="11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indent="1"/>
    </xf>
    <xf numFmtId="0" fontId="18" fillId="0" borderId="12" xfId="0" applyFont="1" applyBorder="1" applyAlignment="1">
      <alignment horizontal="left" vertical="center" inden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3" fontId="16" fillId="0" borderId="13" xfId="0" applyNumberFormat="1" applyFont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8" fillId="0" borderId="17" xfId="0" applyFont="1" applyBorder="1" applyAlignment="1">
      <alignment horizontal="left" vertical="center"/>
    </xf>
    <xf numFmtId="0" fontId="49" fillId="7" borderId="0" xfId="0" applyFont="1" applyFill="1" applyAlignment="1">
      <alignment horizontal="center" vertical="center"/>
    </xf>
    <xf numFmtId="0" fontId="49" fillId="7" borderId="10" xfId="0" applyFont="1" applyFill="1" applyBorder="1" applyAlignment="1">
      <alignment horizontal="center" vertical="center"/>
    </xf>
    <xf numFmtId="0" fontId="49" fillId="7" borderId="15" xfId="0" applyFont="1" applyFill="1" applyBorder="1" applyAlignment="1">
      <alignment horizontal="center" vertical="center"/>
    </xf>
    <xf numFmtId="0" fontId="49" fillId="7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1" fillId="0" borderId="2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170" fontId="3" fillId="0" borderId="0" xfId="0" applyNumberFormat="1" applyFont="1" applyAlignment="1">
      <alignment horizontal="center"/>
    </xf>
    <xf numFmtId="0" fontId="3" fillId="0" borderId="0" xfId="87"/>
    <xf numFmtId="0" fontId="50" fillId="0" borderId="0" xfId="87" applyFont="1" applyAlignment="1">
      <alignment horizontal="left" vertical="center"/>
    </xf>
    <xf numFmtId="0" fontId="11" fillId="0" borderId="0" xfId="87" applyFont="1" applyAlignment="1">
      <alignment horizontal="left"/>
    </xf>
    <xf numFmtId="0" fontId="23" fillId="0" borderId="0" xfId="87" applyFont="1" applyAlignment="1">
      <alignment horizontal="right" vertical="top"/>
    </xf>
    <xf numFmtId="0" fontId="51" fillId="0" borderId="0" xfId="87" applyFont="1" applyAlignment="1">
      <alignment horizontal="center" vertical="top"/>
    </xf>
    <xf numFmtId="0" fontId="3" fillId="0" borderId="0" xfId="87" applyAlignment="1">
      <alignment horizontal="left" wrapText="1"/>
    </xf>
    <xf numFmtId="0" fontId="23" fillId="43" borderId="46" xfId="87" applyFont="1" applyFill="1" applyBorder="1" applyAlignment="1" applyProtection="1">
      <alignment horizontal="right" vertical="top"/>
      <protection locked="0"/>
    </xf>
    <xf numFmtId="0" fontId="3" fillId="0" borderId="0" xfId="87" applyAlignment="1">
      <alignment horizontal="center"/>
    </xf>
    <xf numFmtId="0" fontId="23" fillId="43" borderId="0" xfId="87" applyFont="1" applyFill="1" applyAlignment="1" applyProtection="1">
      <alignment horizontal="right" vertical="top"/>
      <protection locked="0"/>
    </xf>
    <xf numFmtId="0" fontId="52" fillId="0" borderId="0" xfId="87" applyFont="1" applyAlignment="1">
      <alignment horizontal="center" vertical="top"/>
    </xf>
    <xf numFmtId="0" fontId="52" fillId="0" borderId="0" xfId="87" applyFont="1" applyAlignment="1">
      <alignment vertical="top"/>
    </xf>
    <xf numFmtId="0" fontId="52" fillId="0" borderId="0" xfId="87" applyFont="1" applyAlignment="1">
      <alignment horizontal="center" vertical="top"/>
    </xf>
    <xf numFmtId="203" fontId="52" fillId="0" borderId="0" xfId="87" applyNumberFormat="1" applyFont="1" applyAlignment="1">
      <alignment horizontal="center" vertical="top"/>
    </xf>
    <xf numFmtId="0" fontId="12" fillId="0" borderId="0" xfId="87" applyFont="1"/>
    <xf numFmtId="0" fontId="53" fillId="0" borderId="0" xfId="87" applyFont="1"/>
    <xf numFmtId="0" fontId="21" fillId="0" borderId="5" xfId="87" applyFont="1" applyBorder="1" applyAlignment="1">
      <alignment horizontal="center"/>
    </xf>
    <xf numFmtId="0" fontId="21" fillId="0" borderId="6" xfId="87" applyFont="1" applyBorder="1" applyAlignment="1">
      <alignment horizontal="center"/>
    </xf>
    <xf numFmtId="0" fontId="21" fillId="0" borderId="7" xfId="87" applyFont="1" applyBorder="1" applyAlignment="1">
      <alignment horizontal="center"/>
    </xf>
    <xf numFmtId="0" fontId="54" fillId="0" borderId="0" xfId="87" applyFont="1"/>
    <xf numFmtId="0" fontId="11" fillId="0" borderId="5" xfId="87" applyFont="1" applyBorder="1" applyAlignment="1">
      <alignment horizontal="center"/>
    </xf>
    <xf numFmtId="0" fontId="11" fillId="0" borderId="6" xfId="87" applyFont="1" applyBorder="1" applyAlignment="1">
      <alignment horizontal="center"/>
    </xf>
    <xf numFmtId="0" fontId="11" fillId="0" borderId="47" xfId="87" applyFont="1" applyBorder="1" applyAlignment="1">
      <alignment horizontal="center" vertical="top"/>
    </xf>
    <xf numFmtId="0" fontId="11" fillId="0" borderId="7" xfId="87" applyFont="1" applyBorder="1" applyAlignment="1">
      <alignment horizontal="center"/>
    </xf>
    <xf numFmtId="0" fontId="3" fillId="0" borderId="0" xfId="87" applyAlignment="1">
      <alignment vertical="center"/>
    </xf>
    <xf numFmtId="0" fontId="55" fillId="0" borderId="48" xfId="87" applyFont="1" applyBorder="1" applyAlignment="1">
      <alignment vertical="center"/>
    </xf>
    <xf numFmtId="0" fontId="55" fillId="44" borderId="0" xfId="87" applyFont="1" applyFill="1" applyAlignment="1">
      <alignment vertical="center"/>
    </xf>
    <xf numFmtId="0" fontId="55" fillId="0" borderId="48" xfId="14" applyNumberFormat="1" applyFont="1" applyBorder="1" applyAlignment="1">
      <alignment horizontal="center" vertical="center"/>
    </xf>
    <xf numFmtId="191" fontId="55" fillId="0" borderId="49" xfId="14" applyFont="1" applyBorder="1" applyAlignment="1">
      <alignment horizontal="center" vertical="center" wrapText="1"/>
    </xf>
    <xf numFmtId="191" fontId="11" fillId="0" borderId="50" xfId="14" applyFont="1" applyBorder="1" applyAlignment="1">
      <alignment horizontal="center" vertical="center" wrapText="1"/>
    </xf>
    <xf numFmtId="0" fontId="11" fillId="0" borderId="51" xfId="87" applyFont="1" applyBorder="1" applyAlignment="1">
      <alignment horizontal="center" vertical="top"/>
    </xf>
    <xf numFmtId="37" fontId="55" fillId="0" borderId="52" xfId="14" applyNumberFormat="1" applyFont="1" applyBorder="1" applyAlignment="1">
      <alignment horizontal="center" vertical="center"/>
    </xf>
    <xf numFmtId="37" fontId="55" fillId="0" borderId="49" xfId="14" applyNumberFormat="1" applyFont="1" applyBorder="1" applyAlignment="1">
      <alignment horizontal="center" vertical="center"/>
    </xf>
    <xf numFmtId="0" fontId="56" fillId="0" borderId="0" xfId="87" applyFont="1"/>
    <xf numFmtId="0" fontId="55" fillId="44" borderId="49" xfId="87" applyFont="1" applyFill="1" applyBorder="1" applyAlignment="1">
      <alignment vertical="center"/>
    </xf>
    <xf numFmtId="0" fontId="55" fillId="44" borderId="53" xfId="87" applyFont="1" applyFill="1" applyBorder="1" applyAlignment="1">
      <alignment vertical="center"/>
    </xf>
    <xf numFmtId="204" fontId="55" fillId="0" borderId="26" xfId="14" applyNumberFormat="1" applyFont="1" applyBorder="1" applyAlignment="1">
      <alignment horizontal="center" vertical="center" wrapText="1"/>
    </xf>
    <xf numFmtId="204" fontId="55" fillId="0" borderId="54" xfId="14" applyNumberFormat="1" applyFont="1" applyBorder="1" applyAlignment="1">
      <alignment horizontal="center" vertical="center" wrapText="1"/>
    </xf>
    <xf numFmtId="204" fontId="55" fillId="0" borderId="26" xfId="14" applyNumberFormat="1" applyFont="1" applyBorder="1" applyAlignment="1">
      <alignment horizontal="center" vertical="center" wrapText="1"/>
    </xf>
    <xf numFmtId="204" fontId="55" fillId="0" borderId="53" xfId="14" applyNumberFormat="1" applyFont="1" applyBorder="1" applyAlignment="1">
      <alignment horizontal="center" vertical="center" wrapText="1"/>
    </xf>
    <xf numFmtId="191" fontId="55" fillId="0" borderId="26" xfId="14" applyFont="1" applyBorder="1" applyAlignment="1">
      <alignment horizontal="center" vertical="center" wrapText="1"/>
    </xf>
    <xf numFmtId="191" fontId="55" fillId="0" borderId="55" xfId="14" applyFont="1" applyBorder="1" applyAlignment="1">
      <alignment horizontal="center" vertical="center" wrapText="1"/>
    </xf>
    <xf numFmtId="191" fontId="55" fillId="0" borderId="54" xfId="14" applyFont="1" applyBorder="1" applyAlignment="1">
      <alignment horizontal="center" vertical="center" wrapText="1"/>
    </xf>
    <xf numFmtId="191" fontId="55" fillId="0" borderId="53" xfId="14" applyFont="1" applyBorder="1" applyAlignment="1">
      <alignment horizontal="center" vertical="center" wrapText="1"/>
    </xf>
    <xf numFmtId="0" fontId="57" fillId="0" borderId="53" xfId="87" applyFont="1" applyBorder="1" applyAlignment="1">
      <alignment vertical="center"/>
    </xf>
    <xf numFmtId="203" fontId="57" fillId="43" borderId="53" xfId="14" applyNumberFormat="1" applyFont="1" applyFill="1" applyBorder="1" applyAlignment="1" applyProtection="1">
      <alignment horizontal="center" vertical="center" wrapText="1"/>
      <protection locked="0"/>
    </xf>
    <xf numFmtId="203" fontId="57" fillId="45" borderId="53" xfId="14" applyNumberFormat="1" applyFont="1" applyFill="1" applyBorder="1" applyAlignment="1" applyProtection="1">
      <alignment horizontal="right" vertical="center"/>
      <protection locked="0"/>
    </xf>
    <xf numFmtId="203" fontId="57" fillId="0" borderId="53" xfId="14" applyNumberFormat="1" applyFont="1" applyBorder="1" applyAlignment="1">
      <alignment horizontal="right" vertical="center"/>
    </xf>
    <xf numFmtId="203" fontId="3" fillId="46" borderId="53" xfId="14" applyNumberFormat="1" applyFont="1" applyFill="1" applyBorder="1" applyAlignment="1">
      <alignment horizontal="right" vertical="center"/>
    </xf>
    <xf numFmtId="37" fontId="57" fillId="0" borderId="53" xfId="14" applyNumberFormat="1" applyFont="1" applyBorder="1" applyAlignment="1">
      <alignment horizontal="right" vertical="center"/>
    </xf>
    <xf numFmtId="10" fontId="58" fillId="0" borderId="53" xfId="15" applyNumberFormat="1" applyFont="1" applyBorder="1" applyAlignment="1">
      <alignment horizontal="right"/>
    </xf>
    <xf numFmtId="203" fontId="56" fillId="0" borderId="0" xfId="87" applyNumberFormat="1" applyFont="1"/>
    <xf numFmtId="0" fontId="55" fillId="0" borderId="53" xfId="87" applyFont="1" applyBorder="1" applyAlignment="1">
      <alignment horizontal="left" vertical="center" indent="1"/>
    </xf>
    <xf numFmtId="0" fontId="55" fillId="0" borderId="53" xfId="87" applyFont="1" applyBorder="1" applyAlignment="1">
      <alignment vertical="center"/>
    </xf>
    <xf numFmtId="203" fontId="55" fillId="0" borderId="53" xfId="14" applyNumberFormat="1" applyFont="1" applyBorder="1" applyAlignment="1">
      <alignment horizontal="center" vertical="center" wrapText="1"/>
    </xf>
    <xf numFmtId="37" fontId="55" fillId="0" borderId="53" xfId="14" applyNumberFormat="1" applyFont="1" applyBorder="1" applyAlignment="1">
      <alignment horizontal="right" vertical="center"/>
    </xf>
    <xf numFmtId="37" fontId="11" fillId="8" borderId="53" xfId="14" applyNumberFormat="1" applyFont="1" applyFill="1" applyBorder="1" applyAlignment="1">
      <alignment horizontal="right" vertical="center"/>
    </xf>
    <xf numFmtId="37" fontId="55" fillId="0" borderId="53" xfId="14" applyNumberFormat="1" applyFont="1" applyBorder="1" applyAlignment="1">
      <alignment horizontal="center" vertical="center"/>
    </xf>
    <xf numFmtId="10" fontId="56" fillId="0" borderId="0" xfId="87" applyNumberFormat="1" applyFont="1"/>
    <xf numFmtId="0" fontId="58" fillId="0" borderId="53" xfId="87" applyFont="1" applyBorder="1" applyAlignment="1">
      <alignment horizontal="left" indent="1"/>
    </xf>
    <xf numFmtId="0" fontId="58" fillId="0" borderId="53" xfId="87" applyFont="1" applyBorder="1"/>
    <xf numFmtId="10" fontId="58" fillId="0" borderId="53" xfId="15" applyNumberFormat="1" applyFont="1" applyBorder="1" applyAlignment="1">
      <alignment horizontal="right"/>
    </xf>
    <xf numFmtId="10" fontId="58" fillId="0" borderId="26" xfId="15" applyNumberFormat="1" applyFont="1" applyBorder="1" applyAlignment="1">
      <alignment horizontal="right"/>
    </xf>
    <xf numFmtId="10" fontId="5" fillId="0" borderId="8" xfId="87" applyNumberFormat="1" applyFont="1" applyBorder="1"/>
    <xf numFmtId="0" fontId="56" fillId="0" borderId="3" xfId="87" applyFont="1" applyBorder="1"/>
    <xf numFmtId="0" fontId="58" fillId="0" borderId="3" xfId="87" applyFont="1" applyBorder="1" applyAlignment="1">
      <alignment horizontal="left" indent="1"/>
    </xf>
    <xf numFmtId="0" fontId="58" fillId="0" borderId="3" xfId="87" applyFont="1" applyBorder="1"/>
    <xf numFmtId="10" fontId="58" fillId="0" borderId="3" xfId="15" applyNumberFormat="1" applyFont="1" applyBorder="1" applyAlignment="1">
      <alignment horizontal="right"/>
    </xf>
    <xf numFmtId="10" fontId="59" fillId="0" borderId="3" xfId="87" applyNumberFormat="1" applyFont="1" applyBorder="1"/>
    <xf numFmtId="0" fontId="58" fillId="0" borderId="0" xfId="87" applyFont="1" applyAlignment="1">
      <alignment horizontal="left" indent="1"/>
    </xf>
    <xf numFmtId="0" fontId="58" fillId="0" borderId="0" xfId="87" applyFont="1"/>
    <xf numFmtId="10" fontId="58" fillId="0" borderId="0" xfId="15" applyNumberFormat="1" applyFont="1" applyAlignment="1">
      <alignment horizontal="right"/>
    </xf>
    <xf numFmtId="10" fontId="59" fillId="0" borderId="0" xfId="87" applyNumberFormat="1" applyFont="1"/>
    <xf numFmtId="0" fontId="60" fillId="0" borderId="0" xfId="87" applyFont="1"/>
    <xf numFmtId="0" fontId="56" fillId="0" borderId="0" xfId="87" applyFont="1" applyAlignment="1">
      <alignment horizontal="right"/>
    </xf>
    <xf numFmtId="44" fontId="11" fillId="0" borderId="56" xfId="87" applyNumberFormat="1" applyFont="1" applyBorder="1" applyAlignment="1">
      <alignment horizontal="center"/>
    </xf>
    <xf numFmtId="44" fontId="11" fillId="0" borderId="57" xfId="87" applyNumberFormat="1" applyFont="1" applyBorder="1" applyAlignment="1">
      <alignment horizontal="center"/>
    </xf>
    <xf numFmtId="0" fontId="61" fillId="0" borderId="0" xfId="87" applyFont="1" applyAlignment="1">
      <alignment horizontal="center" vertical="top"/>
    </xf>
    <xf numFmtId="0" fontId="61" fillId="0" borderId="58" xfId="87" applyFont="1" applyBorder="1" applyAlignment="1">
      <alignment vertical="center"/>
    </xf>
    <xf numFmtId="0" fontId="57" fillId="0" borderId="5" xfId="87" applyFont="1" applyBorder="1" applyAlignment="1">
      <alignment horizontal="left" vertical="center"/>
    </xf>
    <xf numFmtId="0" fontId="57" fillId="0" borderId="6" xfId="87" applyFont="1" applyBorder="1" applyAlignment="1">
      <alignment horizontal="left" vertical="center"/>
    </xf>
    <xf numFmtId="0" fontId="57" fillId="0" borderId="59" xfId="87" applyFont="1" applyBorder="1" applyAlignment="1">
      <alignment horizontal="left" vertical="center"/>
    </xf>
    <xf numFmtId="0" fontId="56" fillId="8" borderId="21" xfId="87" applyFont="1" applyFill="1" applyBorder="1" applyAlignment="1">
      <alignment horizontal="center" vertical="center"/>
    </xf>
    <xf numFmtId="0" fontId="56" fillId="8" borderId="20" xfId="87" applyFont="1" applyFill="1" applyBorder="1" applyAlignment="1">
      <alignment horizontal="center" vertical="center"/>
    </xf>
    <xf numFmtId="44" fontId="57" fillId="43" borderId="25" xfId="65" applyFont="1" applyFill="1" applyBorder="1" applyAlignment="1" applyProtection="1">
      <alignment horizontal="center" vertical="center"/>
      <protection locked="0"/>
    </xf>
    <xf numFmtId="44" fontId="57" fillId="43" borderId="60" xfId="65" applyFont="1" applyFill="1" applyBorder="1" applyAlignment="1" applyProtection="1">
      <alignment horizontal="center" vertical="center"/>
      <protection locked="0"/>
    </xf>
    <xf numFmtId="44" fontId="56" fillId="0" borderId="0" xfId="65" applyFont="1"/>
    <xf numFmtId="0" fontId="57" fillId="0" borderId="0" xfId="87" applyFont="1"/>
    <xf numFmtId="0" fontId="56" fillId="0" borderId="61" xfId="87" applyFont="1" applyBorder="1"/>
    <xf numFmtId="0" fontId="62" fillId="0" borderId="0" xfId="87" applyFont="1"/>
    <xf numFmtId="44" fontId="11" fillId="0" borderId="5" xfId="65" applyFont="1" applyBorder="1" applyAlignment="1">
      <alignment horizontal="center"/>
    </xf>
    <xf numFmtId="44" fontId="11" fillId="0" borderId="7" xfId="65" applyFont="1" applyBorder="1" applyAlignment="1">
      <alignment horizontal="center"/>
    </xf>
    <xf numFmtId="0" fontId="56" fillId="8" borderId="0" xfId="87" applyFont="1" applyFill="1"/>
    <xf numFmtId="0" fontId="18" fillId="8" borderId="47" xfId="87" applyFont="1" applyFill="1" applyBorder="1" applyAlignment="1">
      <alignment horizontal="center" vertical="top"/>
    </xf>
    <xf numFmtId="0" fontId="18" fillId="0" borderId="14" xfId="87" applyFont="1" applyBorder="1"/>
    <xf numFmtId="0" fontId="18" fillId="8" borderId="51" xfId="87" applyFont="1" applyFill="1" applyBorder="1" applyAlignment="1">
      <alignment horizontal="center" vertical="top"/>
    </xf>
    <xf numFmtId="0" fontId="57" fillId="0" borderId="26" xfId="87" applyFont="1" applyBorder="1"/>
    <xf numFmtId="0" fontId="57" fillId="0" borderId="8" xfId="87" applyFont="1" applyBorder="1" applyAlignment="1">
      <alignment horizontal="left" vertical="center" wrapText="1"/>
    </xf>
    <xf numFmtId="0" fontId="57" fillId="47" borderId="15" xfId="87" applyFont="1" applyFill="1" applyBorder="1" applyAlignment="1">
      <alignment horizontal="center" wrapText="1"/>
    </xf>
    <xf numFmtId="0" fontId="56" fillId="47" borderId="17" xfId="87" applyFont="1" applyFill="1" applyBorder="1"/>
    <xf numFmtId="205" fontId="57" fillId="45" borderId="8" xfId="87" applyNumberFormat="1" applyFont="1" applyFill="1" applyBorder="1" applyProtection="1">
      <protection locked="0"/>
    </xf>
    <xf numFmtId="205" fontId="57" fillId="0" borderId="8" xfId="87" applyNumberFormat="1" applyFont="1" applyBorder="1"/>
    <xf numFmtId="0" fontId="56" fillId="8" borderId="21" xfId="87" applyFont="1" applyFill="1" applyBorder="1"/>
    <xf numFmtId="205" fontId="56" fillId="8" borderId="62" xfId="87" applyNumberFormat="1" applyFont="1" applyFill="1" applyBorder="1" applyAlignment="1">
      <alignment horizontal="center"/>
    </xf>
    <xf numFmtId="0" fontId="57" fillId="0" borderId="0" xfId="87" applyFont="1" applyAlignment="1">
      <alignment horizontal="left" vertical="top"/>
    </xf>
    <xf numFmtId="0" fontId="57" fillId="47" borderId="21" xfId="87" applyFont="1" applyFill="1" applyBorder="1" applyAlignment="1">
      <alignment horizontal="center" wrapText="1"/>
    </xf>
    <xf numFmtId="0" fontId="56" fillId="47" borderId="20" xfId="87" applyFont="1" applyFill="1" applyBorder="1" applyAlignment="1">
      <alignment horizontal="center"/>
    </xf>
    <xf numFmtId="205" fontId="56" fillId="8" borderId="63" xfId="87" applyNumberFormat="1" applyFont="1" applyFill="1" applyBorder="1" applyAlignment="1">
      <alignment horizontal="center"/>
    </xf>
    <xf numFmtId="0" fontId="56" fillId="0" borderId="8" xfId="87" applyFont="1" applyBorder="1" applyAlignment="1">
      <alignment horizontal="left" vertical="center" wrapText="1"/>
    </xf>
    <xf numFmtId="0" fontId="55" fillId="0" borderId="26" xfId="87" applyFont="1" applyBorder="1" applyAlignment="1">
      <alignment horizontal="left" indent="1"/>
    </xf>
    <xf numFmtId="0" fontId="57" fillId="0" borderId="10" xfId="87" applyFont="1" applyBorder="1" applyAlignment="1">
      <alignment horizontal="left" vertical="center" wrapText="1"/>
    </xf>
    <xf numFmtId="0" fontId="57" fillId="0" borderId="11" xfId="87" applyFont="1" applyBorder="1" applyAlignment="1">
      <alignment horizontal="left" vertical="center" wrapText="1"/>
    </xf>
    <xf numFmtId="0" fontId="57" fillId="0" borderId="12" xfId="87" applyFont="1" applyBorder="1" applyAlignment="1">
      <alignment horizontal="left" vertical="center" wrapText="1"/>
    </xf>
    <xf numFmtId="0" fontId="55" fillId="47" borderId="20" xfId="87" applyFont="1" applyFill="1" applyBorder="1" applyAlignment="1">
      <alignment horizontal="center"/>
    </xf>
    <xf numFmtId="205" fontId="55" fillId="0" borderId="8" xfId="87" applyNumberFormat="1" applyFont="1" applyBorder="1"/>
    <xf numFmtId="0" fontId="56" fillId="47" borderId="0" xfId="87" applyFont="1" applyFill="1"/>
    <xf numFmtId="0" fontId="63" fillId="0" borderId="26" xfId="87" applyFont="1" applyBorder="1" applyAlignment="1">
      <alignment horizontal="left" indent="1"/>
    </xf>
    <xf numFmtId="0" fontId="56" fillId="47" borderId="20" xfId="87" applyFont="1" applyFill="1" applyBorder="1"/>
    <xf numFmtId="206" fontId="63" fillId="0" borderId="8" xfId="87" applyNumberFormat="1" applyFont="1" applyBorder="1"/>
    <xf numFmtId="206" fontId="63" fillId="0" borderId="49" xfId="87" applyNumberFormat="1" applyFont="1" applyBorder="1"/>
    <xf numFmtId="0" fontId="57" fillId="0" borderId="10" xfId="87" applyFont="1" applyBorder="1" applyAlignment="1">
      <alignment horizontal="left" vertical="center"/>
    </xf>
    <xf numFmtId="0" fontId="57" fillId="0" borderId="11" xfId="87" applyFont="1" applyBorder="1" applyAlignment="1">
      <alignment horizontal="left" vertical="center"/>
    </xf>
    <xf numFmtId="0" fontId="57" fillId="0" borderId="12" xfId="87" applyFont="1" applyBorder="1" applyAlignment="1">
      <alignment horizontal="left" vertical="center"/>
    </xf>
    <xf numFmtId="0" fontId="57" fillId="47" borderId="19" xfId="87" applyFont="1" applyFill="1" applyBorder="1" applyAlignment="1">
      <alignment horizontal="center" wrapText="1"/>
    </xf>
    <xf numFmtId="10" fontId="57" fillId="0" borderId="8" xfId="87" applyNumberFormat="1" applyFont="1" applyBorder="1"/>
    <xf numFmtId="10" fontId="57" fillId="0" borderId="53" xfId="87" applyNumberFormat="1" applyFont="1" applyBorder="1"/>
    <xf numFmtId="204" fontId="55" fillId="0" borderId="8" xfId="87" applyNumberFormat="1" applyFont="1" applyBorder="1" applyAlignment="1">
      <alignment horizontal="left" vertical="center"/>
    </xf>
    <xf numFmtId="207" fontId="56" fillId="48" borderId="10" xfId="65" applyNumberFormat="1" applyFont="1" applyFill="1" applyBorder="1"/>
    <xf numFmtId="204" fontId="55" fillId="0" borderId="12" xfId="87" applyNumberFormat="1" applyFont="1" applyBorder="1"/>
    <xf numFmtId="204" fontId="55" fillId="0" borderId="8" xfId="87" applyNumberFormat="1" applyFont="1" applyBorder="1"/>
    <xf numFmtId="204" fontId="55" fillId="0" borderId="53" xfId="87" applyNumberFormat="1" applyFont="1" applyBorder="1"/>
    <xf numFmtId="0" fontId="64" fillId="0" borderId="0" xfId="87" applyFont="1"/>
    <xf numFmtId="0" fontId="21" fillId="0" borderId="0" xfId="87" applyFont="1"/>
    <xf numFmtId="1" fontId="55" fillId="49" borderId="64" xfId="87" applyNumberFormat="1" applyFont="1" applyFill="1" applyBorder="1" applyAlignment="1" applyProtection="1">
      <alignment horizontal="center"/>
      <protection locked="0"/>
    </xf>
    <xf numFmtId="1" fontId="55" fillId="49" borderId="65" xfId="87" applyNumberFormat="1" applyFont="1" applyFill="1" applyBorder="1" applyAlignment="1" applyProtection="1">
      <alignment horizontal="center"/>
      <protection locked="0"/>
    </xf>
    <xf numFmtId="0" fontId="55" fillId="0" borderId="53" xfId="87" applyFont="1" applyBorder="1"/>
    <xf numFmtId="0" fontId="3" fillId="0" borderId="53" xfId="87" applyBorder="1" applyAlignment="1">
      <alignment horizontal="center"/>
    </xf>
    <xf numFmtId="0" fontId="55" fillId="0" borderId="53" xfId="87" applyFont="1" applyBorder="1" applyAlignment="1">
      <alignment horizontal="center"/>
    </xf>
    <xf numFmtId="0" fontId="3" fillId="50" borderId="53" xfId="87" applyFill="1" applyBorder="1" applyAlignment="1" applyProtection="1">
      <alignment horizontal="center" vertical="center"/>
      <protection locked="0"/>
    </xf>
    <xf numFmtId="203" fontId="3" fillId="43" borderId="53" xfId="14" applyNumberFormat="1" applyFont="1" applyFill="1" applyBorder="1" applyAlignment="1" applyProtection="1">
      <alignment horizontal="center" vertical="center"/>
      <protection locked="0"/>
    </xf>
    <xf numFmtId="209" fontId="57" fillId="0" borderId="53" xfId="14" applyNumberFormat="1" applyFont="1" applyBorder="1" applyAlignment="1">
      <alignment horizontal="right" vertical="center"/>
    </xf>
    <xf numFmtId="4" fontId="3" fillId="43" borderId="53" xfId="87" applyNumberFormat="1" applyFill="1" applyBorder="1" applyAlignment="1" applyProtection="1">
      <alignment horizontal="center" vertical="center"/>
      <protection locked="0"/>
    </xf>
    <xf numFmtId="210" fontId="3" fillId="0" borderId="53" xfId="87" applyNumberFormat="1" applyBorder="1" applyAlignment="1">
      <alignment horizontal="right" vertical="center"/>
    </xf>
    <xf numFmtId="0" fontId="56" fillId="0" borderId="0" xfId="87" applyFont="1" applyAlignment="1">
      <alignment vertical="center"/>
    </xf>
    <xf numFmtId="203" fontId="3" fillId="50" borderId="53" xfId="87" applyNumberFormat="1" applyFill="1" applyBorder="1" applyAlignment="1" applyProtection="1">
      <alignment horizontal="center" vertical="center"/>
      <protection locked="0"/>
    </xf>
    <xf numFmtId="0" fontId="21" fillId="0" borderId="0" xfId="87" applyFont="1" applyAlignment="1">
      <alignment vertical="center"/>
    </xf>
    <xf numFmtId="1" fontId="55" fillId="49" borderId="8" xfId="87" applyNumberFormat="1" applyFont="1" applyFill="1" applyBorder="1" applyAlignment="1" applyProtection="1">
      <alignment horizontal="center" vertical="center"/>
      <protection locked="0"/>
    </xf>
    <xf numFmtId="0" fontId="55" fillId="0" borderId="53" xfId="87" applyFont="1" applyBorder="1" applyAlignment="1">
      <alignment horizontal="center" vertical="center"/>
    </xf>
    <xf numFmtId="0" fontId="55" fillId="0" borderId="26" xfId="87" applyFont="1" applyBorder="1" applyAlignment="1">
      <alignment horizontal="center" vertical="center"/>
    </xf>
    <xf numFmtId="0" fontId="55" fillId="0" borderId="8" xfId="87" applyFont="1" applyBorder="1" applyAlignment="1">
      <alignment horizontal="center" vertical="center"/>
    </xf>
    <xf numFmtId="0" fontId="55" fillId="0" borderId="0" xfId="87" applyFont="1" applyAlignment="1">
      <alignment vertical="center"/>
    </xf>
    <xf numFmtId="0" fontId="3" fillId="0" borderId="53" xfId="87" applyBorder="1" applyAlignment="1">
      <alignment vertical="center"/>
    </xf>
    <xf numFmtId="0" fontId="3" fillId="0" borderId="53" xfId="87" applyBorder="1" applyAlignment="1">
      <alignment horizontal="center" vertical="center"/>
    </xf>
    <xf numFmtId="0" fontId="3" fillId="0" borderId="26" xfId="87" applyBorder="1" applyAlignment="1">
      <alignment horizontal="center" vertical="center"/>
    </xf>
    <xf numFmtId="0" fontId="3" fillId="0" borderId="8" xfId="87" applyBorder="1" applyAlignment="1">
      <alignment horizontal="center" vertical="center"/>
    </xf>
    <xf numFmtId="0" fontId="57" fillId="0" borderId="8" xfId="87" applyFont="1" applyBorder="1" applyAlignment="1">
      <alignment horizontal="center" vertical="center"/>
    </xf>
    <xf numFmtId="0" fontId="57" fillId="47" borderId="15" xfId="87" applyFont="1" applyFill="1" applyBorder="1" applyAlignment="1">
      <alignment horizontal="center" vertical="center"/>
    </xf>
    <xf numFmtId="0" fontId="57" fillId="47" borderId="17" xfId="87" applyFont="1" applyFill="1" applyBorder="1" applyAlignment="1">
      <alignment horizontal="center" vertical="center"/>
    </xf>
    <xf numFmtId="0" fontId="3" fillId="50" borderId="26" xfId="87" applyFill="1" applyBorder="1" applyAlignment="1" applyProtection="1">
      <alignment horizontal="center" vertical="center"/>
      <protection locked="0"/>
    </xf>
    <xf numFmtId="37" fontId="3" fillId="43" borderId="8" xfId="87" quotePrefix="1" applyNumberFormat="1" applyFill="1" applyBorder="1" applyAlignment="1" applyProtection="1">
      <alignment horizontal="right" vertical="center"/>
      <protection locked="0"/>
    </xf>
    <xf numFmtId="207" fontId="3" fillId="45" borderId="8" xfId="87" applyNumberFormat="1" applyFill="1" applyBorder="1" applyAlignment="1" applyProtection="1">
      <alignment horizontal="right" vertical="center"/>
      <protection locked="0"/>
    </xf>
    <xf numFmtId="0" fontId="57" fillId="47" borderId="21" xfId="87" applyFont="1" applyFill="1" applyBorder="1" applyAlignment="1">
      <alignment horizontal="center" vertical="center"/>
    </xf>
    <xf numFmtId="0" fontId="57" fillId="47" borderId="20" xfId="87" applyFont="1" applyFill="1" applyBorder="1" applyAlignment="1">
      <alignment horizontal="center" vertical="center"/>
    </xf>
    <xf numFmtId="210" fontId="3" fillId="0" borderId="8" xfId="87" applyNumberFormat="1" applyBorder="1" applyAlignment="1">
      <alignment horizontal="right" vertical="center"/>
    </xf>
    <xf numFmtId="204" fontId="3" fillId="43" borderId="8" xfId="87" applyNumberFormat="1" applyFill="1" applyBorder="1" applyAlignment="1" applyProtection="1">
      <alignment horizontal="right" vertical="center"/>
      <protection locked="0"/>
    </xf>
    <xf numFmtId="207" fontId="3" fillId="0" borderId="8" xfId="87" applyNumberFormat="1" applyBorder="1" applyAlignment="1" applyProtection="1">
      <alignment horizontal="right" vertical="center"/>
      <protection locked="0"/>
    </xf>
    <xf numFmtId="204" fontId="3" fillId="0" borderId="8" xfId="87" applyNumberFormat="1" applyBorder="1" applyAlignment="1">
      <alignment horizontal="right" vertical="center"/>
    </xf>
    <xf numFmtId="49" fontId="3" fillId="50" borderId="53" xfId="87" applyNumberFormat="1" applyFill="1" applyBorder="1" applyAlignment="1" applyProtection="1">
      <alignment horizontal="center" vertical="center"/>
      <protection locked="0"/>
    </xf>
    <xf numFmtId="0" fontId="55" fillId="50" borderId="53" xfId="87" applyFont="1" applyFill="1" applyBorder="1" applyAlignment="1" applyProtection="1">
      <alignment horizontal="center" vertical="center"/>
      <protection locked="0"/>
    </xf>
    <xf numFmtId="0" fontId="55" fillId="50" borderId="26" xfId="87" applyFont="1" applyFill="1" applyBorder="1" applyAlignment="1" applyProtection="1">
      <alignment horizontal="center" vertical="center"/>
      <protection locked="0"/>
    </xf>
    <xf numFmtId="37" fontId="55" fillId="0" borderId="8" xfId="87" applyNumberFormat="1" applyFont="1" applyBorder="1" applyAlignment="1">
      <alignment horizontal="right" vertical="center"/>
    </xf>
    <xf numFmtId="0" fontId="55" fillId="0" borderId="8" xfId="87" applyFont="1" applyBorder="1" applyAlignment="1">
      <alignment horizontal="right" vertical="center"/>
    </xf>
    <xf numFmtId="0" fontId="57" fillId="47" borderId="19" xfId="87" applyFont="1" applyFill="1" applyBorder="1" applyAlignment="1">
      <alignment horizontal="center" vertical="center"/>
    </xf>
    <xf numFmtId="0" fontId="57" fillId="47" borderId="18" xfId="87" applyFont="1" applyFill="1" applyBorder="1" applyAlignment="1">
      <alignment horizontal="center" vertical="center"/>
    </xf>
    <xf numFmtId="210" fontId="55" fillId="0" borderId="8" xfId="87" applyNumberFormat="1" applyFont="1" applyBorder="1" applyAlignment="1">
      <alignment horizontal="right" vertical="center"/>
    </xf>
    <xf numFmtId="204" fontId="55" fillId="0" borderId="8" xfId="87" applyNumberFormat="1" applyFont="1" applyBorder="1" applyAlignment="1">
      <alignment horizontal="right" vertical="center"/>
    </xf>
    <xf numFmtId="0" fontId="3" fillId="0" borderId="0" xfId="87" applyAlignment="1">
      <alignment horizontal="center" vertical="center"/>
    </xf>
    <xf numFmtId="43" fontId="23" fillId="0" borderId="0" xfId="87" applyNumberFormat="1" applyFont="1" applyAlignment="1">
      <alignment horizontal="center" vertical="center"/>
    </xf>
    <xf numFmtId="44" fontId="3" fillId="0" borderId="0" xfId="87" applyNumberFormat="1" applyAlignment="1">
      <alignment vertical="center"/>
    </xf>
    <xf numFmtId="0" fontId="55" fillId="47" borderId="15" xfId="87" applyFont="1" applyFill="1" applyBorder="1" applyAlignment="1">
      <alignment horizontal="center" vertical="center"/>
    </xf>
    <xf numFmtId="0" fontId="55" fillId="47" borderId="17" xfId="87" applyFont="1" applyFill="1" applyBorder="1" applyAlignment="1">
      <alignment horizontal="center" vertical="center"/>
    </xf>
    <xf numFmtId="0" fontId="55" fillId="47" borderId="21" xfId="87" applyFont="1" applyFill="1" applyBorder="1" applyAlignment="1">
      <alignment horizontal="center" vertical="center"/>
    </xf>
    <xf numFmtId="0" fontId="55" fillId="47" borderId="20" xfId="87" applyFont="1" applyFill="1" applyBorder="1" applyAlignment="1">
      <alignment horizontal="center" vertical="center"/>
    </xf>
    <xf numFmtId="37" fontId="3" fillId="0" borderId="8" xfId="87" quotePrefix="1" applyNumberFormat="1" applyBorder="1" applyAlignment="1">
      <alignment horizontal="right" vertical="center"/>
    </xf>
    <xf numFmtId="169" fontId="3" fillId="0" borderId="8" xfId="87" applyNumberFormat="1" applyBorder="1" applyAlignment="1">
      <alignment horizontal="right" vertical="center"/>
    </xf>
    <xf numFmtId="203" fontId="26" fillId="0" borderId="0" xfId="14" applyNumberFormat="1" applyAlignment="1">
      <alignment vertical="center"/>
    </xf>
    <xf numFmtId="49" fontId="3" fillId="0" borderId="53" xfId="87" applyNumberFormat="1" applyBorder="1" applyAlignment="1">
      <alignment horizontal="center" vertical="center"/>
    </xf>
    <xf numFmtId="0" fontId="55" fillId="47" borderId="19" xfId="87" applyFont="1" applyFill="1" applyBorder="1" applyAlignment="1">
      <alignment horizontal="center" vertical="center"/>
    </xf>
    <xf numFmtId="0" fontId="55" fillId="47" borderId="18" xfId="87" applyFont="1" applyFill="1" applyBorder="1" applyAlignment="1">
      <alignment horizontal="center" vertical="center"/>
    </xf>
    <xf numFmtId="210" fontId="3" fillId="0" borderId="0" xfId="87" applyNumberFormat="1"/>
    <xf numFmtId="0" fontId="3" fillId="0" borderId="0" xfId="87" applyAlignment="1">
      <alignment vertical="top"/>
    </xf>
    <xf numFmtId="203" fontId="26" fillId="0" borderId="0" xfId="14" applyNumberFormat="1" applyAlignment="1">
      <alignment vertical="top"/>
    </xf>
    <xf numFmtId="210" fontId="3" fillId="0" borderId="0" xfId="87" applyNumberFormat="1" applyAlignment="1">
      <alignment vertical="top"/>
    </xf>
    <xf numFmtId="43" fontId="3" fillId="0" borderId="0" xfId="87" applyNumberFormat="1"/>
    <xf numFmtId="43" fontId="23" fillId="0" borderId="0" xfId="87" applyNumberFormat="1" applyFont="1"/>
    <xf numFmtId="203" fontId="26" fillId="0" borderId="0" xfId="14" applyNumberFormat="1"/>
    <xf numFmtId="203" fontId="3" fillId="0" borderId="0" xfId="87" applyNumberFormat="1"/>
  </cellXfs>
  <cellStyles count="117">
    <cellStyle name="$" xfId="26" xr:uid="{446987F4-A11F-4A6C-8D60-442807762A76}"/>
    <cellStyle name="$.00" xfId="27" xr:uid="{9F7C54D8-8D1D-4AE8-AE4F-3FEC47FB0BAB}"/>
    <cellStyle name="$_9. Rev2Cost_GDPIPI" xfId="28" xr:uid="{D9A4A4E4-A757-4C61-9110-F1E344B8D7E8}"/>
    <cellStyle name="$_lists" xfId="29" xr:uid="{A8EC6527-2EB9-4097-B8FB-4F4116ACA8A7}"/>
    <cellStyle name="$_lists_4. Current Monthly Fixed Charge" xfId="30" xr:uid="{D029562B-7408-4D90-BE56-16755B8DFABD}"/>
    <cellStyle name="$_Sheet4" xfId="31" xr:uid="{2681E598-F991-43F5-8D07-42A1D5B6EC85}"/>
    <cellStyle name="$M" xfId="32" xr:uid="{D2D11BD7-F55A-4C90-8966-B1714D32D82E}"/>
    <cellStyle name="$M.00" xfId="33" xr:uid="{1FECFA13-9425-459C-83CD-C1C0F8CB2DE6}"/>
    <cellStyle name="$M_9. Rev2Cost_GDPIPI" xfId="34" xr:uid="{CBF87BE4-8367-4DEF-905E-B0616180340D}"/>
    <cellStyle name="20% - Accent1 2" xfId="35" xr:uid="{3A626D29-F1D7-4DAD-9645-979B10599276}"/>
    <cellStyle name="20% - Accent2 2" xfId="36" xr:uid="{6C39D6AB-3E5A-4D5A-850C-DED6B1705D32}"/>
    <cellStyle name="20% - Accent3 2" xfId="37" xr:uid="{483CC02A-D41D-46AD-939A-30C1C610B503}"/>
    <cellStyle name="20% - Accent4 2" xfId="38" xr:uid="{A9495C13-D609-4BC4-9B63-2D51B321B390}"/>
    <cellStyle name="20% - Accent5 2" xfId="39" xr:uid="{CBAD4EF4-C955-4968-9EBA-AA66C8FA2468}"/>
    <cellStyle name="20% - Accent6 2" xfId="40" xr:uid="{55635335-D4CA-4765-A9A2-46443643948C}"/>
    <cellStyle name="40% - Accent1 2" xfId="41" xr:uid="{42AFAA41-E592-4F94-AA95-14D1B70190CE}"/>
    <cellStyle name="40% - Accent2 2" xfId="42" xr:uid="{E5DB354E-9FED-48C6-AC52-A1A7A56F894C}"/>
    <cellStyle name="40% - Accent3 2" xfId="43" xr:uid="{2CB46E68-87D4-4163-86CF-91B310571CD8}"/>
    <cellStyle name="40% - Accent4 2" xfId="44" xr:uid="{BE20F2D6-DF71-40E6-B3A5-5CCE1D3D5223}"/>
    <cellStyle name="40% - Accent5 2" xfId="45" xr:uid="{24E91532-C17D-4964-AE57-98872937A5F2}"/>
    <cellStyle name="40% - Accent6 2" xfId="46" xr:uid="{572252B6-FF2B-4EEC-8033-B45405AA173D}"/>
    <cellStyle name="60% - Accent1 2" xfId="47" xr:uid="{D7A0711E-5BAA-41FF-9EAF-A5FCADFAB68D}"/>
    <cellStyle name="60% - Accent2 2" xfId="48" xr:uid="{F5F4DC44-2AFB-46EE-9310-2D58B9443EEC}"/>
    <cellStyle name="60% - Accent3 2" xfId="49" xr:uid="{038DD03D-F505-429A-ADA7-448FC55B4717}"/>
    <cellStyle name="60% - Accent4 2" xfId="50" xr:uid="{3FF93680-92C9-4706-BD5D-661FBAB7DC5E}"/>
    <cellStyle name="60% - Accent5 2" xfId="51" xr:uid="{9C6C554C-2609-400A-A5CE-DD3B86073897}"/>
    <cellStyle name="60% - Accent6 2" xfId="52" xr:uid="{FF1260B2-7463-4F31-A4C0-2B11068BA022}"/>
    <cellStyle name="Accent1 2" xfId="53" xr:uid="{6C57B626-FBDB-4A37-9A3A-812C3E43DF07}"/>
    <cellStyle name="Accent2 2" xfId="54" xr:uid="{F1CFC127-44FF-4E9D-99ED-98F5F5215E8E}"/>
    <cellStyle name="Accent3 2" xfId="55" xr:uid="{88B05347-43B4-4AA1-B68A-589DC96816D0}"/>
    <cellStyle name="Accent4 2" xfId="56" xr:uid="{E552FE1F-CC2F-4A0C-AFA3-D8999C3AED43}"/>
    <cellStyle name="Accent5 2" xfId="57" xr:uid="{E952DF63-FF27-4D56-8BB9-D56B3E1EE3D9}"/>
    <cellStyle name="Accent6 2" xfId="58" xr:uid="{62DD8D1C-4C37-4A73-9B45-C9C76D95CEC8}"/>
    <cellStyle name="Bad 2" xfId="59" xr:uid="{9E5B8681-9176-402C-AC88-67B492ED718A}"/>
    <cellStyle name="Calculation 2" xfId="60" xr:uid="{3829AFFB-1B4F-4780-84D9-639222237039}"/>
    <cellStyle name="Check Cell 2" xfId="61" xr:uid="{9F154578-97C3-4A2C-BD40-D4FEE515EB9C}"/>
    <cellStyle name="Comma" xfId="10" builtinId="3"/>
    <cellStyle name="Comma 2" xfId="1" xr:uid="{00000000-0005-0000-0000-000001000000}"/>
    <cellStyle name="Comma 2 2" xfId="21" xr:uid="{A849A3F1-8C2D-494E-B2B9-A70D97231744}"/>
    <cellStyle name="Comma 3" xfId="2" xr:uid="{00000000-0005-0000-0000-000002000000}"/>
    <cellStyle name="Comma 3 2" xfId="62" xr:uid="{F8CAEF36-8563-4D06-8AD4-C3BB2ABEDDD5}"/>
    <cellStyle name="Comma 3 2 2" xfId="115" xr:uid="{C3340CDC-C8EF-4F5B-9C60-C616837D90B2}"/>
    <cellStyle name="Comma 3 2 5" xfId="110" xr:uid="{03228175-76C9-482A-8C0D-1277DB8FCCD2}"/>
    <cellStyle name="Comma 3 3" xfId="22" xr:uid="{A8DD721F-9075-4050-BB9A-27F0B2D5BC83}"/>
    <cellStyle name="Comma 4" xfId="25" xr:uid="{07F3B22F-39BF-439C-A235-0B8D06126A7A}"/>
    <cellStyle name="Comma 5" xfId="63" xr:uid="{F5AB1101-D0F8-47B7-A146-DA6AAC6ECC65}"/>
    <cellStyle name="Comma 6" xfId="14" xr:uid="{00000000-0005-0000-0000-000003000000}"/>
    <cellStyle name="Comma 6 2" xfId="64" xr:uid="{2EB08C4F-9F3B-4DED-A79D-0963242F5062}"/>
    <cellStyle name="Comma 7" xfId="17" xr:uid="{EE29C832-2AB6-4035-AC72-CCB1068B3862}"/>
    <cellStyle name="Comma_CDM monthly amounts" xfId="13" xr:uid="{00000000-0005-0000-0000-000004000000}"/>
    <cellStyle name="Comma0" xfId="3" xr:uid="{00000000-0005-0000-0000-000005000000}"/>
    <cellStyle name="Currency 2" xfId="24" xr:uid="{D21619E8-B346-47D9-A5DC-21266D035F43}"/>
    <cellStyle name="Currency 3" xfId="65" xr:uid="{9469A011-5A94-4258-B863-046F90291467}"/>
    <cellStyle name="Currency 4" xfId="66" xr:uid="{48D11FE9-07CF-403A-A494-2D32AFFBEDAA}"/>
    <cellStyle name="Currency 5" xfId="113" xr:uid="{29FAE641-5BC4-4720-AC29-73DCD3187F08}"/>
    <cellStyle name="Currency0" xfId="4" xr:uid="{00000000-0005-0000-0000-000007000000}"/>
    <cellStyle name="Date" xfId="5" xr:uid="{00000000-0005-0000-0000-000008000000}"/>
    <cellStyle name="Explanatory Text 2" xfId="67" xr:uid="{14CCACF1-274F-402E-B920-C2CCD770E345}"/>
    <cellStyle name="Fixed" xfId="6" xr:uid="{00000000-0005-0000-0000-000009000000}"/>
    <cellStyle name="Good 2" xfId="68" xr:uid="{BBC5032E-A8BE-4142-A369-B1C060E165BA}"/>
    <cellStyle name="Grey" xfId="69" xr:uid="{970AC3F1-E075-4AD4-AA24-F3FB54BD403C}"/>
    <cellStyle name="Grey 2" xfId="70" xr:uid="{D5873E41-6D6A-4003-A600-C3E524217883}"/>
    <cellStyle name="Heading 1 2" xfId="71" xr:uid="{BBFE454F-F9A0-4DB7-BBD0-9BE97FF78391}"/>
    <cellStyle name="Heading 2 2" xfId="72" xr:uid="{EE154765-7C3E-4168-BA0C-906DF8E955A4}"/>
    <cellStyle name="Heading 3 2" xfId="73" xr:uid="{65C32629-FAC0-4C2C-832F-22AC80C07745}"/>
    <cellStyle name="Heading 4 2" xfId="74" xr:uid="{EAA62223-4172-431B-BB87-D92B03CDB1B2}"/>
    <cellStyle name="Input [yellow]" xfId="75" xr:uid="{EE2AB439-5227-4776-AE8C-149B9329CF9A}"/>
    <cellStyle name="Input [yellow] 2" xfId="76" xr:uid="{EF69BBCF-26EE-4BBE-BD79-D67B67EFBEE2}"/>
    <cellStyle name="Input 2" xfId="77" xr:uid="{6349541F-5A20-4211-B3ED-579B32967357}"/>
    <cellStyle name="Linked Cell 2" xfId="78" xr:uid="{D3B6AC40-C331-448E-AAF2-03E7CA27295B}"/>
    <cellStyle name="M" xfId="79" xr:uid="{330FB1E5-81E0-4653-8627-8A4CDB424A01}"/>
    <cellStyle name="M.00" xfId="80" xr:uid="{21AB8F3D-3CC8-4704-A8DA-8A033D73BCF3}"/>
    <cellStyle name="M_9. Rev2Cost_GDPIPI" xfId="81" xr:uid="{5D3B21C8-758B-41B6-9669-D729F1CB7BED}"/>
    <cellStyle name="M_lists" xfId="82" xr:uid="{97DF3B53-2512-4C03-BB14-6ADA114BE28D}"/>
    <cellStyle name="M_lists_4. Current Monthly Fixed Charge" xfId="83" xr:uid="{155C8051-CA29-4C66-9928-167EC642895D}"/>
    <cellStyle name="M_Sheet4" xfId="84" xr:uid="{F92E66A6-5552-4C96-83A2-8F7698BA13FE}"/>
    <cellStyle name="Neutral 2" xfId="85" xr:uid="{59D85F8A-39FD-4AD5-80DE-906D24B6241A}"/>
    <cellStyle name="Normal" xfId="0" builtinId="0"/>
    <cellStyle name="Normal - Style1" xfId="86" xr:uid="{E7B87FC3-D786-49EE-966E-03080198D2A9}"/>
    <cellStyle name="Normal 2" xfId="7" xr:uid="{00000000-0005-0000-0000-00000B000000}"/>
    <cellStyle name="Normal 2 2" xfId="87" xr:uid="{9291AE3C-1637-434D-BFD1-BF610731F84D}"/>
    <cellStyle name="Normal 2 3" xfId="20" xr:uid="{AA16B11D-64F6-4FC6-897C-BDE0E014274E}"/>
    <cellStyle name="Normal 3" xfId="23" xr:uid="{3E31600D-6415-46A8-ABF0-135B96641B6E}"/>
    <cellStyle name="Normal 4" xfId="88" xr:uid="{538C7211-0225-44C3-AE0D-8E9F42076F9A}"/>
    <cellStyle name="Normal 5" xfId="89" xr:uid="{2A123B35-2E69-4981-940A-A08117F1AE85}"/>
    <cellStyle name="Normal 5 2" xfId="90" xr:uid="{557B9EB7-C9BE-4E20-BA33-6C8B5C9F29AD}"/>
    <cellStyle name="Normal 5 2 2" xfId="114" xr:uid="{4123E496-DB91-49B4-B1BC-0FEF8C7ACD30}"/>
    <cellStyle name="Normal 5 2 3" xfId="91" xr:uid="{410B496A-0B6A-4882-831F-8FDABB893AD6}"/>
    <cellStyle name="Normal 5 2 3 2" xfId="109" xr:uid="{3BD9B5BE-5BD4-4B8E-824C-8E6D429B301C}"/>
    <cellStyle name="Normal 5 2 3 3" xfId="112" xr:uid="{B1C7A737-9492-4EA4-93AD-C2488561131A}"/>
    <cellStyle name="Normal 6" xfId="92" xr:uid="{18ECF43C-0FE5-4D7C-94B2-70841DCD8CB6}"/>
    <cellStyle name="Normal 7" xfId="93" xr:uid="{69F91230-2268-4C17-A7C2-93A7BE9BD7B6}"/>
    <cellStyle name="Normal 8" xfId="16" xr:uid="{C131ACE3-2F2E-4A98-8288-06EABD4362AA}"/>
    <cellStyle name="Normal_OEB Trial Balance - Regulatory-July24-07" xfId="12" xr:uid="{00000000-0005-0000-0000-00000C000000}"/>
    <cellStyle name="Normal_Sheet2" xfId="11" xr:uid="{00000000-0005-0000-0000-00000D000000}"/>
    <cellStyle name="Note 2" xfId="8" xr:uid="{00000000-0005-0000-0000-00000E000000}"/>
    <cellStyle name="Note 2 2" xfId="94" xr:uid="{85A14EC0-3AEF-4EFA-9C8D-3C1913654E26}"/>
    <cellStyle name="Output 2" xfId="95" xr:uid="{6289FA21-9E23-424A-B4C0-13808E6811DF}"/>
    <cellStyle name="Percent" xfId="9" builtinId="5"/>
    <cellStyle name="Percent [2]" xfId="96" xr:uid="{8C186E86-5D85-4691-AA23-1BC4C02D464D}"/>
    <cellStyle name="Percent 2" xfId="97" xr:uid="{E5194065-E08D-4D84-9C4A-5114E243236F}"/>
    <cellStyle name="Percent 3" xfId="98" xr:uid="{DCAFC23F-3A9F-44BF-99FD-EC466BA6D0AC}"/>
    <cellStyle name="Percent 3 2" xfId="99" xr:uid="{18AA5E7C-EA3D-400C-89D5-B339E459DB65}"/>
    <cellStyle name="Percent 3 2 2" xfId="116" xr:uid="{8F998E5C-5390-464B-9CFA-57C968726D70}"/>
    <cellStyle name="Percent 3 2 3" xfId="111" xr:uid="{D4F20E62-66CD-4968-9A08-6109FBA4D6EF}"/>
    <cellStyle name="Percent 4" xfId="100" xr:uid="{450AFE5A-05D4-4804-A9CB-5B0FF6591548}"/>
    <cellStyle name="Percent 5" xfId="101" xr:uid="{A893C077-8FDA-4E7D-8FF5-5C7A49CEDABB}"/>
    <cellStyle name="Percent 6" xfId="15" xr:uid="{00000000-0005-0000-0000-000010000000}"/>
    <cellStyle name="Percent 7" xfId="18" xr:uid="{8851C5E9-A5C7-4731-80A2-C7B33E10651C}"/>
    <cellStyle name="Style 23" xfId="19" xr:uid="{DA393694-3E83-4687-BF76-088D970BD293}"/>
    <cellStyle name="STYLE1" xfId="102" xr:uid="{0321D48A-397D-47A0-8B64-1AD14E6599B2}"/>
    <cellStyle name="STYLE2" xfId="103" xr:uid="{7C928576-2B7F-496D-BB11-B72F59115B8B}"/>
    <cellStyle name="STYLE4" xfId="104" xr:uid="{F0A7E9B0-C7DE-4C4D-B7E6-F31202241769}"/>
    <cellStyle name="Subtotal" xfId="105" xr:uid="{CBAD3F09-7D6B-46B3-84F3-7C1ED6980FA9}"/>
    <cellStyle name="Title 2" xfId="106" xr:uid="{071A9792-DC9C-4381-A242-C5C1DFDBDE12}"/>
    <cellStyle name="Total 2" xfId="107" xr:uid="{050DE5B3-6540-4236-8200-2630E583D8C9}"/>
    <cellStyle name="Warning Text 2" xfId="108" xr:uid="{8625ED20-BD58-473A-AA5B-0FE3761EAE35}"/>
  </cellStyles>
  <dxfs count="1"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412102</xdr:colOff>
      <xdr:row>35</xdr:row>
      <xdr:rowOff>55886</xdr:rowOff>
    </xdr:from>
    <xdr:to>
      <xdr:col>2</xdr:col>
      <xdr:colOff>414291</xdr:colOff>
      <xdr:row>36</xdr:row>
      <xdr:rowOff>104241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AC32040-4598-4FEE-964E-35697922D196}"/>
            </a:ext>
          </a:extLst>
        </xdr:cNvPr>
        <xdr:cNvCxnSpPr/>
      </xdr:nvCxnSpPr>
      <xdr:spPr bwMode="auto">
        <a:xfrm>
          <a:off x="3533127" y="6399536"/>
          <a:ext cx="2189" cy="21345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452438</xdr:colOff>
      <xdr:row>35</xdr:row>
      <xdr:rowOff>142875</xdr:rowOff>
    </xdr:from>
    <xdr:to>
      <xdr:col>8</xdr:col>
      <xdr:colOff>654843</xdr:colOff>
      <xdr:row>35</xdr:row>
      <xdr:rowOff>142875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1C1AF20-AB85-4616-A058-A7493D5DA7FC}"/>
            </a:ext>
          </a:extLst>
        </xdr:cNvPr>
        <xdr:cNvCxnSpPr/>
      </xdr:nvCxnSpPr>
      <xdr:spPr bwMode="auto">
        <a:xfrm>
          <a:off x="3573463" y="6483350"/>
          <a:ext cx="546655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617075</xdr:colOff>
      <xdr:row>36</xdr:row>
      <xdr:rowOff>113981</xdr:rowOff>
    </xdr:from>
    <xdr:to>
      <xdr:col>8</xdr:col>
      <xdr:colOff>618265</xdr:colOff>
      <xdr:row>44</xdr:row>
      <xdr:rowOff>178914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5EE1AE8-F753-429C-BF52-88A477A2ADE2}"/>
            </a:ext>
          </a:extLst>
        </xdr:cNvPr>
        <xdr:cNvCxnSpPr/>
      </xdr:nvCxnSpPr>
      <xdr:spPr bwMode="auto">
        <a:xfrm>
          <a:off x="9002250" y="6619556"/>
          <a:ext cx="1190" cy="138255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whydro.sharepoint.com/sites/cost-of-service/Shared%20Documents/2019-Filing-Requirements-Chapter2-Appendices-2019043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8\Settlement\Backup\Load%20Forecasting%20Model-Settlement%20(FUL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EB-2019-0049</v>
          </cell>
        </row>
        <row r="24">
          <cell r="E24">
            <v>2020</v>
          </cell>
        </row>
        <row r="28">
          <cell r="E2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H1" t="str">
            <v>EB-2019-0049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"/>
      <sheetName val="Energy"/>
      <sheetName val="Customer"/>
      <sheetName val="ED"/>
      <sheetName val="Load"/>
      <sheetName val="19COP-Z"/>
      <sheetName val="20COP-Z"/>
      <sheetName val="Summary"/>
      <sheetName val="Tables"/>
      <sheetName val="Sheet1"/>
      <sheetName val="Charts"/>
      <sheetName val="Insight"/>
      <sheetName val="App2-IA"/>
      <sheetName val="App2-IB"/>
      <sheetName val="App2-Z"/>
      <sheetName val="App2-R"/>
      <sheetName val="Class A"/>
      <sheetName val="RPP"/>
      <sheetName val="CDM"/>
    </sheetNames>
    <sheetDataSet>
      <sheetData sheetId="0" refreshError="1"/>
      <sheetData sheetId="1">
        <row r="83">
          <cell r="K83">
            <v>209986862.70140001</v>
          </cell>
          <cell r="L83">
            <v>34219938.542199999</v>
          </cell>
        </row>
        <row r="84">
          <cell r="K84">
            <v>211246783.87819999</v>
          </cell>
          <cell r="L84">
            <v>35092546.975000001</v>
          </cell>
        </row>
      </sheetData>
      <sheetData sheetId="2" refreshError="1"/>
      <sheetData sheetId="3" refreshError="1"/>
      <sheetData sheetId="4" refreshError="1"/>
      <sheetData sheetId="5">
        <row r="6">
          <cell r="F6">
            <v>217357401.58219999</v>
          </cell>
        </row>
        <row r="16">
          <cell r="D16">
            <v>679728169.41139996</v>
          </cell>
        </row>
        <row r="17">
          <cell r="D17">
            <v>238008971.87470001</v>
          </cell>
        </row>
        <row r="18">
          <cell r="D18">
            <v>819832821.45949996</v>
          </cell>
        </row>
        <row r="20">
          <cell r="D20">
            <v>7646176.3585000001</v>
          </cell>
        </row>
        <row r="21">
          <cell r="D21">
            <v>4234881.3870000001</v>
          </cell>
        </row>
      </sheetData>
      <sheetData sheetId="6">
        <row r="6">
          <cell r="F6">
            <v>218640421.31389999</v>
          </cell>
        </row>
        <row r="10">
          <cell r="B10">
            <v>19053029.030000001</v>
          </cell>
        </row>
        <row r="16">
          <cell r="D16">
            <v>683896219.51489997</v>
          </cell>
        </row>
        <row r="17">
          <cell r="D17">
            <v>236947426.3003</v>
          </cell>
        </row>
        <row r="18">
          <cell r="D18">
            <v>804342872.05040002</v>
          </cell>
        </row>
        <row r="20">
          <cell r="D20">
            <v>7563243.4494000003</v>
          </cell>
        </row>
        <row r="21">
          <cell r="D21">
            <v>4319662.3794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0">
          <cell r="G30">
            <v>26.756490030558961</v>
          </cell>
          <cell r="H30">
            <v>1.5865300431649378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03"/>
  <sheetViews>
    <sheetView topLeftCell="J139" workbookViewId="0">
      <selection activeCell="N160" sqref="N160"/>
    </sheetView>
  </sheetViews>
  <sheetFormatPr defaultRowHeight="12.5" x14ac:dyDescent="0.25"/>
  <cols>
    <col min="1" max="1" width="9.7265625" style="7" customWidth="1"/>
    <col min="2" max="2" width="14" style="14" bestFit="1" customWidth="1"/>
    <col min="3" max="3" width="11.1796875" style="14" bestFit="1" customWidth="1"/>
    <col min="4" max="5" width="11.1796875" style="14" customWidth="1"/>
    <col min="6" max="6" width="15" style="14" bestFit="1" customWidth="1"/>
    <col min="7" max="7" width="10.54296875" style="14" customWidth="1"/>
    <col min="8" max="8" width="10.54296875" style="17" customWidth="1"/>
    <col min="9" max="9" width="11.7265625" customWidth="1"/>
    <col min="10" max="10" width="12.54296875" style="11" bestFit="1" customWidth="1"/>
    <col min="11" max="11" width="9.1796875" style="11" customWidth="1"/>
    <col min="12" max="12" width="10.7265625" style="11" bestFit="1" customWidth="1"/>
    <col min="13" max="13" width="11.7265625" style="11" customWidth="1"/>
    <col min="14" max="14" width="15" style="11" bestFit="1" customWidth="1"/>
    <col min="15" max="15" width="10.7265625" style="7" customWidth="1"/>
    <col min="16" max="16" width="25.7265625" style="11" customWidth="1"/>
    <col min="17" max="17" width="13.1796875" bestFit="1" customWidth="1"/>
    <col min="18" max="18" width="13.7265625" customWidth="1"/>
    <col min="19" max="19" width="12.54296875" bestFit="1" customWidth="1"/>
    <col min="20" max="20" width="12.453125" customWidth="1"/>
    <col min="21" max="21" width="13.54296875" customWidth="1"/>
    <col min="22" max="24" width="12.54296875" customWidth="1"/>
  </cols>
  <sheetData>
    <row r="1" spans="1:34" ht="37.5" x14ac:dyDescent="0.25">
      <c r="B1" s="12" t="s">
        <v>0</v>
      </c>
      <c r="C1" s="12" t="s">
        <v>1</v>
      </c>
      <c r="D1" s="13" t="s">
        <v>2</v>
      </c>
      <c r="E1" s="13" t="s">
        <v>3</v>
      </c>
      <c r="F1" s="12" t="s">
        <v>4</v>
      </c>
      <c r="G1" s="16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19" t="s">
        <v>13</v>
      </c>
      <c r="P1" t="s">
        <v>14</v>
      </c>
      <c r="Z1" t="s">
        <v>14</v>
      </c>
    </row>
    <row r="2" spans="1:34" ht="13" thickBot="1" x14ac:dyDescent="0.3">
      <c r="A2" s="8">
        <v>39814</v>
      </c>
      <c r="B2" s="20">
        <v>176131307</v>
      </c>
      <c r="C2" s="20">
        <v>2752418.6880000005</v>
      </c>
      <c r="D2" s="20">
        <v>-4618860.0957923001</v>
      </c>
      <c r="E2" s="20">
        <v>-785405.01340000005</v>
      </c>
      <c r="F2" s="20">
        <f>ROUND((SUM(B2:E2)),4)</f>
        <v>173479460.57879999</v>
      </c>
      <c r="G2" s="21">
        <v>891.19999999999993</v>
      </c>
      <c r="H2" s="21">
        <v>0</v>
      </c>
      <c r="I2" s="3">
        <v>31</v>
      </c>
      <c r="J2" s="3">
        <v>0</v>
      </c>
      <c r="K2" s="3">
        <v>336</v>
      </c>
      <c r="L2" s="3">
        <v>2295812.7907332727</v>
      </c>
      <c r="M2" s="1">
        <v>75899</v>
      </c>
      <c r="N2" s="3">
        <f>ROUND(($Q$17+G2*$Q$18+H2*$Q$19+I2*$Q$20+J2*$Q$21+K2*$Q$22+L2*$Q$23+M2*$Q$24),4)</f>
        <v>172949424.79859999</v>
      </c>
      <c r="O2" s="22">
        <f t="shared" ref="O2:O33" si="0">IFERROR((ABS(N2/F2-1)),0)</f>
        <v>3.0553229669471049E-3</v>
      </c>
      <c r="P2"/>
    </row>
    <row r="3" spans="1:34" ht="13" x14ac:dyDescent="0.3">
      <c r="A3" s="8">
        <v>39845</v>
      </c>
      <c r="B3" s="20">
        <v>151717789</v>
      </c>
      <c r="C3" s="20">
        <v>2657941.1345000002</v>
      </c>
      <c r="D3" s="20">
        <v>-4605189.704167909</v>
      </c>
      <c r="E3" s="20">
        <v>-693134.23435000004</v>
      </c>
      <c r="F3" s="20">
        <f t="shared" ref="F3:F66" si="1">ROUND((SUM(B3:E3)),4)</f>
        <v>149077406.19600001</v>
      </c>
      <c r="G3" s="21">
        <v>649.19999999999982</v>
      </c>
      <c r="H3" s="21">
        <v>0</v>
      </c>
      <c r="I3" s="3">
        <v>29</v>
      </c>
      <c r="J3" s="3">
        <v>0</v>
      </c>
      <c r="K3" s="3">
        <v>304</v>
      </c>
      <c r="L3" s="3">
        <v>2361077.3178385869</v>
      </c>
      <c r="M3" s="1">
        <v>75958</v>
      </c>
      <c r="N3" s="3">
        <f t="shared" ref="N3:N66" si="2">ROUND(($Q$17+G3*$Q$18+H3*$Q$19+I3*$Q$20+J3*$Q$21+K3*$Q$22+L3*$Q$23+M3*$Q$24),4)</f>
        <v>153704639.62869999</v>
      </c>
      <c r="O3" s="22">
        <f t="shared" si="0"/>
        <v>3.1039132963021299E-2</v>
      </c>
      <c r="P3" s="271" t="s">
        <v>15</v>
      </c>
      <c r="Q3" s="271"/>
      <c r="R3" s="272"/>
      <c r="S3" s="272"/>
      <c r="T3" s="272"/>
      <c r="U3" s="272"/>
      <c r="V3" s="272"/>
      <c r="W3" s="272"/>
      <c r="X3" s="272"/>
      <c r="Z3" s="367" t="s">
        <v>15</v>
      </c>
      <c r="AA3" s="367"/>
    </row>
    <row r="4" spans="1:34" x14ac:dyDescent="0.25">
      <c r="A4" s="8">
        <v>39873</v>
      </c>
      <c r="B4" s="20">
        <v>156553861</v>
      </c>
      <c r="C4" s="20">
        <v>3106254.229499998</v>
      </c>
      <c r="D4" s="20">
        <v>-4587064.9101760667</v>
      </c>
      <c r="E4" s="20">
        <v>-723686.31819999998</v>
      </c>
      <c r="F4" s="20">
        <f t="shared" si="1"/>
        <v>154349364.0011</v>
      </c>
      <c r="G4" s="21">
        <v>562.49999999999989</v>
      </c>
      <c r="H4" s="21">
        <v>0</v>
      </c>
      <c r="I4" s="3">
        <v>31</v>
      </c>
      <c r="J4" s="3">
        <v>1</v>
      </c>
      <c r="K4" s="3">
        <v>352</v>
      </c>
      <c r="L4" s="3">
        <v>2426341.8449439011</v>
      </c>
      <c r="M4" s="1">
        <v>75998</v>
      </c>
      <c r="N4" s="3">
        <f t="shared" si="2"/>
        <v>155350436.91940001</v>
      </c>
      <c r="O4" s="22">
        <f t="shared" si="0"/>
        <v>6.4857599173060443E-3</v>
      </c>
      <c r="P4" s="272" t="s">
        <v>16</v>
      </c>
      <c r="Q4" s="272">
        <f>+AA4</f>
        <v>0.96053631799945982</v>
      </c>
      <c r="R4" s="272"/>
      <c r="S4" s="272"/>
      <c r="T4" s="272"/>
      <c r="U4" s="272"/>
      <c r="V4" s="272"/>
      <c r="W4" s="272"/>
      <c r="X4" s="272"/>
      <c r="Z4" s="364" t="s">
        <v>16</v>
      </c>
      <c r="AA4" s="364">
        <v>0.96053631799945982</v>
      </c>
    </row>
    <row r="5" spans="1:34" x14ac:dyDescent="0.25">
      <c r="A5" s="8">
        <v>39904</v>
      </c>
      <c r="B5" s="20">
        <v>138889187</v>
      </c>
      <c r="C5" s="20">
        <v>3087874.5715000001</v>
      </c>
      <c r="D5" s="20">
        <v>-4230042.9078881927</v>
      </c>
      <c r="E5" s="20">
        <v>-556702.9828</v>
      </c>
      <c r="F5" s="20">
        <f t="shared" si="1"/>
        <v>137190315.68079999</v>
      </c>
      <c r="G5" s="21">
        <v>342.5</v>
      </c>
      <c r="H5" s="21">
        <v>3.2</v>
      </c>
      <c r="I5" s="3">
        <v>30</v>
      </c>
      <c r="J5" s="3">
        <v>1</v>
      </c>
      <c r="K5" s="3">
        <v>336</v>
      </c>
      <c r="L5" s="3">
        <v>2491606.3720492152</v>
      </c>
      <c r="M5" s="1">
        <v>76028</v>
      </c>
      <c r="N5" s="3">
        <f t="shared" si="2"/>
        <v>142981396.87079999</v>
      </c>
      <c r="O5" s="22">
        <f t="shared" si="0"/>
        <v>4.2212026127806945E-2</v>
      </c>
      <c r="P5" s="272" t="s">
        <v>17</v>
      </c>
      <c r="Q5" s="273">
        <f>+AA5</f>
        <v>0.92263001819595936</v>
      </c>
      <c r="R5" s="272"/>
      <c r="S5" s="272"/>
      <c r="T5" s="272"/>
      <c r="U5" s="272"/>
      <c r="V5" s="272"/>
      <c r="W5" s="272"/>
      <c r="X5" s="272"/>
      <c r="Z5" s="364" t="s">
        <v>17</v>
      </c>
      <c r="AA5" s="364">
        <v>0.92263001819595936</v>
      </c>
    </row>
    <row r="6" spans="1:34" x14ac:dyDescent="0.25">
      <c r="A6" s="8">
        <v>39934</v>
      </c>
      <c r="B6" s="20">
        <v>134434411</v>
      </c>
      <c r="C6" s="20">
        <v>3609398.8567999974</v>
      </c>
      <c r="D6" s="20">
        <v>-4064522.5252163527</v>
      </c>
      <c r="E6" s="20">
        <v>-516499.41210000002</v>
      </c>
      <c r="F6" s="20">
        <f t="shared" si="1"/>
        <v>133462787.91949999</v>
      </c>
      <c r="G6" s="21">
        <v>193.1</v>
      </c>
      <c r="H6" s="21">
        <v>2.2999999999999998</v>
      </c>
      <c r="I6" s="3">
        <v>31</v>
      </c>
      <c r="J6" s="3">
        <v>1</v>
      </c>
      <c r="K6" s="3">
        <v>320</v>
      </c>
      <c r="L6" s="3">
        <v>2556870.8991545294</v>
      </c>
      <c r="M6" s="1">
        <v>76065</v>
      </c>
      <c r="N6" s="3">
        <f t="shared" si="2"/>
        <v>139062937.1311</v>
      </c>
      <c r="O6" s="22">
        <f t="shared" si="0"/>
        <v>4.1960379360408862E-2</v>
      </c>
      <c r="P6" s="272" t="s">
        <v>18</v>
      </c>
      <c r="Q6" s="272">
        <f>+AA6</f>
        <v>0.91779439433320675</v>
      </c>
      <c r="R6" s="272"/>
      <c r="S6" s="272"/>
      <c r="T6" s="272"/>
      <c r="U6" s="272"/>
      <c r="V6" s="272"/>
      <c r="W6" s="272"/>
      <c r="X6" s="272"/>
      <c r="Z6" s="364" t="s">
        <v>18</v>
      </c>
      <c r="AA6" s="364">
        <v>0.91779439433320675</v>
      </c>
    </row>
    <row r="7" spans="1:34" x14ac:dyDescent="0.25">
      <c r="A7" s="8">
        <v>39965</v>
      </c>
      <c r="B7" s="20">
        <v>142548339</v>
      </c>
      <c r="C7" s="20">
        <v>3450522.0456000012</v>
      </c>
      <c r="D7" s="20">
        <v>-4201125.7302297819</v>
      </c>
      <c r="E7" s="20">
        <v>-532049.93720000004</v>
      </c>
      <c r="F7" s="20">
        <f t="shared" si="1"/>
        <v>141265685.37819999</v>
      </c>
      <c r="G7" s="21">
        <v>76.400000000000006</v>
      </c>
      <c r="H7" s="21">
        <v>26.100000000000005</v>
      </c>
      <c r="I7" s="3">
        <v>30</v>
      </c>
      <c r="J7" s="3">
        <v>0</v>
      </c>
      <c r="K7" s="3">
        <v>352</v>
      </c>
      <c r="L7" s="3">
        <v>2622135.4262598436</v>
      </c>
      <c r="M7" s="1">
        <v>76141</v>
      </c>
      <c r="N7" s="3">
        <f t="shared" si="2"/>
        <v>147815094.7256</v>
      </c>
      <c r="O7" s="22">
        <f t="shared" si="0"/>
        <v>4.6362351408027802E-2</v>
      </c>
      <c r="P7" s="272" t="s">
        <v>19</v>
      </c>
      <c r="Q7" s="272">
        <f>+AA7</f>
        <v>3295782.5204323805</v>
      </c>
      <c r="R7" s="272"/>
      <c r="S7" s="272"/>
      <c r="T7" s="272"/>
      <c r="U7" s="272"/>
      <c r="V7" s="272"/>
      <c r="W7" s="272"/>
      <c r="X7" s="272"/>
      <c r="Z7" s="364" t="s">
        <v>19</v>
      </c>
      <c r="AA7" s="364">
        <v>3295782.5204323805</v>
      </c>
    </row>
    <row r="8" spans="1:34" ht="13" thickBot="1" x14ac:dyDescent="0.3">
      <c r="A8" s="8">
        <v>39995</v>
      </c>
      <c r="B8" s="20">
        <v>143270941</v>
      </c>
      <c r="C8" s="20">
        <v>3581700.7952999985</v>
      </c>
      <c r="D8" s="20">
        <v>-4185228.1150900223</v>
      </c>
      <c r="E8" s="20">
        <v>-555944.3726</v>
      </c>
      <c r="F8" s="20">
        <f t="shared" si="1"/>
        <v>142111469.30759999</v>
      </c>
      <c r="G8" s="21">
        <v>38.4</v>
      </c>
      <c r="H8" s="21">
        <v>14.2</v>
      </c>
      <c r="I8" s="3">
        <v>31</v>
      </c>
      <c r="J8" s="3">
        <v>0</v>
      </c>
      <c r="K8" s="3">
        <v>352</v>
      </c>
      <c r="L8" s="3">
        <v>2687399.9533651578</v>
      </c>
      <c r="M8" s="1">
        <v>76250</v>
      </c>
      <c r="N8" s="3">
        <f t="shared" si="2"/>
        <v>145382337.544</v>
      </c>
      <c r="O8" s="22">
        <f t="shared" si="0"/>
        <v>2.3016215737803769E-2</v>
      </c>
      <c r="P8" s="274" t="s">
        <v>20</v>
      </c>
      <c r="Q8" s="274">
        <f>+AA8</f>
        <v>120</v>
      </c>
      <c r="R8" s="272"/>
      <c r="S8" s="272"/>
      <c r="T8" s="272"/>
      <c r="U8" s="272"/>
      <c r="V8" s="272"/>
      <c r="W8" s="272"/>
      <c r="X8" s="272"/>
      <c r="Z8" s="365" t="s">
        <v>20</v>
      </c>
      <c r="AA8" s="365">
        <v>120</v>
      </c>
    </row>
    <row r="9" spans="1:34" x14ac:dyDescent="0.25">
      <c r="A9" s="8">
        <v>40026</v>
      </c>
      <c r="B9" s="20">
        <v>157674451</v>
      </c>
      <c r="C9" s="20">
        <v>3670762.8702999996</v>
      </c>
      <c r="D9" s="20">
        <v>-4413158.5285984278</v>
      </c>
      <c r="E9" s="20">
        <v>-588278.02560000005</v>
      </c>
      <c r="F9" s="20">
        <f t="shared" si="1"/>
        <v>156343777.3161</v>
      </c>
      <c r="G9" s="21">
        <v>35.1</v>
      </c>
      <c r="H9" s="21">
        <v>56.9</v>
      </c>
      <c r="I9" s="3">
        <v>31</v>
      </c>
      <c r="J9" s="3">
        <v>0</v>
      </c>
      <c r="K9" s="3">
        <v>320</v>
      </c>
      <c r="L9" s="3">
        <v>2752664.480470472</v>
      </c>
      <c r="M9" s="1">
        <v>76340</v>
      </c>
      <c r="N9" s="3">
        <f t="shared" si="2"/>
        <v>158916138.06380001</v>
      </c>
      <c r="O9" s="22">
        <f t="shared" si="0"/>
        <v>1.6453233968494629E-2</v>
      </c>
      <c r="P9" s="272"/>
      <c r="Q9" s="272"/>
      <c r="R9" s="272"/>
      <c r="S9" s="272"/>
      <c r="T9" s="272"/>
      <c r="U9" s="272"/>
      <c r="V9" s="272"/>
      <c r="W9" s="272"/>
      <c r="X9" s="272"/>
    </row>
    <row r="10" spans="1:34" ht="13" thickBot="1" x14ac:dyDescent="0.3">
      <c r="A10" s="8">
        <v>40057</v>
      </c>
      <c r="B10" s="20">
        <v>140458615</v>
      </c>
      <c r="C10" s="20">
        <v>3470622.5299999984</v>
      </c>
      <c r="D10" s="20">
        <v>-3392971.3306475678</v>
      </c>
      <c r="E10" s="20">
        <v>-738936.8493</v>
      </c>
      <c r="F10" s="20">
        <f t="shared" si="1"/>
        <v>139797329.35010001</v>
      </c>
      <c r="G10" s="21">
        <v>99.5</v>
      </c>
      <c r="H10" s="21">
        <v>5.4</v>
      </c>
      <c r="I10" s="3">
        <v>30</v>
      </c>
      <c r="J10" s="3">
        <v>1</v>
      </c>
      <c r="K10" s="3">
        <v>336</v>
      </c>
      <c r="L10" s="3">
        <v>2817929.0075757862</v>
      </c>
      <c r="M10" s="1">
        <v>76437</v>
      </c>
      <c r="N10" s="3">
        <f t="shared" si="2"/>
        <v>134016931.3647</v>
      </c>
      <c r="O10" s="22">
        <f t="shared" si="0"/>
        <v>4.1348414968099489E-2</v>
      </c>
      <c r="P10" s="272" t="s">
        <v>21</v>
      </c>
      <c r="Q10" s="272"/>
      <c r="R10" s="272"/>
      <c r="S10" s="272"/>
      <c r="T10" s="272"/>
      <c r="U10" s="272"/>
      <c r="V10" s="272"/>
      <c r="W10" s="272"/>
      <c r="X10" s="272"/>
      <c r="Z10" t="s">
        <v>21</v>
      </c>
    </row>
    <row r="11" spans="1:34" ht="13" x14ac:dyDescent="0.3">
      <c r="A11" s="8">
        <v>40087</v>
      </c>
      <c r="B11" s="20">
        <v>145285176</v>
      </c>
      <c r="C11" s="20">
        <v>3644924.338</v>
      </c>
      <c r="D11" s="20">
        <v>-3132638.5106933252</v>
      </c>
      <c r="E11" s="20">
        <v>-750309.89509999997</v>
      </c>
      <c r="F11" s="20">
        <f t="shared" si="1"/>
        <v>145047151.93220001</v>
      </c>
      <c r="G11" s="21">
        <v>329.6</v>
      </c>
      <c r="H11" s="21">
        <v>0</v>
      </c>
      <c r="I11" s="3">
        <v>31</v>
      </c>
      <c r="J11" s="3">
        <v>1</v>
      </c>
      <c r="K11" s="3">
        <v>336</v>
      </c>
      <c r="L11" s="3">
        <v>2883193.5346811004</v>
      </c>
      <c r="M11" s="1">
        <v>76536</v>
      </c>
      <c r="N11" s="3">
        <f t="shared" si="2"/>
        <v>144728751.9314</v>
      </c>
      <c r="O11" s="22">
        <f t="shared" si="0"/>
        <v>2.1951482435783598E-3</v>
      </c>
      <c r="P11" s="275"/>
      <c r="Q11" s="275" t="s">
        <v>22</v>
      </c>
      <c r="R11" s="275" t="s">
        <v>23</v>
      </c>
      <c r="S11" s="275" t="s">
        <v>24</v>
      </c>
      <c r="T11" s="275" t="s">
        <v>25</v>
      </c>
      <c r="U11" s="275" t="s">
        <v>26</v>
      </c>
      <c r="V11" s="272"/>
      <c r="W11" s="272"/>
      <c r="X11" s="272"/>
      <c r="Z11" s="366"/>
      <c r="AA11" s="366" t="s">
        <v>22</v>
      </c>
      <c r="AB11" s="366" t="s">
        <v>23</v>
      </c>
      <c r="AC11" s="366" t="s">
        <v>24</v>
      </c>
      <c r="AD11" s="366" t="s">
        <v>25</v>
      </c>
      <c r="AE11" s="366" t="s">
        <v>26</v>
      </c>
    </row>
    <row r="12" spans="1:34" x14ac:dyDescent="0.25">
      <c r="A12" s="8">
        <v>40118</v>
      </c>
      <c r="B12" s="20">
        <v>145607812</v>
      </c>
      <c r="C12" s="20">
        <v>3580102.0979999984</v>
      </c>
      <c r="D12" s="20">
        <v>-3160286.5095991245</v>
      </c>
      <c r="E12" s="20">
        <v>-839354.22715000005</v>
      </c>
      <c r="F12" s="20">
        <f t="shared" si="1"/>
        <v>145188273.36129999</v>
      </c>
      <c r="G12" s="21">
        <v>397.2</v>
      </c>
      <c r="H12" s="21">
        <v>0</v>
      </c>
      <c r="I12" s="3">
        <v>30</v>
      </c>
      <c r="J12" s="3">
        <v>1</v>
      </c>
      <c r="K12" s="3">
        <v>336</v>
      </c>
      <c r="L12" s="3">
        <v>2948458.0617864146</v>
      </c>
      <c r="M12" s="1">
        <v>76655</v>
      </c>
      <c r="N12" s="3">
        <f t="shared" si="2"/>
        <v>143808856.58239999</v>
      </c>
      <c r="O12" s="22">
        <f t="shared" si="0"/>
        <v>9.5008828672225043E-3</v>
      </c>
      <c r="P12" s="272" t="s">
        <v>27</v>
      </c>
      <c r="Q12" s="272">
        <f t="shared" ref="Q12:S14" si="3">+AA12</f>
        <v>7</v>
      </c>
      <c r="R12" s="272">
        <f t="shared" si="3"/>
        <v>1.4507420541926016E+16</v>
      </c>
      <c r="S12" s="272">
        <f t="shared" si="3"/>
        <v>2072488648846573.8</v>
      </c>
      <c r="T12" s="272">
        <v>208.99934235620105</v>
      </c>
      <c r="U12" s="272">
        <v>3.2521418557450451E-61</v>
      </c>
      <c r="V12" s="272"/>
      <c r="W12" s="272"/>
      <c r="X12" s="272"/>
      <c r="Z12" s="364" t="s">
        <v>27</v>
      </c>
      <c r="AA12" s="364">
        <v>7</v>
      </c>
      <c r="AB12" s="364">
        <v>1.4507420541926016E+16</v>
      </c>
      <c r="AC12" s="364">
        <v>2072488648846573.8</v>
      </c>
      <c r="AD12" s="364">
        <v>190.79854934597384</v>
      </c>
      <c r="AE12" s="364">
        <v>3.6012979215824282E-59</v>
      </c>
    </row>
    <row r="13" spans="1:34" x14ac:dyDescent="0.25">
      <c r="A13" s="9">
        <v>40148</v>
      </c>
      <c r="B13" s="23">
        <v>166545329</v>
      </c>
      <c r="C13" s="23">
        <v>3573132.4719999991</v>
      </c>
      <c r="D13" s="23">
        <v>-2961657.6968069235</v>
      </c>
      <c r="E13" s="23">
        <v>-944279.12340000004</v>
      </c>
      <c r="F13" s="23">
        <f t="shared" si="1"/>
        <v>166212524.65180001</v>
      </c>
      <c r="G13" s="24">
        <v>669.0999999999998</v>
      </c>
      <c r="H13" s="24">
        <v>0</v>
      </c>
      <c r="I13" s="5">
        <v>31</v>
      </c>
      <c r="J13" s="5">
        <v>0</v>
      </c>
      <c r="K13" s="5">
        <v>352</v>
      </c>
      <c r="L13" s="5">
        <v>3013722.5888917288</v>
      </c>
      <c r="M13" s="10">
        <v>76755</v>
      </c>
      <c r="N13" s="5">
        <f t="shared" si="2"/>
        <v>165076101.3475</v>
      </c>
      <c r="O13" s="25">
        <f t="shared" si="0"/>
        <v>6.8371701030395249E-3</v>
      </c>
      <c r="P13" s="272" t="s">
        <v>28</v>
      </c>
      <c r="Q13" s="272">
        <f t="shared" si="3"/>
        <v>112</v>
      </c>
      <c r="R13" s="272">
        <f t="shared" si="3"/>
        <v>1216564431262613</v>
      </c>
      <c r="S13" s="272">
        <f t="shared" si="3"/>
        <v>10862182421987.615</v>
      </c>
      <c r="T13" s="272"/>
      <c r="U13" s="272"/>
      <c r="V13" s="272"/>
      <c r="W13" s="272"/>
      <c r="X13" s="272"/>
      <c r="Z13" s="364" t="s">
        <v>28</v>
      </c>
      <c r="AA13" s="364">
        <v>112</v>
      </c>
      <c r="AB13" s="364">
        <v>1216564431262613</v>
      </c>
      <c r="AC13" s="364">
        <v>10862182421987.615</v>
      </c>
      <c r="AD13" s="364"/>
      <c r="AE13" s="364"/>
    </row>
    <row r="14" spans="1:34" ht="13" thickBot="1" x14ac:dyDescent="0.3">
      <c r="A14" s="8">
        <v>40179</v>
      </c>
      <c r="B14" s="20">
        <v>171587069</v>
      </c>
      <c r="C14" s="20">
        <v>3440713.6663000002</v>
      </c>
      <c r="D14" s="20">
        <v>-3178161.703173182</v>
      </c>
      <c r="E14" s="20">
        <v>-764788.05149999994</v>
      </c>
      <c r="F14" s="20">
        <f t="shared" si="1"/>
        <v>171084832.91159999</v>
      </c>
      <c r="G14" s="21">
        <v>752.49999999999989</v>
      </c>
      <c r="H14" s="21">
        <v>0</v>
      </c>
      <c r="I14" s="3">
        <v>31</v>
      </c>
      <c r="J14" s="3">
        <v>0</v>
      </c>
      <c r="K14" s="3">
        <v>320</v>
      </c>
      <c r="L14" s="3">
        <v>3039169.8407987705</v>
      </c>
      <c r="M14" s="1">
        <v>76818</v>
      </c>
      <c r="N14" s="3">
        <f t="shared" si="2"/>
        <v>165993974.61390001</v>
      </c>
      <c r="O14" s="22">
        <f t="shared" si="0"/>
        <v>2.9756339069112236E-2</v>
      </c>
      <c r="P14" s="274" t="s">
        <v>29</v>
      </c>
      <c r="Q14" s="274">
        <f t="shared" si="3"/>
        <v>119</v>
      </c>
      <c r="R14" s="274">
        <f t="shared" si="3"/>
        <v>1.5723984973188628E+16</v>
      </c>
      <c r="S14" s="274">
        <f t="shared" si="3"/>
        <v>0</v>
      </c>
      <c r="T14" s="274"/>
      <c r="U14" s="274"/>
      <c r="V14" s="272"/>
      <c r="W14" s="272"/>
      <c r="X14" s="272"/>
      <c r="Z14" s="365" t="s">
        <v>29</v>
      </c>
      <c r="AA14" s="365">
        <v>119</v>
      </c>
      <c r="AB14" s="365">
        <v>1.5723984973188628E+16</v>
      </c>
      <c r="AC14" s="365"/>
      <c r="AD14" s="365"/>
      <c r="AE14" s="365"/>
    </row>
    <row r="15" spans="1:34" ht="13" thickBot="1" x14ac:dyDescent="0.3">
      <c r="A15" s="8">
        <v>40210</v>
      </c>
      <c r="B15" s="20">
        <v>152386226</v>
      </c>
      <c r="C15" s="20">
        <v>3088616.9045000002</v>
      </c>
      <c r="D15" s="20">
        <v>-2750443.2864816473</v>
      </c>
      <c r="E15" s="20">
        <v>-749367.53610000003</v>
      </c>
      <c r="F15" s="20">
        <f t="shared" si="1"/>
        <v>151975032.0819</v>
      </c>
      <c r="G15" s="21">
        <v>643.60000000000014</v>
      </c>
      <c r="H15" s="21">
        <v>0</v>
      </c>
      <c r="I15" s="3">
        <v>28</v>
      </c>
      <c r="J15" s="3">
        <v>0</v>
      </c>
      <c r="K15" s="3">
        <v>304</v>
      </c>
      <c r="L15" s="3">
        <v>3064617.0927058123</v>
      </c>
      <c r="M15" s="1">
        <v>76927</v>
      </c>
      <c r="N15" s="3">
        <f t="shared" si="2"/>
        <v>149660821.29570001</v>
      </c>
      <c r="O15" s="22">
        <f t="shared" si="0"/>
        <v>1.5227572282747404E-2</v>
      </c>
      <c r="P15" s="272"/>
      <c r="Q15" s="272"/>
      <c r="R15" s="272"/>
      <c r="S15" s="272"/>
      <c r="T15" s="272"/>
      <c r="U15" s="272"/>
      <c r="V15" s="272"/>
      <c r="W15" s="272"/>
      <c r="X15" s="272"/>
    </row>
    <row r="16" spans="1:34" ht="13" x14ac:dyDescent="0.3">
      <c r="A16" s="8">
        <v>40238</v>
      </c>
      <c r="B16" s="20">
        <v>152881624</v>
      </c>
      <c r="C16" s="20">
        <v>3388526.2657999997</v>
      </c>
      <c r="D16" s="20">
        <v>-3251380.9041082263</v>
      </c>
      <c r="E16" s="20">
        <v>-686220.38714999997</v>
      </c>
      <c r="F16" s="20">
        <f t="shared" si="1"/>
        <v>152332548.9745</v>
      </c>
      <c r="G16" s="21">
        <v>471.20000000000005</v>
      </c>
      <c r="H16" s="21">
        <v>0</v>
      </c>
      <c r="I16" s="3">
        <v>31</v>
      </c>
      <c r="J16" s="3">
        <v>1</v>
      </c>
      <c r="K16" s="3">
        <v>368</v>
      </c>
      <c r="L16" s="3">
        <v>3090064.3446128541</v>
      </c>
      <c r="M16" s="1">
        <v>77054</v>
      </c>
      <c r="N16" s="3">
        <f t="shared" si="2"/>
        <v>152663381.65130001</v>
      </c>
      <c r="O16" s="22">
        <f t="shared" si="0"/>
        <v>2.171779301450405E-3</v>
      </c>
      <c r="P16" s="275"/>
      <c r="Q16" s="275" t="s">
        <v>30</v>
      </c>
      <c r="R16" s="275" t="s">
        <v>19</v>
      </c>
      <c r="S16" s="275" t="s">
        <v>31</v>
      </c>
      <c r="T16" s="275" t="s">
        <v>32</v>
      </c>
      <c r="U16" s="275" t="s">
        <v>33</v>
      </c>
      <c r="V16" s="275" t="s">
        <v>34</v>
      </c>
      <c r="W16" s="275" t="s">
        <v>35</v>
      </c>
      <c r="X16" s="275" t="s">
        <v>36</v>
      </c>
      <c r="Z16" s="366"/>
      <c r="AA16" s="366" t="s">
        <v>30</v>
      </c>
      <c r="AB16" s="366" t="s">
        <v>19</v>
      </c>
      <c r="AC16" s="366" t="s">
        <v>31</v>
      </c>
      <c r="AD16" s="366" t="s">
        <v>32</v>
      </c>
      <c r="AE16" s="366" t="s">
        <v>33</v>
      </c>
      <c r="AF16" s="366" t="s">
        <v>34</v>
      </c>
      <c r="AG16" s="366" t="s">
        <v>35</v>
      </c>
      <c r="AH16" s="366" t="s">
        <v>36</v>
      </c>
    </row>
    <row r="17" spans="1:34" x14ac:dyDescent="0.25">
      <c r="A17" s="8">
        <v>40269</v>
      </c>
      <c r="B17" s="20">
        <v>134783810</v>
      </c>
      <c r="C17" s="20">
        <v>3474388.0158000002</v>
      </c>
      <c r="D17" s="20">
        <v>-3017908.9010245698</v>
      </c>
      <c r="E17" s="20">
        <v>-582020.12769999995</v>
      </c>
      <c r="F17" s="20">
        <f t="shared" si="1"/>
        <v>134658268.98710001</v>
      </c>
      <c r="G17" s="21">
        <v>264.89999999999998</v>
      </c>
      <c r="H17" s="21">
        <v>0</v>
      </c>
      <c r="I17" s="3">
        <v>30</v>
      </c>
      <c r="J17" s="3">
        <v>1</v>
      </c>
      <c r="K17" s="3">
        <v>336</v>
      </c>
      <c r="L17" s="3">
        <v>3115511.5965198958</v>
      </c>
      <c r="M17" s="1">
        <v>77210</v>
      </c>
      <c r="N17" s="3">
        <f t="shared" si="2"/>
        <v>138418446.94760001</v>
      </c>
      <c r="O17" s="22">
        <f t="shared" si="0"/>
        <v>2.7923854871921838E-2</v>
      </c>
      <c r="P17" s="272" t="s">
        <v>37</v>
      </c>
      <c r="Q17" s="272">
        <f t="shared" ref="Q17:X24" si="4">+AA17</f>
        <v>14730534.686934663</v>
      </c>
      <c r="R17" s="272">
        <f t="shared" si="4"/>
        <v>28453388.401567377</v>
      </c>
      <c r="S17" s="272">
        <f t="shared" si="4"/>
        <v>0.5177075741925774</v>
      </c>
      <c r="T17" s="272">
        <f t="shared" si="4"/>
        <v>0.605683390013812</v>
      </c>
      <c r="U17" s="272">
        <f t="shared" si="4"/>
        <v>-41646207.129659243</v>
      </c>
      <c r="V17" s="272">
        <f t="shared" si="4"/>
        <v>71107276.503528565</v>
      </c>
      <c r="W17" s="272">
        <f t="shared" si="4"/>
        <v>-41646207.129659243</v>
      </c>
      <c r="X17" s="272">
        <f t="shared" si="4"/>
        <v>71107276.503528565</v>
      </c>
      <c r="Z17" s="364" t="s">
        <v>37</v>
      </c>
      <c r="AA17" s="364">
        <v>14730534.686934663</v>
      </c>
      <c r="AB17" s="364">
        <v>28453388.401567377</v>
      </c>
      <c r="AC17" s="364">
        <v>0.5177075741925774</v>
      </c>
      <c r="AD17" s="364">
        <v>0.605683390013812</v>
      </c>
      <c r="AE17" s="364">
        <v>-41646207.129659243</v>
      </c>
      <c r="AF17" s="364">
        <v>71107276.503528565</v>
      </c>
      <c r="AG17" s="364">
        <v>-41646207.129659243</v>
      </c>
      <c r="AH17" s="364">
        <v>71107276.503528565</v>
      </c>
    </row>
    <row r="18" spans="1:34" x14ac:dyDescent="0.25">
      <c r="A18" s="8">
        <v>40299</v>
      </c>
      <c r="B18" s="20">
        <v>147558538</v>
      </c>
      <c r="C18" s="20">
        <v>3554303.75</v>
      </c>
      <c r="D18" s="20">
        <v>-3078009.7094399678</v>
      </c>
      <c r="E18" s="20">
        <v>-519806.41310000001</v>
      </c>
      <c r="F18" s="20">
        <f t="shared" si="1"/>
        <v>147515025.6275</v>
      </c>
      <c r="G18" s="21">
        <v>145.1</v>
      </c>
      <c r="H18" s="21">
        <v>20.6</v>
      </c>
      <c r="I18" s="3">
        <v>31</v>
      </c>
      <c r="J18" s="3">
        <v>1</v>
      </c>
      <c r="K18" s="3">
        <v>320</v>
      </c>
      <c r="L18" s="3">
        <v>3140958.8484269376</v>
      </c>
      <c r="M18" s="1">
        <v>77319</v>
      </c>
      <c r="N18" s="3">
        <f t="shared" si="2"/>
        <v>143768830.14610001</v>
      </c>
      <c r="O18" s="22">
        <f t="shared" si="0"/>
        <v>2.5395348476973112E-2</v>
      </c>
      <c r="P18" s="272" t="s">
        <v>5</v>
      </c>
      <c r="Q18" s="272">
        <f t="shared" si="4"/>
        <v>39890.462034085293</v>
      </c>
      <c r="R18" s="272">
        <f t="shared" si="4"/>
        <v>1753.0191605644879</v>
      </c>
      <c r="S18" s="272">
        <f t="shared" si="4"/>
        <v>22.755291517315879</v>
      </c>
      <c r="T18" s="272">
        <f t="shared" si="4"/>
        <v>8.2945893467800607E-44</v>
      </c>
      <c r="U18" s="272">
        <f t="shared" si="4"/>
        <v>36417.079278404701</v>
      </c>
      <c r="V18" s="272">
        <f t="shared" si="4"/>
        <v>43363.844789765884</v>
      </c>
      <c r="W18" s="272">
        <f t="shared" si="4"/>
        <v>36417.079278404701</v>
      </c>
      <c r="X18" s="272">
        <f t="shared" si="4"/>
        <v>43363.844789765884</v>
      </c>
      <c r="Z18" s="364" t="s">
        <v>5</v>
      </c>
      <c r="AA18" s="364">
        <v>39890.462034085293</v>
      </c>
      <c r="AB18" s="364">
        <v>1753.0191605644879</v>
      </c>
      <c r="AC18" s="364">
        <v>22.755291517315879</v>
      </c>
      <c r="AD18" s="364">
        <v>8.2945893467800607E-44</v>
      </c>
      <c r="AE18" s="364">
        <v>36417.079278404701</v>
      </c>
      <c r="AF18" s="364">
        <v>43363.844789765884</v>
      </c>
      <c r="AG18" s="364">
        <v>36417.079278404701</v>
      </c>
      <c r="AH18" s="364">
        <v>43363.844789765884</v>
      </c>
    </row>
    <row r="19" spans="1:34" x14ac:dyDescent="0.25">
      <c r="A19" s="8">
        <v>40330</v>
      </c>
      <c r="B19" s="20">
        <v>152085417</v>
      </c>
      <c r="C19" s="20">
        <v>3365360.0581</v>
      </c>
      <c r="D19" s="20">
        <v>-3356870.5179548389</v>
      </c>
      <c r="E19" s="20">
        <v>-534542.54535000003</v>
      </c>
      <c r="F19" s="20">
        <f t="shared" si="1"/>
        <v>151559363.9948</v>
      </c>
      <c r="G19" s="21">
        <v>38.5</v>
      </c>
      <c r="H19" s="21">
        <v>31.900000000000002</v>
      </c>
      <c r="I19" s="3">
        <v>30</v>
      </c>
      <c r="J19" s="3">
        <v>0</v>
      </c>
      <c r="K19" s="3">
        <v>352</v>
      </c>
      <c r="L19" s="3">
        <v>3166406.1003339794</v>
      </c>
      <c r="M19" s="1">
        <v>77427</v>
      </c>
      <c r="N19" s="3">
        <f t="shared" si="2"/>
        <v>148213393.8524</v>
      </c>
      <c r="O19" s="22">
        <f t="shared" si="0"/>
        <v>2.2076960830442638E-2</v>
      </c>
      <c r="P19" s="272" t="s">
        <v>6</v>
      </c>
      <c r="Q19" s="272">
        <f t="shared" si="4"/>
        <v>376639.20540824317</v>
      </c>
      <c r="R19" s="272">
        <f t="shared" si="4"/>
        <v>17410.096173527098</v>
      </c>
      <c r="S19" s="272">
        <f t="shared" si="4"/>
        <v>21.63337879666291</v>
      </c>
      <c r="T19" s="272">
        <f t="shared" si="4"/>
        <v>8.4364153609367136E-42</v>
      </c>
      <c r="U19" s="272">
        <f t="shared" si="4"/>
        <v>342143.33155573078</v>
      </c>
      <c r="V19" s="272">
        <f t="shared" si="4"/>
        <v>411135.07926075556</v>
      </c>
      <c r="W19" s="272">
        <f t="shared" si="4"/>
        <v>342143.33155573078</v>
      </c>
      <c r="X19" s="272">
        <f t="shared" si="4"/>
        <v>411135.07926075556</v>
      </c>
      <c r="Z19" s="364" t="s">
        <v>6</v>
      </c>
      <c r="AA19" s="364">
        <v>376639.20540824317</v>
      </c>
      <c r="AB19" s="364">
        <v>17410.096173527098</v>
      </c>
      <c r="AC19" s="364">
        <v>21.63337879666291</v>
      </c>
      <c r="AD19" s="364">
        <v>8.4364153609367136E-42</v>
      </c>
      <c r="AE19" s="364">
        <v>342143.33155573078</v>
      </c>
      <c r="AF19" s="364">
        <v>411135.07926075556</v>
      </c>
      <c r="AG19" s="364">
        <v>342143.33155573078</v>
      </c>
      <c r="AH19" s="364">
        <v>411135.07926075556</v>
      </c>
    </row>
    <row r="20" spans="1:34" x14ac:dyDescent="0.25">
      <c r="A20" s="8">
        <v>40360</v>
      </c>
      <c r="B20" s="20">
        <v>173774673</v>
      </c>
      <c r="C20" s="20">
        <v>3414396.3319999999</v>
      </c>
      <c r="D20" s="20">
        <v>-3773577.7383865509</v>
      </c>
      <c r="E20" s="20">
        <v>-557932.38124999998</v>
      </c>
      <c r="F20" s="20">
        <f t="shared" si="1"/>
        <v>172857559.21239999</v>
      </c>
      <c r="G20" s="21">
        <v>9.1999999999999993</v>
      </c>
      <c r="H20" s="21">
        <v>105.19999999999999</v>
      </c>
      <c r="I20" s="3">
        <v>31</v>
      </c>
      <c r="J20" s="3">
        <v>0</v>
      </c>
      <c r="K20" s="3">
        <v>336</v>
      </c>
      <c r="L20" s="3">
        <v>3191853.3522410211</v>
      </c>
      <c r="M20" s="1">
        <v>77585</v>
      </c>
      <c r="N20" s="3">
        <f t="shared" si="2"/>
        <v>177013978.78529999</v>
      </c>
      <c r="O20" s="22">
        <f t="shared" si="0"/>
        <v>2.4045344570628568E-2</v>
      </c>
      <c r="P20" s="272" t="s">
        <v>7</v>
      </c>
      <c r="Q20" s="272">
        <f t="shared" si="4"/>
        <v>3589893.7303902274</v>
      </c>
      <c r="R20" s="272">
        <f t="shared" si="4"/>
        <v>432447.69782599265</v>
      </c>
      <c r="S20" s="272">
        <f t="shared" si="4"/>
        <v>8.3013362042101129</v>
      </c>
      <c r="T20" s="272">
        <f t="shared" si="4"/>
        <v>2.6180047514787573E-13</v>
      </c>
      <c r="U20" s="272">
        <f t="shared" si="4"/>
        <v>2733054.0505096614</v>
      </c>
      <c r="V20" s="272">
        <f t="shared" si="4"/>
        <v>4446733.4102707934</v>
      </c>
      <c r="W20" s="272">
        <f t="shared" si="4"/>
        <v>2733054.0505096614</v>
      </c>
      <c r="X20" s="272">
        <f t="shared" si="4"/>
        <v>4446733.4102707934</v>
      </c>
      <c r="Z20" s="364" t="s">
        <v>7</v>
      </c>
      <c r="AA20" s="364">
        <v>3589893.7303902274</v>
      </c>
      <c r="AB20" s="364">
        <v>432447.69782599265</v>
      </c>
      <c r="AC20" s="364">
        <v>8.3013362042101129</v>
      </c>
      <c r="AD20" s="364">
        <v>2.6180047514787573E-13</v>
      </c>
      <c r="AE20" s="364">
        <v>2733054.0505096614</v>
      </c>
      <c r="AF20" s="364">
        <v>4446733.4102707934</v>
      </c>
      <c r="AG20" s="364">
        <v>2733054.0505096614</v>
      </c>
      <c r="AH20" s="364">
        <v>4446733.4102707934</v>
      </c>
    </row>
    <row r="21" spans="1:34" x14ac:dyDescent="0.25">
      <c r="A21" s="8">
        <v>40391</v>
      </c>
      <c r="B21" s="20">
        <v>169918494</v>
      </c>
      <c r="C21" s="20">
        <v>3110959.2243999997</v>
      </c>
      <c r="D21" s="20">
        <v>-3919905.7352034212</v>
      </c>
      <c r="E21" s="20">
        <v>-569676.21519999998</v>
      </c>
      <c r="F21" s="20">
        <f t="shared" si="1"/>
        <v>168539871.27399999</v>
      </c>
      <c r="G21" s="21">
        <v>12.900000000000002</v>
      </c>
      <c r="H21" s="21">
        <v>85.1</v>
      </c>
      <c r="I21" s="3">
        <v>31</v>
      </c>
      <c r="J21" s="3">
        <v>0</v>
      </c>
      <c r="K21" s="3">
        <v>336</v>
      </c>
      <c r="L21" s="3">
        <v>3217300.6041480629</v>
      </c>
      <c r="M21" s="1">
        <v>77725</v>
      </c>
      <c r="N21" s="3">
        <f t="shared" si="2"/>
        <v>169564000.1728</v>
      </c>
      <c r="O21" s="22">
        <f t="shared" si="0"/>
        <v>6.0764784680240602E-3</v>
      </c>
      <c r="P21" s="272" t="s">
        <v>8</v>
      </c>
      <c r="Q21" s="272">
        <f t="shared" si="4"/>
        <v>-5656505.5326393833</v>
      </c>
      <c r="R21" s="272">
        <f t="shared" si="4"/>
        <v>755512.13969445799</v>
      </c>
      <c r="S21" s="272">
        <f t="shared" si="4"/>
        <v>-7.4869816584641127</v>
      </c>
      <c r="T21" s="272">
        <f t="shared" si="4"/>
        <v>1.7314701092382887E-11</v>
      </c>
      <c r="U21" s="272">
        <f t="shared" si="4"/>
        <v>-7153455.9920268711</v>
      </c>
      <c r="V21" s="272">
        <f t="shared" si="4"/>
        <v>-4159555.0732518961</v>
      </c>
      <c r="W21" s="272">
        <f t="shared" si="4"/>
        <v>-7153455.9920268711</v>
      </c>
      <c r="X21" s="272">
        <f t="shared" si="4"/>
        <v>-4159555.0732518961</v>
      </c>
      <c r="Z21" s="364" t="s">
        <v>8</v>
      </c>
      <c r="AA21" s="364">
        <v>-5656505.5326393833</v>
      </c>
      <c r="AB21" s="364">
        <v>755512.13969445799</v>
      </c>
      <c r="AC21" s="364">
        <v>-7.4869816584641127</v>
      </c>
      <c r="AD21" s="364">
        <v>1.7314701092382887E-11</v>
      </c>
      <c r="AE21" s="364">
        <v>-7153455.9920268711</v>
      </c>
      <c r="AF21" s="364">
        <v>-4159555.0732518961</v>
      </c>
      <c r="AG21" s="364">
        <v>-7153455.9920268711</v>
      </c>
      <c r="AH21" s="364">
        <v>-4159555.0732518961</v>
      </c>
    </row>
    <row r="22" spans="1:34" x14ac:dyDescent="0.25">
      <c r="A22" s="8">
        <v>40422</v>
      </c>
      <c r="B22" s="20">
        <v>141552978</v>
      </c>
      <c r="C22" s="20">
        <v>3138948.3831999996</v>
      </c>
      <c r="D22" s="20">
        <v>-3317452.9174375804</v>
      </c>
      <c r="E22" s="20">
        <v>-765009.28940000001</v>
      </c>
      <c r="F22" s="20">
        <f t="shared" si="1"/>
        <v>140609464.17640001</v>
      </c>
      <c r="G22" s="21">
        <v>123.2</v>
      </c>
      <c r="H22" s="21">
        <v>23.2</v>
      </c>
      <c r="I22" s="3">
        <v>30</v>
      </c>
      <c r="J22" s="3">
        <v>1</v>
      </c>
      <c r="K22" s="3">
        <v>336</v>
      </c>
      <c r="L22" s="3">
        <v>3242747.8560551046</v>
      </c>
      <c r="M22" s="1">
        <v>77864</v>
      </c>
      <c r="N22" s="3">
        <f t="shared" si="2"/>
        <v>141376605.76809999</v>
      </c>
      <c r="O22" s="22">
        <f t="shared" si="0"/>
        <v>5.4558318402919692E-3</v>
      </c>
      <c r="P22" s="272" t="s">
        <v>9</v>
      </c>
      <c r="Q22" s="272">
        <f t="shared" si="4"/>
        <v>74864.04048168342</v>
      </c>
      <c r="R22" s="272">
        <f t="shared" si="4"/>
        <v>20314.514847098639</v>
      </c>
      <c r="S22" s="272">
        <f t="shared" si="4"/>
        <v>3.685248751701085</v>
      </c>
      <c r="T22" s="272">
        <f t="shared" si="4"/>
        <v>3.5370700087769183E-4</v>
      </c>
      <c r="U22" s="272">
        <f t="shared" si="4"/>
        <v>34613.433330755986</v>
      </c>
      <c r="V22" s="272">
        <f t="shared" si="4"/>
        <v>115114.64763261085</v>
      </c>
      <c r="W22" s="272">
        <f t="shared" si="4"/>
        <v>34613.433330755986</v>
      </c>
      <c r="X22" s="272">
        <f t="shared" si="4"/>
        <v>115114.64763261085</v>
      </c>
      <c r="Z22" s="364" t="s">
        <v>9</v>
      </c>
      <c r="AA22" s="364">
        <v>74864.04048168342</v>
      </c>
      <c r="AB22" s="364">
        <v>20314.514847098639</v>
      </c>
      <c r="AC22" s="364">
        <v>3.685248751701085</v>
      </c>
      <c r="AD22" s="364">
        <v>3.5370700087769183E-4</v>
      </c>
      <c r="AE22" s="364">
        <v>34613.433330755986</v>
      </c>
      <c r="AF22" s="364">
        <v>115114.64763261085</v>
      </c>
      <c r="AG22" s="364">
        <v>34613.433330755986</v>
      </c>
      <c r="AH22" s="364">
        <v>115114.64763261085</v>
      </c>
    </row>
    <row r="23" spans="1:34" x14ac:dyDescent="0.25">
      <c r="A23" s="8">
        <v>40452</v>
      </c>
      <c r="B23" s="20">
        <v>141431853</v>
      </c>
      <c r="C23" s="20">
        <v>3513334.037</v>
      </c>
      <c r="D23" s="20">
        <v>-3326606.5024370835</v>
      </c>
      <c r="E23" s="20">
        <v>-727248.89020000002</v>
      </c>
      <c r="F23" s="20">
        <f t="shared" si="1"/>
        <v>140891331.6444</v>
      </c>
      <c r="G23" s="21">
        <v>285.5</v>
      </c>
      <c r="H23" s="21">
        <v>0</v>
      </c>
      <c r="I23" s="3">
        <v>31</v>
      </c>
      <c r="J23" s="3">
        <v>1</v>
      </c>
      <c r="K23" s="3">
        <v>320</v>
      </c>
      <c r="L23" s="3">
        <v>3268195.1079621464</v>
      </c>
      <c r="M23" s="1">
        <v>77942</v>
      </c>
      <c r="N23" s="3">
        <f t="shared" si="2"/>
        <v>141488840.23899999</v>
      </c>
      <c r="O23" s="22">
        <f t="shared" si="0"/>
        <v>4.2409180722917661E-3</v>
      </c>
      <c r="P23" s="272" t="s">
        <v>10</v>
      </c>
      <c r="Q23" s="272">
        <f t="shared" si="4"/>
        <v>-8.1136803269286559E-2</v>
      </c>
      <c r="R23" s="272">
        <f t="shared" si="4"/>
        <v>0.38015507132506571</v>
      </c>
      <c r="S23" s="272">
        <f t="shared" si="4"/>
        <v>-0.21343080597735212</v>
      </c>
      <c r="T23" s="272">
        <f t="shared" si="4"/>
        <v>0.83137898579456548</v>
      </c>
      <c r="U23" s="272">
        <f t="shared" si="4"/>
        <v>-0.83436534687506236</v>
      </c>
      <c r="V23" s="272">
        <f t="shared" si="4"/>
        <v>0.67209174033648933</v>
      </c>
      <c r="W23" s="272">
        <f t="shared" si="4"/>
        <v>-0.83436534687506236</v>
      </c>
      <c r="X23" s="272">
        <f t="shared" si="4"/>
        <v>0.67209174033648933</v>
      </c>
      <c r="Z23" s="364" t="s">
        <v>10</v>
      </c>
      <c r="AA23" s="364">
        <v>-8.1136803269286559E-2</v>
      </c>
      <c r="AB23" s="364">
        <v>0.38015507132506571</v>
      </c>
      <c r="AC23" s="364">
        <v>-0.21343080597735212</v>
      </c>
      <c r="AD23" s="364">
        <v>0.83137898579456548</v>
      </c>
      <c r="AE23" s="364">
        <v>-0.83436534687506236</v>
      </c>
      <c r="AF23" s="364">
        <v>0.67209174033648933</v>
      </c>
      <c r="AG23" s="364">
        <v>-0.83436534687506236</v>
      </c>
      <c r="AH23" s="364">
        <v>0.67209174033648933</v>
      </c>
    </row>
    <row r="24" spans="1:34" ht="13" thickBot="1" x14ac:dyDescent="0.3">
      <c r="A24" s="8">
        <v>40483</v>
      </c>
      <c r="B24" s="20">
        <v>149100645</v>
      </c>
      <c r="C24" s="20">
        <v>3312803.1055999999</v>
      </c>
      <c r="D24" s="20">
        <v>-2811710.4883119464</v>
      </c>
      <c r="E24" s="20">
        <v>-842611.01500000001</v>
      </c>
      <c r="F24" s="20">
        <f t="shared" si="1"/>
        <v>148759126.60229999</v>
      </c>
      <c r="G24" s="21">
        <v>453.8</v>
      </c>
      <c r="H24" s="21">
        <v>0</v>
      </c>
      <c r="I24" s="3">
        <v>30</v>
      </c>
      <c r="J24" s="3">
        <v>1</v>
      </c>
      <c r="K24" s="3">
        <v>352</v>
      </c>
      <c r="L24" s="3">
        <v>3293642.3598691882</v>
      </c>
      <c r="M24" s="1">
        <v>78058</v>
      </c>
      <c r="N24" s="3">
        <f t="shared" si="2"/>
        <v>146985331.37130001</v>
      </c>
      <c r="O24" s="22">
        <f t="shared" si="0"/>
        <v>1.192394222468196E-2</v>
      </c>
      <c r="P24" s="274" t="s">
        <v>11</v>
      </c>
      <c r="Q24" s="274">
        <f t="shared" si="4"/>
        <v>-179.00417642220683</v>
      </c>
      <c r="R24" s="274">
        <f t="shared" si="4"/>
        <v>344.59609891748971</v>
      </c>
      <c r="S24" s="274">
        <f t="shared" si="4"/>
        <v>-0.51946083250660269</v>
      </c>
      <c r="T24" s="274">
        <f t="shared" si="4"/>
        <v>0.60446448900362226</v>
      </c>
      <c r="U24" s="274">
        <f t="shared" si="4"/>
        <v>-861.77717433364751</v>
      </c>
      <c r="V24" s="274">
        <f t="shared" si="4"/>
        <v>503.76882148923391</v>
      </c>
      <c r="W24" s="274">
        <f t="shared" si="4"/>
        <v>-861.77717433364751</v>
      </c>
      <c r="X24" s="274">
        <f t="shared" si="4"/>
        <v>503.76882148923391</v>
      </c>
      <c r="Z24" s="365" t="s">
        <v>11</v>
      </c>
      <c r="AA24" s="365">
        <v>-179.00417642220683</v>
      </c>
      <c r="AB24" s="365">
        <v>344.59609891748971</v>
      </c>
      <c r="AC24" s="365">
        <v>-0.51946083250660269</v>
      </c>
      <c r="AD24" s="365">
        <v>0.60446448900362226</v>
      </c>
      <c r="AE24" s="365">
        <v>-861.77717433364751</v>
      </c>
      <c r="AF24" s="365">
        <v>503.76882148923391</v>
      </c>
      <c r="AG24" s="365">
        <v>-861.77717433364751</v>
      </c>
      <c r="AH24" s="365">
        <v>503.76882148923391</v>
      </c>
    </row>
    <row r="25" spans="1:34" x14ac:dyDescent="0.25">
      <c r="A25" s="9">
        <v>40513</v>
      </c>
      <c r="B25" s="23">
        <v>169078607</v>
      </c>
      <c r="C25" s="23">
        <v>3230196.2334000003</v>
      </c>
      <c r="D25" s="23">
        <v>-4828826.509599125</v>
      </c>
      <c r="E25" s="23">
        <v>-979708.34680000006</v>
      </c>
      <c r="F25" s="23">
        <f t="shared" si="1"/>
        <v>166500268.377</v>
      </c>
      <c r="G25" s="24">
        <v>718.80000000000018</v>
      </c>
      <c r="H25" s="24">
        <v>0</v>
      </c>
      <c r="I25" s="5">
        <v>31</v>
      </c>
      <c r="J25" s="5">
        <v>0</v>
      </c>
      <c r="K25" s="5">
        <v>336</v>
      </c>
      <c r="L25" s="5">
        <v>3319089.6117762299</v>
      </c>
      <c r="M25" s="10">
        <v>78142</v>
      </c>
      <c r="N25" s="5">
        <f t="shared" si="2"/>
        <v>165587777.36610001</v>
      </c>
      <c r="O25" s="25">
        <f t="shared" si="0"/>
        <v>5.4804176581497721E-3</v>
      </c>
      <c r="P25"/>
    </row>
    <row r="26" spans="1:34" x14ac:dyDescent="0.25">
      <c r="A26" s="8">
        <v>40544</v>
      </c>
      <c r="B26" s="20">
        <v>173480601</v>
      </c>
      <c r="C26" s="20">
        <v>2965559.5879000002</v>
      </c>
      <c r="D26" s="20">
        <v>-2945323.2907589772</v>
      </c>
      <c r="E26" s="20">
        <v>-743524.17249999999</v>
      </c>
      <c r="F26" s="20">
        <f t="shared" si="1"/>
        <v>172757313.12459999</v>
      </c>
      <c r="G26" s="21">
        <v>825.9000000000002</v>
      </c>
      <c r="H26" s="21">
        <v>0</v>
      </c>
      <c r="I26" s="3">
        <v>31</v>
      </c>
      <c r="J26" s="3">
        <v>0</v>
      </c>
      <c r="K26" s="3">
        <v>320</v>
      </c>
      <c r="L26" s="3">
        <v>3387075.684438861</v>
      </c>
      <c r="M26" s="1">
        <v>78212</v>
      </c>
      <c r="N26" s="3">
        <f t="shared" si="2"/>
        <v>168644174.73730001</v>
      </c>
      <c r="O26" s="22">
        <f t="shared" si="0"/>
        <v>2.3808765677742483E-2</v>
      </c>
      <c r="P26"/>
    </row>
    <row r="27" spans="1:34" x14ac:dyDescent="0.25">
      <c r="A27" s="8">
        <v>40575</v>
      </c>
      <c r="B27" s="20">
        <v>154641844</v>
      </c>
      <c r="C27" s="20">
        <v>2793478.2314000004</v>
      </c>
      <c r="D27" s="20">
        <v>-2750496.0942007359</v>
      </c>
      <c r="E27" s="20">
        <v>-708177.65469999996</v>
      </c>
      <c r="F27" s="20">
        <f t="shared" si="1"/>
        <v>153976648.48249999</v>
      </c>
      <c r="G27" s="21">
        <v>686.4</v>
      </c>
      <c r="H27" s="21">
        <v>0</v>
      </c>
      <c r="I27" s="3">
        <v>28</v>
      </c>
      <c r="J27" s="3">
        <v>0</v>
      </c>
      <c r="K27" s="3">
        <v>304</v>
      </c>
      <c r="L27" s="3">
        <v>3455061.757101492</v>
      </c>
      <c r="M27" s="1">
        <v>78243</v>
      </c>
      <c r="N27" s="3">
        <f t="shared" si="2"/>
        <v>151100884.1426</v>
      </c>
      <c r="O27" s="22">
        <f t="shared" si="0"/>
        <v>1.8676626412133079E-2</v>
      </c>
      <c r="P27"/>
    </row>
    <row r="28" spans="1:34" x14ac:dyDescent="0.25">
      <c r="A28" s="8">
        <v>40603</v>
      </c>
      <c r="B28" s="20">
        <v>161467012</v>
      </c>
      <c r="C28" s="20">
        <v>3394931.7817000002</v>
      </c>
      <c r="D28" s="20">
        <v>-3086294.5009449911</v>
      </c>
      <c r="E28" s="20">
        <v>-620283.67229999998</v>
      </c>
      <c r="F28" s="20">
        <f t="shared" si="1"/>
        <v>161155365.6085</v>
      </c>
      <c r="G28" s="21">
        <v>623.79999999999995</v>
      </c>
      <c r="H28" s="21">
        <v>0</v>
      </c>
      <c r="I28" s="3">
        <v>31</v>
      </c>
      <c r="J28" s="3">
        <v>1</v>
      </c>
      <c r="K28" s="3">
        <v>368</v>
      </c>
      <c r="L28" s="3">
        <v>3523047.8297641231</v>
      </c>
      <c r="M28" s="1">
        <v>78316</v>
      </c>
      <c r="N28" s="3">
        <f t="shared" si="2"/>
        <v>158489631.9912</v>
      </c>
      <c r="O28" s="22">
        <f t="shared" si="0"/>
        <v>1.6541389157193498E-2</v>
      </c>
      <c r="P28"/>
    </row>
    <row r="29" spans="1:34" x14ac:dyDescent="0.25">
      <c r="A29" s="8">
        <v>40634</v>
      </c>
      <c r="B29" s="20">
        <v>141723732</v>
      </c>
      <c r="C29" s="20">
        <v>3572400.3092000005</v>
      </c>
      <c r="D29" s="20">
        <v>-2866113.6943201032</v>
      </c>
      <c r="E29" s="20">
        <v>-551322.31385000004</v>
      </c>
      <c r="F29" s="20">
        <f t="shared" si="1"/>
        <v>141878696.301</v>
      </c>
      <c r="G29" s="21">
        <v>360.8</v>
      </c>
      <c r="H29" s="21">
        <v>0</v>
      </c>
      <c r="I29" s="3">
        <v>30</v>
      </c>
      <c r="J29" s="3">
        <v>1</v>
      </c>
      <c r="K29" s="3">
        <v>320</v>
      </c>
      <c r="L29" s="3">
        <v>3591033.9024267541</v>
      </c>
      <c r="M29" s="1">
        <v>78430</v>
      </c>
      <c r="N29" s="3">
        <f t="shared" si="2"/>
        <v>140789150.15400001</v>
      </c>
      <c r="O29" s="22">
        <f t="shared" si="0"/>
        <v>7.6794203457331012E-3</v>
      </c>
      <c r="P29"/>
    </row>
    <row r="30" spans="1:34" x14ac:dyDescent="0.25">
      <c r="A30" s="8">
        <v>40664</v>
      </c>
      <c r="B30" s="20">
        <v>142626392</v>
      </c>
      <c r="C30" s="20">
        <v>3355063.2826999999</v>
      </c>
      <c r="D30" s="20">
        <v>-3207072.1130010937</v>
      </c>
      <c r="E30" s="20">
        <v>-508684.87170000002</v>
      </c>
      <c r="F30" s="20">
        <f t="shared" si="1"/>
        <v>142265698.29800001</v>
      </c>
      <c r="G30" s="21">
        <v>156.39999999999998</v>
      </c>
      <c r="H30" s="21">
        <v>13.099999999999998</v>
      </c>
      <c r="I30" s="3">
        <v>31</v>
      </c>
      <c r="J30" s="3">
        <v>1</v>
      </c>
      <c r="K30" s="3">
        <v>336</v>
      </c>
      <c r="L30" s="3">
        <v>3659019.9750893852</v>
      </c>
      <c r="M30" s="1">
        <v>78515</v>
      </c>
      <c r="N30" s="3">
        <f t="shared" si="2"/>
        <v>142336500.15560001</v>
      </c>
      <c r="O30" s="22">
        <f t="shared" si="0"/>
        <v>4.976734268840044E-4</v>
      </c>
      <c r="P30" s="447"/>
    </row>
    <row r="31" spans="1:34" x14ac:dyDescent="0.25">
      <c r="A31" s="8">
        <v>40695</v>
      </c>
      <c r="B31" s="20">
        <v>148833888</v>
      </c>
      <c r="C31" s="20">
        <v>3642232.409</v>
      </c>
      <c r="D31" s="20">
        <v>-3427963.3168208492</v>
      </c>
      <c r="E31" s="20">
        <v>-526142.77960000001</v>
      </c>
      <c r="F31" s="20">
        <f t="shared" si="1"/>
        <v>148522014.31259999</v>
      </c>
      <c r="G31" s="21">
        <v>48.900000000000006</v>
      </c>
      <c r="H31" s="21">
        <v>21.499999999999996</v>
      </c>
      <c r="I31" s="3">
        <v>30</v>
      </c>
      <c r="J31" s="3">
        <v>0</v>
      </c>
      <c r="K31" s="3">
        <v>352</v>
      </c>
      <c r="L31" s="3">
        <v>3727006.0477520162</v>
      </c>
      <c r="M31" s="1">
        <v>78683</v>
      </c>
      <c r="N31" s="3">
        <f t="shared" si="2"/>
        <v>144440892.38800001</v>
      </c>
      <c r="O31" s="22">
        <f t="shared" si="0"/>
        <v>2.7478229025431067E-2</v>
      </c>
      <c r="P31" s="447"/>
    </row>
    <row r="32" spans="1:34" x14ac:dyDescent="0.25">
      <c r="A32" s="8">
        <v>40725</v>
      </c>
      <c r="B32" s="20">
        <v>178623729</v>
      </c>
      <c r="C32" s="20">
        <v>3655249.0690000001</v>
      </c>
      <c r="D32" s="20">
        <v>-3789024.1205610265</v>
      </c>
      <c r="E32" s="20">
        <v>-461201.69880000001</v>
      </c>
      <c r="F32" s="20">
        <f t="shared" si="1"/>
        <v>178028752.24959999</v>
      </c>
      <c r="G32" s="21">
        <v>0.9</v>
      </c>
      <c r="H32" s="21">
        <v>128</v>
      </c>
      <c r="I32" s="3">
        <v>31</v>
      </c>
      <c r="J32" s="3">
        <v>0</v>
      </c>
      <c r="K32" s="3">
        <v>320</v>
      </c>
      <c r="L32" s="3">
        <v>3794992.1204146473</v>
      </c>
      <c r="M32" s="1">
        <v>78827</v>
      </c>
      <c r="N32" s="3">
        <f t="shared" si="2"/>
        <v>183801177.2473</v>
      </c>
      <c r="O32" s="22">
        <f t="shared" si="0"/>
        <v>3.2424116468596775E-2</v>
      </c>
      <c r="P32" s="447"/>
    </row>
    <row r="33" spans="1:15" x14ac:dyDescent="0.25">
      <c r="A33" s="8">
        <v>40756</v>
      </c>
      <c r="B33" s="20">
        <v>164128078</v>
      </c>
      <c r="C33" s="20">
        <v>3433020.8317000004</v>
      </c>
      <c r="D33" s="20">
        <v>-3755390.5255147717</v>
      </c>
      <c r="E33" s="20">
        <v>-591302.37095000001</v>
      </c>
      <c r="F33" s="20">
        <f t="shared" si="1"/>
        <v>163214405.93520001</v>
      </c>
      <c r="G33" s="21">
        <v>6.8999999999999995</v>
      </c>
      <c r="H33" s="21">
        <v>62.29999999999999</v>
      </c>
      <c r="I33" s="3">
        <v>31</v>
      </c>
      <c r="J33" s="3">
        <v>0</v>
      </c>
      <c r="K33" s="3">
        <v>352</v>
      </c>
      <c r="L33" s="3">
        <v>3862978.1930772783</v>
      </c>
      <c r="M33" s="1">
        <v>78974</v>
      </c>
      <c r="N33" s="3">
        <f t="shared" si="2"/>
        <v>161659143.7331</v>
      </c>
      <c r="O33" s="22">
        <f t="shared" si="0"/>
        <v>9.5289517686171221E-3</v>
      </c>
    </row>
    <row r="34" spans="1:15" x14ac:dyDescent="0.25">
      <c r="A34" s="8">
        <v>40787</v>
      </c>
      <c r="B34" s="20">
        <v>143183425</v>
      </c>
      <c r="C34" s="20">
        <v>2919649.1887000003</v>
      </c>
      <c r="D34" s="20">
        <v>-3198182.5166616929</v>
      </c>
      <c r="E34" s="20">
        <v>-674866.95589999994</v>
      </c>
      <c r="F34" s="20">
        <f t="shared" si="1"/>
        <v>142230024.71610001</v>
      </c>
      <c r="G34" s="21">
        <v>98.9</v>
      </c>
      <c r="H34" s="21">
        <v>21.099999999999998</v>
      </c>
      <c r="I34" s="3">
        <v>30</v>
      </c>
      <c r="J34" s="3">
        <v>1</v>
      </c>
      <c r="K34" s="3">
        <v>336</v>
      </c>
      <c r="L34" s="3">
        <v>3930964.2657399094</v>
      </c>
      <c r="M34" s="1">
        <v>79048</v>
      </c>
      <c r="N34" s="3">
        <f t="shared" si="2"/>
        <v>139348544.58500001</v>
      </c>
      <c r="O34" s="22">
        <f t="shared" ref="O34:O65" si="5">IFERROR((ABS(N34/F34-1)),0)</f>
        <v>2.0259295720798876E-2</v>
      </c>
    </row>
    <row r="35" spans="1:15" x14ac:dyDescent="0.25">
      <c r="A35" s="8">
        <v>40817</v>
      </c>
      <c r="B35" s="20">
        <v>143618154</v>
      </c>
      <c r="C35" s="20">
        <v>3035028.5625</v>
      </c>
      <c r="D35" s="20">
        <v>-2964004.8954540933</v>
      </c>
      <c r="E35" s="20">
        <v>-761843.63234999997</v>
      </c>
      <c r="F35" s="20">
        <f t="shared" si="1"/>
        <v>142927334.03470001</v>
      </c>
      <c r="G35" s="21">
        <v>280.5</v>
      </c>
      <c r="H35" s="21">
        <v>0</v>
      </c>
      <c r="I35" s="3">
        <v>31</v>
      </c>
      <c r="J35" s="3">
        <v>1</v>
      </c>
      <c r="K35" s="3">
        <v>320</v>
      </c>
      <c r="L35" s="3">
        <v>3998950.3384025404</v>
      </c>
      <c r="M35" s="1">
        <v>79169</v>
      </c>
      <c r="N35" s="3">
        <f t="shared" si="2"/>
        <v>141010458.66100001</v>
      </c>
      <c r="O35" s="22">
        <f t="shared" si="5"/>
        <v>1.3411538014377333E-2</v>
      </c>
    </row>
    <row r="36" spans="1:15" x14ac:dyDescent="0.25">
      <c r="A36" s="8">
        <v>40848</v>
      </c>
      <c r="B36" s="20">
        <v>146066573</v>
      </c>
      <c r="C36" s="20">
        <v>3083189.6196000003</v>
      </c>
      <c r="D36" s="20">
        <v>-2978683.2870784835</v>
      </c>
      <c r="E36" s="20">
        <v>-811158.70054999995</v>
      </c>
      <c r="F36" s="20">
        <f t="shared" si="1"/>
        <v>145359920.632</v>
      </c>
      <c r="G36" s="21">
        <v>383.1</v>
      </c>
      <c r="H36" s="21">
        <v>0</v>
      </c>
      <c r="I36" s="3">
        <v>30</v>
      </c>
      <c r="J36" s="3">
        <v>1</v>
      </c>
      <c r="K36" s="3">
        <v>352</v>
      </c>
      <c r="L36" s="3">
        <v>4066936.4110651715</v>
      </c>
      <c r="M36" s="1">
        <v>79320</v>
      </c>
      <c r="N36" s="3">
        <f t="shared" si="2"/>
        <v>143876429.82749999</v>
      </c>
      <c r="O36" s="22">
        <f t="shared" si="5"/>
        <v>1.0205638514729887E-2</v>
      </c>
    </row>
    <row r="37" spans="1:15" x14ac:dyDescent="0.25">
      <c r="A37" s="9">
        <v>40878</v>
      </c>
      <c r="B37" s="23">
        <v>159732793</v>
      </c>
      <c r="C37" s="23">
        <v>3298546.5112000001</v>
      </c>
      <c r="D37" s="23">
        <v>-2868216.0860439669</v>
      </c>
      <c r="E37" s="23">
        <v>-878190.95845000003</v>
      </c>
      <c r="F37" s="23">
        <f t="shared" si="1"/>
        <v>159284932.46669999</v>
      </c>
      <c r="G37" s="24">
        <v>575.09999999999991</v>
      </c>
      <c r="H37" s="24">
        <v>0</v>
      </c>
      <c r="I37" s="5">
        <v>31</v>
      </c>
      <c r="J37" s="5">
        <v>0</v>
      </c>
      <c r="K37" s="5">
        <v>320</v>
      </c>
      <c r="L37" s="5">
        <v>4134922.4837278025</v>
      </c>
      <c r="M37" s="10">
        <v>79391</v>
      </c>
      <c r="N37" s="5">
        <f t="shared" si="2"/>
        <v>158367923.03650001</v>
      </c>
      <c r="O37" s="25">
        <f t="shared" si="5"/>
        <v>5.7570381328547748E-3</v>
      </c>
    </row>
    <row r="38" spans="1:15" x14ac:dyDescent="0.25">
      <c r="A38" s="8">
        <v>40909</v>
      </c>
      <c r="B38" s="20">
        <v>167297863</v>
      </c>
      <c r="C38" s="20">
        <v>3308989.4794000001</v>
      </c>
      <c r="D38" s="20">
        <v>-2945812.8986372226</v>
      </c>
      <c r="E38" s="20">
        <v>-857696.10985000001</v>
      </c>
      <c r="F38" s="20">
        <f t="shared" si="1"/>
        <v>166803343.4709</v>
      </c>
      <c r="G38" s="21">
        <v>656.30000000000007</v>
      </c>
      <c r="H38" s="21">
        <v>0</v>
      </c>
      <c r="I38" s="2">
        <v>31</v>
      </c>
      <c r="J38" s="3">
        <v>0</v>
      </c>
      <c r="K38" s="3">
        <v>336</v>
      </c>
      <c r="L38" s="3">
        <v>4186232.8172741663</v>
      </c>
      <c r="M38" s="1">
        <v>79527</v>
      </c>
      <c r="N38" s="3">
        <f t="shared" si="2"/>
        <v>162776345.477</v>
      </c>
      <c r="O38" s="22">
        <f t="shared" si="5"/>
        <v>2.4142189899224231E-2</v>
      </c>
    </row>
    <row r="39" spans="1:15" x14ac:dyDescent="0.25">
      <c r="A39" s="8">
        <v>40940</v>
      </c>
      <c r="B39" s="20">
        <v>151749261</v>
      </c>
      <c r="C39" s="20">
        <v>3070041.1155999997</v>
      </c>
      <c r="D39" s="20">
        <v>-2754825.6843728237</v>
      </c>
      <c r="E39" s="20">
        <v>-741050.47549999994</v>
      </c>
      <c r="F39" s="20">
        <f t="shared" si="1"/>
        <v>151323425.95570001</v>
      </c>
      <c r="G39" s="21">
        <v>572.59999999999991</v>
      </c>
      <c r="H39" s="21">
        <v>0</v>
      </c>
      <c r="I39" s="2">
        <v>29</v>
      </c>
      <c r="J39" s="3">
        <v>0</v>
      </c>
      <c r="K39" s="3">
        <v>320</v>
      </c>
      <c r="L39" s="3">
        <v>4237543.15082053</v>
      </c>
      <c r="M39" s="1">
        <v>79677</v>
      </c>
      <c r="N39" s="3">
        <f t="shared" si="2"/>
        <v>151028887.91330001</v>
      </c>
      <c r="O39" s="22">
        <f t="shared" si="5"/>
        <v>1.9464140501698202E-3</v>
      </c>
    </row>
    <row r="40" spans="1:15" x14ac:dyDescent="0.25">
      <c r="A40" s="8">
        <v>40969</v>
      </c>
      <c r="B40" s="20">
        <v>149081825</v>
      </c>
      <c r="C40" s="20">
        <v>3441732.9915</v>
      </c>
      <c r="D40" s="20">
        <v>-2939880.0861434396</v>
      </c>
      <c r="E40" s="20">
        <v>-708360.22939999995</v>
      </c>
      <c r="F40" s="20">
        <f t="shared" si="1"/>
        <v>148875317.676</v>
      </c>
      <c r="G40" s="21">
        <v>370.2</v>
      </c>
      <c r="H40" s="21">
        <v>0</v>
      </c>
      <c r="I40" s="2">
        <v>31</v>
      </c>
      <c r="J40" s="3">
        <v>1</v>
      </c>
      <c r="K40" s="3">
        <v>352</v>
      </c>
      <c r="L40" s="3">
        <v>4288853.4843668938</v>
      </c>
      <c r="M40" s="1">
        <v>79729</v>
      </c>
      <c r="N40" s="3">
        <f t="shared" si="2"/>
        <v>146860518.24759999</v>
      </c>
      <c r="O40" s="22">
        <f t="shared" si="5"/>
        <v>1.353346854167492E-2</v>
      </c>
    </row>
    <row r="41" spans="1:15" x14ac:dyDescent="0.25">
      <c r="A41" s="8">
        <v>41000</v>
      </c>
      <c r="B41" s="20">
        <v>137212331</v>
      </c>
      <c r="C41" s="20">
        <v>3211863.4937999998</v>
      </c>
      <c r="D41" s="20">
        <v>-2842603.2891674126</v>
      </c>
      <c r="E41" s="20">
        <v>-602374.95534999995</v>
      </c>
      <c r="F41" s="20">
        <f t="shared" si="1"/>
        <v>136979216.2493</v>
      </c>
      <c r="G41" s="21">
        <v>365.9</v>
      </c>
      <c r="H41" s="21">
        <v>0</v>
      </c>
      <c r="I41" s="2">
        <v>30</v>
      </c>
      <c r="J41" s="3">
        <v>1</v>
      </c>
      <c r="K41" s="3">
        <v>320</v>
      </c>
      <c r="L41" s="3">
        <v>4340163.8179132575</v>
      </c>
      <c r="M41" s="1">
        <v>79814</v>
      </c>
      <c r="N41" s="3">
        <f t="shared" si="2"/>
        <v>140684067.7236</v>
      </c>
      <c r="O41" s="22">
        <f t="shared" si="5"/>
        <v>2.7046814660971918E-2</v>
      </c>
    </row>
    <row r="42" spans="1:15" x14ac:dyDescent="0.25">
      <c r="A42" s="8">
        <v>41030</v>
      </c>
      <c r="B42" s="20">
        <v>146013521</v>
      </c>
      <c r="C42" s="20">
        <v>3295565.1473999997</v>
      </c>
      <c r="D42" s="20">
        <v>-3333556.9132597232</v>
      </c>
      <c r="E42" s="20">
        <v>-549466.04205000005</v>
      </c>
      <c r="F42" s="20">
        <f t="shared" si="1"/>
        <v>145426063.19209999</v>
      </c>
      <c r="G42" s="21">
        <v>107.8</v>
      </c>
      <c r="H42" s="21">
        <v>18.099999999999998</v>
      </c>
      <c r="I42" s="2">
        <v>31</v>
      </c>
      <c r="J42" s="3">
        <v>1</v>
      </c>
      <c r="K42" s="3">
        <v>352</v>
      </c>
      <c r="L42" s="3">
        <v>4391474.1514596213</v>
      </c>
      <c r="M42" s="1">
        <v>79902</v>
      </c>
      <c r="N42" s="3">
        <f t="shared" si="2"/>
        <v>143171136.5923</v>
      </c>
      <c r="O42" s="22">
        <f t="shared" si="5"/>
        <v>1.5505656622371466E-2</v>
      </c>
    </row>
    <row r="43" spans="1:15" x14ac:dyDescent="0.25">
      <c r="A43" s="8">
        <v>41061</v>
      </c>
      <c r="B43" s="20">
        <v>156866745</v>
      </c>
      <c r="C43" s="20">
        <v>3174356.0354999998</v>
      </c>
      <c r="D43" s="20">
        <v>-3402436.9124639407</v>
      </c>
      <c r="E43" s="20">
        <v>-496238.6997</v>
      </c>
      <c r="F43" s="20">
        <f t="shared" si="1"/>
        <v>156142425.4233</v>
      </c>
      <c r="G43" s="21">
        <v>42.300000000000011</v>
      </c>
      <c r="H43" s="21">
        <v>60.399999999999991</v>
      </c>
      <c r="I43" s="2">
        <v>30</v>
      </c>
      <c r="J43" s="3">
        <v>0</v>
      </c>
      <c r="K43" s="3">
        <v>336</v>
      </c>
      <c r="L43" s="3">
        <v>4442784.485005985</v>
      </c>
      <c r="M43" s="1">
        <v>79956</v>
      </c>
      <c r="N43" s="3">
        <f t="shared" si="2"/>
        <v>157345107.49039999</v>
      </c>
      <c r="O43" s="22">
        <f t="shared" si="5"/>
        <v>7.7024682038819847E-3</v>
      </c>
    </row>
    <row r="44" spans="1:15" x14ac:dyDescent="0.25">
      <c r="A44" s="8">
        <v>41091</v>
      </c>
      <c r="B44" s="20">
        <v>181523408</v>
      </c>
      <c r="C44" s="20">
        <v>3077557.9137999997</v>
      </c>
      <c r="D44" s="20">
        <v>-3687072.1168805333</v>
      </c>
      <c r="E44" s="20">
        <v>-532987.10875000001</v>
      </c>
      <c r="F44" s="20">
        <f t="shared" si="1"/>
        <v>180380906.6882</v>
      </c>
      <c r="G44" s="21">
        <v>0.6</v>
      </c>
      <c r="H44" s="21">
        <v>126.4</v>
      </c>
      <c r="I44" s="2">
        <v>31</v>
      </c>
      <c r="J44" s="3">
        <v>0</v>
      </c>
      <c r="K44" s="3">
        <v>336</v>
      </c>
      <c r="L44" s="3">
        <v>4494094.8185523488</v>
      </c>
      <c r="M44" s="1">
        <v>80039</v>
      </c>
      <c r="N44" s="3">
        <f t="shared" si="2"/>
        <v>184110736.0079</v>
      </c>
      <c r="O44" s="22">
        <f t="shared" si="5"/>
        <v>2.0677517305904614E-2</v>
      </c>
    </row>
    <row r="45" spans="1:15" x14ac:dyDescent="0.25">
      <c r="A45" s="8">
        <v>41122</v>
      </c>
      <c r="B45" s="20">
        <v>164407829</v>
      </c>
      <c r="C45" s="20">
        <v>3066640.3250000002</v>
      </c>
      <c r="D45" s="20">
        <v>-3561124.9205212374</v>
      </c>
      <c r="E45" s="20">
        <v>-599914.01315000001</v>
      </c>
      <c r="F45" s="20">
        <f t="shared" si="1"/>
        <v>163313430.39129999</v>
      </c>
      <c r="G45" s="21">
        <v>19.500000000000004</v>
      </c>
      <c r="H45" s="21">
        <v>58.20000000000001</v>
      </c>
      <c r="I45" s="2">
        <v>31</v>
      </c>
      <c r="J45" s="3">
        <v>0</v>
      </c>
      <c r="K45" s="3">
        <v>352</v>
      </c>
      <c r="L45" s="3">
        <v>4545405.1520987125</v>
      </c>
      <c r="M45" s="1">
        <v>80099</v>
      </c>
      <c r="N45" s="3">
        <f t="shared" si="2"/>
        <v>160360793.17219999</v>
      </c>
      <c r="O45" s="22">
        <f t="shared" si="5"/>
        <v>1.8079573811078831E-2</v>
      </c>
    </row>
    <row r="46" spans="1:15" x14ac:dyDescent="0.25">
      <c r="A46" s="8">
        <v>41153</v>
      </c>
      <c r="B46" s="20">
        <v>143005966</v>
      </c>
      <c r="C46" s="20">
        <v>2785144.2812999999</v>
      </c>
      <c r="D46" s="20">
        <v>-3177710.4950760966</v>
      </c>
      <c r="E46" s="20">
        <v>-662437.96155000001</v>
      </c>
      <c r="F46" s="20">
        <f t="shared" si="1"/>
        <v>141950961.8247</v>
      </c>
      <c r="G46" s="21">
        <v>125.8</v>
      </c>
      <c r="H46" s="21">
        <v>16.200000000000003</v>
      </c>
      <c r="I46" s="2">
        <v>30</v>
      </c>
      <c r="J46" s="3">
        <v>1</v>
      </c>
      <c r="K46" s="3">
        <v>304</v>
      </c>
      <c r="L46" s="3">
        <v>4596715.4856450763</v>
      </c>
      <c r="M46" s="1">
        <v>80189</v>
      </c>
      <c r="N46" s="3">
        <f t="shared" si="2"/>
        <v>135922155.9208</v>
      </c>
      <c r="O46" s="22">
        <f t="shared" si="5"/>
        <v>4.2471046524821476E-2</v>
      </c>
    </row>
    <row r="47" spans="1:15" x14ac:dyDescent="0.25">
      <c r="A47" s="8">
        <v>41183</v>
      </c>
      <c r="B47" s="20">
        <v>145715525</v>
      </c>
      <c r="C47" s="20">
        <v>2739275.3606000002</v>
      </c>
      <c r="D47" s="20">
        <v>-3134256.0963891377</v>
      </c>
      <c r="E47" s="20">
        <v>-770990.63785000006</v>
      </c>
      <c r="F47" s="20">
        <f t="shared" si="1"/>
        <v>144549553.62639999</v>
      </c>
      <c r="G47" s="21">
        <v>280.5</v>
      </c>
      <c r="H47" s="21">
        <v>0</v>
      </c>
      <c r="I47" s="2">
        <v>31</v>
      </c>
      <c r="J47" s="3">
        <v>1</v>
      </c>
      <c r="K47" s="3">
        <v>352</v>
      </c>
      <c r="L47" s="3">
        <v>4648025.81919144</v>
      </c>
      <c r="M47" s="1">
        <v>80266</v>
      </c>
      <c r="N47" s="3">
        <f t="shared" si="2"/>
        <v>143157076.46529999</v>
      </c>
      <c r="O47" s="22">
        <f t="shared" si="5"/>
        <v>9.6332166109551753E-3</v>
      </c>
    </row>
    <row r="48" spans="1:15" x14ac:dyDescent="0.25">
      <c r="A48" s="8">
        <v>41214</v>
      </c>
      <c r="B48" s="20">
        <v>149958942</v>
      </c>
      <c r="C48" s="20">
        <v>2848806.0047999998</v>
      </c>
      <c r="D48" s="20">
        <v>-2934945.6920322292</v>
      </c>
      <c r="E48" s="20">
        <v>-819563.59840000002</v>
      </c>
      <c r="F48" s="20">
        <f t="shared" si="1"/>
        <v>149053238.71439999</v>
      </c>
      <c r="G48" s="21">
        <v>484</v>
      </c>
      <c r="H48" s="21">
        <v>0</v>
      </c>
      <c r="I48" s="2">
        <v>30</v>
      </c>
      <c r="J48" s="3">
        <v>1</v>
      </c>
      <c r="K48" s="3">
        <v>352</v>
      </c>
      <c r="L48" s="3">
        <v>4699336.1527378038</v>
      </c>
      <c r="M48" s="1">
        <v>80345</v>
      </c>
      <c r="N48" s="3">
        <f t="shared" si="2"/>
        <v>147666587.27250001</v>
      </c>
      <c r="O48" s="22">
        <f t="shared" si="5"/>
        <v>9.303061468908691E-3</v>
      </c>
    </row>
    <row r="49" spans="1:15" x14ac:dyDescent="0.25">
      <c r="A49" s="9">
        <v>41244</v>
      </c>
      <c r="B49" s="23">
        <v>157244281</v>
      </c>
      <c r="C49" s="23">
        <v>3332783.3693999997</v>
      </c>
      <c r="D49" s="23">
        <v>-2737694.4787625582</v>
      </c>
      <c r="E49" s="23">
        <v>-885766.48124999995</v>
      </c>
      <c r="F49" s="23">
        <f t="shared" si="1"/>
        <v>156953603.40939999</v>
      </c>
      <c r="G49" s="24">
        <v>565.20000000000005</v>
      </c>
      <c r="H49" s="24">
        <v>0</v>
      </c>
      <c r="I49" s="6">
        <v>31</v>
      </c>
      <c r="J49" s="5">
        <v>0</v>
      </c>
      <c r="K49" s="5">
        <v>304</v>
      </c>
      <c r="L49" s="5">
        <v>4750646.4862841675</v>
      </c>
      <c r="M49" s="10">
        <v>80415</v>
      </c>
      <c r="N49" s="5">
        <f t="shared" si="2"/>
        <v>156541924.66080001</v>
      </c>
      <c r="O49" s="25">
        <f t="shared" si="5"/>
        <v>2.6229327626594579E-3</v>
      </c>
    </row>
    <row r="50" spans="1:15" x14ac:dyDescent="0.25">
      <c r="A50" s="8">
        <v>41275</v>
      </c>
      <c r="B50" s="20">
        <v>166887939</v>
      </c>
      <c r="C50" s="20">
        <v>3380704.4913999997</v>
      </c>
      <c r="D50" s="20">
        <v>-2983843.2839948274</v>
      </c>
      <c r="E50" s="20">
        <v>-864038.91095000005</v>
      </c>
      <c r="F50" s="20">
        <f t="shared" si="1"/>
        <v>166420761.2965</v>
      </c>
      <c r="G50" s="21">
        <v>680.69999999999993</v>
      </c>
      <c r="H50" s="21">
        <v>0</v>
      </c>
      <c r="I50" s="3">
        <v>31</v>
      </c>
      <c r="J50" s="3">
        <v>0</v>
      </c>
      <c r="K50" s="3">
        <v>352</v>
      </c>
      <c r="L50" s="3">
        <v>4775749.6932718595</v>
      </c>
      <c r="M50" s="1">
        <v>80473</v>
      </c>
      <c r="N50" s="3">
        <f t="shared" si="2"/>
        <v>164730327.93259999</v>
      </c>
      <c r="O50" s="22">
        <f t="shared" si="5"/>
        <v>1.0157587014568925E-2</v>
      </c>
    </row>
    <row r="51" spans="1:15" x14ac:dyDescent="0.25">
      <c r="A51" s="8">
        <v>41306</v>
      </c>
      <c r="B51" s="20">
        <v>151813490.00000003</v>
      </c>
      <c r="C51" s="20">
        <v>3110013.9947000002</v>
      </c>
      <c r="D51" s="20">
        <v>-2601825.6823833678</v>
      </c>
      <c r="E51" s="20">
        <v>-720995.59750000003</v>
      </c>
      <c r="F51" s="20">
        <f t="shared" si="1"/>
        <v>151600682.7148</v>
      </c>
      <c r="G51" s="21">
        <v>696.90000000000009</v>
      </c>
      <c r="H51" s="21">
        <v>0</v>
      </c>
      <c r="I51" s="3">
        <v>29</v>
      </c>
      <c r="J51" s="3">
        <v>0</v>
      </c>
      <c r="K51" s="3">
        <v>304</v>
      </c>
      <c r="L51" s="3">
        <v>4800852.9002595516</v>
      </c>
      <c r="M51" s="1">
        <v>80540</v>
      </c>
      <c r="N51" s="3">
        <f t="shared" si="2"/>
        <v>154589261.93990001</v>
      </c>
      <c r="O51" s="22">
        <f t="shared" si="5"/>
        <v>1.9713494501355955E-2</v>
      </c>
    </row>
    <row r="52" spans="1:15" x14ac:dyDescent="0.25">
      <c r="A52" s="8">
        <v>41334</v>
      </c>
      <c r="B52" s="20">
        <v>156390854</v>
      </c>
      <c r="C52" s="20">
        <v>3559799.1553000002</v>
      </c>
      <c r="D52" s="20">
        <v>-2817950.4828409427</v>
      </c>
      <c r="E52" s="20">
        <v>-714800.4902</v>
      </c>
      <c r="F52" s="20">
        <f t="shared" si="1"/>
        <v>156417902.1823</v>
      </c>
      <c r="G52" s="21">
        <v>611.99999999999989</v>
      </c>
      <c r="H52" s="21">
        <v>0</v>
      </c>
      <c r="I52" s="3">
        <v>31</v>
      </c>
      <c r="J52" s="3">
        <v>1</v>
      </c>
      <c r="K52" s="3">
        <v>320</v>
      </c>
      <c r="L52" s="3">
        <v>4825956.1072472436</v>
      </c>
      <c r="M52" s="1">
        <v>80596</v>
      </c>
      <c r="N52" s="3">
        <f t="shared" si="2"/>
        <v>153911607.26120001</v>
      </c>
      <c r="O52" s="22">
        <f t="shared" si="5"/>
        <v>1.602306952166499E-2</v>
      </c>
    </row>
    <row r="53" spans="1:15" x14ac:dyDescent="0.25">
      <c r="A53" s="8">
        <v>41365</v>
      </c>
      <c r="B53" s="20">
        <v>141874300.99999997</v>
      </c>
      <c r="C53" s="20">
        <v>3477633.2572999997</v>
      </c>
      <c r="D53" s="20">
        <v>-2931379.291952651</v>
      </c>
      <c r="E53" s="20">
        <v>-607439.21909999999</v>
      </c>
      <c r="F53" s="20">
        <f t="shared" si="1"/>
        <v>141813115.7462</v>
      </c>
      <c r="G53" s="21">
        <v>384.9</v>
      </c>
      <c r="H53" s="21">
        <v>0</v>
      </c>
      <c r="I53" s="3">
        <v>30</v>
      </c>
      <c r="J53" s="3">
        <v>1</v>
      </c>
      <c r="K53" s="3">
        <v>352</v>
      </c>
      <c r="L53" s="3">
        <v>4851059.3142349357</v>
      </c>
      <c r="M53" s="1">
        <v>80632</v>
      </c>
      <c r="N53" s="3">
        <f t="shared" si="2"/>
        <v>143649757.954</v>
      </c>
      <c r="O53" s="22">
        <f t="shared" si="5"/>
        <v>1.2951144879201459E-2</v>
      </c>
    </row>
    <row r="54" spans="1:15" x14ac:dyDescent="0.25">
      <c r="A54" s="8">
        <v>41395</v>
      </c>
      <c r="B54" s="20">
        <v>141124267.99999997</v>
      </c>
      <c r="C54" s="20">
        <v>3738459.7997999997</v>
      </c>
      <c r="D54" s="20">
        <v>-3353942.524122152</v>
      </c>
      <c r="E54" s="20">
        <v>-553833.38459999999</v>
      </c>
      <c r="F54" s="20">
        <f t="shared" si="1"/>
        <v>140954951.89109999</v>
      </c>
      <c r="G54" s="21">
        <v>153.20000000000002</v>
      </c>
      <c r="H54" s="21">
        <v>19.5</v>
      </c>
      <c r="I54" s="3">
        <v>31</v>
      </c>
      <c r="J54" s="3">
        <v>1</v>
      </c>
      <c r="K54" s="3">
        <v>352</v>
      </c>
      <c r="L54" s="3">
        <v>4876162.5212226277</v>
      </c>
      <c r="M54" s="1">
        <v>80705</v>
      </c>
      <c r="N54" s="3">
        <f t="shared" si="2"/>
        <v>145326392.0377</v>
      </c>
      <c r="O54" s="22">
        <f t="shared" si="5"/>
        <v>3.101302996419264E-2</v>
      </c>
    </row>
    <row r="55" spans="1:15" x14ac:dyDescent="0.25">
      <c r="A55" s="8">
        <v>41426</v>
      </c>
      <c r="B55" s="20">
        <v>147458381.00000003</v>
      </c>
      <c r="C55" s="20">
        <v>3589014.2058000006</v>
      </c>
      <c r="D55" s="20">
        <v>-3438075.9181338898</v>
      </c>
      <c r="E55" s="20">
        <v>-499557.07895</v>
      </c>
      <c r="F55" s="20">
        <f t="shared" si="1"/>
        <v>147109762.2087</v>
      </c>
      <c r="G55" s="21">
        <v>54.599999999999994</v>
      </c>
      <c r="H55" s="21">
        <v>36.9</v>
      </c>
      <c r="I55" s="3">
        <v>30</v>
      </c>
      <c r="J55" s="3">
        <v>0</v>
      </c>
      <c r="K55" s="3">
        <v>320</v>
      </c>
      <c r="L55" s="3">
        <v>4901265.7282103198</v>
      </c>
      <c r="M55" s="1">
        <v>80830</v>
      </c>
      <c r="N55" s="3">
        <f t="shared" si="2"/>
        <v>147593264.84599999</v>
      </c>
      <c r="O55" s="22">
        <f t="shared" si="5"/>
        <v>3.286679483677224E-3</v>
      </c>
    </row>
    <row r="56" spans="1:15" x14ac:dyDescent="0.25">
      <c r="A56" s="8">
        <v>41456</v>
      </c>
      <c r="B56" s="20">
        <v>168337886</v>
      </c>
      <c r="C56" s="20">
        <v>3710031.9615000002</v>
      </c>
      <c r="D56" s="20">
        <v>-3764270.5253158258</v>
      </c>
      <c r="E56" s="20">
        <v>-536638.62939999998</v>
      </c>
      <c r="F56" s="20">
        <f t="shared" si="1"/>
        <v>167747008.80680001</v>
      </c>
      <c r="G56" s="21">
        <v>15.399999999999999</v>
      </c>
      <c r="H56" s="21">
        <v>85.4</v>
      </c>
      <c r="I56" s="3">
        <v>31</v>
      </c>
      <c r="J56" s="3">
        <v>0</v>
      </c>
      <c r="K56" s="3">
        <v>352</v>
      </c>
      <c r="L56" s="3">
        <v>4926368.9351980118</v>
      </c>
      <c r="M56" s="1">
        <v>80929</v>
      </c>
      <c r="N56" s="3">
        <f t="shared" si="2"/>
        <v>170262345.01499999</v>
      </c>
      <c r="O56" s="22">
        <f t="shared" si="5"/>
        <v>1.4994820033405132E-2</v>
      </c>
    </row>
    <row r="57" spans="1:15" x14ac:dyDescent="0.25">
      <c r="A57" s="8">
        <v>41487</v>
      </c>
      <c r="B57" s="20">
        <v>156613822</v>
      </c>
      <c r="C57" s="20">
        <v>3609240.3678000006</v>
      </c>
      <c r="D57" s="20">
        <v>-3507067.3174176859</v>
      </c>
      <c r="E57" s="20">
        <v>-602351.78015000001</v>
      </c>
      <c r="F57" s="20">
        <f t="shared" si="1"/>
        <v>156113643.27020001</v>
      </c>
      <c r="G57" s="21">
        <v>33.1</v>
      </c>
      <c r="H57" s="21">
        <v>41.800000000000004</v>
      </c>
      <c r="I57" s="3">
        <v>31</v>
      </c>
      <c r="J57" s="3">
        <v>0</v>
      </c>
      <c r="K57" s="3">
        <v>336</v>
      </c>
      <c r="L57" s="3">
        <v>4951472.1421857039</v>
      </c>
      <c r="M57" s="1">
        <v>80985</v>
      </c>
      <c r="N57" s="3">
        <f t="shared" si="2"/>
        <v>153337051.16159999</v>
      </c>
      <c r="O57" s="22">
        <f t="shared" si="5"/>
        <v>1.7785710783741804E-2</v>
      </c>
    </row>
    <row r="58" spans="1:15" x14ac:dyDescent="0.25">
      <c r="A58" s="8">
        <v>41518</v>
      </c>
      <c r="B58" s="20">
        <v>141695735.00000003</v>
      </c>
      <c r="C58" s="20">
        <v>3066299.1931000003</v>
      </c>
      <c r="D58" s="20">
        <v>-3160454.5015418278</v>
      </c>
      <c r="E58" s="20">
        <v>-663796.93530000001</v>
      </c>
      <c r="F58" s="20">
        <f t="shared" si="1"/>
        <v>140937782.7563</v>
      </c>
      <c r="G58" s="21">
        <v>130.80000000000001</v>
      </c>
      <c r="H58" s="21">
        <v>20.5</v>
      </c>
      <c r="I58" s="3">
        <v>30</v>
      </c>
      <c r="J58" s="3">
        <v>1</v>
      </c>
      <c r="K58" s="3">
        <v>320</v>
      </c>
      <c r="L58" s="3">
        <v>4976575.3491733959</v>
      </c>
      <c r="M58" s="1">
        <v>81159</v>
      </c>
      <c r="N58" s="3">
        <f t="shared" si="2"/>
        <v>138734526.7958</v>
      </c>
      <c r="O58" s="22">
        <f t="shared" si="5"/>
        <v>1.5632826892911456E-2</v>
      </c>
    </row>
    <row r="59" spans="1:15" x14ac:dyDescent="0.25">
      <c r="A59" s="8">
        <v>41548</v>
      </c>
      <c r="B59" s="20">
        <v>143048402</v>
      </c>
      <c r="C59" s="20">
        <v>3464664.6814000001</v>
      </c>
      <c r="D59" s="20">
        <v>-3144988.8845120859</v>
      </c>
      <c r="E59" s="20">
        <v>-772868.34230000002</v>
      </c>
      <c r="F59" s="20">
        <f t="shared" si="1"/>
        <v>142595209.45460001</v>
      </c>
      <c r="G59" s="21">
        <v>261.10000000000002</v>
      </c>
      <c r="H59" s="21">
        <v>0</v>
      </c>
      <c r="I59" s="3">
        <v>31</v>
      </c>
      <c r="J59" s="3">
        <v>1</v>
      </c>
      <c r="K59" s="3">
        <v>352</v>
      </c>
      <c r="L59" s="3">
        <v>5001678.5561610879</v>
      </c>
      <c r="M59" s="1">
        <v>81234</v>
      </c>
      <c r="N59" s="3">
        <f t="shared" si="2"/>
        <v>142181231.20649999</v>
      </c>
      <c r="O59" s="22">
        <f t="shared" si="5"/>
        <v>2.9031707985380795E-3</v>
      </c>
    </row>
    <row r="60" spans="1:15" x14ac:dyDescent="0.25">
      <c r="A60" s="8">
        <v>41579</v>
      </c>
      <c r="B60" s="20">
        <v>150584276.99999994</v>
      </c>
      <c r="C60" s="20">
        <v>3374964.8167000003</v>
      </c>
      <c r="D60" s="20">
        <v>-2799523.2917537051</v>
      </c>
      <c r="E60" s="20">
        <v>-822160.26029999997</v>
      </c>
      <c r="F60" s="20">
        <f t="shared" si="1"/>
        <v>150337558.26460001</v>
      </c>
      <c r="G60" s="21">
        <v>517.69999999999993</v>
      </c>
      <c r="H60" s="21">
        <v>0</v>
      </c>
      <c r="I60" s="3">
        <v>30</v>
      </c>
      <c r="J60" s="3">
        <v>1</v>
      </c>
      <c r="K60" s="3">
        <v>336</v>
      </c>
      <c r="L60" s="3">
        <v>5026781.76314878</v>
      </c>
      <c r="M60" s="1">
        <v>81279</v>
      </c>
      <c r="N60" s="3">
        <f t="shared" si="2"/>
        <v>147619313.40450001</v>
      </c>
      <c r="O60" s="22">
        <f t="shared" si="5"/>
        <v>1.8080943255149751E-2</v>
      </c>
    </row>
    <row r="61" spans="1:15" x14ac:dyDescent="0.25">
      <c r="A61" s="9">
        <v>41609</v>
      </c>
      <c r="B61" s="23">
        <v>164601316.99999997</v>
      </c>
      <c r="C61" s="23">
        <v>3053675.4243999999</v>
      </c>
      <c r="D61" s="23">
        <v>-2737200.0793792894</v>
      </c>
      <c r="E61" s="23">
        <v>-888718.88840000005</v>
      </c>
      <c r="F61" s="23">
        <f t="shared" si="1"/>
        <v>164029073.45660001</v>
      </c>
      <c r="G61" s="24">
        <v>726.59999999999991</v>
      </c>
      <c r="H61" s="24">
        <v>0</v>
      </c>
      <c r="I61" s="5">
        <v>31</v>
      </c>
      <c r="J61" s="5">
        <v>0</v>
      </c>
      <c r="K61" s="5">
        <v>320</v>
      </c>
      <c r="L61" s="5">
        <v>5051884.970136472</v>
      </c>
      <c r="M61" s="10">
        <v>81351</v>
      </c>
      <c r="N61" s="5">
        <f t="shared" si="2"/>
        <v>163986080.44409999</v>
      </c>
      <c r="O61" s="25">
        <f t="shared" si="5"/>
        <v>2.6210604982412899E-4</v>
      </c>
    </row>
    <row r="62" spans="1:15" x14ac:dyDescent="0.25">
      <c r="A62" s="8">
        <v>41640</v>
      </c>
      <c r="B62" s="20">
        <v>176937928.00000003</v>
      </c>
      <c r="C62" s="20">
        <v>3117284.6735999999</v>
      </c>
      <c r="D62" s="20">
        <v>-2753337.6744255442</v>
      </c>
      <c r="E62" s="20">
        <v>-866484.92044999998</v>
      </c>
      <c r="F62" s="20">
        <f t="shared" si="1"/>
        <v>176435390.07870001</v>
      </c>
      <c r="G62" s="21">
        <v>867.6</v>
      </c>
      <c r="H62" s="21">
        <v>0</v>
      </c>
      <c r="I62" s="3">
        <v>31</v>
      </c>
      <c r="J62" s="3">
        <v>0</v>
      </c>
      <c r="K62" s="3">
        <v>352</v>
      </c>
      <c r="L62" s="3">
        <v>5118165.0729199639</v>
      </c>
      <c r="M62" s="1">
        <v>81405</v>
      </c>
      <c r="N62" s="3">
        <f t="shared" si="2"/>
        <v>171991240.90509999</v>
      </c>
      <c r="O62" s="22">
        <f t="shared" si="5"/>
        <v>2.5188535993927785E-2</v>
      </c>
    </row>
    <row r="63" spans="1:15" x14ac:dyDescent="0.25">
      <c r="A63" s="8">
        <v>41671</v>
      </c>
      <c r="B63" s="20">
        <v>156052442.00000003</v>
      </c>
      <c r="C63" s="20">
        <v>2695981.3314999999</v>
      </c>
      <c r="D63" s="20">
        <v>-2421009.6821844224</v>
      </c>
      <c r="E63" s="20">
        <v>-722959.56515000004</v>
      </c>
      <c r="F63" s="20">
        <f t="shared" si="1"/>
        <v>155604454.08419999</v>
      </c>
      <c r="G63" s="21">
        <v>830.9</v>
      </c>
      <c r="H63" s="21">
        <v>0</v>
      </c>
      <c r="I63" s="3">
        <v>28</v>
      </c>
      <c r="J63" s="3">
        <v>0</v>
      </c>
      <c r="K63" s="3">
        <v>304</v>
      </c>
      <c r="L63" s="3">
        <v>5184445.1757034557</v>
      </c>
      <c r="M63" s="1">
        <v>81457</v>
      </c>
      <c r="N63" s="3">
        <f t="shared" si="2"/>
        <v>156149419.84130001</v>
      </c>
      <c r="O63" s="22">
        <f t="shared" si="5"/>
        <v>3.5022503713495468E-3</v>
      </c>
    </row>
    <row r="64" spans="1:15" x14ac:dyDescent="0.25">
      <c r="A64" s="8">
        <v>41699</v>
      </c>
      <c r="B64" s="20">
        <v>164051051</v>
      </c>
      <c r="C64" s="20">
        <v>3508123.4853000003</v>
      </c>
      <c r="D64" s="20">
        <v>-2698785.674823436</v>
      </c>
      <c r="E64" s="20">
        <v>-716752.8051</v>
      </c>
      <c r="F64" s="20">
        <f t="shared" si="1"/>
        <v>164143636.0054</v>
      </c>
      <c r="G64" s="21">
        <v>757.09999999999991</v>
      </c>
      <c r="H64" s="21">
        <v>0</v>
      </c>
      <c r="I64" s="3">
        <v>31</v>
      </c>
      <c r="J64" s="3">
        <v>1</v>
      </c>
      <c r="K64" s="3">
        <v>336</v>
      </c>
      <c r="L64" s="3">
        <v>5250725.2784869475</v>
      </c>
      <c r="M64" s="1">
        <v>81528</v>
      </c>
      <c r="N64" s="3">
        <f t="shared" si="2"/>
        <v>160696241.64500001</v>
      </c>
      <c r="O64" s="22">
        <f t="shared" si="5"/>
        <v>2.1002302887250357E-2</v>
      </c>
    </row>
    <row r="65" spans="1:15" x14ac:dyDescent="0.25">
      <c r="A65" s="8">
        <v>41730</v>
      </c>
      <c r="B65" s="20">
        <v>139469349</v>
      </c>
      <c r="C65" s="20">
        <v>3309527.9556</v>
      </c>
      <c r="D65" s="20">
        <v>-2679379.2657913058</v>
      </c>
      <c r="E65" s="20">
        <v>-609286.27560000005</v>
      </c>
      <c r="F65" s="20">
        <f t="shared" si="1"/>
        <v>139490211.41420001</v>
      </c>
      <c r="G65" s="21">
        <v>390.70000000000005</v>
      </c>
      <c r="H65" s="21">
        <v>0</v>
      </c>
      <c r="I65" s="3">
        <v>30</v>
      </c>
      <c r="J65" s="3">
        <v>1</v>
      </c>
      <c r="K65" s="3">
        <v>336</v>
      </c>
      <c r="L65" s="3">
        <v>5317005.3812704394</v>
      </c>
      <c r="M65" s="1">
        <v>81614</v>
      </c>
      <c r="N65" s="3">
        <f t="shared" si="2"/>
        <v>142469710.5104</v>
      </c>
      <c r="O65" s="22">
        <f t="shared" si="5"/>
        <v>2.1359915265686258E-2</v>
      </c>
    </row>
    <row r="66" spans="1:15" x14ac:dyDescent="0.25">
      <c r="A66" s="8">
        <v>41760</v>
      </c>
      <c r="B66" s="20">
        <v>138347944</v>
      </c>
      <c r="C66" s="20">
        <v>3782220.5157999997</v>
      </c>
      <c r="D66" s="20">
        <v>-2764046.4747836464</v>
      </c>
      <c r="E66" s="20">
        <v>-557153.65610000002</v>
      </c>
      <c r="F66" s="20">
        <f t="shared" si="1"/>
        <v>138808964.3849</v>
      </c>
      <c r="G66" s="21">
        <v>172.1</v>
      </c>
      <c r="H66" s="21">
        <v>8.6</v>
      </c>
      <c r="I66" s="3">
        <v>31</v>
      </c>
      <c r="J66" s="3">
        <v>1</v>
      </c>
      <c r="K66" s="3">
        <v>336</v>
      </c>
      <c r="L66" s="3">
        <v>5383285.4840539312</v>
      </c>
      <c r="M66" s="1">
        <v>81675</v>
      </c>
      <c r="N66" s="3">
        <f t="shared" si="2"/>
        <v>140562349.39629999</v>
      </c>
      <c r="O66" s="22">
        <f t="shared" ref="O66:O97" si="6">IFERROR((ABS(N66/F66-1)),0)</f>
        <v>1.2631641041122244E-2</v>
      </c>
    </row>
    <row r="67" spans="1:15" x14ac:dyDescent="0.25">
      <c r="A67" s="8">
        <v>41791</v>
      </c>
      <c r="B67" s="20">
        <v>151167417</v>
      </c>
      <c r="C67" s="20">
        <v>3556970.6538</v>
      </c>
      <c r="D67" s="20">
        <v>-3103497.6992937429</v>
      </c>
      <c r="E67" s="20">
        <v>-502783.67080000002</v>
      </c>
      <c r="F67" s="20">
        <f t="shared" ref="F67:F130" si="7">ROUND((SUM(B67:E67)),4)</f>
        <v>151118106.28369999</v>
      </c>
      <c r="G67" s="21">
        <v>37.799999999999997</v>
      </c>
      <c r="H67" s="21">
        <v>43.9</v>
      </c>
      <c r="I67" s="3">
        <v>30</v>
      </c>
      <c r="J67" s="3">
        <v>0</v>
      </c>
      <c r="K67" s="3">
        <v>336</v>
      </c>
      <c r="L67" s="3">
        <v>5449565.586837423</v>
      </c>
      <c r="M67" s="1">
        <v>81753</v>
      </c>
      <c r="N67" s="3">
        <f t="shared" ref="N67:N130" si="8">ROUND(($Q$17+G67*$Q$18+H67*$Q$19+I67*$Q$20+J67*$Q$21+K67*$Q$22+L67*$Q$23+M67*$Q$24),4)</f>
        <v>150547696.01679999</v>
      </c>
      <c r="O67" s="22">
        <f t="shared" si="6"/>
        <v>3.7745990929052287E-3</v>
      </c>
    </row>
    <row r="68" spans="1:15" x14ac:dyDescent="0.25">
      <c r="A68" s="8">
        <v>41821</v>
      </c>
      <c r="B68" s="20">
        <v>151381289.99999997</v>
      </c>
      <c r="C68" s="20">
        <v>3307852.9447999997</v>
      </c>
      <c r="D68" s="20">
        <v>-3244492.8942604195</v>
      </c>
      <c r="E68" s="20">
        <v>-538866.65529999998</v>
      </c>
      <c r="F68" s="20">
        <f t="shared" si="7"/>
        <v>150905783.39520001</v>
      </c>
      <c r="G68" s="21">
        <v>37.300000000000004</v>
      </c>
      <c r="H68" s="21">
        <v>37.70000000000001</v>
      </c>
      <c r="I68" s="3">
        <v>31</v>
      </c>
      <c r="J68" s="3">
        <v>0</v>
      </c>
      <c r="K68" s="3">
        <v>352</v>
      </c>
      <c r="L68" s="3">
        <v>5515845.6896209149</v>
      </c>
      <c r="M68" s="1">
        <v>81852</v>
      </c>
      <c r="N68" s="3">
        <f t="shared" si="8"/>
        <v>152957206.92129999</v>
      </c>
      <c r="O68" s="22">
        <f t="shared" si="6"/>
        <v>1.3594068298413697E-2</v>
      </c>
    </row>
    <row r="69" spans="1:15" x14ac:dyDescent="0.25">
      <c r="A69" s="8">
        <v>41852</v>
      </c>
      <c r="B69" s="20">
        <v>149335009.99999997</v>
      </c>
      <c r="C69" s="20">
        <v>3642561.9632999999</v>
      </c>
      <c r="D69" s="20">
        <v>-2926684.9079876649</v>
      </c>
      <c r="E69" s="20">
        <v>-605462.47395000001</v>
      </c>
      <c r="F69" s="20">
        <f t="shared" si="7"/>
        <v>149445424.58140001</v>
      </c>
      <c r="G69" s="21">
        <v>31.9</v>
      </c>
      <c r="H69" s="21">
        <v>27.1</v>
      </c>
      <c r="I69" s="3">
        <v>31</v>
      </c>
      <c r="J69" s="3">
        <v>0</v>
      </c>
      <c r="K69" s="3">
        <v>320</v>
      </c>
      <c r="L69" s="3">
        <v>5582125.7924044067</v>
      </c>
      <c r="M69" s="1">
        <v>82014</v>
      </c>
      <c r="N69" s="3">
        <f t="shared" si="8"/>
        <v>146319397.12130001</v>
      </c>
      <c r="O69" s="22">
        <f t="shared" si="6"/>
        <v>2.0917518678514657E-2</v>
      </c>
    </row>
    <row r="70" spans="1:15" x14ac:dyDescent="0.25">
      <c r="A70" s="8">
        <v>41883</v>
      </c>
      <c r="B70" s="20">
        <v>139766060.99999997</v>
      </c>
      <c r="C70" s="20">
        <v>3545627.7272999994</v>
      </c>
      <c r="D70" s="20">
        <v>-2483016.0842534569</v>
      </c>
      <c r="E70" s="20">
        <v>-667671.53850000002</v>
      </c>
      <c r="F70" s="20">
        <f t="shared" si="7"/>
        <v>140161001.1045</v>
      </c>
      <c r="G70" s="21">
        <v>117.60000000000002</v>
      </c>
      <c r="H70" s="21">
        <v>11.200000000000001</v>
      </c>
      <c r="I70" s="3">
        <v>30</v>
      </c>
      <c r="J70" s="3">
        <v>1</v>
      </c>
      <c r="K70" s="3">
        <v>336</v>
      </c>
      <c r="L70" s="3">
        <v>5648405.8951878985</v>
      </c>
      <c r="M70" s="1">
        <v>82117</v>
      </c>
      <c r="N70" s="3">
        <f t="shared" si="8"/>
        <v>135677056.55050001</v>
      </c>
      <c r="O70" s="22">
        <f t="shared" si="6"/>
        <v>3.1991385040528453E-2</v>
      </c>
    </row>
    <row r="71" spans="1:15" x14ac:dyDescent="0.25">
      <c r="A71" s="8">
        <v>41913</v>
      </c>
      <c r="B71" s="20">
        <v>139367656.99999997</v>
      </c>
      <c r="C71" s="20">
        <v>3215895.2414000002</v>
      </c>
      <c r="D71" s="20">
        <v>-2397696.0781856161</v>
      </c>
      <c r="E71" s="20">
        <v>-778283.61754999997</v>
      </c>
      <c r="F71" s="20">
        <f t="shared" si="7"/>
        <v>139407572.54570001</v>
      </c>
      <c r="G71" s="21">
        <v>271.7</v>
      </c>
      <c r="H71" s="21">
        <v>0</v>
      </c>
      <c r="I71" s="3">
        <v>31</v>
      </c>
      <c r="J71" s="3">
        <v>1</v>
      </c>
      <c r="K71" s="3">
        <v>352</v>
      </c>
      <c r="L71" s="3">
        <v>5714685.9979713904</v>
      </c>
      <c r="M71" s="1">
        <v>82238</v>
      </c>
      <c r="N71" s="3">
        <f t="shared" si="8"/>
        <v>142366498.76640001</v>
      </c>
      <c r="O71" s="22">
        <f t="shared" si="6"/>
        <v>2.1225003539388165E-2</v>
      </c>
    </row>
    <row r="72" spans="1:15" x14ac:dyDescent="0.25">
      <c r="A72" s="8">
        <v>41944</v>
      </c>
      <c r="B72" s="20">
        <v>149943539.00000006</v>
      </c>
      <c r="C72" s="20">
        <v>2898608.1288000001</v>
      </c>
      <c r="D72" s="20">
        <v>-2214508.8672038196</v>
      </c>
      <c r="E72" s="20">
        <v>-827745.24309999996</v>
      </c>
      <c r="F72" s="20">
        <f t="shared" si="7"/>
        <v>149799893.0185</v>
      </c>
      <c r="G72" s="21">
        <v>532.20000000000005</v>
      </c>
      <c r="H72" s="21">
        <v>0</v>
      </c>
      <c r="I72" s="3">
        <v>30</v>
      </c>
      <c r="J72" s="3">
        <v>1</v>
      </c>
      <c r="K72" s="3">
        <v>320</v>
      </c>
      <c r="L72" s="3">
        <v>5780966.1007548822</v>
      </c>
      <c r="M72" s="1">
        <v>82340</v>
      </c>
      <c r="N72" s="3">
        <f t="shared" si="8"/>
        <v>146748784.91890001</v>
      </c>
      <c r="O72" s="22">
        <f t="shared" si="6"/>
        <v>2.0367892380425023E-2</v>
      </c>
    </row>
    <row r="73" spans="1:15" x14ac:dyDescent="0.25">
      <c r="A73" s="9">
        <v>41974</v>
      </c>
      <c r="B73" s="23">
        <v>158404134.65384611</v>
      </c>
      <c r="C73" s="23">
        <v>3028318.5380000002</v>
      </c>
      <c r="D73" s="23">
        <v>-2207246.4606585093</v>
      </c>
      <c r="E73" s="23">
        <v>-898906.19279999996</v>
      </c>
      <c r="F73" s="23">
        <f t="shared" si="7"/>
        <v>158326300.53839999</v>
      </c>
      <c r="G73" s="24">
        <v>597.79999999999995</v>
      </c>
      <c r="H73" s="24">
        <v>0</v>
      </c>
      <c r="I73" s="5">
        <v>31</v>
      </c>
      <c r="J73" s="5">
        <v>0</v>
      </c>
      <c r="K73" s="5">
        <v>336</v>
      </c>
      <c r="L73" s="5">
        <v>5847246.203538374</v>
      </c>
      <c r="M73" s="10">
        <v>82425</v>
      </c>
      <c r="N73" s="5">
        <f t="shared" si="8"/>
        <v>159789230.0284</v>
      </c>
      <c r="O73" s="25">
        <f t="shared" si="6"/>
        <v>9.2399650912400322E-3</v>
      </c>
    </row>
    <row r="74" spans="1:15" x14ac:dyDescent="0.25">
      <c r="A74" s="8">
        <v>42005</v>
      </c>
      <c r="B74" s="20">
        <v>170394114</v>
      </c>
      <c r="C74" s="20">
        <v>3041341.1636999999</v>
      </c>
      <c r="D74" s="20">
        <v>-2044579.2443051822</v>
      </c>
      <c r="E74" s="20">
        <v>-876866.40430000005</v>
      </c>
      <c r="F74" s="20">
        <f t="shared" si="7"/>
        <v>170514009.5151</v>
      </c>
      <c r="G74" s="21">
        <v>842.40000000000009</v>
      </c>
      <c r="H74" s="21">
        <v>0</v>
      </c>
      <c r="I74" s="3">
        <v>31</v>
      </c>
      <c r="J74" s="3">
        <v>0</v>
      </c>
      <c r="K74" s="3">
        <v>336</v>
      </c>
      <c r="L74" s="3">
        <v>5979908.282433752</v>
      </c>
      <c r="M74" s="1">
        <v>82551</v>
      </c>
      <c r="N74" s="3">
        <f t="shared" si="8"/>
        <v>169513118.7387</v>
      </c>
      <c r="O74" s="22">
        <f t="shared" si="6"/>
        <v>5.8698448253389213E-3</v>
      </c>
    </row>
    <row r="75" spans="1:15" x14ac:dyDescent="0.25">
      <c r="A75" s="8">
        <v>42036</v>
      </c>
      <c r="B75" s="20">
        <v>159595479</v>
      </c>
      <c r="C75" s="20">
        <v>2620561.8352000001</v>
      </c>
      <c r="D75" s="20">
        <v>-1646140.8349746345</v>
      </c>
      <c r="E75" s="20">
        <v>-733522.65914999996</v>
      </c>
      <c r="F75" s="20">
        <f t="shared" si="7"/>
        <v>159836377.34110001</v>
      </c>
      <c r="G75" s="21">
        <v>917.09999999999991</v>
      </c>
      <c r="H75" s="21">
        <v>0</v>
      </c>
      <c r="I75" s="3">
        <v>28</v>
      </c>
      <c r="J75" s="3">
        <v>0</v>
      </c>
      <c r="K75" s="3">
        <v>304</v>
      </c>
      <c r="L75" s="3">
        <v>6112570.3613291308</v>
      </c>
      <c r="M75" s="1">
        <v>82614</v>
      </c>
      <c r="N75" s="3">
        <f t="shared" si="8"/>
        <v>159305564.72589999</v>
      </c>
      <c r="O75" s="22">
        <f t="shared" si="6"/>
        <v>3.3209750122603632E-3</v>
      </c>
    </row>
    <row r="76" spans="1:15" x14ac:dyDescent="0.25">
      <c r="A76" s="8">
        <v>42064</v>
      </c>
      <c r="B76" s="20">
        <v>156767280.00000003</v>
      </c>
      <c r="C76" s="20">
        <v>3638361.7214000002</v>
      </c>
      <c r="D76" s="20">
        <v>0</v>
      </c>
      <c r="E76" s="20">
        <v>-727367.75809999998</v>
      </c>
      <c r="F76" s="20">
        <f t="shared" si="7"/>
        <v>159678273.96329999</v>
      </c>
      <c r="G76" s="21">
        <v>657.30000000000007</v>
      </c>
      <c r="H76" s="21">
        <v>0</v>
      </c>
      <c r="I76" s="3">
        <v>31</v>
      </c>
      <c r="J76" s="3">
        <v>1</v>
      </c>
      <c r="K76" s="3">
        <v>352</v>
      </c>
      <c r="L76" s="3">
        <v>6245232.4402245097</v>
      </c>
      <c r="M76" s="1">
        <v>82707</v>
      </c>
      <c r="N76" s="3">
        <f t="shared" si="8"/>
        <v>157621261.1257</v>
      </c>
      <c r="O76" s="22">
        <f t="shared" si="6"/>
        <v>1.2882233672395382E-2</v>
      </c>
    </row>
    <row r="77" spans="1:15" x14ac:dyDescent="0.25">
      <c r="A77" s="8">
        <v>42095</v>
      </c>
      <c r="B77" s="20">
        <v>134799745.99999997</v>
      </c>
      <c r="C77" s="20">
        <v>3692706.7620999999</v>
      </c>
      <c r="D77" s="20">
        <v>0</v>
      </c>
      <c r="E77" s="20">
        <v>-618309.94039999996</v>
      </c>
      <c r="F77" s="20">
        <f t="shared" si="7"/>
        <v>137874142.82170001</v>
      </c>
      <c r="G77" s="21">
        <v>359.40000000000003</v>
      </c>
      <c r="H77" s="21">
        <v>0</v>
      </c>
      <c r="I77" s="3">
        <v>30</v>
      </c>
      <c r="J77" s="3">
        <v>1</v>
      </c>
      <c r="K77" s="3">
        <v>336</v>
      </c>
      <c r="L77" s="3">
        <v>6377894.5191198885</v>
      </c>
      <c r="M77" s="1">
        <v>82847</v>
      </c>
      <c r="N77" s="3">
        <f t="shared" si="8"/>
        <v>140914349.74599999</v>
      </c>
      <c r="O77" s="22">
        <f t="shared" si="6"/>
        <v>2.2050595289876851E-2</v>
      </c>
    </row>
    <row r="78" spans="1:15" x14ac:dyDescent="0.25">
      <c r="A78" s="8">
        <v>42125</v>
      </c>
      <c r="B78" s="20">
        <v>138723842</v>
      </c>
      <c r="C78" s="20">
        <v>3988852.6880000001</v>
      </c>
      <c r="D78" s="20">
        <v>0</v>
      </c>
      <c r="E78" s="20">
        <v>-563834.34675000003</v>
      </c>
      <c r="F78" s="20">
        <f t="shared" si="7"/>
        <v>142148860.34130001</v>
      </c>
      <c r="G78" s="21">
        <v>116.60000000000002</v>
      </c>
      <c r="H78" s="21">
        <v>29.199999999999996</v>
      </c>
      <c r="I78" s="3">
        <v>31</v>
      </c>
      <c r="J78" s="3">
        <v>1</v>
      </c>
      <c r="K78" s="3">
        <v>320</v>
      </c>
      <c r="L78" s="3">
        <v>6510556.5980152674</v>
      </c>
      <c r="M78" s="1">
        <v>82982</v>
      </c>
      <c r="N78" s="3">
        <f t="shared" si="8"/>
        <v>144583950.10389999</v>
      </c>
      <c r="O78" s="22">
        <f t="shared" si="6"/>
        <v>1.7130561277475698E-2</v>
      </c>
    </row>
    <row r="79" spans="1:15" x14ac:dyDescent="0.25">
      <c r="A79" s="8">
        <v>42156</v>
      </c>
      <c r="B79" s="20">
        <v>139875436.99999997</v>
      </c>
      <c r="C79" s="20">
        <v>3955693.7250999999</v>
      </c>
      <c r="D79" s="20">
        <v>0</v>
      </c>
      <c r="E79" s="20">
        <v>-508129.37</v>
      </c>
      <c r="F79" s="20">
        <f t="shared" si="7"/>
        <v>143323001.35510001</v>
      </c>
      <c r="G79" s="21">
        <v>56.5</v>
      </c>
      <c r="H79" s="21">
        <v>14.5</v>
      </c>
      <c r="I79" s="3">
        <v>30</v>
      </c>
      <c r="J79" s="3">
        <v>0</v>
      </c>
      <c r="K79" s="3">
        <v>352</v>
      </c>
      <c r="L79" s="3">
        <v>6643218.6769106463</v>
      </c>
      <c r="M79" s="1">
        <v>83063</v>
      </c>
      <c r="N79" s="3">
        <f t="shared" si="8"/>
        <v>141086934.99849999</v>
      </c>
      <c r="O79" s="22">
        <f t="shared" si="6"/>
        <v>1.5601587571138609E-2</v>
      </c>
    </row>
    <row r="80" spans="1:15" x14ac:dyDescent="0.25">
      <c r="A80" s="8">
        <v>42186</v>
      </c>
      <c r="B80" s="20">
        <v>156564116</v>
      </c>
      <c r="C80" s="20">
        <v>4317131.5157000003</v>
      </c>
      <c r="D80" s="20">
        <v>0</v>
      </c>
      <c r="E80" s="20">
        <v>-545174.05330000003</v>
      </c>
      <c r="F80" s="20">
        <f t="shared" si="7"/>
        <v>160336073.46239999</v>
      </c>
      <c r="G80" s="21">
        <v>19.900000000000006</v>
      </c>
      <c r="H80" s="21">
        <v>57.000000000000007</v>
      </c>
      <c r="I80" s="3">
        <v>31</v>
      </c>
      <c r="J80" s="3">
        <v>0</v>
      </c>
      <c r="K80" s="3">
        <v>352</v>
      </c>
      <c r="L80" s="3">
        <v>6775880.7558060251</v>
      </c>
      <c r="M80" s="1">
        <v>83165</v>
      </c>
      <c r="N80" s="3">
        <f t="shared" si="8"/>
        <v>159194981.84529999</v>
      </c>
      <c r="O80" s="22">
        <f t="shared" si="6"/>
        <v>7.1168739040350371E-3</v>
      </c>
    </row>
    <row r="81" spans="1:15" x14ac:dyDescent="0.25">
      <c r="A81" s="8">
        <v>42217</v>
      </c>
      <c r="B81" s="20">
        <v>150055351.00000003</v>
      </c>
      <c r="C81" s="20">
        <v>3839833.4193000002</v>
      </c>
      <c r="D81" s="20">
        <v>0</v>
      </c>
      <c r="E81" s="20">
        <v>-611438.12315</v>
      </c>
      <c r="F81" s="20">
        <f t="shared" si="7"/>
        <v>153283746.29620001</v>
      </c>
      <c r="G81" s="21">
        <v>29.800000000000008</v>
      </c>
      <c r="H81" s="21">
        <v>47.8</v>
      </c>
      <c r="I81" s="3">
        <v>31</v>
      </c>
      <c r="J81" s="3">
        <v>0</v>
      </c>
      <c r="K81" s="3">
        <v>320</v>
      </c>
      <c r="L81" s="3">
        <v>6908542.834701404</v>
      </c>
      <c r="M81" s="1">
        <v>83275</v>
      </c>
      <c r="N81" s="3">
        <f t="shared" si="8"/>
        <v>153698713.1979</v>
      </c>
      <c r="O81" s="22">
        <f t="shared" si="6"/>
        <v>2.7071813661059263E-3</v>
      </c>
    </row>
    <row r="82" spans="1:15" x14ac:dyDescent="0.25">
      <c r="A82" s="8">
        <v>42248</v>
      </c>
      <c r="B82" s="20">
        <v>146219596</v>
      </c>
      <c r="C82" s="20">
        <v>3512058.7532000002</v>
      </c>
      <c r="D82" s="20">
        <v>0</v>
      </c>
      <c r="E82" s="20">
        <v>-675089.70984999998</v>
      </c>
      <c r="F82" s="20">
        <f t="shared" si="7"/>
        <v>149056565.04339999</v>
      </c>
      <c r="G82" s="21">
        <v>58.400000000000006</v>
      </c>
      <c r="H82" s="21">
        <v>44.7</v>
      </c>
      <c r="I82" s="3">
        <v>30</v>
      </c>
      <c r="J82" s="3">
        <v>1</v>
      </c>
      <c r="K82" s="3">
        <v>336</v>
      </c>
      <c r="L82" s="3">
        <v>7041204.9135967828</v>
      </c>
      <c r="M82" s="1">
        <v>83382</v>
      </c>
      <c r="N82" s="3">
        <f t="shared" si="8"/>
        <v>145593507.0361</v>
      </c>
      <c r="O82" s="22">
        <f t="shared" si="6"/>
        <v>2.3233180009828325E-2</v>
      </c>
    </row>
    <row r="83" spans="1:15" x14ac:dyDescent="0.25">
      <c r="A83" s="8">
        <v>42278</v>
      </c>
      <c r="B83" s="20">
        <v>135439538</v>
      </c>
      <c r="C83" s="20">
        <v>3234044.1974999998</v>
      </c>
      <c r="D83" s="20">
        <v>0</v>
      </c>
      <c r="E83" s="20">
        <v>-785850.43420000002</v>
      </c>
      <c r="F83" s="20">
        <f t="shared" si="7"/>
        <v>137887731.7633</v>
      </c>
      <c r="G83" s="21">
        <v>290.89999999999998</v>
      </c>
      <c r="H83" s="21">
        <v>0</v>
      </c>
      <c r="I83" s="3">
        <v>31</v>
      </c>
      <c r="J83" s="3">
        <v>1</v>
      </c>
      <c r="K83" s="3">
        <v>336</v>
      </c>
      <c r="L83" s="3">
        <v>7173866.9924921617</v>
      </c>
      <c r="M83" s="1">
        <v>83492</v>
      </c>
      <c r="N83" s="3">
        <f t="shared" si="8"/>
        <v>141591706.47130001</v>
      </c>
      <c r="O83" s="22">
        <f t="shared" si="6"/>
        <v>2.6862249894416212E-2</v>
      </c>
    </row>
    <row r="84" spans="1:15" x14ac:dyDescent="0.25">
      <c r="A84" s="8">
        <v>42309</v>
      </c>
      <c r="B84" s="20">
        <v>137059823</v>
      </c>
      <c r="C84" s="20">
        <v>3137506.1808000002</v>
      </c>
      <c r="D84" s="20">
        <v>0</v>
      </c>
      <c r="E84" s="20">
        <v>-835840.37800000003</v>
      </c>
      <c r="F84" s="20">
        <f t="shared" si="7"/>
        <v>139361488.8028</v>
      </c>
      <c r="G84" s="21">
        <v>391.7</v>
      </c>
      <c r="H84" s="21">
        <v>0</v>
      </c>
      <c r="I84" s="3">
        <v>30</v>
      </c>
      <c r="J84" s="3">
        <v>1</v>
      </c>
      <c r="K84" s="3">
        <v>336</v>
      </c>
      <c r="L84" s="3">
        <v>7306529.0713875405</v>
      </c>
      <c r="M84" s="1">
        <v>83554</v>
      </c>
      <c r="N84" s="3">
        <f t="shared" si="8"/>
        <v>142000909.278</v>
      </c>
      <c r="O84" s="22">
        <f t="shared" si="6"/>
        <v>1.8939382019194984E-2</v>
      </c>
    </row>
    <row r="85" spans="1:15" x14ac:dyDescent="0.25">
      <c r="A85" s="9">
        <v>42339</v>
      </c>
      <c r="B85" s="23">
        <v>146474819.99999997</v>
      </c>
      <c r="C85" s="23">
        <v>3119516.4407500001</v>
      </c>
      <c r="D85" s="23">
        <v>0</v>
      </c>
      <c r="E85" s="23">
        <v>-904654.74265000003</v>
      </c>
      <c r="F85" s="23">
        <f t="shared" si="7"/>
        <v>148689681.6981</v>
      </c>
      <c r="G85" s="24">
        <v>468.2</v>
      </c>
      <c r="H85" s="24">
        <v>0</v>
      </c>
      <c r="I85" s="5">
        <v>31</v>
      </c>
      <c r="J85" s="5">
        <v>0</v>
      </c>
      <c r="K85" s="5">
        <v>336</v>
      </c>
      <c r="L85" s="5">
        <v>7439191.1502829194</v>
      </c>
      <c r="M85" s="10">
        <v>83642</v>
      </c>
      <c r="N85" s="5">
        <f t="shared" si="8"/>
        <v>154272412.7421</v>
      </c>
      <c r="O85" s="25">
        <f t="shared" si="6"/>
        <v>3.7546190026388038E-2</v>
      </c>
    </row>
    <row r="86" spans="1:15" x14ac:dyDescent="0.25">
      <c r="A86" s="8">
        <v>42370</v>
      </c>
      <c r="B86" s="14">
        <v>159251541</v>
      </c>
      <c r="C86" s="14">
        <v>3281605.5203999998</v>
      </c>
      <c r="D86" s="14">
        <v>0</v>
      </c>
      <c r="E86" s="14">
        <v>-883555.75950000004</v>
      </c>
      <c r="F86" s="14">
        <f t="shared" si="7"/>
        <v>161649590.76089999</v>
      </c>
      <c r="G86" s="21">
        <v>717</v>
      </c>
      <c r="H86" s="21">
        <v>0</v>
      </c>
      <c r="I86" s="3">
        <v>31</v>
      </c>
      <c r="J86" s="3">
        <v>0</v>
      </c>
      <c r="K86" s="3">
        <v>320</v>
      </c>
      <c r="L86" s="3">
        <v>7582385.6605445212</v>
      </c>
      <c r="M86" s="1">
        <v>83744.75589354735</v>
      </c>
      <c r="N86" s="3">
        <f t="shared" si="8"/>
        <v>162969322.96959999</v>
      </c>
      <c r="O86" s="22">
        <f t="shared" si="6"/>
        <v>8.1641543445170051E-3</v>
      </c>
    </row>
    <row r="87" spans="1:15" x14ac:dyDescent="0.25">
      <c r="A87" s="8">
        <v>42401</v>
      </c>
      <c r="B87" s="14">
        <v>145700617</v>
      </c>
      <c r="C87" s="14">
        <v>3249979.0684000002</v>
      </c>
      <c r="D87" s="14">
        <v>0</v>
      </c>
      <c r="E87" s="14">
        <v>-763115.80839999998</v>
      </c>
      <c r="F87" s="14">
        <f t="shared" si="7"/>
        <v>148187480.25999999</v>
      </c>
      <c r="G87" s="21">
        <v>627.10000000000014</v>
      </c>
      <c r="H87" s="21">
        <v>0</v>
      </c>
      <c r="I87" s="3">
        <v>29</v>
      </c>
      <c r="J87" s="3">
        <v>0</v>
      </c>
      <c r="K87" s="3">
        <v>320</v>
      </c>
      <c r="L87" s="3">
        <v>7725580.1708061229</v>
      </c>
      <c r="M87" s="1">
        <v>83847.638024794171</v>
      </c>
      <c r="N87" s="3">
        <f t="shared" si="8"/>
        <v>152173348.29589999</v>
      </c>
      <c r="O87" s="22">
        <f t="shared" si="6"/>
        <v>2.689746818629124E-2</v>
      </c>
    </row>
    <row r="88" spans="1:15" x14ac:dyDescent="0.25">
      <c r="A88" s="8">
        <v>42430</v>
      </c>
      <c r="B88" s="14">
        <v>143585865</v>
      </c>
      <c r="C88" s="14">
        <v>3698905.8876999998</v>
      </c>
      <c r="D88" s="14">
        <v>0</v>
      </c>
      <c r="E88" s="14">
        <v>-729634.27824999997</v>
      </c>
      <c r="F88" s="14">
        <f t="shared" si="7"/>
        <v>146555136.60949999</v>
      </c>
      <c r="G88" s="21">
        <v>492.6</v>
      </c>
      <c r="H88" s="21">
        <v>0</v>
      </c>
      <c r="I88" s="3">
        <v>31</v>
      </c>
      <c r="J88" s="3">
        <v>1</v>
      </c>
      <c r="K88" s="3">
        <v>352</v>
      </c>
      <c r="L88" s="3">
        <v>7868774.6810677247</v>
      </c>
      <c r="M88" s="1">
        <v>83950.646548826029</v>
      </c>
      <c r="N88" s="3">
        <f t="shared" si="8"/>
        <v>150696955.0751</v>
      </c>
      <c r="O88" s="22">
        <f t="shared" si="6"/>
        <v>2.8261162054223909E-2</v>
      </c>
    </row>
    <row r="89" spans="1:15" x14ac:dyDescent="0.25">
      <c r="A89" s="8">
        <v>42461</v>
      </c>
      <c r="B89" s="14">
        <v>133317772.00000003</v>
      </c>
      <c r="C89" s="14">
        <v>4216858.0641000001</v>
      </c>
      <c r="D89" s="14">
        <v>0</v>
      </c>
      <c r="E89" s="14">
        <v>-620043.90749999997</v>
      </c>
      <c r="F89" s="14">
        <f t="shared" si="7"/>
        <v>136914586.1566</v>
      </c>
      <c r="G89" s="21">
        <v>432.3</v>
      </c>
      <c r="H89" s="21">
        <v>0</v>
      </c>
      <c r="I89" s="3">
        <v>30</v>
      </c>
      <c r="J89" s="3">
        <v>1</v>
      </c>
      <c r="K89" s="3">
        <v>336</v>
      </c>
      <c r="L89" s="3">
        <v>8011969.1913293265</v>
      </c>
      <c r="M89" s="1">
        <v>84053.78162091902</v>
      </c>
      <c r="N89" s="3">
        <f t="shared" si="8"/>
        <v>143473761.8829</v>
      </c>
      <c r="O89" s="22">
        <f t="shared" si="6"/>
        <v>4.7907063158323826E-2</v>
      </c>
    </row>
    <row r="90" spans="1:15" x14ac:dyDescent="0.25">
      <c r="A90" s="8">
        <v>42491</v>
      </c>
      <c r="B90" s="14">
        <v>135340999</v>
      </c>
      <c r="C90" s="14">
        <v>4699993.8752999995</v>
      </c>
      <c r="D90" s="14">
        <v>0</v>
      </c>
      <c r="E90" s="14">
        <v>-565248.72290000005</v>
      </c>
      <c r="F90" s="14">
        <f t="shared" si="7"/>
        <v>139475744.15239999</v>
      </c>
      <c r="G90" s="21">
        <v>175.1</v>
      </c>
      <c r="H90" s="21">
        <v>18.3</v>
      </c>
      <c r="I90" s="3">
        <v>31</v>
      </c>
      <c r="J90" s="3">
        <v>1</v>
      </c>
      <c r="K90" s="3">
        <v>336</v>
      </c>
      <c r="L90" s="3">
        <v>8155163.7015909282</v>
      </c>
      <c r="M90" s="1">
        <v>84157.043396540015</v>
      </c>
      <c r="N90" s="3">
        <f t="shared" si="8"/>
        <v>143666223.60319999</v>
      </c>
      <c r="O90" s="22">
        <f t="shared" si="6"/>
        <v>3.0044503266612566E-2</v>
      </c>
    </row>
    <row r="91" spans="1:15" x14ac:dyDescent="0.25">
      <c r="A91" s="8">
        <v>42522</v>
      </c>
      <c r="B91" s="14">
        <v>145060761</v>
      </c>
      <c r="C91" s="14">
        <v>4734008.8143000007</v>
      </c>
      <c r="D91" s="14">
        <v>0</v>
      </c>
      <c r="E91" s="14">
        <v>-510597.03535000002</v>
      </c>
      <c r="F91" s="14">
        <f t="shared" si="7"/>
        <v>149284172.77900001</v>
      </c>
      <c r="G91" s="21">
        <v>51.4</v>
      </c>
      <c r="H91" s="21">
        <v>33.799999999999997</v>
      </c>
      <c r="I91" s="3">
        <v>30</v>
      </c>
      <c r="J91" s="3">
        <v>0</v>
      </c>
      <c r="K91" s="3">
        <v>352</v>
      </c>
      <c r="L91" s="3">
        <v>8298358.21185253</v>
      </c>
      <c r="M91" s="1">
        <v>84260.432031346863</v>
      </c>
      <c r="N91" s="3">
        <f t="shared" si="8"/>
        <v>147803992.24110001</v>
      </c>
      <c r="O91" s="22">
        <f t="shared" si="6"/>
        <v>9.9151873259281098E-3</v>
      </c>
    </row>
    <row r="92" spans="1:15" x14ac:dyDescent="0.25">
      <c r="A92" s="8">
        <v>42552</v>
      </c>
      <c r="B92" s="14">
        <v>165663034.99999994</v>
      </c>
      <c r="C92" s="14">
        <v>4471434.8560000006</v>
      </c>
      <c r="D92" s="14">
        <v>0</v>
      </c>
      <c r="E92" s="14">
        <v>-542805.02024999994</v>
      </c>
      <c r="F92" s="14">
        <f t="shared" si="7"/>
        <v>169591664.83579999</v>
      </c>
      <c r="G92" s="21">
        <v>5</v>
      </c>
      <c r="H92" s="21">
        <v>102.29999999999998</v>
      </c>
      <c r="I92" s="3">
        <v>31</v>
      </c>
      <c r="J92" s="3">
        <v>0</v>
      </c>
      <c r="K92" s="3">
        <v>320</v>
      </c>
      <c r="L92" s="3">
        <v>8441552.7221141327</v>
      </c>
      <c r="M92" s="1">
        <v>84690</v>
      </c>
      <c r="N92" s="3">
        <f t="shared" si="8"/>
        <v>172858592.0029</v>
      </c>
      <c r="O92" s="22">
        <f t="shared" si="6"/>
        <v>1.9263488982569354E-2</v>
      </c>
    </row>
    <row r="93" spans="1:15" x14ac:dyDescent="0.25">
      <c r="A93" s="8">
        <v>42583</v>
      </c>
      <c r="B93" s="14">
        <v>172843199.99999997</v>
      </c>
      <c r="C93" s="14">
        <v>4537730.2801999999</v>
      </c>
      <c r="D93" s="14">
        <v>0</v>
      </c>
      <c r="E93" s="14">
        <v>-609556.59034999995</v>
      </c>
      <c r="F93" s="14">
        <f t="shared" si="7"/>
        <v>176771373.68990001</v>
      </c>
      <c r="G93" s="21">
        <v>2.1</v>
      </c>
      <c r="H93" s="21">
        <v>104.39999999999999</v>
      </c>
      <c r="I93" s="3">
        <v>31</v>
      </c>
      <c r="J93" s="3">
        <v>0</v>
      </c>
      <c r="K93" s="3">
        <v>352</v>
      </c>
      <c r="L93" s="3">
        <v>8584747.2323757354</v>
      </c>
      <c r="M93" s="1">
        <v>84785</v>
      </c>
      <c r="N93" s="3">
        <f t="shared" si="8"/>
        <v>175900877.54820001</v>
      </c>
      <c r="O93" s="22">
        <f t="shared" si="6"/>
        <v>4.9244180408252181E-3</v>
      </c>
    </row>
    <row r="94" spans="1:15" x14ac:dyDescent="0.25">
      <c r="A94" s="8">
        <v>42614</v>
      </c>
      <c r="B94" s="14">
        <v>143586381.99999997</v>
      </c>
      <c r="C94" s="14">
        <v>4409993.0782999992</v>
      </c>
      <c r="D94" s="14">
        <v>0</v>
      </c>
      <c r="E94" s="14">
        <v>-671831.03130000003</v>
      </c>
      <c r="F94" s="14">
        <f t="shared" si="7"/>
        <v>147324544.04699999</v>
      </c>
      <c r="G94" s="21">
        <v>69.2</v>
      </c>
      <c r="H94" s="21">
        <v>26.3</v>
      </c>
      <c r="I94" s="3">
        <v>30</v>
      </c>
      <c r="J94" s="3">
        <v>1</v>
      </c>
      <c r="K94" s="3">
        <v>336</v>
      </c>
      <c r="L94" s="3">
        <v>8727941.7426373381</v>
      </c>
      <c r="M94" s="1">
        <v>84919</v>
      </c>
      <c r="N94" s="3">
        <f t="shared" si="8"/>
        <v>138682176.7931</v>
      </c>
      <c r="O94" s="22">
        <f t="shared" si="6"/>
        <v>5.8662100804757089E-2</v>
      </c>
    </row>
    <row r="95" spans="1:15" x14ac:dyDescent="0.25">
      <c r="A95" s="8">
        <v>42644</v>
      </c>
      <c r="B95" s="14">
        <v>135079936.99999997</v>
      </c>
      <c r="C95" s="14">
        <v>3925740.7600000002</v>
      </c>
      <c r="D95" s="14">
        <v>0</v>
      </c>
      <c r="E95" s="14">
        <v>-784165.34699999995</v>
      </c>
      <c r="F95" s="14">
        <f t="shared" si="7"/>
        <v>138221512.41299999</v>
      </c>
      <c r="G95" s="21">
        <v>247.7</v>
      </c>
      <c r="H95" s="21">
        <v>1.8</v>
      </c>
      <c r="I95" s="3">
        <v>31</v>
      </c>
      <c r="J95" s="3">
        <v>1</v>
      </c>
      <c r="K95" s="3">
        <v>320</v>
      </c>
      <c r="L95" s="3">
        <v>8871136.2528989408</v>
      </c>
      <c r="M95" s="1">
        <v>85012</v>
      </c>
      <c r="N95" s="3">
        <f t="shared" si="8"/>
        <v>138938767.08320001</v>
      </c>
      <c r="O95" s="22">
        <f t="shared" si="6"/>
        <v>5.1891681524718347E-3</v>
      </c>
    </row>
    <row r="96" spans="1:15" x14ac:dyDescent="0.25">
      <c r="A96" s="8">
        <v>42675</v>
      </c>
      <c r="B96" s="14">
        <v>136705849</v>
      </c>
      <c r="C96" s="14">
        <v>3722646.4846000001</v>
      </c>
      <c r="D96" s="14">
        <v>0</v>
      </c>
      <c r="E96" s="14">
        <v>-833886.08015000005</v>
      </c>
      <c r="F96" s="14">
        <f t="shared" si="7"/>
        <v>139594609.40450001</v>
      </c>
      <c r="G96" s="21">
        <v>388.80000000000007</v>
      </c>
      <c r="H96" s="21">
        <v>0</v>
      </c>
      <c r="I96" s="3">
        <v>30</v>
      </c>
      <c r="J96" s="3">
        <v>1</v>
      </c>
      <c r="K96" s="3">
        <v>352</v>
      </c>
      <c r="L96" s="3">
        <v>9014330.7631605435</v>
      </c>
      <c r="M96" s="1">
        <v>85166</v>
      </c>
      <c r="N96" s="3">
        <f t="shared" si="8"/>
        <v>142655931.28349999</v>
      </c>
      <c r="O96" s="22">
        <f t="shared" si="6"/>
        <v>2.1930086642022451E-2</v>
      </c>
    </row>
    <row r="97" spans="1:15" x14ac:dyDescent="0.25">
      <c r="A97" s="9">
        <v>42705</v>
      </c>
      <c r="B97" s="15">
        <v>155844338.00000006</v>
      </c>
      <c r="C97" s="15">
        <v>3177288.9808</v>
      </c>
      <c r="D97" s="15">
        <v>0</v>
      </c>
      <c r="E97" s="15">
        <v>-901366.57444999996</v>
      </c>
      <c r="F97" s="15">
        <f t="shared" si="7"/>
        <v>158120260.4064</v>
      </c>
      <c r="G97" s="24">
        <v>647.89999999999986</v>
      </c>
      <c r="H97" s="24">
        <v>0</v>
      </c>
      <c r="I97" s="5">
        <v>31</v>
      </c>
      <c r="J97" s="5">
        <v>0</v>
      </c>
      <c r="K97" s="5">
        <v>320</v>
      </c>
      <c r="L97" s="5">
        <v>9157525.2734221462</v>
      </c>
      <c r="M97" s="10">
        <v>85248</v>
      </c>
      <c r="N97" s="5">
        <f t="shared" si="8"/>
        <v>159816003.27689999</v>
      </c>
      <c r="O97" s="25">
        <f t="shared" si="6"/>
        <v>1.0724387033904437E-2</v>
      </c>
    </row>
    <row r="98" spans="1:15" x14ac:dyDescent="0.25">
      <c r="A98" s="8">
        <v>42736</v>
      </c>
      <c r="B98" s="14">
        <v>157837189.00000006</v>
      </c>
      <c r="C98" s="14">
        <v>3445293.4747000001</v>
      </c>
      <c r="D98" s="14">
        <v>0</v>
      </c>
      <c r="E98" s="14">
        <v>-870967.31499999994</v>
      </c>
      <c r="F98" s="14">
        <f t="shared" si="7"/>
        <v>160411515.15970001</v>
      </c>
      <c r="G98" s="21">
        <v>651.9</v>
      </c>
      <c r="H98" s="21">
        <v>0</v>
      </c>
      <c r="I98" s="3">
        <v>31</v>
      </c>
      <c r="J98" s="3">
        <v>0</v>
      </c>
      <c r="K98" s="3">
        <v>336</v>
      </c>
      <c r="L98" s="3">
        <v>9401387.9564315602</v>
      </c>
      <c r="M98" s="1">
        <v>85338</v>
      </c>
      <c r="N98" s="3">
        <f t="shared" si="8"/>
        <v>161137493.15830001</v>
      </c>
      <c r="O98" s="22">
        <f t="shared" ref="O98:O129" si="9">IFERROR((ABS(N98/F98-1)),0)</f>
        <v>4.5257224699688514E-3</v>
      </c>
    </row>
    <row r="99" spans="1:15" x14ac:dyDescent="0.25">
      <c r="A99" s="8">
        <v>42767</v>
      </c>
      <c r="B99" s="14">
        <v>137035801.99999997</v>
      </c>
      <c r="C99" s="14">
        <v>3474853.6203999999</v>
      </c>
      <c r="D99" s="14">
        <v>0</v>
      </c>
      <c r="E99" s="14">
        <v>-726272.54139999999</v>
      </c>
      <c r="F99" s="14">
        <f t="shared" si="7"/>
        <v>139784383.079</v>
      </c>
      <c r="G99" s="21">
        <v>537.9</v>
      </c>
      <c r="H99" s="21">
        <v>0</v>
      </c>
      <c r="I99" s="3">
        <v>28</v>
      </c>
      <c r="J99" s="3">
        <v>0</v>
      </c>
      <c r="K99" s="3">
        <v>304</v>
      </c>
      <c r="L99" s="3">
        <v>9645250.6394409742</v>
      </c>
      <c r="M99" s="1">
        <v>85498</v>
      </c>
      <c r="N99" s="3">
        <f t="shared" si="8"/>
        <v>143376223.09310001</v>
      </c>
      <c r="O99" s="22">
        <f t="shared" si="9"/>
        <v>2.5695574390953713E-2</v>
      </c>
    </row>
    <row r="100" spans="1:15" x14ac:dyDescent="0.25">
      <c r="A100" s="8">
        <v>42795</v>
      </c>
      <c r="B100" s="14">
        <v>150658537</v>
      </c>
      <c r="C100" s="14">
        <v>4089075.9759</v>
      </c>
      <c r="D100" s="14">
        <v>0</v>
      </c>
      <c r="E100" s="14">
        <v>-719967.47860000003</v>
      </c>
      <c r="F100" s="14">
        <f t="shared" si="7"/>
        <v>154027645.4973</v>
      </c>
      <c r="G100" s="21">
        <v>597.6</v>
      </c>
      <c r="H100" s="21">
        <v>0</v>
      </c>
      <c r="I100" s="3">
        <v>31</v>
      </c>
      <c r="J100" s="3">
        <v>1</v>
      </c>
      <c r="K100" s="3">
        <v>368</v>
      </c>
      <c r="L100" s="3">
        <v>9889113.3224503882</v>
      </c>
      <c r="M100" s="1">
        <v>85646</v>
      </c>
      <c r="N100" s="3">
        <f t="shared" si="8"/>
        <v>155615879.06920001</v>
      </c>
      <c r="O100" s="22">
        <f t="shared" si="9"/>
        <v>1.0311353957091152E-2</v>
      </c>
    </row>
    <row r="101" spans="1:15" x14ac:dyDescent="0.25">
      <c r="A101" s="8">
        <v>42826</v>
      </c>
      <c r="B101" s="14">
        <v>127304278.99999999</v>
      </c>
      <c r="C101" s="14">
        <v>4330315.8899999997</v>
      </c>
      <c r="D101" s="14">
        <v>0</v>
      </c>
      <c r="E101" s="14">
        <v>-611823.22849999997</v>
      </c>
      <c r="F101" s="14">
        <f t="shared" si="7"/>
        <v>131022771.66150001</v>
      </c>
      <c r="G101" s="21">
        <v>281.59999999999991</v>
      </c>
      <c r="H101" s="21">
        <v>0</v>
      </c>
      <c r="I101" s="3">
        <v>30</v>
      </c>
      <c r="J101" s="3">
        <v>1</v>
      </c>
      <c r="K101" s="3">
        <v>304</v>
      </c>
      <c r="L101" s="3">
        <v>10132976.005459802</v>
      </c>
      <c r="M101" s="1">
        <v>85773</v>
      </c>
      <c r="N101" s="3">
        <f t="shared" si="8"/>
        <v>134586780.9763</v>
      </c>
      <c r="O101" s="22">
        <f t="shared" si="9"/>
        <v>2.7201449561818691E-2</v>
      </c>
    </row>
    <row r="102" spans="1:15" x14ac:dyDescent="0.25">
      <c r="A102" s="8">
        <v>42856</v>
      </c>
      <c r="B102" s="14">
        <v>131264949</v>
      </c>
      <c r="C102" s="14">
        <v>4577361.8942999998</v>
      </c>
      <c r="D102" s="14">
        <v>0</v>
      </c>
      <c r="E102" s="14">
        <v>-557389.46429999999</v>
      </c>
      <c r="F102" s="14">
        <f t="shared" si="7"/>
        <v>135284921.43000001</v>
      </c>
      <c r="G102" s="21">
        <v>214.39999999999995</v>
      </c>
      <c r="H102" s="21">
        <v>2.7</v>
      </c>
      <c r="I102" s="3">
        <v>31</v>
      </c>
      <c r="J102" s="3">
        <v>1</v>
      </c>
      <c r="K102" s="3">
        <v>352</v>
      </c>
      <c r="L102" s="3">
        <v>10376838.688469216</v>
      </c>
      <c r="M102" s="1">
        <v>85929</v>
      </c>
      <c r="N102" s="3">
        <f t="shared" si="8"/>
        <v>140058724.56560001</v>
      </c>
      <c r="O102" s="22">
        <f t="shared" si="9"/>
        <v>3.5287030403237551E-2</v>
      </c>
    </row>
    <row r="103" spans="1:15" x14ac:dyDescent="0.25">
      <c r="A103" s="8">
        <v>42887</v>
      </c>
      <c r="B103" s="14">
        <v>141608182.00000003</v>
      </c>
      <c r="C103" s="14">
        <v>4667636.0681999996</v>
      </c>
      <c r="D103" s="14">
        <v>0</v>
      </c>
      <c r="E103" s="14">
        <v>-503065.74625000003</v>
      </c>
      <c r="F103" s="14">
        <f t="shared" si="7"/>
        <v>145772752.322</v>
      </c>
      <c r="G103" s="21">
        <v>45.2</v>
      </c>
      <c r="H103" s="21">
        <v>43</v>
      </c>
      <c r="I103" s="3">
        <v>30</v>
      </c>
      <c r="J103" s="3">
        <v>0</v>
      </c>
      <c r="K103" s="3">
        <v>352</v>
      </c>
      <c r="L103" s="3">
        <v>10620701.37147863</v>
      </c>
      <c r="M103" s="1">
        <v>86044</v>
      </c>
      <c r="N103" s="3">
        <f t="shared" si="8"/>
        <v>150514058.45089999</v>
      </c>
      <c r="O103" s="22">
        <f t="shared" si="9"/>
        <v>3.2525324886689688E-2</v>
      </c>
    </row>
    <row r="104" spans="1:15" x14ac:dyDescent="0.25">
      <c r="A104" s="8">
        <v>42917</v>
      </c>
      <c r="B104" s="14">
        <v>151242759</v>
      </c>
      <c r="C104" s="14">
        <v>4754140.7174999993</v>
      </c>
      <c r="D104" s="14">
        <v>0</v>
      </c>
      <c r="E104" s="14">
        <v>-539685.66619999998</v>
      </c>
      <c r="F104" s="14">
        <f t="shared" si="7"/>
        <v>155457214.05129999</v>
      </c>
      <c r="G104" s="21">
        <v>3.2</v>
      </c>
      <c r="H104" s="21">
        <v>58.500000000000007</v>
      </c>
      <c r="I104" s="3">
        <v>31</v>
      </c>
      <c r="J104" s="3">
        <v>0</v>
      </c>
      <c r="K104" s="3">
        <v>320</v>
      </c>
      <c r="L104" s="3">
        <v>10864564.054488044</v>
      </c>
      <c r="M104" s="1">
        <v>86130</v>
      </c>
      <c r="N104" s="3">
        <f t="shared" si="8"/>
        <v>155835630.56650001</v>
      </c>
      <c r="O104" s="22">
        <f t="shared" si="9"/>
        <v>2.4342164981494552E-3</v>
      </c>
    </row>
    <row r="105" spans="1:15" x14ac:dyDescent="0.25">
      <c r="A105" s="8">
        <v>42948</v>
      </c>
      <c r="B105" s="14">
        <v>146987028</v>
      </c>
      <c r="C105" s="14">
        <v>4553487.6454000007</v>
      </c>
      <c r="D105" s="14">
        <v>0</v>
      </c>
      <c r="E105" s="14">
        <v>-605595.09129999997</v>
      </c>
      <c r="F105" s="14">
        <f t="shared" si="7"/>
        <v>150934920.55410001</v>
      </c>
      <c r="G105" s="21">
        <v>34.5</v>
      </c>
      <c r="H105" s="21">
        <v>28.6</v>
      </c>
      <c r="I105" s="3">
        <v>31</v>
      </c>
      <c r="J105" s="3">
        <v>0</v>
      </c>
      <c r="K105" s="3">
        <v>352</v>
      </c>
      <c r="L105" s="3">
        <v>11108426.737497458</v>
      </c>
      <c r="M105" s="1">
        <v>86233</v>
      </c>
      <c r="N105" s="3">
        <f t="shared" si="8"/>
        <v>148180115.41319999</v>
      </c>
      <c r="O105" s="22">
        <f t="shared" si="9"/>
        <v>1.8251608910560879E-2</v>
      </c>
    </row>
    <row r="106" spans="1:15" x14ac:dyDescent="0.25">
      <c r="A106" s="8">
        <v>42979</v>
      </c>
      <c r="B106" s="14">
        <v>140693453.99999997</v>
      </c>
      <c r="C106" s="14">
        <v>4316091.5694000004</v>
      </c>
      <c r="D106" s="14">
        <v>0</v>
      </c>
      <c r="E106" s="14">
        <v>-667111.82854999998</v>
      </c>
      <c r="F106" s="14">
        <f t="shared" si="7"/>
        <v>144342433.74090001</v>
      </c>
      <c r="G106" s="21">
        <v>81.100000000000009</v>
      </c>
      <c r="H106" s="21">
        <v>36.299999999999997</v>
      </c>
      <c r="I106" s="3">
        <v>30</v>
      </c>
      <c r="J106" s="3">
        <v>1</v>
      </c>
      <c r="K106" s="3">
        <v>320</v>
      </c>
      <c r="L106" s="3">
        <v>11352289.420506872</v>
      </c>
      <c r="M106" s="1">
        <v>86301</v>
      </c>
      <c r="N106" s="3">
        <f t="shared" si="8"/>
        <v>141265125.7446</v>
      </c>
      <c r="O106" s="22">
        <f t="shared" si="9"/>
        <v>2.1319496398570448E-2</v>
      </c>
    </row>
    <row r="107" spans="1:15" x14ac:dyDescent="0.25">
      <c r="A107" s="8">
        <v>43009</v>
      </c>
      <c r="B107" s="14">
        <v>133632620.99999999</v>
      </c>
      <c r="C107" s="14">
        <v>3681788.6799999997</v>
      </c>
      <c r="D107" s="14">
        <v>0</v>
      </c>
      <c r="E107" s="14">
        <v>-593850.13080000004</v>
      </c>
      <c r="F107" s="14">
        <f t="shared" si="7"/>
        <v>136720559.5492</v>
      </c>
      <c r="G107" s="21">
        <v>208.89999999999998</v>
      </c>
      <c r="H107" s="21">
        <v>3.2</v>
      </c>
      <c r="I107" s="3">
        <v>31</v>
      </c>
      <c r="J107" s="3">
        <v>1</v>
      </c>
      <c r="K107" s="3">
        <v>336</v>
      </c>
      <c r="L107" s="3">
        <v>11596152.103516286</v>
      </c>
      <c r="M107" s="1">
        <v>86429</v>
      </c>
      <c r="N107" s="3">
        <f t="shared" si="8"/>
        <v>138641388.69859999</v>
      </c>
      <c r="O107" s="22">
        <f t="shared" si="9"/>
        <v>1.4049307256592813E-2</v>
      </c>
    </row>
    <row r="108" spans="1:15" x14ac:dyDescent="0.25">
      <c r="A108" s="8">
        <v>43040</v>
      </c>
      <c r="B108" s="14">
        <v>141644891.99999997</v>
      </c>
      <c r="C108" s="14">
        <v>3213518.0557999997</v>
      </c>
      <c r="D108" s="14">
        <v>0</v>
      </c>
      <c r="E108" s="14">
        <v>-631399.79495000001</v>
      </c>
      <c r="F108" s="14">
        <f t="shared" si="7"/>
        <v>144227010.26089999</v>
      </c>
      <c r="G108" s="21">
        <v>480.00000000000006</v>
      </c>
      <c r="H108" s="21">
        <v>0</v>
      </c>
      <c r="I108" s="3">
        <v>30</v>
      </c>
      <c r="J108" s="3">
        <v>1</v>
      </c>
      <c r="K108" s="3">
        <v>352</v>
      </c>
      <c r="L108" s="3">
        <v>11840014.7865257</v>
      </c>
      <c r="M108" s="1">
        <v>86606</v>
      </c>
      <c r="N108" s="3">
        <f t="shared" si="8"/>
        <v>145806908.43830001</v>
      </c>
      <c r="O108" s="22">
        <f t="shared" si="9"/>
        <v>1.0954246188297656E-2</v>
      </c>
    </row>
    <row r="109" spans="1:15" x14ac:dyDescent="0.25">
      <c r="A109" s="9">
        <v>43070</v>
      </c>
      <c r="B109" s="15">
        <v>157394233</v>
      </c>
      <c r="C109" s="15">
        <v>3107980.5725999996</v>
      </c>
      <c r="D109" s="15">
        <v>0</v>
      </c>
      <c r="E109" s="15">
        <v>-679599.16945000004</v>
      </c>
      <c r="F109" s="15">
        <f t="shared" si="7"/>
        <v>159822614.4032</v>
      </c>
      <c r="G109" s="24">
        <v>755.7</v>
      </c>
      <c r="H109" s="24">
        <v>0</v>
      </c>
      <c r="I109" s="5">
        <v>31</v>
      </c>
      <c r="J109" s="5">
        <v>0</v>
      </c>
      <c r="K109" s="5">
        <v>304</v>
      </c>
      <c r="L109" s="5">
        <v>12083877.469535114</v>
      </c>
      <c r="M109" s="10">
        <v>86846</v>
      </c>
      <c r="N109" s="5">
        <f t="shared" si="8"/>
        <v>162394886.90009999</v>
      </c>
      <c r="O109" s="25">
        <f t="shared" si="9"/>
        <v>1.609454648520936E-2</v>
      </c>
    </row>
    <row r="110" spans="1:15" x14ac:dyDescent="0.25">
      <c r="A110" s="8">
        <v>43101</v>
      </c>
      <c r="B110" s="14">
        <v>165079987.99999997</v>
      </c>
      <c r="C110" s="14">
        <v>3266072.5217000004</v>
      </c>
      <c r="D110" s="14">
        <v>0</v>
      </c>
      <c r="E110" s="14">
        <v>0</v>
      </c>
      <c r="F110" s="14">
        <f t="shared" si="7"/>
        <v>168346060.52169999</v>
      </c>
      <c r="G110" s="21">
        <v>791.1</v>
      </c>
      <c r="H110" s="21">
        <v>0</v>
      </c>
      <c r="I110" s="3">
        <v>31</v>
      </c>
      <c r="J110" s="3">
        <v>0</v>
      </c>
      <c r="K110" s="3">
        <v>352</v>
      </c>
      <c r="L110" s="3">
        <v>12157544.041383559</v>
      </c>
      <c r="M110" s="1">
        <v>86890</v>
      </c>
      <c r="N110" s="3">
        <f t="shared" si="8"/>
        <v>167386629.94530001</v>
      </c>
      <c r="O110" s="22">
        <f t="shared" si="9"/>
        <v>5.6991566860948861E-3</v>
      </c>
    </row>
    <row r="111" spans="1:15" x14ac:dyDescent="0.25">
      <c r="A111" s="8">
        <v>43132</v>
      </c>
      <c r="B111" s="14">
        <v>140447382.00000003</v>
      </c>
      <c r="C111" s="14">
        <v>3167678.0368999997</v>
      </c>
      <c r="D111" s="14">
        <v>0</v>
      </c>
      <c r="E111" s="14">
        <v>0</v>
      </c>
      <c r="F111" s="14">
        <f t="shared" si="7"/>
        <v>143615060.03690001</v>
      </c>
      <c r="G111" s="21">
        <v>594.9</v>
      </c>
      <c r="H111" s="21">
        <v>0</v>
      </c>
      <c r="I111" s="3">
        <v>28</v>
      </c>
      <c r="J111" s="3">
        <v>0</v>
      </c>
      <c r="K111" s="3">
        <v>304</v>
      </c>
      <c r="L111" s="3">
        <v>12231210.613232004</v>
      </c>
      <c r="M111" s="1">
        <v>86950</v>
      </c>
      <c r="N111" s="3">
        <f t="shared" si="8"/>
        <v>145180248.83919999</v>
      </c>
      <c r="O111" s="22">
        <f t="shared" si="9"/>
        <v>1.089850049081087E-2</v>
      </c>
    </row>
    <row r="112" spans="1:15" x14ac:dyDescent="0.25">
      <c r="A112" s="8">
        <v>43160</v>
      </c>
      <c r="B112" s="14">
        <v>148006583.00000003</v>
      </c>
      <c r="C112" s="14">
        <v>4325858.5483999997</v>
      </c>
      <c r="D112" s="14">
        <v>0</v>
      </c>
      <c r="E112" s="14">
        <v>0</v>
      </c>
      <c r="F112" s="14">
        <f t="shared" si="7"/>
        <v>152332441.54840001</v>
      </c>
      <c r="G112" s="21">
        <v>591.10000000000014</v>
      </c>
      <c r="H112" s="21">
        <v>0</v>
      </c>
      <c r="I112" s="3">
        <v>31</v>
      </c>
      <c r="J112" s="3">
        <v>1</v>
      </c>
      <c r="K112" s="3">
        <v>336</v>
      </c>
      <c r="L112" s="3">
        <v>12304877.185080448</v>
      </c>
      <c r="M112" s="1">
        <v>87041</v>
      </c>
      <c r="N112" s="3">
        <f t="shared" si="8"/>
        <v>152515223.58719999</v>
      </c>
      <c r="O112" s="22">
        <f t="shared" si="9"/>
        <v>1.1998891171314252E-3</v>
      </c>
    </row>
    <row r="113" spans="1:15" x14ac:dyDescent="0.25">
      <c r="A113" s="8">
        <v>43191</v>
      </c>
      <c r="B113" s="14">
        <v>138011811.99999997</v>
      </c>
      <c r="C113" s="14">
        <v>4328439.2625000002</v>
      </c>
      <c r="D113" s="14">
        <v>0</v>
      </c>
      <c r="E113" s="14">
        <v>0</v>
      </c>
      <c r="F113" s="14">
        <f t="shared" si="7"/>
        <v>142340251.26249999</v>
      </c>
      <c r="G113" s="21">
        <v>474.7999999999999</v>
      </c>
      <c r="H113" s="21">
        <v>0</v>
      </c>
      <c r="I113" s="3">
        <v>30</v>
      </c>
      <c r="J113" s="3">
        <v>1</v>
      </c>
      <c r="K113" s="3">
        <v>336</v>
      </c>
      <c r="L113" s="3">
        <v>12378543.756928893</v>
      </c>
      <c r="M113" s="1">
        <v>87199</v>
      </c>
      <c r="N113" s="3">
        <f t="shared" si="8"/>
        <v>144251809.39219999</v>
      </c>
      <c r="O113" s="22">
        <f t="shared" si="9"/>
        <v>1.342949807061089E-2</v>
      </c>
    </row>
    <row r="114" spans="1:15" x14ac:dyDescent="0.25">
      <c r="A114" s="8">
        <v>43221</v>
      </c>
      <c r="B114" s="14">
        <v>139618567.86400005</v>
      </c>
      <c r="C114" s="14">
        <v>4981302.2183999997</v>
      </c>
      <c r="D114" s="14">
        <v>0</v>
      </c>
      <c r="E114" s="14">
        <v>0</v>
      </c>
      <c r="F114" s="14">
        <f t="shared" si="7"/>
        <v>144599870.08239999</v>
      </c>
      <c r="G114" s="21">
        <v>95.199999999999989</v>
      </c>
      <c r="H114" s="21">
        <v>32.5</v>
      </c>
      <c r="I114" s="3">
        <v>31</v>
      </c>
      <c r="J114" s="3">
        <v>1</v>
      </c>
      <c r="K114" s="3">
        <v>352</v>
      </c>
      <c r="L114" s="3">
        <v>12452210.328777337</v>
      </c>
      <c r="M114" s="1">
        <v>87308</v>
      </c>
      <c r="N114" s="3">
        <f t="shared" si="8"/>
        <v>146112394.03259999</v>
      </c>
      <c r="O114" s="22">
        <f t="shared" si="9"/>
        <v>1.0460064378606138E-2</v>
      </c>
    </row>
    <row r="115" spans="1:15" x14ac:dyDescent="0.25">
      <c r="A115" s="8">
        <v>43252</v>
      </c>
      <c r="B115" s="14">
        <v>147243340.99999997</v>
      </c>
      <c r="C115" s="14">
        <v>4613999.3741999995</v>
      </c>
      <c r="D115" s="14">
        <v>0</v>
      </c>
      <c r="E115" s="14">
        <v>0</v>
      </c>
      <c r="F115" s="14">
        <f t="shared" si="7"/>
        <v>151857340.37419999</v>
      </c>
      <c r="G115" s="21">
        <v>36.400000000000006</v>
      </c>
      <c r="H115" s="21">
        <v>41.5</v>
      </c>
      <c r="I115" s="3">
        <v>30</v>
      </c>
      <c r="J115" s="3">
        <v>0</v>
      </c>
      <c r="K115" s="3">
        <v>336</v>
      </c>
      <c r="L115" s="3">
        <v>12525876.900625782</v>
      </c>
      <c r="M115" s="1">
        <v>87372</v>
      </c>
      <c r="N115" s="3">
        <f t="shared" si="8"/>
        <v>148007941.5307</v>
      </c>
      <c r="O115" s="22">
        <f t="shared" si="9"/>
        <v>2.5348783496500604E-2</v>
      </c>
    </row>
    <row r="116" spans="1:15" x14ac:dyDescent="0.25">
      <c r="A116" s="8">
        <v>43282</v>
      </c>
      <c r="B116" s="14">
        <v>170652291</v>
      </c>
      <c r="C116" s="14">
        <v>4759523.7725999998</v>
      </c>
      <c r="D116" s="14">
        <v>0</v>
      </c>
      <c r="E116" s="14">
        <v>0</v>
      </c>
      <c r="F116" s="14">
        <f t="shared" si="7"/>
        <v>175411814.7726</v>
      </c>
      <c r="G116" s="21">
        <v>3.6000000000000005</v>
      </c>
      <c r="H116" s="21">
        <v>89.300000000000011</v>
      </c>
      <c r="I116" s="3">
        <v>31</v>
      </c>
      <c r="J116" s="3">
        <v>0</v>
      </c>
      <c r="K116" s="3">
        <v>336</v>
      </c>
      <c r="L116" s="3">
        <v>12599543.472474227</v>
      </c>
      <c r="M116" s="1">
        <v>87462</v>
      </c>
      <c r="N116" s="3">
        <f t="shared" si="8"/>
        <v>168270694.6789</v>
      </c>
      <c r="O116" s="22">
        <f t="shared" si="9"/>
        <v>4.0710599243030332E-2</v>
      </c>
    </row>
    <row r="117" spans="1:15" x14ac:dyDescent="0.25">
      <c r="A117" s="8">
        <v>43313</v>
      </c>
      <c r="B117" s="14">
        <v>169978732</v>
      </c>
      <c r="C117" s="14">
        <v>4346729.2704000007</v>
      </c>
      <c r="D117" s="14">
        <v>0</v>
      </c>
      <c r="E117" s="14">
        <v>0</v>
      </c>
      <c r="F117" s="14">
        <f t="shared" si="7"/>
        <v>174325461.27039999</v>
      </c>
      <c r="G117" s="21">
        <v>6.6000000000000005</v>
      </c>
      <c r="H117" s="21">
        <v>93.90000000000002</v>
      </c>
      <c r="I117" s="3">
        <v>31</v>
      </c>
      <c r="J117" s="3">
        <v>0</v>
      </c>
      <c r="K117" s="3">
        <v>352</v>
      </c>
      <c r="L117" s="3">
        <v>12673210.044322671</v>
      </c>
      <c r="M117" s="1">
        <v>87528</v>
      </c>
      <c r="N117" s="3">
        <f t="shared" si="8"/>
        <v>171302939.71180001</v>
      </c>
      <c r="O117" s="22">
        <f t="shared" si="9"/>
        <v>1.7338382681297948E-2</v>
      </c>
    </row>
    <row r="118" spans="1:15" x14ac:dyDescent="0.25">
      <c r="A118" s="8">
        <v>43344</v>
      </c>
      <c r="B118" s="14">
        <v>149561165</v>
      </c>
      <c r="C118" s="14">
        <v>3907560.2309999997</v>
      </c>
      <c r="D118" s="14">
        <v>0</v>
      </c>
      <c r="E118" s="14">
        <v>0</v>
      </c>
      <c r="F118" s="14">
        <f t="shared" si="7"/>
        <v>153468725.23100001</v>
      </c>
      <c r="G118" s="21">
        <v>77.199999999999989</v>
      </c>
      <c r="H118" s="21">
        <v>48.800000000000004</v>
      </c>
      <c r="I118" s="3">
        <v>30</v>
      </c>
      <c r="J118" s="3">
        <v>1</v>
      </c>
      <c r="K118" s="3">
        <v>304</v>
      </c>
      <c r="L118" s="3">
        <v>12746876.616171116</v>
      </c>
      <c r="M118" s="1">
        <v>87638</v>
      </c>
      <c r="N118" s="3">
        <f t="shared" si="8"/>
        <v>144267237.43180001</v>
      </c>
      <c r="O118" s="22">
        <f t="shared" si="9"/>
        <v>5.9956761778987788E-2</v>
      </c>
    </row>
    <row r="119" spans="1:15" x14ac:dyDescent="0.25">
      <c r="A119" s="8">
        <v>43374</v>
      </c>
      <c r="B119" s="14">
        <v>140901104</v>
      </c>
      <c r="C119" s="14">
        <v>2918531.9030999998</v>
      </c>
      <c r="D119" s="14">
        <v>0</v>
      </c>
      <c r="E119" s="14">
        <v>0</v>
      </c>
      <c r="F119" s="14">
        <f t="shared" si="7"/>
        <v>143819635.90310001</v>
      </c>
      <c r="G119" s="21">
        <v>319.5</v>
      </c>
      <c r="H119" s="21">
        <v>5.1999999999999993</v>
      </c>
      <c r="I119" s="3">
        <v>31</v>
      </c>
      <c r="J119" s="3">
        <v>1</v>
      </c>
      <c r="K119" s="3">
        <v>352</v>
      </c>
      <c r="L119" s="3">
        <v>12820543.188019561</v>
      </c>
      <c r="M119" s="1">
        <v>87717</v>
      </c>
      <c r="N119" s="3">
        <f t="shared" si="8"/>
        <v>144674476.3003</v>
      </c>
      <c r="O119" s="22">
        <f t="shared" si="9"/>
        <v>5.9438364715089786E-3</v>
      </c>
    </row>
    <row r="120" spans="1:15" x14ac:dyDescent="0.25">
      <c r="A120" s="8">
        <v>43405</v>
      </c>
      <c r="B120" s="14">
        <v>147572258</v>
      </c>
      <c r="C120" s="14">
        <v>2798292.6881999997</v>
      </c>
      <c r="D120" s="14">
        <v>0</v>
      </c>
      <c r="E120" s="14">
        <v>0</v>
      </c>
      <c r="F120" s="14">
        <f t="shared" si="7"/>
        <v>150370550.6882</v>
      </c>
      <c r="G120" s="21">
        <v>538.6</v>
      </c>
      <c r="H120" s="21">
        <v>0</v>
      </c>
      <c r="I120" s="3">
        <v>30</v>
      </c>
      <c r="J120" s="3">
        <v>1</v>
      </c>
      <c r="K120" s="3">
        <v>352</v>
      </c>
      <c r="L120" s="3">
        <v>12894209.759868005</v>
      </c>
      <c r="M120" s="1">
        <v>87783</v>
      </c>
      <c r="N120" s="3">
        <f t="shared" si="8"/>
        <v>147848267.58759999</v>
      </c>
      <c r="O120" s="22">
        <f t="shared" si="9"/>
        <v>1.6773783756568572E-2</v>
      </c>
    </row>
    <row r="121" spans="1:15" ht="12.75" customHeight="1" x14ac:dyDescent="0.25">
      <c r="A121" s="9">
        <v>43435</v>
      </c>
      <c r="B121" s="15">
        <v>153313471</v>
      </c>
      <c r="C121" s="15">
        <v>3249160.7074999996</v>
      </c>
      <c r="D121" s="15">
        <v>0</v>
      </c>
      <c r="E121" s="15">
        <v>0</v>
      </c>
      <c r="F121" s="15">
        <f t="shared" si="7"/>
        <v>156562631.70750001</v>
      </c>
      <c r="G121" s="24">
        <v>600.79999999999995</v>
      </c>
      <c r="H121" s="24">
        <v>0</v>
      </c>
      <c r="I121" s="5">
        <v>31</v>
      </c>
      <c r="J121" s="5">
        <v>0</v>
      </c>
      <c r="K121" s="5">
        <v>304</v>
      </c>
      <c r="L121" s="5">
        <v>12967876.33171645</v>
      </c>
      <c r="M121" s="10">
        <v>87846</v>
      </c>
      <c r="N121" s="5">
        <f t="shared" si="8"/>
        <v>155965125.31279999</v>
      </c>
      <c r="O121" s="25">
        <f t="shared" si="9"/>
        <v>3.8164048993268862E-3</v>
      </c>
    </row>
    <row r="122" spans="1:15" x14ac:dyDescent="0.25">
      <c r="A122" s="8">
        <v>43466</v>
      </c>
      <c r="B122" s="14">
        <v>0</v>
      </c>
      <c r="C122" s="14">
        <v>0</v>
      </c>
      <c r="D122" s="14">
        <v>0</v>
      </c>
      <c r="E122" s="14">
        <v>0</v>
      </c>
      <c r="F122" s="14">
        <f t="shared" si="7"/>
        <v>0</v>
      </c>
      <c r="G122" s="21">
        <v>763.76499999999999</v>
      </c>
      <c r="H122" s="21">
        <v>0</v>
      </c>
      <c r="I122" s="3">
        <v>31</v>
      </c>
      <c r="J122" s="3">
        <v>0</v>
      </c>
      <c r="K122" s="3">
        <v>352</v>
      </c>
      <c r="L122" s="3">
        <v>12919797.600827381</v>
      </c>
      <c r="M122" s="1">
        <v>87945.891115460312</v>
      </c>
      <c r="N122" s="3">
        <f t="shared" si="8"/>
        <v>166045368.42899999</v>
      </c>
      <c r="O122" s="22">
        <f t="shared" si="9"/>
        <v>0</v>
      </c>
    </row>
    <row r="123" spans="1:15" x14ac:dyDescent="0.25">
      <c r="A123" s="8">
        <v>43497</v>
      </c>
      <c r="B123" s="14">
        <v>0</v>
      </c>
      <c r="C123" s="14">
        <v>0</v>
      </c>
      <c r="D123" s="14">
        <v>0</v>
      </c>
      <c r="E123" s="14">
        <v>0</v>
      </c>
      <c r="F123" s="14">
        <f t="shared" si="7"/>
        <v>0</v>
      </c>
      <c r="G123" s="21">
        <v>675.56999999999994</v>
      </c>
      <c r="H123" s="21">
        <v>0</v>
      </c>
      <c r="I123" s="3">
        <v>28</v>
      </c>
      <c r="J123" s="3">
        <v>0</v>
      </c>
      <c r="K123" s="3">
        <v>304</v>
      </c>
      <c r="L123" s="3">
        <v>12871718.869938312</v>
      </c>
      <c r="M123" s="1">
        <v>88045.895818732795</v>
      </c>
      <c r="N123" s="3">
        <f t="shared" si="8"/>
        <v>148150073.69060001</v>
      </c>
      <c r="O123" s="22">
        <f t="shared" si="9"/>
        <v>0</v>
      </c>
    </row>
    <row r="124" spans="1:15" x14ac:dyDescent="0.25">
      <c r="A124" s="8">
        <v>43525</v>
      </c>
      <c r="B124" s="14">
        <v>0</v>
      </c>
      <c r="C124" s="14">
        <v>0</v>
      </c>
      <c r="D124" s="14">
        <v>0</v>
      </c>
      <c r="E124" s="14">
        <v>0</v>
      </c>
      <c r="F124" s="14">
        <f t="shared" si="7"/>
        <v>0</v>
      </c>
      <c r="G124" s="21">
        <v>561.45500000000015</v>
      </c>
      <c r="H124" s="21">
        <v>0</v>
      </c>
      <c r="I124" s="3">
        <v>31</v>
      </c>
      <c r="J124" s="3">
        <v>1</v>
      </c>
      <c r="K124" s="3">
        <v>336</v>
      </c>
      <c r="L124" s="3">
        <v>12823640.139049243</v>
      </c>
      <c r="M124" s="1">
        <v>88146.014238979988</v>
      </c>
      <c r="N124" s="3">
        <f t="shared" si="8"/>
        <v>151092777.90869999</v>
      </c>
      <c r="O124" s="22">
        <f t="shared" si="9"/>
        <v>0</v>
      </c>
    </row>
    <row r="125" spans="1:15" x14ac:dyDescent="0.25">
      <c r="A125" s="8">
        <v>43556</v>
      </c>
      <c r="B125" s="14">
        <v>0</v>
      </c>
      <c r="C125" s="14">
        <v>0</v>
      </c>
      <c r="D125" s="14">
        <v>0</v>
      </c>
      <c r="E125" s="14">
        <v>0</v>
      </c>
      <c r="F125" s="14">
        <f t="shared" si="7"/>
        <v>0</v>
      </c>
      <c r="G125" s="21">
        <v>363.83</v>
      </c>
      <c r="H125" s="21">
        <v>0.32</v>
      </c>
      <c r="I125" s="3">
        <v>30</v>
      </c>
      <c r="J125" s="3">
        <v>1</v>
      </c>
      <c r="K125" s="3">
        <v>336</v>
      </c>
      <c r="L125" s="3">
        <v>12775561.408160174</v>
      </c>
      <c r="M125" s="1">
        <v>88246.246505511328</v>
      </c>
      <c r="N125" s="3">
        <f t="shared" si="8"/>
        <v>139726015.12470001</v>
      </c>
      <c r="O125" s="22">
        <f t="shared" si="9"/>
        <v>0</v>
      </c>
    </row>
    <row r="126" spans="1:15" x14ac:dyDescent="0.25">
      <c r="A126" s="8">
        <v>43586</v>
      </c>
      <c r="B126" s="14">
        <v>0</v>
      </c>
      <c r="C126" s="14">
        <v>0</v>
      </c>
      <c r="D126" s="14">
        <v>0</v>
      </c>
      <c r="E126" s="14">
        <v>0</v>
      </c>
      <c r="F126" s="14">
        <f t="shared" si="7"/>
        <v>0</v>
      </c>
      <c r="G126" s="21">
        <v>151.71999999999997</v>
      </c>
      <c r="H126" s="21">
        <v>16.82</v>
      </c>
      <c r="I126" s="3">
        <v>31</v>
      </c>
      <c r="J126" s="3">
        <v>1</v>
      </c>
      <c r="K126" s="3">
        <v>352</v>
      </c>
      <c r="L126" s="3">
        <v>12727482.677271105</v>
      </c>
      <c r="M126" s="1">
        <v>88346.592747783274</v>
      </c>
      <c r="N126" s="3">
        <f t="shared" si="8"/>
        <v>142253053.04809999</v>
      </c>
      <c r="O126" s="22">
        <f t="shared" si="9"/>
        <v>0</v>
      </c>
    </row>
    <row r="127" spans="1:15" x14ac:dyDescent="0.25">
      <c r="A127" s="8">
        <v>43617</v>
      </c>
      <c r="B127" s="14">
        <v>0</v>
      </c>
      <c r="C127" s="14">
        <v>0</v>
      </c>
      <c r="D127" s="14">
        <v>0</v>
      </c>
      <c r="E127" s="14">
        <v>0</v>
      </c>
      <c r="F127" s="14">
        <f t="shared" si="7"/>
        <v>0</v>
      </c>
      <c r="G127" s="21">
        <v>47.535000000000004</v>
      </c>
      <c r="H127" s="21">
        <v>34.924999999999997</v>
      </c>
      <c r="I127" s="3">
        <v>30</v>
      </c>
      <c r="J127" s="3">
        <v>0</v>
      </c>
      <c r="K127" s="3">
        <v>320</v>
      </c>
      <c r="L127" s="3">
        <v>12679403.946382036</v>
      </c>
      <c r="M127" s="1">
        <v>88447.053095399489</v>
      </c>
      <c r="N127" s="3">
        <f t="shared" si="8"/>
        <v>144572998.7146</v>
      </c>
      <c r="O127" s="22">
        <f t="shared" si="9"/>
        <v>0</v>
      </c>
    </row>
    <row r="128" spans="1:15" x14ac:dyDescent="0.25">
      <c r="A128" s="8">
        <v>43647</v>
      </c>
      <c r="B128" s="14">
        <v>0</v>
      </c>
      <c r="C128" s="14">
        <v>0</v>
      </c>
      <c r="D128" s="14">
        <v>0</v>
      </c>
      <c r="E128" s="14">
        <v>0</v>
      </c>
      <c r="F128" s="14">
        <f t="shared" si="7"/>
        <v>0</v>
      </c>
      <c r="G128" s="21">
        <v>12.79</v>
      </c>
      <c r="H128" s="21">
        <v>80.820000000000007</v>
      </c>
      <c r="I128" s="3">
        <v>31</v>
      </c>
      <c r="J128" s="3">
        <v>0</v>
      </c>
      <c r="K128" s="3">
        <v>352</v>
      </c>
      <c r="L128" s="3">
        <v>12631325.215492968</v>
      </c>
      <c r="M128" s="1">
        <v>88547.627678111006</v>
      </c>
      <c r="N128" s="3">
        <f>ROUND(($Q$17+G128*$Q$18+H128*$Q$19+I128*$Q$20+J128*$Q$21+K128*$Q$22+L128*$Q$23+M128*$Q$24),4)</f>
        <v>166444301.6534</v>
      </c>
      <c r="O128" s="22">
        <f t="shared" si="9"/>
        <v>0</v>
      </c>
    </row>
    <row r="129" spans="1:16" x14ac:dyDescent="0.25">
      <c r="A129" s="8">
        <v>43678</v>
      </c>
      <c r="B129" s="14">
        <v>0</v>
      </c>
      <c r="C129" s="14">
        <v>0</v>
      </c>
      <c r="D129" s="14">
        <v>0</v>
      </c>
      <c r="E129" s="14">
        <v>0</v>
      </c>
      <c r="F129" s="14">
        <f t="shared" si="7"/>
        <v>0</v>
      </c>
      <c r="G129" s="21">
        <v>20.975000000000001</v>
      </c>
      <c r="H129" s="21">
        <v>60.88000000000001</v>
      </c>
      <c r="I129" s="3">
        <v>31</v>
      </c>
      <c r="J129" s="3">
        <v>0</v>
      </c>
      <c r="K129" s="3">
        <v>336</v>
      </c>
      <c r="L129" s="3">
        <v>12583246.484603899</v>
      </c>
      <c r="M129" s="1">
        <v>88648.316625816427</v>
      </c>
      <c r="N129" s="3">
        <f t="shared" si="8"/>
        <v>158048671.89399999</v>
      </c>
      <c r="O129" s="22">
        <f t="shared" si="9"/>
        <v>0</v>
      </c>
      <c r="P129" s="447"/>
    </row>
    <row r="130" spans="1:16" x14ac:dyDescent="0.25">
      <c r="A130" s="8">
        <v>43709</v>
      </c>
      <c r="B130" s="14">
        <v>0</v>
      </c>
      <c r="C130" s="14">
        <v>0</v>
      </c>
      <c r="D130" s="14">
        <v>0</v>
      </c>
      <c r="E130" s="14">
        <v>0</v>
      </c>
      <c r="F130" s="14">
        <f t="shared" si="7"/>
        <v>0</v>
      </c>
      <c r="G130" s="21">
        <v>96.54500000000003</v>
      </c>
      <c r="H130" s="21">
        <v>25.225000000000001</v>
      </c>
      <c r="I130" s="3">
        <v>30</v>
      </c>
      <c r="J130" s="3">
        <v>1</v>
      </c>
      <c r="K130" s="3">
        <v>320</v>
      </c>
      <c r="L130" s="3">
        <v>12535167.75371483</v>
      </c>
      <c r="M130" s="1">
        <v>88749.120068562042</v>
      </c>
      <c r="N130" s="3">
        <f t="shared" si="8"/>
        <v>137175756.0476</v>
      </c>
      <c r="O130" s="22">
        <f t="shared" ref="O130:O145" si="10">IFERROR((ABS(N130/F130-1)),0)</f>
        <v>0</v>
      </c>
      <c r="P130"/>
    </row>
    <row r="131" spans="1:16" x14ac:dyDescent="0.25">
      <c r="A131" s="8">
        <v>43739</v>
      </c>
      <c r="B131" s="14">
        <v>0</v>
      </c>
      <c r="C131" s="14">
        <v>0</v>
      </c>
      <c r="D131" s="14">
        <v>0</v>
      </c>
      <c r="E131" s="14">
        <v>0</v>
      </c>
      <c r="F131" s="14">
        <f t="shared" ref="F131:F145" si="11">ROUND((SUM(B131:E131)),4)</f>
        <v>0</v>
      </c>
      <c r="G131" s="21">
        <v>275.76499999999999</v>
      </c>
      <c r="H131" s="21">
        <v>1.0299999999999998</v>
      </c>
      <c r="I131" s="3">
        <v>31</v>
      </c>
      <c r="J131" s="3">
        <v>1</v>
      </c>
      <c r="K131" s="3">
        <v>352</v>
      </c>
      <c r="L131" s="3">
        <v>12487089.022825761</v>
      </c>
      <c r="M131" s="1">
        <v>88850.038136542018</v>
      </c>
      <c r="N131" s="3">
        <f t="shared" ref="N131:N145" si="12">ROUND(($Q$17+G131*$Q$18+H131*$Q$19+I131*$Q$20+J131*$Q$21+K131*$Q$22+L131*$Q$23+M131*$Q$24),4)</f>
        <v>141183518.30320001</v>
      </c>
      <c r="O131" s="22">
        <f t="shared" si="10"/>
        <v>0</v>
      </c>
      <c r="P131" s="447"/>
    </row>
    <row r="132" spans="1:16" x14ac:dyDescent="0.25">
      <c r="A132" s="8">
        <v>43770</v>
      </c>
      <c r="B132" s="14">
        <v>0</v>
      </c>
      <c r="C132" s="14">
        <v>0</v>
      </c>
      <c r="D132" s="14">
        <v>0</v>
      </c>
      <c r="E132" s="14">
        <v>0</v>
      </c>
      <c r="F132" s="14">
        <f t="shared" si="11"/>
        <v>0</v>
      </c>
      <c r="G132" s="21">
        <v>457.58000000000004</v>
      </c>
      <c r="H132" s="21">
        <v>0</v>
      </c>
      <c r="I132" s="3">
        <v>30</v>
      </c>
      <c r="J132" s="3">
        <v>1</v>
      </c>
      <c r="K132" s="3">
        <v>336</v>
      </c>
      <c r="L132" s="3">
        <v>12439010.291936692</v>
      </c>
      <c r="M132" s="1">
        <v>88951.070960098587</v>
      </c>
      <c r="N132" s="3">
        <f t="shared" si="12"/>
        <v>143246361.55540001</v>
      </c>
      <c r="O132" s="22">
        <f t="shared" si="10"/>
        <v>0</v>
      </c>
      <c r="P132" s="447"/>
    </row>
    <row r="133" spans="1:16" x14ac:dyDescent="0.25">
      <c r="A133" s="9">
        <v>43800</v>
      </c>
      <c r="B133" s="15">
        <v>0</v>
      </c>
      <c r="C133" s="15">
        <v>0</v>
      </c>
      <c r="D133" s="15">
        <v>0</v>
      </c>
      <c r="E133" s="15">
        <v>0</v>
      </c>
      <c r="F133" s="15">
        <f t="shared" si="11"/>
        <v>0</v>
      </c>
      <c r="G133" s="24">
        <v>631.14</v>
      </c>
      <c r="H133" s="24">
        <v>0</v>
      </c>
      <c r="I133" s="5">
        <v>31</v>
      </c>
      <c r="J133" s="5">
        <v>0</v>
      </c>
      <c r="K133" s="5">
        <v>320</v>
      </c>
      <c r="L133" s="5">
        <v>12390931.561047623</v>
      </c>
      <c r="M133" s="10">
        <v>89052.218669722162</v>
      </c>
      <c r="N133" s="5">
        <f t="shared" si="12"/>
        <v>158204119.85339999</v>
      </c>
      <c r="O133" s="25">
        <f t="shared" si="10"/>
        <v>0</v>
      </c>
      <c r="P133" s="447"/>
    </row>
    <row r="134" spans="1:16" x14ac:dyDescent="0.25">
      <c r="A134" s="8">
        <v>43831</v>
      </c>
      <c r="B134" s="14">
        <v>0</v>
      </c>
      <c r="C134" s="14">
        <v>0</v>
      </c>
      <c r="D134" s="14">
        <v>0</v>
      </c>
      <c r="E134" s="14">
        <v>0</v>
      </c>
      <c r="F134" s="14">
        <f t="shared" si="11"/>
        <v>0</v>
      </c>
      <c r="G134" s="21">
        <v>763.76499999999999</v>
      </c>
      <c r="H134" s="21">
        <v>0</v>
      </c>
      <c r="I134" s="3">
        <v>31</v>
      </c>
      <c r="J134" s="3">
        <v>0</v>
      </c>
      <c r="K134" s="3">
        <v>352</v>
      </c>
      <c r="L134" s="3">
        <v>12382202.147693502</v>
      </c>
      <c r="M134" s="1">
        <v>89153.481396051575</v>
      </c>
      <c r="N134" s="3">
        <f t="shared" si="12"/>
        <v>165872823.50189999</v>
      </c>
      <c r="O134" s="22">
        <f t="shared" si="10"/>
        <v>0</v>
      </c>
      <c r="P134" s="447"/>
    </row>
    <row r="135" spans="1:16" x14ac:dyDescent="0.25">
      <c r="A135" s="8">
        <v>43862</v>
      </c>
      <c r="B135" s="14">
        <v>0</v>
      </c>
      <c r="C135" s="14">
        <v>0</v>
      </c>
      <c r="D135" s="14">
        <v>0</v>
      </c>
      <c r="E135" s="14">
        <v>0</v>
      </c>
      <c r="F135" s="14">
        <f t="shared" si="11"/>
        <v>0</v>
      </c>
      <c r="G135" s="21">
        <v>675.56999999999994</v>
      </c>
      <c r="H135" s="21">
        <v>0</v>
      </c>
      <c r="I135" s="3">
        <v>29</v>
      </c>
      <c r="J135" s="3">
        <v>0</v>
      </c>
      <c r="K135" s="3">
        <v>304</v>
      </c>
      <c r="L135" s="3">
        <v>12373472.734339381</v>
      </c>
      <c r="M135" s="1">
        <v>89254.859269874185</v>
      </c>
      <c r="N135" s="3">
        <f t="shared" si="12"/>
        <v>151563984.01280001</v>
      </c>
      <c r="O135" s="22">
        <f t="shared" si="10"/>
        <v>0</v>
      </c>
      <c r="P135" s="447"/>
    </row>
    <row r="136" spans="1:16" x14ac:dyDescent="0.25">
      <c r="A136" s="8">
        <v>43891</v>
      </c>
      <c r="B136" s="14">
        <v>0</v>
      </c>
      <c r="C136" s="14">
        <v>0</v>
      </c>
      <c r="D136" s="14">
        <v>0</v>
      </c>
      <c r="E136" s="14">
        <v>0</v>
      </c>
      <c r="F136" s="14">
        <f t="shared" si="11"/>
        <v>0</v>
      </c>
      <c r="G136" s="21">
        <v>561.45500000000015</v>
      </c>
      <c r="H136" s="21">
        <v>0</v>
      </c>
      <c r="I136" s="3">
        <v>31</v>
      </c>
      <c r="J136" s="3">
        <v>1</v>
      </c>
      <c r="K136" s="3">
        <v>352</v>
      </c>
      <c r="L136" s="3">
        <v>12364743.320985259</v>
      </c>
      <c r="M136" s="1">
        <v>89356.352422126089</v>
      </c>
      <c r="N136" s="3">
        <f t="shared" si="12"/>
        <v>152111180.3876</v>
      </c>
      <c r="O136" s="22">
        <f t="shared" si="10"/>
        <v>0</v>
      </c>
      <c r="P136" s="447"/>
    </row>
    <row r="137" spans="1:16" x14ac:dyDescent="0.25">
      <c r="A137" s="8">
        <v>43922</v>
      </c>
      <c r="B137" s="14">
        <v>0</v>
      </c>
      <c r="C137" s="14">
        <v>0</v>
      </c>
      <c r="D137" s="14">
        <v>0</v>
      </c>
      <c r="E137" s="14">
        <v>0</v>
      </c>
      <c r="F137" s="14">
        <f t="shared" si="11"/>
        <v>0</v>
      </c>
      <c r="G137" s="21">
        <v>363.83</v>
      </c>
      <c r="H137" s="21">
        <v>0.32</v>
      </c>
      <c r="I137" s="3">
        <v>30</v>
      </c>
      <c r="J137" s="3">
        <v>1</v>
      </c>
      <c r="K137" s="3">
        <v>336</v>
      </c>
      <c r="L137" s="3">
        <v>12356013.907631138</v>
      </c>
      <c r="M137" s="1">
        <v>89457.960983892248</v>
      </c>
      <c r="N137" s="3">
        <f t="shared" si="12"/>
        <v>139543153.91549999</v>
      </c>
      <c r="O137" s="22">
        <f t="shared" si="10"/>
        <v>0</v>
      </c>
      <c r="P137" s="447"/>
    </row>
    <row r="138" spans="1:16" x14ac:dyDescent="0.25">
      <c r="A138" s="8">
        <v>43952</v>
      </c>
      <c r="B138" s="14">
        <v>0</v>
      </c>
      <c r="C138" s="14">
        <v>0</v>
      </c>
      <c r="D138" s="14">
        <v>0</v>
      </c>
      <c r="E138" s="14">
        <v>0</v>
      </c>
      <c r="F138" s="14">
        <f t="shared" si="11"/>
        <v>0</v>
      </c>
      <c r="G138" s="21">
        <v>151.71999999999997</v>
      </c>
      <c r="H138" s="21">
        <v>16.82</v>
      </c>
      <c r="I138" s="3">
        <v>31</v>
      </c>
      <c r="J138" s="3">
        <v>1</v>
      </c>
      <c r="K138" s="3">
        <v>320</v>
      </c>
      <c r="L138" s="3">
        <v>12347284.494277017</v>
      </c>
      <c r="M138" s="1">
        <v>89559.685086406709</v>
      </c>
      <c r="N138" s="3">
        <f t="shared" si="12"/>
        <v>139671103.2229</v>
      </c>
      <c r="O138" s="22">
        <f t="shared" si="10"/>
        <v>0</v>
      </c>
      <c r="P138" s="447"/>
    </row>
    <row r="139" spans="1:16" x14ac:dyDescent="0.25">
      <c r="A139" s="8">
        <v>43983</v>
      </c>
      <c r="B139" s="14">
        <v>0</v>
      </c>
      <c r="C139" s="14">
        <v>0</v>
      </c>
      <c r="D139" s="14">
        <v>0</v>
      </c>
      <c r="E139" s="14">
        <v>0</v>
      </c>
      <c r="F139" s="14">
        <f t="shared" si="11"/>
        <v>0</v>
      </c>
      <c r="G139" s="21">
        <v>47.535000000000004</v>
      </c>
      <c r="H139" s="21">
        <v>34.924999999999997</v>
      </c>
      <c r="I139" s="3">
        <v>30</v>
      </c>
      <c r="J139" s="3">
        <v>0</v>
      </c>
      <c r="K139" s="3">
        <v>352</v>
      </c>
      <c r="L139" s="3">
        <v>12338555.080922896</v>
      </c>
      <c r="M139" s="1">
        <v>89661.524861052734</v>
      </c>
      <c r="N139" s="3">
        <f t="shared" si="12"/>
        <v>146778907.87909999</v>
      </c>
      <c r="O139" s="22">
        <f t="shared" si="10"/>
        <v>0</v>
      </c>
      <c r="P139" s="447"/>
    </row>
    <row r="140" spans="1:16" x14ac:dyDescent="0.25">
      <c r="A140" s="8">
        <v>44013</v>
      </c>
      <c r="B140" s="14">
        <v>0</v>
      </c>
      <c r="C140" s="14">
        <v>0</v>
      </c>
      <c r="D140" s="14">
        <v>0</v>
      </c>
      <c r="E140" s="14">
        <v>0</v>
      </c>
      <c r="F140" s="14">
        <f t="shared" si="11"/>
        <v>0</v>
      </c>
      <c r="G140" s="21">
        <v>12.79</v>
      </c>
      <c r="H140" s="21">
        <v>80.820000000000007</v>
      </c>
      <c r="I140" s="3">
        <v>31</v>
      </c>
      <c r="J140" s="3">
        <v>0</v>
      </c>
      <c r="K140" s="3">
        <v>352</v>
      </c>
      <c r="L140" s="3">
        <v>12329825.667568775</v>
      </c>
      <c r="M140" s="1">
        <v>89763.480439362989</v>
      </c>
      <c r="N140" s="3">
        <f t="shared" si="12"/>
        <v>166251121.64070001</v>
      </c>
      <c r="O140" s="22">
        <f t="shared" si="10"/>
        <v>0</v>
      </c>
      <c r="P140" s="447"/>
    </row>
    <row r="141" spans="1:16" x14ac:dyDescent="0.25">
      <c r="A141" s="8">
        <v>44044</v>
      </c>
      <c r="B141" s="14">
        <v>0</v>
      </c>
      <c r="C141" s="14">
        <v>0</v>
      </c>
      <c r="D141" s="14">
        <v>0</v>
      </c>
      <c r="E141" s="14">
        <v>0</v>
      </c>
      <c r="F141" s="14">
        <f t="shared" si="11"/>
        <v>0</v>
      </c>
      <c r="G141" s="21">
        <v>20.975000000000001</v>
      </c>
      <c r="H141" s="21">
        <v>60.88000000000001</v>
      </c>
      <c r="I141" s="3">
        <v>31</v>
      </c>
      <c r="J141" s="3">
        <v>0</v>
      </c>
      <c r="K141" s="3">
        <v>320</v>
      </c>
      <c r="L141" s="3">
        <v>12321096.254214654</v>
      </c>
      <c r="M141" s="1">
        <v>89865.551953019705</v>
      </c>
      <c r="N141" s="3">
        <f t="shared" si="12"/>
        <v>156654227.07069999</v>
      </c>
      <c r="O141" s="22">
        <f t="shared" si="10"/>
        <v>0</v>
      </c>
      <c r="P141" s="447"/>
    </row>
    <row r="142" spans="1:16" x14ac:dyDescent="0.25">
      <c r="A142" s="8">
        <v>44075</v>
      </c>
      <c r="B142" s="14">
        <v>0</v>
      </c>
      <c r="C142" s="14">
        <v>0</v>
      </c>
      <c r="D142" s="14">
        <v>0</v>
      </c>
      <c r="E142" s="14">
        <v>0</v>
      </c>
      <c r="F142" s="14">
        <f t="shared" si="11"/>
        <v>0</v>
      </c>
      <c r="G142" s="21">
        <v>96.54500000000003</v>
      </c>
      <c r="H142" s="21">
        <v>25.225000000000001</v>
      </c>
      <c r="I142" s="3">
        <v>30</v>
      </c>
      <c r="J142" s="3">
        <v>1</v>
      </c>
      <c r="K142" s="3">
        <v>336</v>
      </c>
      <c r="L142" s="3">
        <v>12312366.840860533</v>
      </c>
      <c r="M142" s="1">
        <v>89967.739533854838</v>
      </c>
      <c r="N142" s="3">
        <f t="shared" si="12"/>
        <v>138173520.07539999</v>
      </c>
      <c r="O142" s="22">
        <f t="shared" si="10"/>
        <v>0</v>
      </c>
      <c r="P142"/>
    </row>
    <row r="143" spans="1:16" x14ac:dyDescent="0.25">
      <c r="A143" s="8">
        <v>44105</v>
      </c>
      <c r="B143" s="14">
        <v>0</v>
      </c>
      <c r="C143" s="14">
        <v>0</v>
      </c>
      <c r="D143" s="14">
        <v>0</v>
      </c>
      <c r="E143" s="14">
        <v>0</v>
      </c>
      <c r="F143" s="14">
        <f t="shared" si="11"/>
        <v>0</v>
      </c>
      <c r="G143" s="21">
        <v>275.76499999999999</v>
      </c>
      <c r="H143" s="21">
        <v>1.0299999999999998</v>
      </c>
      <c r="I143" s="3">
        <v>31</v>
      </c>
      <c r="J143" s="3">
        <v>1</v>
      </c>
      <c r="K143" s="3">
        <v>336</v>
      </c>
      <c r="L143" s="3">
        <v>12303637.427506411</v>
      </c>
      <c r="M143" s="1">
        <v>90070.04331385027</v>
      </c>
      <c r="N143" s="3">
        <f t="shared" si="12"/>
        <v>139782192.30950001</v>
      </c>
      <c r="O143" s="22">
        <f t="shared" si="10"/>
        <v>0</v>
      </c>
      <c r="P143" s="447"/>
    </row>
    <row r="144" spans="1:16" x14ac:dyDescent="0.25">
      <c r="A144" s="8">
        <v>44136</v>
      </c>
      <c r="B144" s="14">
        <v>0</v>
      </c>
      <c r="C144" s="14">
        <v>0</v>
      </c>
      <c r="D144" s="14">
        <v>0</v>
      </c>
      <c r="E144" s="14">
        <v>0</v>
      </c>
      <c r="F144" s="14">
        <f t="shared" si="11"/>
        <v>0</v>
      </c>
      <c r="G144" s="21">
        <v>457.58000000000004</v>
      </c>
      <c r="H144" s="21">
        <v>0</v>
      </c>
      <c r="I144" s="3">
        <v>30</v>
      </c>
      <c r="J144" s="3">
        <v>1</v>
      </c>
      <c r="K144" s="3">
        <v>336</v>
      </c>
      <c r="L144" s="3">
        <v>12294908.01415229</v>
      </c>
      <c r="M144" s="1">
        <v>90172.463425137961</v>
      </c>
      <c r="N144" s="3">
        <f t="shared" si="12"/>
        <v>143039419.2013</v>
      </c>
      <c r="O144" s="22">
        <f t="shared" si="10"/>
        <v>0</v>
      </c>
      <c r="P144" s="447"/>
    </row>
    <row r="145" spans="1:16" x14ac:dyDescent="0.25">
      <c r="A145" s="9">
        <v>44166</v>
      </c>
      <c r="B145" s="15">
        <v>0</v>
      </c>
      <c r="C145" s="15">
        <v>0</v>
      </c>
      <c r="D145" s="15">
        <v>0</v>
      </c>
      <c r="E145" s="15">
        <v>0</v>
      </c>
      <c r="F145" s="15">
        <f t="shared" si="11"/>
        <v>0</v>
      </c>
      <c r="G145" s="24">
        <v>631.14</v>
      </c>
      <c r="H145" s="24">
        <v>0</v>
      </c>
      <c r="I145" s="5">
        <v>31</v>
      </c>
      <c r="J145" s="5">
        <v>0</v>
      </c>
      <c r="K145" s="5">
        <v>336</v>
      </c>
      <c r="L145" s="5">
        <v>12286178.600798169</v>
      </c>
      <c r="M145" s="10">
        <v>90275</v>
      </c>
      <c r="N145" s="5">
        <f t="shared" si="12"/>
        <v>159191560.8565</v>
      </c>
      <c r="O145" s="25">
        <f t="shared" si="10"/>
        <v>0</v>
      </c>
      <c r="P145" s="447"/>
    </row>
    <row r="146" spans="1:16" x14ac:dyDescent="0.25">
      <c r="J146" s="447"/>
      <c r="K146" s="447"/>
      <c r="L146" s="447"/>
      <c r="M146" s="447"/>
      <c r="N146" s="3"/>
      <c r="P146" s="447"/>
    </row>
    <row r="147" spans="1:16" x14ac:dyDescent="0.25">
      <c r="I147" t="s">
        <v>38</v>
      </c>
      <c r="J147" s="447"/>
      <c r="K147" s="447"/>
      <c r="L147" s="447"/>
      <c r="M147" s="447"/>
      <c r="N147" s="3">
        <f>ROUND((SUM(N2:N146)),4)</f>
        <v>21787200445.127701</v>
      </c>
      <c r="O147" s="111">
        <f>AVERAGE(O2:O121)</f>
        <v>1.7434525930197394E-2</v>
      </c>
      <c r="P147" s="359" t="s">
        <v>13</v>
      </c>
    </row>
    <row r="148" spans="1:16" x14ac:dyDescent="0.25">
      <c r="J148" s="447"/>
      <c r="K148" s="447"/>
      <c r="L148" s="447"/>
      <c r="M148" s="447"/>
      <c r="N148" s="447"/>
      <c r="O148" s="26"/>
      <c r="P148" s="447"/>
    </row>
    <row r="149" spans="1:16" x14ac:dyDescent="0.25">
      <c r="A149" s="7">
        <v>2009</v>
      </c>
      <c r="B149" s="14">
        <f>ROUND((SUM(B2:B13)),4)</f>
        <v>1799117218</v>
      </c>
      <c r="C149" s="14">
        <f>ROUND((SUM(C2:C13)),4)</f>
        <v>40185654.629500002</v>
      </c>
      <c r="F149" s="14">
        <f>ROUND((SUM(F2:F13)),4)</f>
        <v>1783525545.6735001</v>
      </c>
      <c r="J149" s="447"/>
      <c r="K149" s="447"/>
      <c r="L149" s="447"/>
      <c r="M149" s="447"/>
      <c r="N149" s="14">
        <f>ROUND((SUM(N2:N13)),4)</f>
        <v>1803793046.908</v>
      </c>
      <c r="O149" s="26">
        <f t="shared" ref="O149:O158" si="13">N149/F149</f>
        <v>1.0113637291507627</v>
      </c>
      <c r="P149" s="27">
        <f t="shared" ref="P149:P158" si="14">+N149-F149</f>
        <v>20267501.234499931</v>
      </c>
    </row>
    <row r="150" spans="1:16" x14ac:dyDescent="0.25">
      <c r="A150" s="7">
        <v>2010</v>
      </c>
      <c r="B150" s="14">
        <f>ROUND((SUM(B14:B25)),4)</f>
        <v>1856139934</v>
      </c>
      <c r="C150" s="14">
        <f>ROUND((SUM(C14:C25)),4)</f>
        <v>40032545.976099998</v>
      </c>
      <c r="F150" s="14">
        <f>ROUND((SUM(F14:F25)),4)</f>
        <v>1847282693.8638999</v>
      </c>
      <c r="J150" s="447"/>
      <c r="K150" s="447"/>
      <c r="L150" s="447"/>
      <c r="M150" s="447"/>
      <c r="N150" s="14">
        <f>ROUND((SUM(N14:N25)),4)</f>
        <v>1840735382.2096</v>
      </c>
      <c r="O150" s="26">
        <f t="shared" si="13"/>
        <v>0.99645570671124239</v>
      </c>
      <c r="P150" s="27">
        <f t="shared" si="14"/>
        <v>-6547311.6542999744</v>
      </c>
    </row>
    <row r="151" spans="1:16" x14ac:dyDescent="0.25">
      <c r="A151" s="7">
        <v>2011</v>
      </c>
      <c r="B151" s="14">
        <f>ROUND((SUM(B26:B37)),4)</f>
        <v>1858126221</v>
      </c>
      <c r="C151" s="14">
        <f>ROUND((SUM(C26:C37)),4)</f>
        <v>39148349.384599999</v>
      </c>
      <c r="F151" s="14">
        <f>ROUND((SUM(F26:F37)),4)</f>
        <v>1851601106.1615</v>
      </c>
      <c r="J151" s="447"/>
      <c r="K151" s="447"/>
      <c r="L151" s="447"/>
      <c r="M151" s="447"/>
      <c r="N151" s="14">
        <f>ROUND((SUM(N26:N37)),4)</f>
        <v>1833864910.6591001</v>
      </c>
      <c r="O151" s="26">
        <f t="shared" si="13"/>
        <v>0.99042115742781756</v>
      </c>
      <c r="P151" s="27">
        <f t="shared" si="14"/>
        <v>-17736195.502399921</v>
      </c>
    </row>
    <row r="152" spans="1:16" x14ac:dyDescent="0.25">
      <c r="A152" s="7">
        <v>2012</v>
      </c>
      <c r="B152" s="14">
        <f>ROUND((SUM(B38:B49)),4)</f>
        <v>1850077497</v>
      </c>
      <c r="C152" s="14">
        <f>ROUND((SUM(C38:C49)),4)</f>
        <v>37352755.518100001</v>
      </c>
      <c r="F152" s="14">
        <f>ROUND((SUM(F38:F49)),4)</f>
        <v>1841751486.6217</v>
      </c>
      <c r="J152" s="447"/>
      <c r="K152" s="447"/>
      <c r="L152" s="447"/>
      <c r="M152" s="447"/>
      <c r="N152" s="14">
        <f>ROUND((SUM(N38:N49)),4)</f>
        <v>1829625336.9437001</v>
      </c>
      <c r="O152" s="26">
        <f t="shared" si="13"/>
        <v>0.99341596856791858</v>
      </c>
      <c r="P152" s="27">
        <f t="shared" si="14"/>
        <v>-12126149.677999973</v>
      </c>
    </row>
    <row r="153" spans="1:16" x14ac:dyDescent="0.25">
      <c r="A153" s="7">
        <v>2013</v>
      </c>
      <c r="B153" s="14">
        <f>ROUND((SUM(B50:B61)),4)</f>
        <v>1830430672</v>
      </c>
      <c r="C153" s="14">
        <f>ROUND((SUM(C50:C61)),4)</f>
        <v>41134501.349200003</v>
      </c>
      <c r="F153" s="14">
        <f>ROUND((SUM(F50:F61)),4)</f>
        <v>1826077452.0487001</v>
      </c>
      <c r="J153" s="447"/>
      <c r="K153" s="447"/>
      <c r="L153" s="447"/>
      <c r="M153" s="447"/>
      <c r="N153" s="14">
        <f>ROUND((SUM(N50:N61)),4)</f>
        <v>1825921159.9988999</v>
      </c>
      <c r="O153" s="26">
        <f t="shared" si="13"/>
        <v>0.99991441105106205</v>
      </c>
      <c r="P153" s="27">
        <f t="shared" si="14"/>
        <v>-156292.04980015755</v>
      </c>
    </row>
    <row r="154" spans="1:16" x14ac:dyDescent="0.25">
      <c r="A154" s="7">
        <v>2014</v>
      </c>
      <c r="B154" s="14">
        <f>ROUND((SUM(B62:B73)),4)</f>
        <v>1814223822.6538999</v>
      </c>
      <c r="C154" s="14">
        <f>ROUND((SUM(C62:C73)),4)</f>
        <v>39608973.159199998</v>
      </c>
      <c r="F154" s="14">
        <f>ROUND((SUM(F62:F73)),4)</f>
        <v>1813646737.4347999</v>
      </c>
      <c r="J154" s="447"/>
      <c r="K154" s="447"/>
      <c r="L154" s="447"/>
      <c r="M154" s="447"/>
      <c r="N154" s="14">
        <f>ROUND((SUM(N62:N73)),4)</f>
        <v>1806274832.6217</v>
      </c>
      <c r="O154" s="26">
        <f t="shared" si="13"/>
        <v>0.9959353138287963</v>
      </c>
      <c r="P154" s="27">
        <f t="shared" si="14"/>
        <v>-7371904.8130998611</v>
      </c>
    </row>
    <row r="155" spans="1:16" x14ac:dyDescent="0.25">
      <c r="A155" s="7">
        <v>2015</v>
      </c>
      <c r="B155" s="14">
        <f>ROUND((SUM(B74:B85)),4)</f>
        <v>1771969142</v>
      </c>
      <c r="C155" s="14">
        <f>ROUND((SUM(C74:D85)),4)</f>
        <v>38406888.3235</v>
      </c>
      <c r="F155" s="14">
        <f>ROUND((SUM(F74:F85)),4)</f>
        <v>1801989952.4038</v>
      </c>
      <c r="J155" s="447"/>
      <c r="K155" s="447"/>
      <c r="L155" s="447"/>
      <c r="M155" s="447"/>
      <c r="N155" s="14">
        <f>ROUND((SUM(N74:N85)),4)</f>
        <v>1809377410.0093999</v>
      </c>
      <c r="O155" s="26">
        <f t="shared" si="13"/>
        <v>1.0040996108750468</v>
      </c>
      <c r="P155" s="27">
        <f t="shared" si="14"/>
        <v>7387457.6055998802</v>
      </c>
    </row>
    <row r="156" spans="1:16" x14ac:dyDescent="0.25">
      <c r="A156" s="7">
        <v>2016</v>
      </c>
      <c r="B156" s="14">
        <f>ROUND((SUM(B86:B97)),4)</f>
        <v>1771980296</v>
      </c>
      <c r="C156" s="14">
        <f>ROUND((SUM(C86:D97)),4)</f>
        <v>48126185.670100003</v>
      </c>
      <c r="F156" s="14">
        <f>ROUND((SUM(F86:F97)),4)</f>
        <v>1811690675.5150001</v>
      </c>
      <c r="J156" s="447"/>
      <c r="K156" s="447"/>
      <c r="L156" s="447"/>
      <c r="M156" s="447"/>
      <c r="N156" s="14">
        <f>ROUND((SUM(N86:N97)),4)</f>
        <v>1829635952.0555999</v>
      </c>
      <c r="O156" s="26">
        <f t="shared" si="13"/>
        <v>1.0099052651664715</v>
      </c>
      <c r="P156" s="27">
        <f t="shared" si="14"/>
        <v>17945276.540599823</v>
      </c>
    </row>
    <row r="157" spans="1:16" x14ac:dyDescent="0.25">
      <c r="A157" s="7">
        <v>2017</v>
      </c>
      <c r="B157" s="14">
        <f>ROUND((SUM(B98:B109)),4)</f>
        <v>1717303925</v>
      </c>
      <c r="C157" s="14">
        <f>ROUND((SUM(C98:D109)),4)</f>
        <v>48211544.1642</v>
      </c>
      <c r="F157" s="14">
        <f>ROUND((SUM(F98:F109)),4)</f>
        <v>1757808741.7091</v>
      </c>
      <c r="J157" s="447"/>
      <c r="K157" s="447"/>
      <c r="L157" s="447"/>
      <c r="M157" s="447"/>
      <c r="N157" s="14">
        <f>ROUND((SUM(N98:N109)),4)</f>
        <v>1777413215.0747001</v>
      </c>
      <c r="O157" s="26">
        <f t="shared" si="13"/>
        <v>1.0111527909154319</v>
      </c>
      <c r="P157" s="27">
        <f t="shared" si="14"/>
        <v>19604473.365600109</v>
      </c>
    </row>
    <row r="158" spans="1:16" x14ac:dyDescent="0.25">
      <c r="A158" s="7">
        <v>2018</v>
      </c>
      <c r="B158" s="14">
        <f>ROUND((SUM(B110:B121)),4)</f>
        <v>1810386694.8640001</v>
      </c>
      <c r="C158" s="14">
        <f>ROUND((SUM(C110:D121)),4)</f>
        <v>46663148.534900002</v>
      </c>
      <c r="F158" s="14">
        <f>ROUND((SUM(F110:F121)),4)</f>
        <v>1857049843.3989</v>
      </c>
      <c r="J158" s="447"/>
      <c r="K158" s="447"/>
      <c r="L158" s="447"/>
      <c r="M158" s="447"/>
      <c r="N158" s="14">
        <f>ROUND((SUM(N110:N121)),4)</f>
        <v>1835782988.3504</v>
      </c>
      <c r="O158" s="26">
        <f t="shared" si="13"/>
        <v>0.98854804294882248</v>
      </c>
      <c r="P158" s="27">
        <f t="shared" si="14"/>
        <v>-21266855.048500061</v>
      </c>
    </row>
    <row r="159" spans="1:16" x14ac:dyDescent="0.25">
      <c r="A159" s="7">
        <v>2019</v>
      </c>
      <c r="F159" s="14">
        <f>ROUND((SUM(F122:F133)),4)</f>
        <v>0</v>
      </c>
      <c r="J159" s="447"/>
      <c r="K159" s="447"/>
      <c r="L159" s="447"/>
      <c r="M159" s="447"/>
      <c r="N159" s="14">
        <f>ROUND((SUM(N122:N133)),4)</f>
        <v>1796143016.2227001</v>
      </c>
      <c r="P159" s="447"/>
    </row>
    <row r="160" spans="1:16" x14ac:dyDescent="0.25">
      <c r="A160" s="7">
        <v>2020</v>
      </c>
      <c r="F160" s="14">
        <f>ROUND((SUM(F134:F145)),4)</f>
        <v>0</v>
      </c>
      <c r="J160" s="447"/>
      <c r="K160" s="447"/>
      <c r="L160" s="447"/>
      <c r="M160" s="447"/>
      <c r="N160" s="14">
        <f>ROUND((SUM(N134:N145)),4)</f>
        <v>1798633194.0739</v>
      </c>
      <c r="P160" s="447"/>
    </row>
    <row r="161" spans="1:16" x14ac:dyDescent="0.25">
      <c r="J161" s="447"/>
      <c r="K161" s="447"/>
      <c r="L161" s="447"/>
      <c r="M161" s="447"/>
      <c r="N161" s="14"/>
      <c r="P161" s="1"/>
    </row>
    <row r="162" spans="1:16" x14ac:dyDescent="0.25">
      <c r="A162" s="28" t="s">
        <v>39</v>
      </c>
      <c r="F162" s="14">
        <f>ROUND((SUM(F149:F161)),4)</f>
        <v>18192424234.830898</v>
      </c>
      <c r="J162" s="447"/>
      <c r="K162" s="447"/>
      <c r="L162" s="447"/>
      <c r="M162" s="447"/>
      <c r="N162" s="32">
        <f>ROUND((SUM(N149:N158)),4)</f>
        <v>18192424234.8311</v>
      </c>
      <c r="P162" s="2">
        <f>ROUND((+N162-F162),2)</f>
        <v>0</v>
      </c>
    </row>
    <row r="163" spans="1:16" x14ac:dyDescent="0.25">
      <c r="J163" s="447"/>
      <c r="K163" s="447"/>
      <c r="L163" s="447"/>
      <c r="M163" s="447"/>
      <c r="N163" s="14"/>
      <c r="P163" s="1"/>
    </row>
    <row r="164" spans="1:16" x14ac:dyDescent="0.25">
      <c r="J164" s="447"/>
      <c r="K164" s="447"/>
      <c r="L164" s="447"/>
      <c r="M164" s="447"/>
      <c r="N164" s="29">
        <f>ROUND((SUM(N149:N160)),4)</f>
        <v>21787200445.127701</v>
      </c>
      <c r="P164" s="2">
        <f>+N164-N147</f>
        <v>0</v>
      </c>
    </row>
    <row r="166" spans="1:16" x14ac:dyDescent="0.25">
      <c r="J166" s="447"/>
      <c r="K166"/>
      <c r="L166"/>
      <c r="M166"/>
      <c r="N166" s="447"/>
      <c r="P166" s="447"/>
    </row>
    <row r="167" spans="1:16" x14ac:dyDescent="0.25">
      <c r="J167" s="447"/>
      <c r="K167"/>
      <c r="L167"/>
      <c r="M167"/>
      <c r="N167" s="30" t="s">
        <v>40</v>
      </c>
      <c r="O167" s="31"/>
      <c r="P167" s="31"/>
    </row>
    <row r="168" spans="1:16" x14ac:dyDescent="0.25">
      <c r="J168" s="447"/>
      <c r="K168"/>
      <c r="L168"/>
      <c r="M168"/>
      <c r="N168" s="447"/>
      <c r="P168" s="447"/>
    </row>
    <row r="169" spans="1:16" x14ac:dyDescent="0.25">
      <c r="J169" s="447"/>
      <c r="K169"/>
      <c r="L169"/>
      <c r="M169"/>
      <c r="N169" s="447"/>
      <c r="P169" s="447"/>
    </row>
    <row r="170" spans="1:16" x14ac:dyDescent="0.25">
      <c r="J170" s="447"/>
      <c r="K170"/>
      <c r="L170"/>
      <c r="M170"/>
      <c r="N170" s="447"/>
      <c r="P170" s="447"/>
    </row>
    <row r="171" spans="1:16" x14ac:dyDescent="0.25">
      <c r="J171" s="447"/>
      <c r="K171"/>
      <c r="L171"/>
      <c r="M171"/>
      <c r="N171" s="447"/>
      <c r="P171" s="447"/>
    </row>
    <row r="172" spans="1:16" x14ac:dyDescent="0.25">
      <c r="J172" s="447"/>
      <c r="K172"/>
      <c r="L172"/>
      <c r="M172"/>
      <c r="N172" s="447"/>
      <c r="P172" s="447"/>
    </row>
    <row r="173" spans="1:16" x14ac:dyDescent="0.25">
      <c r="J173" s="447"/>
      <c r="K173"/>
      <c r="L173"/>
      <c r="M173"/>
      <c r="N173" s="447"/>
      <c r="P173" s="447"/>
    </row>
    <row r="174" spans="1:16" x14ac:dyDescent="0.25">
      <c r="J174" s="447"/>
      <c r="K174"/>
      <c r="L174"/>
      <c r="M174"/>
      <c r="N174" s="447"/>
      <c r="P174" s="447"/>
    </row>
    <row r="175" spans="1:16" x14ac:dyDescent="0.25">
      <c r="J175" s="447"/>
      <c r="K175"/>
      <c r="L175"/>
      <c r="M175"/>
      <c r="N175" s="447"/>
      <c r="P175" s="447"/>
    </row>
    <row r="176" spans="1:16" x14ac:dyDescent="0.25">
      <c r="J176" s="447"/>
      <c r="K176"/>
      <c r="L176"/>
      <c r="M176"/>
      <c r="N176" s="447"/>
      <c r="P176" s="447"/>
    </row>
    <row r="177" spans="10:13" x14ac:dyDescent="0.25">
      <c r="J177" s="447"/>
      <c r="K177"/>
      <c r="L177"/>
      <c r="M177"/>
    </row>
    <row r="178" spans="10:13" x14ac:dyDescent="0.25">
      <c r="J178" s="447"/>
      <c r="K178"/>
      <c r="L178"/>
      <c r="M178"/>
    </row>
    <row r="179" spans="10:13" x14ac:dyDescent="0.25">
      <c r="J179" s="447"/>
      <c r="K179"/>
      <c r="L179"/>
      <c r="M179"/>
    </row>
    <row r="180" spans="10:13" x14ac:dyDescent="0.25">
      <c r="J180" s="447"/>
      <c r="K180"/>
      <c r="L180"/>
      <c r="M180"/>
    </row>
    <row r="181" spans="10:13" x14ac:dyDescent="0.25">
      <c r="J181" s="447"/>
      <c r="K181"/>
      <c r="L181"/>
      <c r="M181"/>
    </row>
    <row r="182" spans="10:13" x14ac:dyDescent="0.25">
      <c r="J182" s="447"/>
      <c r="K182"/>
      <c r="L182"/>
      <c r="M182"/>
    </row>
    <row r="183" spans="10:13" x14ac:dyDescent="0.25">
      <c r="J183" s="447"/>
      <c r="K183"/>
      <c r="L183"/>
      <c r="M183"/>
    </row>
    <row r="184" spans="10:13" x14ac:dyDescent="0.25">
      <c r="J184" s="447"/>
      <c r="K184"/>
      <c r="L184"/>
      <c r="M184"/>
    </row>
    <row r="185" spans="10:13" x14ac:dyDescent="0.25">
      <c r="J185" s="447"/>
      <c r="K185"/>
      <c r="L185"/>
      <c r="M185"/>
    </row>
    <row r="186" spans="10:13" x14ac:dyDescent="0.25">
      <c r="J186" s="447"/>
      <c r="K186"/>
      <c r="L186"/>
      <c r="M186"/>
    </row>
    <row r="187" spans="10:13" x14ac:dyDescent="0.25">
      <c r="J187" s="447"/>
      <c r="K187"/>
      <c r="L187"/>
      <c r="M187"/>
    </row>
    <row r="188" spans="10:13" x14ac:dyDescent="0.25">
      <c r="J188" s="447"/>
      <c r="K188"/>
      <c r="L188"/>
      <c r="M188"/>
    </row>
    <row r="189" spans="10:13" x14ac:dyDescent="0.25">
      <c r="J189" s="447"/>
      <c r="K189"/>
      <c r="L189"/>
      <c r="M189"/>
    </row>
    <row r="190" spans="10:13" x14ac:dyDescent="0.25">
      <c r="J190" s="447"/>
      <c r="K190"/>
      <c r="L190"/>
      <c r="M190"/>
    </row>
    <row r="191" spans="10:13" x14ac:dyDescent="0.25">
      <c r="J191" s="447"/>
      <c r="K191"/>
      <c r="L191"/>
      <c r="M191"/>
    </row>
    <row r="192" spans="10:13" x14ac:dyDescent="0.25">
      <c r="J192"/>
      <c r="K192"/>
      <c r="L192"/>
      <c r="M192"/>
    </row>
    <row r="193" spans="10:13" x14ac:dyDescent="0.25">
      <c r="J193"/>
      <c r="K193"/>
      <c r="L193"/>
      <c r="M193"/>
    </row>
    <row r="194" spans="10:13" x14ac:dyDescent="0.25">
      <c r="J194"/>
      <c r="K194"/>
      <c r="L194"/>
      <c r="M194"/>
    </row>
    <row r="195" spans="10:13" x14ac:dyDescent="0.25">
      <c r="J195"/>
      <c r="K195"/>
      <c r="L195"/>
      <c r="M195"/>
    </row>
    <row r="196" spans="10:13" x14ac:dyDescent="0.25">
      <c r="J196"/>
      <c r="K196"/>
      <c r="L196"/>
      <c r="M196"/>
    </row>
    <row r="197" spans="10:13" x14ac:dyDescent="0.25">
      <c r="J197"/>
      <c r="K197"/>
      <c r="L197"/>
      <c r="M197"/>
    </row>
    <row r="198" spans="10:13" x14ac:dyDescent="0.25">
      <c r="J198"/>
      <c r="K198"/>
      <c r="L198"/>
      <c r="M198"/>
    </row>
    <row r="199" spans="10:13" x14ac:dyDescent="0.25">
      <c r="J199"/>
      <c r="K199"/>
      <c r="L199"/>
      <c r="M199"/>
    </row>
    <row r="200" spans="10:13" x14ac:dyDescent="0.25">
      <c r="J200"/>
      <c r="K200"/>
      <c r="L200"/>
      <c r="M200"/>
    </row>
    <row r="201" spans="10:13" x14ac:dyDescent="0.25">
      <c r="J201"/>
      <c r="K201"/>
      <c r="L201"/>
      <c r="M201"/>
    </row>
    <row r="202" spans="10:13" x14ac:dyDescent="0.25">
      <c r="J202"/>
      <c r="K202"/>
      <c r="L202"/>
      <c r="M202"/>
    </row>
    <row r="203" spans="10:13" x14ac:dyDescent="0.25">
      <c r="J203"/>
      <c r="K203"/>
      <c r="L203"/>
      <c r="M203"/>
    </row>
  </sheetData>
  <pageMargins left="0.67" right="0.24" top="0.8" bottom="0.55000000000000004" header="0.3" footer="0.18"/>
  <pageSetup scale="2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4ECF4-2556-49FE-848D-6AB1609CBDFA}">
  <dimension ref="A1:Y12"/>
  <sheetViews>
    <sheetView topLeftCell="J1" workbookViewId="0">
      <selection activeCell="X23" sqref="X23"/>
    </sheetView>
  </sheetViews>
  <sheetFormatPr defaultRowHeight="12.5" x14ac:dyDescent="0.25"/>
  <cols>
    <col min="1" max="1" width="22.7265625" customWidth="1"/>
    <col min="2" max="2" width="14.7265625" customWidth="1"/>
    <col min="3" max="3" width="12.7265625" customWidth="1"/>
    <col min="4" max="4" width="14.7265625" customWidth="1"/>
    <col min="5" max="5" width="12.7265625" customWidth="1"/>
    <col min="6" max="6" width="14.7265625" customWidth="1"/>
    <col min="7" max="7" width="12.7265625" customWidth="1"/>
    <col min="9" max="9" width="22.81640625" bestFit="1" customWidth="1"/>
    <col min="10" max="10" width="13.453125" bestFit="1" customWidth="1"/>
    <col min="11" max="11" width="14.453125" bestFit="1" customWidth="1"/>
    <col min="12" max="12" width="13.453125" bestFit="1" customWidth="1"/>
    <col min="14" max="14" width="22.453125" bestFit="1" customWidth="1"/>
    <col min="15" max="15" width="8.7265625" customWidth="1"/>
    <col min="16" max="16" width="11.26953125" bestFit="1" customWidth="1"/>
    <col min="17" max="17" width="8.7265625" customWidth="1"/>
    <col min="18" max="18" width="14.453125" bestFit="1" customWidth="1"/>
    <col min="19" max="19" width="8.7265625" customWidth="1"/>
    <col min="20" max="20" width="11.26953125" bestFit="1" customWidth="1"/>
    <col min="22" max="22" width="10.1796875" bestFit="1" customWidth="1"/>
    <col min="23" max="23" width="10.26953125" bestFit="1" customWidth="1"/>
    <col min="24" max="25" width="11.26953125" bestFit="1" customWidth="1"/>
  </cols>
  <sheetData>
    <row r="1" spans="1:25" ht="21" customHeight="1" x14ac:dyDescent="0.25">
      <c r="A1" s="539" t="s">
        <v>125</v>
      </c>
      <c r="B1" s="540" t="s">
        <v>328</v>
      </c>
      <c r="C1" s="541"/>
      <c r="D1" s="540" t="s">
        <v>329</v>
      </c>
      <c r="E1" s="541"/>
      <c r="F1" s="540" t="s">
        <v>330</v>
      </c>
      <c r="G1" s="541"/>
      <c r="I1" s="538"/>
      <c r="J1" s="538" t="s">
        <v>328</v>
      </c>
      <c r="K1" s="538" t="s">
        <v>329</v>
      </c>
      <c r="L1" s="538" t="s">
        <v>330</v>
      </c>
      <c r="N1" s="538"/>
      <c r="O1" s="538" t="s">
        <v>328</v>
      </c>
      <c r="P1" s="538"/>
      <c r="Q1" s="538" t="s">
        <v>329</v>
      </c>
      <c r="R1" s="538"/>
      <c r="S1" s="538" t="s">
        <v>330</v>
      </c>
      <c r="T1" s="538"/>
      <c r="V1" s="538" t="s">
        <v>331</v>
      </c>
      <c r="W1" s="538"/>
      <c r="X1" s="538"/>
      <c r="Y1" s="538"/>
    </row>
    <row r="2" spans="1:25" ht="13" x14ac:dyDescent="0.25">
      <c r="A2" s="540"/>
      <c r="B2" s="397" t="s">
        <v>82</v>
      </c>
      <c r="C2" s="398" t="s">
        <v>81</v>
      </c>
      <c r="D2" s="397" t="s">
        <v>82</v>
      </c>
      <c r="E2" s="398" t="s">
        <v>81</v>
      </c>
      <c r="F2" s="397" t="s">
        <v>82</v>
      </c>
      <c r="G2" s="398" t="s">
        <v>81</v>
      </c>
      <c r="I2" s="538"/>
      <c r="J2" s="538"/>
      <c r="K2" s="538"/>
      <c r="L2" s="538"/>
      <c r="N2" s="538"/>
      <c r="O2" s="399"/>
      <c r="P2" s="400" t="s">
        <v>82</v>
      </c>
      <c r="Q2" s="399"/>
      <c r="R2" s="400" t="s">
        <v>82</v>
      </c>
      <c r="S2" s="399"/>
      <c r="T2" s="400" t="s">
        <v>82</v>
      </c>
      <c r="V2" s="401" t="s">
        <v>289</v>
      </c>
      <c r="W2" s="401" t="s">
        <v>46</v>
      </c>
      <c r="X2" s="401" t="s">
        <v>47</v>
      </c>
      <c r="Y2" s="402"/>
    </row>
    <row r="3" spans="1:25" s="263" customFormat="1" ht="15.75" customHeight="1" x14ac:dyDescent="0.25">
      <c r="A3" s="403" t="s">
        <v>45</v>
      </c>
      <c r="B3" s="404">
        <v>671446586.20169997</v>
      </c>
      <c r="C3" s="405"/>
      <c r="D3" s="404">
        <v>660525997.36230004</v>
      </c>
      <c r="E3" s="405"/>
      <c r="F3" s="404">
        <v>660769294.21730006</v>
      </c>
      <c r="G3" s="405"/>
      <c r="I3" s="406" t="s">
        <v>45</v>
      </c>
      <c r="J3" s="407">
        <v>89860</v>
      </c>
      <c r="K3" s="407">
        <v>89860</v>
      </c>
      <c r="L3" s="407">
        <v>89860</v>
      </c>
      <c r="N3" s="406" t="s">
        <v>45</v>
      </c>
      <c r="O3" s="408">
        <v>0.05</v>
      </c>
      <c r="P3" s="407">
        <f>+P12*O3</f>
        <v>-1174555.5557250001</v>
      </c>
      <c r="Q3" s="408">
        <v>0.01</v>
      </c>
      <c r="R3" s="407">
        <f>+R12*Q3</f>
        <v>-243296.85500000001</v>
      </c>
      <c r="S3" s="408">
        <v>0</v>
      </c>
      <c r="T3" s="407">
        <f>+T12*S3</f>
        <v>0</v>
      </c>
      <c r="V3" s="409">
        <v>0</v>
      </c>
      <c r="W3" s="409">
        <v>0.14000000000000001</v>
      </c>
      <c r="X3" s="409">
        <v>0.86</v>
      </c>
      <c r="Y3" s="402"/>
    </row>
    <row r="4" spans="1:25" s="263" customFormat="1" ht="15.75" customHeight="1" x14ac:dyDescent="0.25">
      <c r="A4" s="403" t="s">
        <v>46</v>
      </c>
      <c r="B4" s="404">
        <v>230635457.17699999</v>
      </c>
      <c r="C4" s="405"/>
      <c r="D4" s="404">
        <v>229178008.2563</v>
      </c>
      <c r="E4" s="405"/>
      <c r="F4" s="404">
        <v>228934711.40130001</v>
      </c>
      <c r="G4" s="405"/>
      <c r="I4" s="406" t="s">
        <v>46</v>
      </c>
      <c r="J4" s="407">
        <v>8136</v>
      </c>
      <c r="K4" s="407">
        <v>8136</v>
      </c>
      <c r="L4" s="407">
        <v>8136</v>
      </c>
      <c r="N4" s="406" t="s">
        <v>46</v>
      </c>
      <c r="O4" s="408">
        <v>0.25</v>
      </c>
      <c r="P4" s="407">
        <f>+P12*O4</f>
        <v>-5872777.7786250003</v>
      </c>
      <c r="Q4" s="408">
        <v>0.13</v>
      </c>
      <c r="R4" s="407">
        <f>+R12*Q4</f>
        <v>-3162859.1150000002</v>
      </c>
      <c r="S4" s="408">
        <v>0.14000000000000001</v>
      </c>
      <c r="T4" s="407">
        <f>+T12*S4</f>
        <v>-3406155.97</v>
      </c>
      <c r="V4" s="410">
        <f>+Y4*V3</f>
        <v>0</v>
      </c>
      <c r="W4" s="410">
        <f>+Y4*W3</f>
        <v>3733205.2800000003</v>
      </c>
      <c r="X4" s="410">
        <f>+Y4*X3</f>
        <v>22932546.719999999</v>
      </c>
      <c r="Y4" s="410">
        <f>+CDM!U41+CDM!U42</f>
        <v>26665752</v>
      </c>
    </row>
    <row r="5" spans="1:25" s="263" customFormat="1" ht="15.75" customHeight="1" x14ac:dyDescent="0.25">
      <c r="A5" s="403" t="s">
        <v>47</v>
      </c>
      <c r="B5" s="404">
        <v>554014776.02460003</v>
      </c>
      <c r="C5" s="411">
        <v>1471891.6786</v>
      </c>
      <c r="D5" s="404">
        <v>565896087.6681</v>
      </c>
      <c r="E5" s="411">
        <v>1500626.4309</v>
      </c>
      <c r="F5" s="404">
        <v>565896087.6681</v>
      </c>
      <c r="G5" s="411">
        <v>1500626.4309</v>
      </c>
      <c r="I5" s="406" t="s">
        <v>47</v>
      </c>
      <c r="J5" s="407">
        <v>899</v>
      </c>
      <c r="K5" s="407">
        <v>899</v>
      </c>
      <c r="L5" s="407">
        <v>899</v>
      </c>
      <c r="N5" s="406" t="s">
        <v>47</v>
      </c>
      <c r="O5" s="408">
        <v>0.7</v>
      </c>
      <c r="P5" s="407">
        <f>+P12*O5</f>
        <v>-16443777.78015</v>
      </c>
      <c r="Q5" s="408">
        <v>0.86</v>
      </c>
      <c r="R5" s="407">
        <f>+R12*Q5</f>
        <v>-20923529.530000001</v>
      </c>
      <c r="S5" s="408">
        <v>0.86</v>
      </c>
      <c r="T5" s="407">
        <f>+T12*S5</f>
        <v>-20923529.530000001</v>
      </c>
      <c r="W5" s="423"/>
      <c r="X5" s="423">
        <f>+CDM!AD4</f>
        <v>44934.564731236103</v>
      </c>
      <c r="Y5" s="423">
        <f>+CDM!AH4</f>
        <v>44934.564731236103</v>
      </c>
    </row>
    <row r="6" spans="1:25" s="263" customFormat="1" ht="15.75" customHeight="1" x14ac:dyDescent="0.25">
      <c r="A6" s="412" t="s">
        <v>97</v>
      </c>
      <c r="B6" s="404">
        <v>12288230.344599999</v>
      </c>
      <c r="C6" s="411">
        <v>34080.072999999997</v>
      </c>
      <c r="D6" s="404">
        <v>15157323.935374215</v>
      </c>
      <c r="E6" s="411">
        <v>34080.072999999997</v>
      </c>
      <c r="F6" s="404">
        <v>15157323.9354</v>
      </c>
      <c r="G6" s="411">
        <v>34080.072999999997</v>
      </c>
      <c r="I6" s="413" t="s">
        <v>97</v>
      </c>
      <c r="J6" s="407">
        <v>5</v>
      </c>
      <c r="K6" s="407">
        <v>5</v>
      </c>
      <c r="L6" s="407">
        <v>5</v>
      </c>
      <c r="N6" s="413" t="s">
        <v>97</v>
      </c>
      <c r="O6" s="408">
        <v>0</v>
      </c>
      <c r="P6" s="407">
        <v>0</v>
      </c>
      <c r="Q6" s="408">
        <v>0</v>
      </c>
      <c r="R6" s="407">
        <v>0</v>
      </c>
      <c r="S6" s="408">
        <v>0</v>
      </c>
      <c r="T6" s="407">
        <v>0</v>
      </c>
    </row>
    <row r="7" spans="1:25" s="263" customFormat="1" ht="15.75" customHeight="1" x14ac:dyDescent="0.25">
      <c r="A7" s="412" t="s">
        <v>99</v>
      </c>
      <c r="B7" s="404">
        <v>211246783.87819999</v>
      </c>
      <c r="C7" s="411">
        <v>502671.10230000003</v>
      </c>
      <c r="D7" s="404">
        <v>211246783.87819999</v>
      </c>
      <c r="E7" s="411">
        <v>507910.98930000002</v>
      </c>
      <c r="F7" s="404">
        <v>211246783.87819999</v>
      </c>
      <c r="G7" s="411">
        <v>507910.98930000002</v>
      </c>
      <c r="I7" s="413" t="s">
        <v>99</v>
      </c>
      <c r="J7" s="407">
        <v>34</v>
      </c>
      <c r="K7" s="407">
        <v>34</v>
      </c>
      <c r="L7" s="407">
        <v>34</v>
      </c>
      <c r="N7" s="413" t="s">
        <v>99</v>
      </c>
      <c r="O7" s="408">
        <v>0</v>
      </c>
      <c r="P7" s="407">
        <v>0</v>
      </c>
      <c r="Q7" s="408">
        <v>0</v>
      </c>
      <c r="R7" s="407">
        <v>0</v>
      </c>
      <c r="S7" s="408">
        <v>0</v>
      </c>
      <c r="T7" s="407">
        <v>0</v>
      </c>
    </row>
    <row r="8" spans="1:25" s="263" customFormat="1" ht="15.75" customHeight="1" x14ac:dyDescent="0.25">
      <c r="A8" s="403" t="s">
        <v>49</v>
      </c>
      <c r="B8" s="404">
        <v>35092546.975000001</v>
      </c>
      <c r="C8" s="411">
        <v>70126.589000000007</v>
      </c>
      <c r="D8" s="404">
        <v>35092546.975000001</v>
      </c>
      <c r="E8" s="411">
        <v>70126.589000000007</v>
      </c>
      <c r="F8" s="404">
        <v>35092546.975000001</v>
      </c>
      <c r="G8" s="411">
        <v>70126.589000000007</v>
      </c>
      <c r="I8" s="406" t="s">
        <v>49</v>
      </c>
      <c r="J8" s="407">
        <v>1</v>
      </c>
      <c r="K8" s="407">
        <v>1</v>
      </c>
      <c r="L8" s="407">
        <v>1</v>
      </c>
      <c r="N8" s="406" t="s">
        <v>49</v>
      </c>
      <c r="O8" s="408">
        <v>0</v>
      </c>
      <c r="P8" s="407">
        <v>0</v>
      </c>
      <c r="Q8" s="408">
        <v>0</v>
      </c>
      <c r="R8" s="407">
        <v>0</v>
      </c>
      <c r="S8" s="408">
        <v>0</v>
      </c>
      <c r="T8" s="407">
        <v>0</v>
      </c>
    </row>
    <row r="9" spans="1:25" s="263" customFormat="1" ht="15.75" customHeight="1" x14ac:dyDescent="0.25">
      <c r="A9" s="403" t="s">
        <v>50</v>
      </c>
      <c r="B9" s="404">
        <v>7307481.5936000003</v>
      </c>
      <c r="C9" s="411">
        <v>20391.435300000001</v>
      </c>
      <c r="D9" s="404">
        <v>7307481.5936000003</v>
      </c>
      <c r="E9" s="411">
        <v>20391.435300000001</v>
      </c>
      <c r="F9" s="404">
        <v>7307481.5936000003</v>
      </c>
      <c r="G9" s="411">
        <v>20391.435300000001</v>
      </c>
      <c r="I9" s="406" t="s">
        <v>332</v>
      </c>
      <c r="J9" s="407">
        <v>1696</v>
      </c>
      <c r="K9" s="407">
        <v>1696</v>
      </c>
      <c r="L9" s="407">
        <v>1696</v>
      </c>
      <c r="N9" s="406" t="s">
        <v>332</v>
      </c>
      <c r="O9" s="408">
        <v>0</v>
      </c>
      <c r="P9" s="407">
        <v>0</v>
      </c>
      <c r="Q9" s="408">
        <v>0</v>
      </c>
      <c r="R9" s="407">
        <v>0</v>
      </c>
      <c r="S9" s="408">
        <v>0</v>
      </c>
      <c r="T9" s="407">
        <v>0</v>
      </c>
    </row>
    <row r="10" spans="1:25" s="263" customFormat="1" ht="15.75" customHeight="1" x14ac:dyDescent="0.25">
      <c r="A10" s="403" t="s">
        <v>51</v>
      </c>
      <c r="B10" s="404">
        <v>4173586.84</v>
      </c>
      <c r="C10" s="405"/>
      <c r="D10" s="404">
        <v>4173586.84</v>
      </c>
      <c r="E10" s="405"/>
      <c r="F10" s="404">
        <v>4173586.84</v>
      </c>
      <c r="G10" s="405"/>
      <c r="I10" s="406" t="s">
        <v>333</v>
      </c>
      <c r="J10" s="407">
        <v>955</v>
      </c>
      <c r="K10" s="407">
        <v>955</v>
      </c>
      <c r="L10" s="407">
        <v>955</v>
      </c>
      <c r="N10" s="406" t="s">
        <v>333</v>
      </c>
      <c r="O10" s="408">
        <v>0</v>
      </c>
      <c r="P10" s="407">
        <v>0</v>
      </c>
      <c r="Q10" s="408">
        <v>0</v>
      </c>
      <c r="R10" s="407">
        <v>0</v>
      </c>
      <c r="S10" s="408">
        <v>0</v>
      </c>
      <c r="T10" s="407">
        <v>0</v>
      </c>
    </row>
    <row r="11" spans="1:25" s="263" customFormat="1" ht="15.75" customHeight="1" x14ac:dyDescent="0.25">
      <c r="A11" s="412" t="s">
        <v>76</v>
      </c>
      <c r="B11" s="404">
        <v>19053029.030000001</v>
      </c>
      <c r="C11" s="411">
        <v>43316.19</v>
      </c>
      <c r="D11" s="404">
        <v>19053029.030000001</v>
      </c>
      <c r="E11" s="411">
        <v>43316.19</v>
      </c>
      <c r="F11" s="404">
        <v>19053029.030000001</v>
      </c>
      <c r="G11" s="411">
        <v>43316.19</v>
      </c>
      <c r="I11" s="413" t="s">
        <v>76</v>
      </c>
      <c r="J11" s="407">
        <v>1</v>
      </c>
      <c r="K11" s="407">
        <v>1</v>
      </c>
      <c r="L11" s="407">
        <v>1</v>
      </c>
      <c r="N11" s="413" t="s">
        <v>76</v>
      </c>
      <c r="O11" s="408">
        <v>0</v>
      </c>
      <c r="P11" s="407">
        <v>0</v>
      </c>
      <c r="Q11" s="408">
        <v>0</v>
      </c>
      <c r="R11" s="407">
        <v>0</v>
      </c>
      <c r="S11" s="408">
        <v>0</v>
      </c>
      <c r="T11" s="407">
        <v>0</v>
      </c>
    </row>
    <row r="12" spans="1:25" s="263" customFormat="1" ht="15.75" customHeight="1" x14ac:dyDescent="0.25">
      <c r="A12" s="414" t="s">
        <v>102</v>
      </c>
      <c r="B12" s="415">
        <f t="shared" ref="B12:G12" si="0">ROUND((SUM(B3:B11)),4)</f>
        <v>1745258478.0646999</v>
      </c>
      <c r="C12" s="416">
        <f t="shared" si="0"/>
        <v>2142477.0682000001</v>
      </c>
      <c r="D12" s="415">
        <f t="shared" si="0"/>
        <v>1747630845.5388999</v>
      </c>
      <c r="E12" s="416">
        <f t="shared" si="0"/>
        <v>2176451.7075</v>
      </c>
      <c r="F12" s="415">
        <f t="shared" si="0"/>
        <v>1747630845.5388999</v>
      </c>
      <c r="G12" s="416">
        <f t="shared" si="0"/>
        <v>2176451.7075</v>
      </c>
      <c r="I12" s="417" t="s">
        <v>102</v>
      </c>
      <c r="J12" s="418">
        <f>ROUND((SUM(J3:J11)),4)</f>
        <v>101587</v>
      </c>
      <c r="K12" s="418">
        <f>ROUND((SUM(K3:K11)),4)</f>
        <v>101587</v>
      </c>
      <c r="L12" s="418">
        <f>ROUND((SUM(L3:L11)),4)</f>
        <v>101587</v>
      </c>
      <c r="N12" s="417" t="s">
        <v>102</v>
      </c>
      <c r="O12" s="417"/>
      <c r="P12" s="418">
        <v>-23491111.114500001</v>
      </c>
      <c r="Q12" s="418"/>
      <c r="R12" s="418">
        <v>-24329685.5</v>
      </c>
      <c r="S12" s="418"/>
      <c r="T12" s="418">
        <v>-24329685.5</v>
      </c>
    </row>
  </sheetData>
  <mergeCells count="13">
    <mergeCell ref="J1:J2"/>
    <mergeCell ref="A1:A2"/>
    <mergeCell ref="B1:C1"/>
    <mergeCell ref="D1:E1"/>
    <mergeCell ref="F1:G1"/>
    <mergeCell ref="I1:I2"/>
    <mergeCell ref="V1:Y1"/>
    <mergeCell ref="K1:K2"/>
    <mergeCell ref="L1:L2"/>
    <mergeCell ref="N1:N2"/>
    <mergeCell ref="O1:P1"/>
    <mergeCell ref="Q1:R1"/>
    <mergeCell ref="S1:T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217"/>
  <sheetViews>
    <sheetView topLeftCell="Q1" zoomScaleNormal="100" workbookViewId="0">
      <selection activeCell="AB24" sqref="AB24"/>
    </sheetView>
  </sheetViews>
  <sheetFormatPr defaultRowHeight="12.5" x14ac:dyDescent="0.25"/>
  <cols>
    <col min="1" max="1" width="11.26953125" bestFit="1" customWidth="1"/>
    <col min="2" max="2" width="12.7265625" customWidth="1"/>
    <col min="3" max="3" width="13.7265625" customWidth="1"/>
    <col min="4" max="4" width="13" bestFit="1" customWidth="1"/>
    <col min="5" max="5" width="14" bestFit="1" customWidth="1"/>
    <col min="6" max="6" width="13" customWidth="1"/>
    <col min="7" max="7" width="12.81640625" bestFit="1" customWidth="1"/>
    <col min="10" max="11" width="14" bestFit="1" customWidth="1"/>
    <col min="12" max="12" width="11.26953125" bestFit="1" customWidth="1"/>
    <col min="16" max="16" width="15.26953125" customWidth="1"/>
    <col min="17" max="24" width="13.7265625" customWidth="1"/>
    <col min="27" max="27" width="23.81640625" customWidth="1"/>
    <col min="28" max="28" width="12.453125" bestFit="1" customWidth="1"/>
    <col min="29" max="29" width="11.81640625" bestFit="1" customWidth="1"/>
    <col min="30" max="30" width="16" bestFit="1" customWidth="1"/>
    <col min="31" max="33" width="0" hidden="1" customWidth="1"/>
    <col min="34" max="34" width="13.1796875" bestFit="1" customWidth="1"/>
  </cols>
  <sheetData>
    <row r="1" spans="1:34" ht="40.5" customHeight="1" x14ac:dyDescent="0.3">
      <c r="B1" s="4" t="s">
        <v>334</v>
      </c>
      <c r="C1" s="4" t="s">
        <v>335</v>
      </c>
      <c r="D1" s="4" t="s">
        <v>336</v>
      </c>
      <c r="E1" s="4" t="s">
        <v>337</v>
      </c>
      <c r="F1" s="4"/>
      <c r="J1" s="542" t="s">
        <v>57</v>
      </c>
      <c r="K1" s="542"/>
      <c r="P1" s="535" t="s">
        <v>338</v>
      </c>
      <c r="Q1" s="549"/>
      <c r="R1" s="549"/>
      <c r="S1" s="549"/>
      <c r="T1" s="549"/>
      <c r="U1" s="549"/>
      <c r="V1" s="549"/>
      <c r="W1" s="549"/>
      <c r="X1" s="550"/>
      <c r="AA1" s="472" t="s">
        <v>331</v>
      </c>
      <c r="AB1" s="473"/>
      <c r="AC1" s="473"/>
      <c r="AD1" s="473"/>
      <c r="AE1" s="473"/>
      <c r="AF1" s="473"/>
      <c r="AG1" s="473"/>
      <c r="AH1" s="474"/>
    </row>
    <row r="2" spans="1:34" ht="28" x14ac:dyDescent="0.25">
      <c r="A2">
        <v>2005</v>
      </c>
      <c r="B2" s="248">
        <v>292583</v>
      </c>
      <c r="C2" s="248">
        <v>292583</v>
      </c>
      <c r="D2" s="245">
        <f>C2</f>
        <v>292583</v>
      </c>
      <c r="E2" s="245">
        <f>D2/2</f>
        <v>146291.5</v>
      </c>
      <c r="F2" s="245">
        <f>E2</f>
        <v>146291.5</v>
      </c>
      <c r="G2" s="245">
        <f t="shared" ref="G2:G17" si="0">F2/$N$14</f>
        <v>1875.5320512820513</v>
      </c>
      <c r="J2" s="246">
        <f>+E37</f>
        <v>146291.5</v>
      </c>
      <c r="K2" s="246">
        <f>E2</f>
        <v>146291.5</v>
      </c>
      <c r="L2" s="246">
        <f>J2-K2</f>
        <v>0</v>
      </c>
      <c r="M2" s="448" t="s">
        <v>339</v>
      </c>
      <c r="N2" s="448">
        <v>1</v>
      </c>
      <c r="P2" s="328" t="s">
        <v>340</v>
      </c>
      <c r="Q2" s="434">
        <v>2013</v>
      </c>
      <c r="R2" s="433">
        <v>2014</v>
      </c>
      <c r="S2" s="434">
        <v>2015</v>
      </c>
      <c r="T2" s="433">
        <v>2016</v>
      </c>
      <c r="U2" s="434">
        <v>2017</v>
      </c>
      <c r="V2" s="433">
        <v>2018</v>
      </c>
      <c r="W2" s="434">
        <v>2019</v>
      </c>
      <c r="X2" s="433">
        <v>2020</v>
      </c>
      <c r="AA2" s="433"/>
      <c r="AB2" s="433" t="s">
        <v>289</v>
      </c>
      <c r="AC2" s="419" t="s">
        <v>341</v>
      </c>
      <c r="AD2" s="419" t="s">
        <v>342</v>
      </c>
      <c r="AE2" s="419" t="s">
        <v>186</v>
      </c>
      <c r="AF2" s="419" t="s">
        <v>187</v>
      </c>
      <c r="AG2" s="433" t="s">
        <v>51</v>
      </c>
      <c r="AH2" s="433" t="s">
        <v>29</v>
      </c>
    </row>
    <row r="3" spans="1:34" ht="14" x14ac:dyDescent="0.3">
      <c r="A3">
        <v>2006</v>
      </c>
      <c r="B3" s="248">
        <v>11429858.135299999</v>
      </c>
      <c r="C3" s="248">
        <v>10724827.041200001</v>
      </c>
      <c r="D3" s="245">
        <f>C3-C2</f>
        <v>10432244.041200001</v>
      </c>
      <c r="E3" s="245">
        <f>C2+D3/2</f>
        <v>5508705.0206000004</v>
      </c>
      <c r="F3" s="245">
        <f>E3-F37</f>
        <v>5238628.4052153854</v>
      </c>
      <c r="G3" s="245">
        <f t="shared" si="0"/>
        <v>67161.902630966477</v>
      </c>
      <c r="J3" s="246">
        <f>+E49</f>
        <v>5508705.0206000023</v>
      </c>
      <c r="K3" s="246">
        <f t="shared" ref="K3:K17" si="1">E3</f>
        <v>5508705.0206000004</v>
      </c>
      <c r="L3" s="246">
        <f t="shared" ref="L3:L15" si="2">J3-K3</f>
        <v>0</v>
      </c>
      <c r="M3" s="448" t="s">
        <v>343</v>
      </c>
      <c r="N3" s="448">
        <v>2</v>
      </c>
      <c r="P3" s="249" t="s">
        <v>344</v>
      </c>
      <c r="Q3" s="250">
        <v>9108720.7277000006</v>
      </c>
      <c r="R3" s="250">
        <v>9108720.7277000006</v>
      </c>
      <c r="S3" s="250">
        <v>8889479.0610000007</v>
      </c>
      <c r="T3" s="250">
        <v>8889479.0610000007</v>
      </c>
      <c r="U3" s="250">
        <v>8433284.0085000005</v>
      </c>
      <c r="V3" s="250">
        <v>7106534.6752000004</v>
      </c>
      <c r="W3" s="250">
        <v>7106534.6752000004</v>
      </c>
      <c r="X3" s="250">
        <v>7106534.6752000004</v>
      </c>
      <c r="AA3" s="420" t="s">
        <v>82</v>
      </c>
      <c r="AB3" s="421">
        <f>+U47*Energy!H78</f>
        <v>0</v>
      </c>
      <c r="AC3" s="421">
        <f>+AH3*Energy!I78</f>
        <v>3733205.2800000003</v>
      </c>
      <c r="AD3" s="421">
        <f>+AH3*Energy!J78</f>
        <v>22932546.719999999</v>
      </c>
      <c r="AE3" s="421"/>
      <c r="AF3" s="421"/>
      <c r="AG3" s="421"/>
      <c r="AH3" s="421">
        <f>+V41+V42</f>
        <v>26665752</v>
      </c>
    </row>
    <row r="4" spans="1:34" ht="14" x14ac:dyDescent="0.3">
      <c r="A4">
        <v>2007</v>
      </c>
      <c r="B4" s="248">
        <v>30126928.111399997</v>
      </c>
      <c r="C4" s="248">
        <v>21463789.4815</v>
      </c>
      <c r="D4" s="245">
        <f t="shared" ref="D4:D17" si="3">C4-C3</f>
        <v>10738962.440299999</v>
      </c>
      <c r="E4" s="245">
        <f t="shared" ref="E4:E17" si="4">C3+D4/2</f>
        <v>16094308.26135</v>
      </c>
      <c r="F4" s="245">
        <f>E4-F49</f>
        <v>6152917.6671062093</v>
      </c>
      <c r="G4" s="245">
        <f t="shared" si="0"/>
        <v>78883.559834694985</v>
      </c>
      <c r="J4" s="246">
        <f>E61</f>
        <v>16094308.261349995</v>
      </c>
      <c r="K4" s="246">
        <f t="shared" si="1"/>
        <v>16094308.26135</v>
      </c>
      <c r="L4" s="246">
        <f t="shared" si="2"/>
        <v>0</v>
      </c>
      <c r="M4" s="448" t="s">
        <v>345</v>
      </c>
      <c r="N4" s="448">
        <v>3</v>
      </c>
      <c r="P4" s="249">
        <v>2006</v>
      </c>
      <c r="Q4" s="250">
        <v>958932.5307</v>
      </c>
      <c r="R4" s="250">
        <v>901064.85930000001</v>
      </c>
      <c r="S4" s="250">
        <v>901064.85930000001</v>
      </c>
      <c r="T4" s="250">
        <v>851307.5368</v>
      </c>
      <c r="U4" s="250">
        <v>851307.5368</v>
      </c>
      <c r="V4" s="250">
        <v>851307.5368</v>
      </c>
      <c r="W4" s="250">
        <v>851307.5368</v>
      </c>
      <c r="X4" s="250">
        <v>770593.15899999999</v>
      </c>
      <c r="AA4" s="439" t="s">
        <v>346</v>
      </c>
      <c r="AB4" s="203"/>
      <c r="AC4" s="203" t="s">
        <v>347</v>
      </c>
      <c r="AD4" s="421">
        <f>+AD3*Load!J31</f>
        <v>44934.564731236103</v>
      </c>
      <c r="AE4" s="421"/>
      <c r="AF4" s="421"/>
      <c r="AG4" s="422"/>
      <c r="AH4" s="421">
        <f>SUM(AB4:AD4)</f>
        <v>44934.564731236103</v>
      </c>
    </row>
    <row r="5" spans="1:34" x14ac:dyDescent="0.25">
      <c r="A5">
        <v>2008</v>
      </c>
      <c r="B5" s="248">
        <v>34400975.484799996</v>
      </c>
      <c r="C5" s="248">
        <v>27058909.221900001</v>
      </c>
      <c r="D5" s="245">
        <f t="shared" si="3"/>
        <v>5595119.7404000014</v>
      </c>
      <c r="E5" s="245">
        <f t="shared" si="4"/>
        <v>24261349.3517</v>
      </c>
      <c r="F5" s="245">
        <f>E5-F61</f>
        <v>2960726.1412601359</v>
      </c>
      <c r="G5" s="245">
        <f t="shared" si="0"/>
        <v>37958.027452053022</v>
      </c>
      <c r="J5" s="246">
        <f>+E73</f>
        <v>24261349.3517</v>
      </c>
      <c r="K5" s="246">
        <f t="shared" si="1"/>
        <v>24261349.3517</v>
      </c>
      <c r="L5" s="246">
        <f t="shared" si="2"/>
        <v>0</v>
      </c>
      <c r="M5" s="448" t="s">
        <v>348</v>
      </c>
      <c r="N5" s="448">
        <v>4</v>
      </c>
      <c r="P5" s="249">
        <v>2007</v>
      </c>
      <c r="Q5" s="250">
        <v>2920741.9328999999</v>
      </c>
      <c r="R5" s="250">
        <v>2920674.0214</v>
      </c>
      <c r="S5" s="250">
        <v>1036730.128</v>
      </c>
      <c r="T5" s="250">
        <v>900764.071</v>
      </c>
      <c r="U5" s="250">
        <v>577412.88769999996</v>
      </c>
      <c r="V5" s="250">
        <v>577412.88769999996</v>
      </c>
      <c r="W5" s="250">
        <v>577412.88769999996</v>
      </c>
      <c r="X5" s="250">
        <v>577412.88769999996</v>
      </c>
    </row>
    <row r="6" spans="1:34" x14ac:dyDescent="0.25">
      <c r="A6">
        <v>2009</v>
      </c>
      <c r="B6" s="248">
        <v>47381960.727704629</v>
      </c>
      <c r="C6" s="248">
        <v>36655515.3336</v>
      </c>
      <c r="D6" s="245">
        <f t="shared" si="3"/>
        <v>9596606.1116999984</v>
      </c>
      <c r="E6" s="245">
        <f t="shared" si="4"/>
        <v>31857212.27775</v>
      </c>
      <c r="F6" s="245">
        <f>E6-F73</f>
        <v>5090633.1142144985</v>
      </c>
      <c r="G6" s="245">
        <f t="shared" si="0"/>
        <v>65264.527105314082</v>
      </c>
      <c r="J6" s="246">
        <f>+E85</f>
        <v>31857212.277750008</v>
      </c>
      <c r="K6" s="246">
        <f t="shared" si="1"/>
        <v>31857212.27775</v>
      </c>
      <c r="L6" s="246">
        <f t="shared" si="2"/>
        <v>0</v>
      </c>
      <c r="M6" s="448" t="s">
        <v>349</v>
      </c>
      <c r="N6" s="448">
        <v>5</v>
      </c>
      <c r="P6" s="249">
        <v>2008</v>
      </c>
      <c r="Q6" s="250">
        <v>3372859.3509999998</v>
      </c>
      <c r="R6" s="250">
        <v>3070530.0879000002</v>
      </c>
      <c r="S6" s="250">
        <v>2844942.4230999998</v>
      </c>
      <c r="T6" s="250">
        <v>2206892.6046000002</v>
      </c>
      <c r="U6" s="250">
        <v>1920978.838</v>
      </c>
      <c r="V6" s="250">
        <v>1772268.6181999999</v>
      </c>
      <c r="W6" s="250">
        <v>1772268.6181999999</v>
      </c>
      <c r="X6" s="250">
        <v>1743360.1923</v>
      </c>
    </row>
    <row r="7" spans="1:34" x14ac:dyDescent="0.25">
      <c r="A7">
        <v>2010</v>
      </c>
      <c r="B7" s="248">
        <v>54664486.625004634</v>
      </c>
      <c r="C7" s="248">
        <v>39643598.0973</v>
      </c>
      <c r="D7" s="245">
        <f t="shared" si="3"/>
        <v>2988082.7637000009</v>
      </c>
      <c r="E7" s="245">
        <f t="shared" si="4"/>
        <v>38149556.715450004</v>
      </c>
      <c r="F7" s="245">
        <f>E7-F85</f>
        <v>1984885.6487492621</v>
      </c>
      <c r="G7" s="245">
        <f t="shared" si="0"/>
        <v>25447.25190704182</v>
      </c>
      <c r="J7" s="246">
        <f>+E97</f>
        <v>38149556.715450004</v>
      </c>
      <c r="K7" s="246">
        <f t="shared" si="1"/>
        <v>38149556.715450004</v>
      </c>
      <c r="L7" s="246">
        <f t="shared" si="2"/>
        <v>0</v>
      </c>
      <c r="M7" s="448" t="s">
        <v>350</v>
      </c>
      <c r="N7" s="448">
        <v>6</v>
      </c>
      <c r="P7" s="249">
        <v>2009</v>
      </c>
      <c r="Q7" s="250">
        <v>7796526.2141000004</v>
      </c>
      <c r="R7" s="250">
        <v>7491579.6662999997</v>
      </c>
      <c r="S7" s="250">
        <v>7041835.8415000001</v>
      </c>
      <c r="T7" s="250">
        <v>6832205.3581999997</v>
      </c>
      <c r="U7" s="250">
        <v>5280325.8485000003</v>
      </c>
      <c r="V7" s="250">
        <v>3555174.8073</v>
      </c>
      <c r="W7" s="250">
        <v>2950716.9471999998</v>
      </c>
      <c r="X7" s="250">
        <v>864116.98289326951</v>
      </c>
    </row>
    <row r="8" spans="1:34" x14ac:dyDescent="0.25">
      <c r="A8">
        <v>2011</v>
      </c>
      <c r="B8" s="248">
        <v>65677230.152747899</v>
      </c>
      <c r="C8" s="248">
        <v>50620379.920699999</v>
      </c>
      <c r="D8" s="245">
        <f t="shared" si="3"/>
        <v>10976781.823399998</v>
      </c>
      <c r="E8" s="245">
        <f t="shared" si="4"/>
        <v>45131989.009000003</v>
      </c>
      <c r="F8" s="245">
        <f>E8-F97</f>
        <v>5302913.6676852405</v>
      </c>
      <c r="G8" s="245">
        <f t="shared" si="0"/>
        <v>67986.072662631283</v>
      </c>
      <c r="J8" s="246">
        <f>+E109</f>
        <v>45131989.008999981</v>
      </c>
      <c r="K8" s="246">
        <f t="shared" si="1"/>
        <v>45131989.009000003</v>
      </c>
      <c r="L8" s="246">
        <f t="shared" si="2"/>
        <v>0</v>
      </c>
      <c r="M8" s="448" t="s">
        <v>351</v>
      </c>
      <c r="N8" s="448">
        <v>7</v>
      </c>
      <c r="P8" s="249">
        <v>2010</v>
      </c>
      <c r="Q8" s="250">
        <v>7117425.5054000001</v>
      </c>
      <c r="R8" s="250">
        <v>7023482.6486999998</v>
      </c>
      <c r="S8" s="250">
        <v>6565925.6502</v>
      </c>
      <c r="T8" s="250">
        <v>6533244.1749</v>
      </c>
      <c r="U8" s="250">
        <v>6022793.9061000003</v>
      </c>
      <c r="V8" s="250">
        <v>4928029.7174000004</v>
      </c>
      <c r="W8" s="250">
        <v>1963456.6318000001</v>
      </c>
      <c r="X8" s="250">
        <v>1202682.6788999999</v>
      </c>
    </row>
    <row r="9" spans="1:34" x14ac:dyDescent="0.25">
      <c r="A9">
        <v>2012</v>
      </c>
      <c r="B9" s="248">
        <v>71029722.032871455</v>
      </c>
      <c r="C9" s="248">
        <v>56622171.722000003</v>
      </c>
      <c r="D9" s="245">
        <f t="shared" si="3"/>
        <v>6001791.8013000041</v>
      </c>
      <c r="E9" s="245">
        <f t="shared" si="4"/>
        <v>53621275.821350001</v>
      </c>
      <c r="F9" s="245">
        <f>E9-F109</f>
        <v>4002206.0166163668</v>
      </c>
      <c r="G9" s="245">
        <f t="shared" si="0"/>
        <v>51310.333546363676</v>
      </c>
      <c r="J9" s="246">
        <f>+E121</f>
        <v>53621275.821350008</v>
      </c>
      <c r="K9" s="246">
        <f t="shared" si="1"/>
        <v>53621275.821350001</v>
      </c>
      <c r="L9" s="246">
        <f t="shared" si="2"/>
        <v>0</v>
      </c>
      <c r="M9" s="448" t="s">
        <v>352</v>
      </c>
      <c r="N9" s="448">
        <v>8</v>
      </c>
      <c r="P9" s="249">
        <v>2011</v>
      </c>
      <c r="Q9" s="250">
        <v>13123211.3106</v>
      </c>
      <c r="R9" s="250">
        <v>12936022.0944</v>
      </c>
      <c r="S9" s="250">
        <v>12318158.171800001</v>
      </c>
      <c r="T9" s="250">
        <v>11872233.1602</v>
      </c>
      <c r="U9" s="250">
        <v>11206433.6822</v>
      </c>
      <c r="V9" s="250">
        <v>11199432.9967</v>
      </c>
      <c r="W9" s="250">
        <v>10960077.782500001</v>
      </c>
      <c r="X9" s="250">
        <v>10531707.2552</v>
      </c>
    </row>
    <row r="10" spans="1:34" x14ac:dyDescent="0.25">
      <c r="A10">
        <v>2013</v>
      </c>
      <c r="B10" s="248">
        <v>75626820.638019115</v>
      </c>
      <c r="C10" s="248">
        <v>61309444.238899998</v>
      </c>
      <c r="D10" s="245">
        <f t="shared" si="3"/>
        <v>4687272.5168999955</v>
      </c>
      <c r="E10" s="245">
        <f t="shared" si="4"/>
        <v>58965807.980450004</v>
      </c>
      <c r="F10" s="245">
        <f>E10-F121</f>
        <v>1958050.1450399905</v>
      </c>
      <c r="G10" s="245">
        <f t="shared" si="0"/>
        <v>25103.206987692185</v>
      </c>
      <c r="J10" s="246">
        <f>+E133</f>
        <v>58965807.980449989</v>
      </c>
      <c r="K10" s="246">
        <f t="shared" si="1"/>
        <v>58965807.980450004</v>
      </c>
      <c r="L10" s="246">
        <f t="shared" si="2"/>
        <v>0</v>
      </c>
      <c r="M10" s="448" t="s">
        <v>353</v>
      </c>
      <c r="N10" s="448">
        <v>9</v>
      </c>
      <c r="P10" s="249">
        <v>2012</v>
      </c>
      <c r="Q10" s="250">
        <v>6754594.3976999996</v>
      </c>
      <c r="R10" s="250">
        <v>6679287.3123000003</v>
      </c>
      <c r="S10" s="250">
        <v>6359017.5565999998</v>
      </c>
      <c r="T10" s="250">
        <v>6093072.5433</v>
      </c>
      <c r="U10" s="250">
        <v>5398744.0356999999</v>
      </c>
      <c r="V10" s="250">
        <v>5172456.5310000004</v>
      </c>
      <c r="W10" s="250">
        <v>5168161.9002999999</v>
      </c>
      <c r="X10" s="250">
        <v>4975668.3777000001</v>
      </c>
    </row>
    <row r="11" spans="1:34" x14ac:dyDescent="0.25">
      <c r="A11">
        <v>2014</v>
      </c>
      <c r="B11" s="248">
        <v>83853805.558608472</v>
      </c>
      <c r="C11" s="248">
        <v>70275491.078600004</v>
      </c>
      <c r="D11" s="245">
        <f t="shared" si="3"/>
        <v>8966046.8397000059</v>
      </c>
      <c r="E11" s="245">
        <f t="shared" si="4"/>
        <v>65792467.658749998</v>
      </c>
      <c r="F11" s="245">
        <f>E11-F133</f>
        <v>5169848.0171123296</v>
      </c>
      <c r="G11" s="245">
        <f t="shared" si="0"/>
        <v>66280.102783491398</v>
      </c>
      <c r="J11" s="246">
        <f>+E145</f>
        <v>65792467.658750027</v>
      </c>
      <c r="K11" s="246">
        <f t="shared" si="1"/>
        <v>65792467.658749998</v>
      </c>
      <c r="L11" s="246">
        <f t="shared" si="2"/>
        <v>0</v>
      </c>
      <c r="M11" s="448" t="s">
        <v>354</v>
      </c>
      <c r="N11" s="448">
        <v>10</v>
      </c>
      <c r="P11" s="249">
        <v>2013</v>
      </c>
      <c r="Q11" s="252">
        <v>10156432.2688</v>
      </c>
      <c r="R11" s="252">
        <v>9881775.2895</v>
      </c>
      <c r="S11" s="252">
        <v>8950597.4055000003</v>
      </c>
      <c r="T11" s="252">
        <v>8751965.6677000001</v>
      </c>
      <c r="U11" s="252">
        <v>8052439.2747</v>
      </c>
      <c r="V11" s="252">
        <v>7902937.3174999999</v>
      </c>
      <c r="W11" s="252">
        <v>7889635.523</v>
      </c>
      <c r="X11" s="252">
        <v>7876805.2653999999</v>
      </c>
    </row>
    <row r="12" spans="1:34" x14ac:dyDescent="0.25">
      <c r="A12">
        <v>2015</v>
      </c>
      <c r="B12" s="248">
        <v>108158336.441873</v>
      </c>
      <c r="C12" s="248">
        <v>90753702.113999993</v>
      </c>
      <c r="D12" s="245">
        <f t="shared" si="3"/>
        <v>20478211.035399988</v>
      </c>
      <c r="E12" s="245">
        <f t="shared" si="4"/>
        <v>80514596.596300006</v>
      </c>
      <c r="F12" s="245">
        <f>E12-F145</f>
        <v>10347642.153839514</v>
      </c>
      <c r="G12" s="245">
        <f t="shared" si="0"/>
        <v>132662.07889537839</v>
      </c>
      <c r="J12" s="246">
        <f>+E157</f>
        <v>80514596.596300021</v>
      </c>
      <c r="K12" s="246">
        <f t="shared" si="1"/>
        <v>80514596.596300006</v>
      </c>
      <c r="L12" s="246">
        <f t="shared" si="2"/>
        <v>0</v>
      </c>
      <c r="M12" s="448" t="s">
        <v>355</v>
      </c>
      <c r="N12" s="448">
        <v>11</v>
      </c>
      <c r="P12" s="247">
        <v>2014</v>
      </c>
      <c r="Q12" s="252"/>
      <c r="R12" s="252">
        <v>10262354.370999999</v>
      </c>
      <c r="S12" s="252">
        <v>9722970.0168999992</v>
      </c>
      <c r="T12" s="252">
        <v>9493633.9157999996</v>
      </c>
      <c r="U12" s="252">
        <v>9308069.9998000003</v>
      </c>
      <c r="V12" s="252">
        <v>8464732.3550000004</v>
      </c>
      <c r="W12" s="252">
        <v>8417313.9642999992</v>
      </c>
      <c r="X12" s="252">
        <v>8197711.0080000004</v>
      </c>
    </row>
    <row r="13" spans="1:34" x14ac:dyDescent="0.25">
      <c r="A13">
        <v>2016</v>
      </c>
      <c r="B13" s="248">
        <v>127637283.36652932</v>
      </c>
      <c r="C13" s="248">
        <v>110125229.0936</v>
      </c>
      <c r="D13" s="245">
        <f t="shared" si="3"/>
        <v>19371526.979600012</v>
      </c>
      <c r="E13" s="245">
        <f t="shared" si="4"/>
        <v>100439465.6038</v>
      </c>
      <c r="F13" s="245">
        <f>E13-F157</f>
        <v>11169171.800404966</v>
      </c>
      <c r="G13" s="245">
        <f t="shared" si="0"/>
        <v>143194.51026160212</v>
      </c>
      <c r="J13" s="246">
        <f>+E169</f>
        <v>100439465.6038</v>
      </c>
      <c r="K13" s="246">
        <f t="shared" si="1"/>
        <v>100439465.6038</v>
      </c>
      <c r="L13" s="246">
        <f t="shared" si="2"/>
        <v>0</v>
      </c>
      <c r="M13" s="448" t="s">
        <v>356</v>
      </c>
      <c r="N13" s="448">
        <v>12</v>
      </c>
      <c r="P13" s="247">
        <v>2015</v>
      </c>
      <c r="Q13" s="252"/>
      <c r="R13" s="252"/>
      <c r="S13" s="252">
        <v>26122981</v>
      </c>
      <c r="T13" s="252">
        <v>26071643</v>
      </c>
      <c r="U13" s="252">
        <v>26001608</v>
      </c>
      <c r="V13" s="252">
        <v>26015673</v>
      </c>
      <c r="W13" s="252">
        <v>26003647</v>
      </c>
      <c r="X13" s="252">
        <v>25991840</v>
      </c>
    </row>
    <row r="14" spans="1:34" x14ac:dyDescent="0.25">
      <c r="A14">
        <v>2017</v>
      </c>
      <c r="B14" s="248">
        <v>164497789.12677801</v>
      </c>
      <c r="C14" s="248">
        <v>147697956.01800001</v>
      </c>
      <c r="D14" s="245">
        <f t="shared" si="3"/>
        <v>37572726.924400002</v>
      </c>
      <c r="E14" s="245">
        <f t="shared" si="4"/>
        <v>128911592.55580001</v>
      </c>
      <c r="F14" s="245">
        <f>E14-F169</f>
        <v>19021289.274734244</v>
      </c>
      <c r="G14" s="245">
        <f t="shared" si="0"/>
        <v>243862.68300941339</v>
      </c>
      <c r="J14" s="246">
        <f>+E181</f>
        <v>128911592.55580005</v>
      </c>
      <c r="K14" s="246">
        <f t="shared" si="1"/>
        <v>128911592.55580001</v>
      </c>
      <c r="L14" s="246">
        <f t="shared" si="2"/>
        <v>0</v>
      </c>
      <c r="M14" s="448" t="s">
        <v>29</v>
      </c>
      <c r="N14" s="448">
        <f>SUM(N2:N13)</f>
        <v>78</v>
      </c>
      <c r="P14" s="247">
        <v>2016</v>
      </c>
      <c r="Q14" s="252"/>
      <c r="R14" s="252"/>
      <c r="S14" s="252"/>
      <c r="T14" s="252">
        <v>21628788</v>
      </c>
      <c r="U14" s="252">
        <v>21628788</v>
      </c>
      <c r="V14" s="252">
        <v>22395334</v>
      </c>
      <c r="W14" s="252">
        <v>22395334</v>
      </c>
      <c r="X14" s="252">
        <v>22395334</v>
      </c>
    </row>
    <row r="15" spans="1:34" x14ac:dyDescent="0.25">
      <c r="A15">
        <v>2018</v>
      </c>
      <c r="B15" s="248">
        <v>171906205.27262631</v>
      </c>
      <c r="C15" s="248">
        <v>153807088.45919999</v>
      </c>
      <c r="D15" s="245">
        <f t="shared" si="3"/>
        <v>6109132.4411999881</v>
      </c>
      <c r="E15" s="245">
        <f t="shared" si="4"/>
        <v>150752522.23860002</v>
      </c>
      <c r="F15" s="245">
        <f>E15-F181</f>
        <v>5745992.6041786373</v>
      </c>
      <c r="G15" s="245">
        <f t="shared" si="0"/>
        <v>73666.571848444073</v>
      </c>
      <c r="J15" s="246">
        <f>+E193</f>
        <v>150752522.23860005</v>
      </c>
      <c r="K15" s="246">
        <f t="shared" si="1"/>
        <v>150752522.23860002</v>
      </c>
      <c r="L15" s="246">
        <f t="shared" si="2"/>
        <v>0</v>
      </c>
      <c r="M15" s="447"/>
      <c r="N15" s="447"/>
      <c r="P15" s="247">
        <v>2017</v>
      </c>
      <c r="Q15" s="252"/>
      <c r="R15" s="252"/>
      <c r="S15" s="252"/>
      <c r="T15" s="252"/>
      <c r="U15" s="252">
        <v>43015770</v>
      </c>
      <c r="V15" s="252">
        <v>39769271</v>
      </c>
      <c r="W15" s="252">
        <v>39769271</v>
      </c>
      <c r="X15" s="252">
        <v>39768618</v>
      </c>
    </row>
    <row r="16" spans="1:34" x14ac:dyDescent="0.25">
      <c r="A16">
        <v>2019</v>
      </c>
      <c r="B16" s="248">
        <v>165035410.08626771</v>
      </c>
      <c r="C16" s="248">
        <v>149921661.4833</v>
      </c>
      <c r="D16" s="245">
        <f t="shared" si="3"/>
        <v>-3885426.9758999944</v>
      </c>
      <c r="E16" s="245">
        <f t="shared" si="4"/>
        <v>151864374.97125</v>
      </c>
      <c r="F16" s="245">
        <f>E16-F193</f>
        <v>-3750141.009347409</v>
      </c>
      <c r="G16" s="245">
        <f t="shared" si="0"/>
        <v>-48078.730889069346</v>
      </c>
      <c r="J16" s="246">
        <f>+E205</f>
        <v>151864374.97125</v>
      </c>
      <c r="K16" s="246">
        <f t="shared" si="1"/>
        <v>151864374.97125</v>
      </c>
      <c r="L16" s="246"/>
      <c r="M16" s="447"/>
      <c r="N16" s="447"/>
      <c r="P16" s="247">
        <v>2018</v>
      </c>
      <c r="Q16" s="252"/>
      <c r="R16" s="252"/>
      <c r="S16" s="252"/>
      <c r="T16" s="252"/>
      <c r="U16" s="252"/>
      <c r="V16" s="252">
        <v>14096523.0163</v>
      </c>
      <c r="W16" s="252">
        <v>14096523.0163</v>
      </c>
      <c r="X16" s="252">
        <v>14096523.0163</v>
      </c>
    </row>
    <row r="17" spans="1:24" x14ac:dyDescent="0.25">
      <c r="A17">
        <v>2020</v>
      </c>
      <c r="B17" s="248">
        <v>159208655.41419277</v>
      </c>
      <c r="C17" s="248">
        <v>146098907.49860001</v>
      </c>
      <c r="D17" s="245">
        <f t="shared" si="3"/>
        <v>-3822753.9846999943</v>
      </c>
      <c r="E17" s="245">
        <f t="shared" si="4"/>
        <v>148010284.49094999</v>
      </c>
      <c r="F17" s="245">
        <f>E17-F205</f>
        <v>-680894.24162149429</v>
      </c>
      <c r="G17" s="245">
        <f t="shared" si="0"/>
        <v>-8729.4133541217216</v>
      </c>
      <c r="J17" s="246">
        <f>+E217</f>
        <v>148010284.49095002</v>
      </c>
      <c r="K17" s="246">
        <f t="shared" si="1"/>
        <v>148010284.49094999</v>
      </c>
      <c r="L17" s="246"/>
      <c r="M17" s="447"/>
      <c r="N17" s="447"/>
      <c r="P17" s="249">
        <v>2019</v>
      </c>
      <c r="Q17" s="252"/>
      <c r="R17" s="252"/>
      <c r="S17" s="252"/>
      <c r="T17" s="252"/>
      <c r="U17" s="252"/>
      <c r="V17" s="252"/>
      <c r="W17" s="252"/>
      <c r="X17" s="252"/>
    </row>
    <row r="18" spans="1:24" x14ac:dyDescent="0.25">
      <c r="C18" s="245"/>
      <c r="D18" s="245"/>
      <c r="E18" s="245"/>
      <c r="F18" s="245"/>
      <c r="G18" s="245"/>
      <c r="J18" s="246"/>
      <c r="K18" s="246"/>
      <c r="L18" s="246"/>
      <c r="M18" s="447"/>
      <c r="N18" s="447"/>
      <c r="P18" s="249">
        <v>2020</v>
      </c>
      <c r="Q18" s="252"/>
      <c r="R18" s="252"/>
      <c r="S18" s="252"/>
      <c r="T18" s="252"/>
      <c r="U18" s="252"/>
      <c r="V18" s="252"/>
      <c r="W18" s="252"/>
      <c r="X18" s="252"/>
    </row>
    <row r="19" spans="1:24" x14ac:dyDescent="0.25">
      <c r="A19" s="50" t="s">
        <v>29</v>
      </c>
      <c r="B19" s="50"/>
      <c r="C19" s="245">
        <f>SUM(C2:C17)</f>
        <v>1173071253.8024001</v>
      </c>
      <c r="D19" s="245"/>
      <c r="E19" s="245">
        <f>SUM(E2:E17)</f>
        <v>1100021800.0531001</v>
      </c>
      <c r="F19" s="245"/>
      <c r="G19" s="245"/>
      <c r="J19" s="245">
        <f>SUM(J2:J17)</f>
        <v>1100021800.0531001</v>
      </c>
      <c r="K19" s="245">
        <f>SUM(K2:K17)</f>
        <v>1100021800.0531001</v>
      </c>
      <c r="P19" s="249"/>
      <c r="Q19" s="252"/>
      <c r="R19" s="252"/>
      <c r="S19" s="252"/>
      <c r="T19" s="252"/>
      <c r="U19" s="252"/>
      <c r="V19" s="252"/>
      <c r="W19" s="252"/>
      <c r="X19" s="252"/>
    </row>
    <row r="20" spans="1:24" x14ac:dyDescent="0.25">
      <c r="D20" s="245"/>
      <c r="E20" s="245"/>
      <c r="F20" s="245"/>
      <c r="G20" s="245"/>
      <c r="P20" s="247" t="s">
        <v>29</v>
      </c>
      <c r="Q20" s="251">
        <f>SUM(Q3:Q19)</f>
        <v>61309444.238899991</v>
      </c>
      <c r="R20" s="251">
        <f t="shared" ref="R20:X20" si="5">SUM(R3:R19)</f>
        <v>70275491.078500003</v>
      </c>
      <c r="S20" s="251">
        <f t="shared" si="5"/>
        <v>90753702.113900006</v>
      </c>
      <c r="T20" s="251">
        <f t="shared" si="5"/>
        <v>110125229.0935</v>
      </c>
      <c r="U20" s="251">
        <f t="shared" si="5"/>
        <v>147697956.01800001</v>
      </c>
      <c r="V20" s="251">
        <f t="shared" si="5"/>
        <v>153807088.45909998</v>
      </c>
      <c r="W20" s="251">
        <f t="shared" si="5"/>
        <v>149921661.4833</v>
      </c>
      <c r="X20" s="251">
        <f t="shared" si="5"/>
        <v>146098907.49859327</v>
      </c>
    </row>
    <row r="21" spans="1:24" x14ac:dyDescent="0.25">
      <c r="C21" s="246"/>
      <c r="D21" s="245"/>
      <c r="E21" s="245"/>
      <c r="F21" s="245"/>
      <c r="G21" s="245"/>
      <c r="Q21" s="246">
        <f>ROUND((Q20-$C10),2)</f>
        <v>0</v>
      </c>
      <c r="R21" s="246">
        <f>ROUND((R20-$C11),2)</f>
        <v>0</v>
      </c>
      <c r="S21" s="246">
        <f>ROUND((S20-$C12),2)</f>
        <v>0</v>
      </c>
      <c r="T21" s="246">
        <f>ROUND((T20-$C13),2)</f>
        <v>0</v>
      </c>
      <c r="U21" s="246">
        <f>ROUND((U20-$C14),2)</f>
        <v>0</v>
      </c>
      <c r="V21" s="246">
        <f>ROUND((V20-$C15),2)</f>
        <v>0</v>
      </c>
      <c r="W21" s="246">
        <f>ROUND((W20-$C16),2)</f>
        <v>0</v>
      </c>
      <c r="X21" s="246">
        <f>ROUND((X20-$C17),2)</f>
        <v>0</v>
      </c>
    </row>
    <row r="22" spans="1:24" x14ac:dyDescent="0.25">
      <c r="C22" s="44"/>
      <c r="D22" s="245"/>
      <c r="E22" s="245"/>
      <c r="F22" s="245"/>
      <c r="G22" s="245"/>
      <c r="K22" s="244"/>
    </row>
    <row r="23" spans="1:24" x14ac:dyDescent="0.25">
      <c r="C23" s="44"/>
      <c r="D23" s="245"/>
      <c r="E23" s="245"/>
      <c r="F23" s="245"/>
      <c r="G23" s="245"/>
      <c r="K23" s="244"/>
    </row>
    <row r="24" spans="1:24" x14ac:dyDescent="0.25">
      <c r="C24" s="44"/>
      <c r="D24" s="245" t="s">
        <v>357</v>
      </c>
      <c r="G24" s="245"/>
      <c r="K24" s="244"/>
    </row>
    <row r="25" spans="1:24" x14ac:dyDescent="0.25">
      <c r="C25" s="44"/>
      <c r="D25" s="245"/>
      <c r="K25" s="244"/>
      <c r="P25" s="543" t="s">
        <v>358</v>
      </c>
      <c r="Q25" s="543"/>
      <c r="R25" s="543"/>
    </row>
    <row r="26" spans="1:24" x14ac:dyDescent="0.25">
      <c r="A26" s="44">
        <v>38353</v>
      </c>
      <c r="B26" s="44"/>
      <c r="C26" s="44"/>
      <c r="D26" s="245">
        <f>$G$2</f>
        <v>1875.5320512820513</v>
      </c>
      <c r="K26" s="244"/>
      <c r="P26" s="544">
        <v>105710000</v>
      </c>
      <c r="Q26" s="544"/>
      <c r="R26" s="544"/>
    </row>
    <row r="27" spans="1:24" ht="13" thickBot="1" x14ac:dyDescent="0.3">
      <c r="A27" s="44">
        <v>38384</v>
      </c>
      <c r="B27" s="44"/>
      <c r="C27" s="44"/>
      <c r="D27" s="245">
        <f>D26+$G$2</f>
        <v>3751.0641025641025</v>
      </c>
      <c r="K27" s="244"/>
    </row>
    <row r="28" spans="1:24" ht="13" x14ac:dyDescent="0.3">
      <c r="A28" s="44">
        <v>38412</v>
      </c>
      <c r="B28" s="44"/>
      <c r="C28" s="44"/>
      <c r="D28" s="245">
        <f t="shared" ref="D28:D34" si="6">D27+$G$2</f>
        <v>5626.5961538461543</v>
      </c>
      <c r="K28" s="244"/>
      <c r="P28" s="551" t="s">
        <v>359</v>
      </c>
      <c r="Q28" s="552"/>
      <c r="R28" s="552"/>
      <c r="S28" s="552"/>
      <c r="T28" s="552"/>
      <c r="U28" s="552"/>
      <c r="V28" s="553"/>
    </row>
    <row r="29" spans="1:24" x14ac:dyDescent="0.25">
      <c r="A29" s="44">
        <v>38443</v>
      </c>
      <c r="B29" s="44"/>
      <c r="C29" s="44"/>
      <c r="D29" s="245">
        <f t="shared" si="6"/>
        <v>7502.1282051282051</v>
      </c>
      <c r="K29" s="244"/>
      <c r="P29" s="358">
        <v>2015</v>
      </c>
      <c r="Q29" s="448">
        <v>2016</v>
      </c>
      <c r="R29" s="448">
        <v>2017</v>
      </c>
      <c r="S29" s="448">
        <v>2018</v>
      </c>
      <c r="T29" s="448">
        <v>2019</v>
      </c>
      <c r="U29" s="448">
        <v>2020</v>
      </c>
      <c r="V29" s="276" t="s">
        <v>29</v>
      </c>
    </row>
    <row r="30" spans="1:24" x14ac:dyDescent="0.25">
      <c r="A30" s="44">
        <v>38473</v>
      </c>
      <c r="B30" s="44"/>
      <c r="C30" s="44"/>
      <c r="D30" s="245">
        <f t="shared" si="6"/>
        <v>9377.6602564102559</v>
      </c>
      <c r="K30" s="244"/>
      <c r="P30" s="277">
        <f>P37/$P$26</f>
        <v>0.24711929807965188</v>
      </c>
      <c r="Q30" s="278">
        <f t="shared" ref="Q30:U33" si="7">Q37/$P$26</f>
        <v>0.24663364866143223</v>
      </c>
      <c r="R30" s="278">
        <f t="shared" si="7"/>
        <v>0.24597112855926592</v>
      </c>
      <c r="S30" s="278">
        <f t="shared" si="7"/>
        <v>0.24610418125059125</v>
      </c>
      <c r="T30" s="278">
        <f t="shared" si="7"/>
        <v>0.24599041717907483</v>
      </c>
      <c r="U30" s="278">
        <f t="shared" si="7"/>
        <v>0.24587872481316811</v>
      </c>
      <c r="V30" s="279">
        <f>SUM(P30:U30)</f>
        <v>1.4776973985431843</v>
      </c>
    </row>
    <row r="31" spans="1:24" x14ac:dyDescent="0.25">
      <c r="A31" s="44">
        <v>38504</v>
      </c>
      <c r="B31" s="44"/>
      <c r="C31" s="44"/>
      <c r="D31" s="245">
        <f t="shared" si="6"/>
        <v>11253.192307692307</v>
      </c>
      <c r="K31" s="244"/>
      <c r="P31" s="277"/>
      <c r="Q31" s="278">
        <f t="shared" si="7"/>
        <v>0.20460493803802857</v>
      </c>
      <c r="R31" s="278">
        <f t="shared" si="7"/>
        <v>0.20460493803802857</v>
      </c>
      <c r="S31" s="278">
        <f t="shared" si="7"/>
        <v>0.21185634282470911</v>
      </c>
      <c r="T31" s="278">
        <f t="shared" si="7"/>
        <v>0.21185634282470911</v>
      </c>
      <c r="U31" s="278">
        <f t="shared" si="7"/>
        <v>0.21185634282470911</v>
      </c>
      <c r="V31" s="279">
        <f t="shared" ref="V31:V35" si="8">SUM(P31:U31)</f>
        <v>1.0447789045501845</v>
      </c>
    </row>
    <row r="32" spans="1:24" x14ac:dyDescent="0.25">
      <c r="A32" s="44">
        <v>38534</v>
      </c>
      <c r="B32" s="44"/>
      <c r="C32" s="44"/>
      <c r="D32" s="245">
        <f t="shared" si="6"/>
        <v>13128.724358974358</v>
      </c>
      <c r="K32" s="244"/>
      <c r="P32" s="277"/>
      <c r="Q32" s="278"/>
      <c r="R32" s="278">
        <f t="shared" si="7"/>
        <v>0.4069224292876738</v>
      </c>
      <c r="S32" s="278">
        <f t="shared" si="7"/>
        <v>0.37621105855642795</v>
      </c>
      <c r="T32" s="278">
        <f t="shared" ref="T32:U35" si="9">T39/$P$26</f>
        <v>0.37621105855642795</v>
      </c>
      <c r="U32" s="278">
        <f t="shared" si="9"/>
        <v>0.37620488127897078</v>
      </c>
      <c r="V32" s="279">
        <f t="shared" si="8"/>
        <v>1.5355494276795003</v>
      </c>
      <c r="X32" s="291"/>
    </row>
    <row r="33" spans="1:24" x14ac:dyDescent="0.25">
      <c r="A33" s="44">
        <v>38565</v>
      </c>
      <c r="B33" s="44"/>
      <c r="C33" s="44"/>
      <c r="D33" s="245">
        <f t="shared" si="6"/>
        <v>15004.256410256408</v>
      </c>
      <c r="K33" s="244"/>
      <c r="P33" s="277"/>
      <c r="Q33" s="278"/>
      <c r="R33" s="278"/>
      <c r="S33" s="278">
        <f t="shared" si="7"/>
        <v>0.13335089410949558</v>
      </c>
      <c r="T33" s="278">
        <f t="shared" si="9"/>
        <v>0.13335089410949558</v>
      </c>
      <c r="U33" s="278">
        <f t="shared" si="9"/>
        <v>0.13335089410949558</v>
      </c>
      <c r="V33" s="279">
        <f t="shared" si="8"/>
        <v>0.40005268232848673</v>
      </c>
      <c r="X33" s="292"/>
    </row>
    <row r="34" spans="1:24" x14ac:dyDescent="0.25">
      <c r="A34" s="44">
        <v>38596</v>
      </c>
      <c r="B34" s="44"/>
      <c r="C34" s="44"/>
      <c r="D34" s="245">
        <f t="shared" si="6"/>
        <v>16879.788461538461</v>
      </c>
      <c r="K34" s="244"/>
      <c r="P34" s="277"/>
      <c r="Q34" s="278"/>
      <c r="R34" s="278"/>
      <c r="S34" s="278"/>
      <c r="T34" s="278">
        <f t="shared" si="9"/>
        <v>0.20805618200737869</v>
      </c>
      <c r="U34" s="278">
        <f t="shared" si="9"/>
        <v>0.20805618200737869</v>
      </c>
      <c r="V34" s="279">
        <f t="shared" si="8"/>
        <v>0.41611236401475737</v>
      </c>
      <c r="X34" s="292"/>
    </row>
    <row r="35" spans="1:24" x14ac:dyDescent="0.25">
      <c r="A35" s="44">
        <v>38626</v>
      </c>
      <c r="B35" s="44"/>
      <c r="C35" s="44"/>
      <c r="D35" s="245">
        <f>D34+$G$2</f>
        <v>18755.320512820512</v>
      </c>
      <c r="K35" s="244"/>
      <c r="P35" s="277"/>
      <c r="Q35" s="278"/>
      <c r="R35" s="278"/>
      <c r="S35" s="278"/>
      <c r="T35" s="278"/>
      <c r="U35" s="278">
        <f t="shared" si="9"/>
        <v>4.4197644499101317E-2</v>
      </c>
      <c r="V35" s="279">
        <f t="shared" si="8"/>
        <v>4.4197644499101317E-2</v>
      </c>
      <c r="X35" s="259"/>
    </row>
    <row r="36" spans="1:24" x14ac:dyDescent="0.25">
      <c r="A36" s="44">
        <v>38657</v>
      </c>
      <c r="B36" s="44"/>
      <c r="C36" s="44"/>
      <c r="D36" s="245">
        <f>D35+$G$2</f>
        <v>20630.852564102563</v>
      </c>
      <c r="E36" s="50" t="s">
        <v>57</v>
      </c>
      <c r="F36" s="50"/>
      <c r="K36" s="244"/>
      <c r="P36" s="546" t="s">
        <v>82</v>
      </c>
      <c r="Q36" s="547"/>
      <c r="R36" s="547"/>
      <c r="S36" s="547"/>
      <c r="T36" s="547"/>
      <c r="U36" s="547"/>
      <c r="V36" s="548"/>
    </row>
    <row r="37" spans="1:24" x14ac:dyDescent="0.25">
      <c r="A37" s="44">
        <v>38687</v>
      </c>
      <c r="B37" s="44"/>
      <c r="C37" s="44"/>
      <c r="D37" s="245">
        <f>D36+$G$2</f>
        <v>22506.384615384613</v>
      </c>
      <c r="E37" s="245">
        <f>SUM(D26:D37)</f>
        <v>146291.5</v>
      </c>
      <c r="F37" s="245">
        <f>D37*12</f>
        <v>270076.61538461538</v>
      </c>
      <c r="K37" s="244"/>
      <c r="O37">
        <v>2015</v>
      </c>
      <c r="P37" s="280">
        <v>26122981</v>
      </c>
      <c r="Q37" s="281">
        <v>26071643</v>
      </c>
      <c r="R37" s="281">
        <v>26001608</v>
      </c>
      <c r="S37" s="281">
        <v>26015673</v>
      </c>
      <c r="T37" s="281">
        <v>26003647</v>
      </c>
      <c r="U37" s="281">
        <v>25991840</v>
      </c>
      <c r="V37" s="282">
        <v>26122981</v>
      </c>
    </row>
    <row r="38" spans="1:24" x14ac:dyDescent="0.25">
      <c r="A38" s="44">
        <v>38718</v>
      </c>
      <c r="B38" s="44"/>
      <c r="C38" s="44"/>
      <c r="D38" s="245">
        <f>+D37+$G$3</f>
        <v>89668.287246351087</v>
      </c>
      <c r="K38" s="244"/>
      <c r="O38">
        <v>2016</v>
      </c>
      <c r="P38" s="283"/>
      <c r="Q38" s="281">
        <v>21628788</v>
      </c>
      <c r="R38" s="281">
        <v>21628788</v>
      </c>
      <c r="S38" s="281">
        <v>22395334</v>
      </c>
      <c r="T38" s="281">
        <v>22395334</v>
      </c>
      <c r="U38" s="281">
        <v>22395334</v>
      </c>
      <c r="V38" s="282">
        <v>21628788</v>
      </c>
    </row>
    <row r="39" spans="1:24" x14ac:dyDescent="0.25">
      <c r="A39" s="44">
        <v>38749</v>
      </c>
      <c r="B39" s="44"/>
      <c r="C39" s="44"/>
      <c r="D39" s="245">
        <f>+D38+$G$3</f>
        <v>156830.18987731758</v>
      </c>
      <c r="K39" s="244"/>
      <c r="O39">
        <v>2017</v>
      </c>
      <c r="P39" s="283"/>
      <c r="Q39" s="284"/>
      <c r="R39" s="281">
        <v>43015770</v>
      </c>
      <c r="S39" s="281">
        <v>39769271</v>
      </c>
      <c r="T39" s="281">
        <v>39769271</v>
      </c>
      <c r="U39" s="281">
        <v>39768618</v>
      </c>
      <c r="V39" s="282">
        <v>43015770</v>
      </c>
      <c r="W39" s="48"/>
    </row>
    <row r="40" spans="1:24" x14ac:dyDescent="0.25">
      <c r="A40" s="44">
        <v>38777</v>
      </c>
      <c r="B40" s="44"/>
      <c r="C40" s="44"/>
      <c r="D40" s="245">
        <f>+D39+$G$3</f>
        <v>223992.09250828405</v>
      </c>
      <c r="K40" s="244"/>
      <c r="O40">
        <v>2018</v>
      </c>
      <c r="P40" s="283"/>
      <c r="Q40" s="284"/>
      <c r="R40" s="284"/>
      <c r="S40" s="284">
        <v>14096523.016314777</v>
      </c>
      <c r="T40" s="284">
        <v>14096523.016314777</v>
      </c>
      <c r="U40" s="284">
        <v>14096523.016314777</v>
      </c>
      <c r="V40" s="282">
        <v>14096523.016314777</v>
      </c>
      <c r="W40" s="48"/>
    </row>
    <row r="41" spans="1:24" x14ac:dyDescent="0.25">
      <c r="A41" s="44">
        <v>38808</v>
      </c>
      <c r="B41" s="44"/>
      <c r="C41" s="44"/>
      <c r="D41" s="245">
        <f t="shared" ref="D41:D49" si="10">+D40+$G$3</f>
        <v>291153.99513925053</v>
      </c>
      <c r="K41" s="244"/>
      <c r="O41">
        <v>2019</v>
      </c>
      <c r="P41" s="288"/>
      <c r="Q41" s="289"/>
      <c r="R41" s="289"/>
      <c r="S41" s="289"/>
      <c r="T41" s="284">
        <v>21993619</v>
      </c>
      <c r="U41" s="284">
        <v>21993619</v>
      </c>
      <c r="V41" s="290">
        <v>21993619</v>
      </c>
      <c r="W41" s="48"/>
    </row>
    <row r="42" spans="1:24" ht="13" thickBot="1" x14ac:dyDescent="0.3">
      <c r="A42" s="44">
        <v>38838</v>
      </c>
      <c r="B42" s="44"/>
      <c r="C42" s="44"/>
      <c r="D42" s="245">
        <f t="shared" si="10"/>
        <v>358315.89777021704</v>
      </c>
      <c r="K42" s="244"/>
      <c r="O42">
        <v>2020</v>
      </c>
      <c r="P42" s="285"/>
      <c r="Q42" s="286"/>
      <c r="R42" s="286"/>
      <c r="S42" s="286"/>
      <c r="T42" s="286"/>
      <c r="U42" s="286">
        <v>4672133</v>
      </c>
      <c r="V42" s="287">
        <v>4672133</v>
      </c>
      <c r="W42" s="48"/>
    </row>
    <row r="43" spans="1:24" x14ac:dyDescent="0.25">
      <c r="A43" s="44">
        <v>38869</v>
      </c>
      <c r="B43" s="44"/>
      <c r="C43" s="44"/>
      <c r="D43" s="245">
        <f t="shared" si="10"/>
        <v>425477.80040118354</v>
      </c>
      <c r="K43" s="244"/>
      <c r="Q43" s="44"/>
      <c r="R43" s="44"/>
      <c r="S43" s="72"/>
      <c r="T43" s="72"/>
    </row>
    <row r="44" spans="1:24" x14ac:dyDescent="0.25">
      <c r="A44" s="44">
        <v>38899</v>
      </c>
      <c r="B44" s="44"/>
      <c r="C44" s="44"/>
      <c r="D44" s="245">
        <f t="shared" si="10"/>
        <v>492639.70303215005</v>
      </c>
      <c r="K44" s="244"/>
      <c r="Q44" s="44"/>
      <c r="T44" s="545" t="s">
        <v>360</v>
      </c>
      <c r="U44" s="545"/>
    </row>
    <row r="45" spans="1:24" x14ac:dyDescent="0.25">
      <c r="A45" s="44">
        <v>38930</v>
      </c>
      <c r="B45" s="44"/>
      <c r="C45" s="44"/>
      <c r="D45" s="245">
        <f t="shared" si="10"/>
        <v>559801.60566311656</v>
      </c>
      <c r="K45" s="244"/>
      <c r="Q45" s="44"/>
      <c r="T45" s="29">
        <f>ROUND((T41/2),4)</f>
        <v>10996809.5</v>
      </c>
      <c r="U45" s="29">
        <f>ROUND((U41),4)</f>
        <v>21993619</v>
      </c>
    </row>
    <row r="46" spans="1:24" x14ac:dyDescent="0.25">
      <c r="A46" s="44">
        <v>38961</v>
      </c>
      <c r="B46" s="44"/>
      <c r="C46" s="44"/>
      <c r="D46" s="245">
        <f t="shared" si="10"/>
        <v>626963.50829408306</v>
      </c>
      <c r="Q46" s="44"/>
      <c r="T46" s="44"/>
      <c r="U46" s="29">
        <f>ROUND((U42/2),2)</f>
        <v>2336066.5</v>
      </c>
      <c r="V46" s="14"/>
    </row>
    <row r="47" spans="1:24" ht="13" thickBot="1" x14ac:dyDescent="0.3">
      <c r="A47" s="44">
        <v>38991</v>
      </c>
      <c r="B47" s="44"/>
      <c r="C47" s="44"/>
      <c r="D47" s="245">
        <f t="shared" si="10"/>
        <v>694125.41092504957</v>
      </c>
      <c r="Q47" s="44"/>
      <c r="T47" s="293">
        <f>ROUND((SUM(T45:T46)),4)</f>
        <v>10996809.5</v>
      </c>
      <c r="U47" s="293">
        <f>ROUND((SUM(U45:U46)),4)</f>
        <v>24329685.5</v>
      </c>
    </row>
    <row r="48" spans="1:24" ht="13" thickTop="1" x14ac:dyDescent="0.25">
      <c r="A48" s="44">
        <v>39022</v>
      </c>
      <c r="B48" s="44"/>
      <c r="C48" s="44"/>
      <c r="D48" s="245">
        <f t="shared" si="10"/>
        <v>761287.31355601607</v>
      </c>
    </row>
    <row r="49" spans="1:6" x14ac:dyDescent="0.25">
      <c r="A49" s="44">
        <v>39052</v>
      </c>
      <c r="B49" s="44"/>
      <c r="C49" s="44"/>
      <c r="D49" s="245">
        <f t="shared" si="10"/>
        <v>828449.21618698258</v>
      </c>
      <c r="E49" s="245">
        <f>SUM(D38:D49)</f>
        <v>5508705.0206000023</v>
      </c>
      <c r="F49" s="245">
        <f>D49*12</f>
        <v>9941390.594243791</v>
      </c>
    </row>
    <row r="50" spans="1:6" x14ac:dyDescent="0.25">
      <c r="A50" s="44">
        <v>39083</v>
      </c>
      <c r="B50" s="44"/>
      <c r="C50" s="44"/>
      <c r="D50" s="245">
        <f>+D49+$G$4</f>
        <v>907332.77602167754</v>
      </c>
    </row>
    <row r="51" spans="1:6" x14ac:dyDescent="0.25">
      <c r="A51" s="44">
        <v>39114</v>
      </c>
      <c r="B51" s="44"/>
      <c r="C51" s="44"/>
      <c r="D51" s="245">
        <f t="shared" ref="D51:D61" si="11">+D50+$G$4</f>
        <v>986216.33585637249</v>
      </c>
    </row>
    <row r="52" spans="1:6" ht="12.75" customHeight="1" x14ac:dyDescent="0.25">
      <c r="A52" s="44">
        <v>39142</v>
      </c>
      <c r="B52" s="44"/>
      <c r="C52" s="44"/>
      <c r="D52" s="245">
        <f t="shared" si="11"/>
        <v>1065099.8956910674</v>
      </c>
    </row>
    <row r="53" spans="1:6" ht="12.75" customHeight="1" x14ac:dyDescent="0.25">
      <c r="A53" s="44">
        <v>39173</v>
      </c>
      <c r="B53" s="44"/>
      <c r="C53" s="44"/>
      <c r="D53" s="245">
        <f t="shared" si="11"/>
        <v>1143983.4555257624</v>
      </c>
    </row>
    <row r="54" spans="1:6" ht="12.75" customHeight="1" x14ac:dyDescent="0.25">
      <c r="A54" s="44">
        <v>39203</v>
      </c>
      <c r="B54" s="44"/>
      <c r="C54" s="44"/>
      <c r="D54" s="245">
        <f t="shared" si="11"/>
        <v>1222867.0153604574</v>
      </c>
    </row>
    <row r="55" spans="1:6" ht="12.75" customHeight="1" x14ac:dyDescent="0.25">
      <c r="A55" s="44">
        <v>39234</v>
      </c>
      <c r="B55" s="44"/>
      <c r="C55" s="44"/>
      <c r="D55" s="245">
        <f t="shared" si="11"/>
        <v>1301750.5751951523</v>
      </c>
    </row>
    <row r="56" spans="1:6" ht="12.75" customHeight="1" x14ac:dyDescent="0.25">
      <c r="A56" s="44">
        <v>39264</v>
      </c>
      <c r="B56" s="44"/>
      <c r="C56" s="44"/>
      <c r="D56" s="245">
        <f t="shared" si="11"/>
        <v>1380634.1350298473</v>
      </c>
    </row>
    <row r="57" spans="1:6" ht="12.75" customHeight="1" x14ac:dyDescent="0.25">
      <c r="A57" s="44">
        <v>39295</v>
      </c>
      <c r="B57" s="44"/>
      <c r="C57" s="44"/>
      <c r="D57" s="245">
        <f t="shared" si="11"/>
        <v>1459517.6948645422</v>
      </c>
    </row>
    <row r="58" spans="1:6" ht="12.75" customHeight="1" x14ac:dyDescent="0.25">
      <c r="A58" s="44">
        <v>39326</v>
      </c>
      <c r="B58" s="44"/>
      <c r="C58" s="44"/>
      <c r="D58" s="245">
        <f t="shared" si="11"/>
        <v>1538401.2546992372</v>
      </c>
    </row>
    <row r="59" spans="1:6" ht="12.75" customHeight="1" x14ac:dyDescent="0.25">
      <c r="A59" s="44">
        <v>39356</v>
      </c>
      <c r="B59" s="44"/>
      <c r="C59" s="44"/>
      <c r="D59" s="245">
        <f t="shared" si="11"/>
        <v>1617284.8145339321</v>
      </c>
    </row>
    <row r="60" spans="1:6" ht="12.75" customHeight="1" x14ac:dyDescent="0.25">
      <c r="A60" s="44">
        <v>39387</v>
      </c>
      <c r="B60" s="44"/>
      <c r="C60" s="44"/>
      <c r="D60" s="245">
        <f t="shared" si="11"/>
        <v>1696168.3743686271</v>
      </c>
    </row>
    <row r="61" spans="1:6" ht="12.75" customHeight="1" x14ac:dyDescent="0.25">
      <c r="A61" s="44">
        <v>39417</v>
      </c>
      <c r="B61" s="44"/>
      <c r="C61" s="44"/>
      <c r="D61" s="245">
        <f t="shared" si="11"/>
        <v>1775051.934203322</v>
      </c>
      <c r="E61" s="245">
        <f>SUM(D50:D61)</f>
        <v>16094308.261349995</v>
      </c>
      <c r="F61" s="245">
        <f>D61*12</f>
        <v>21300623.210439865</v>
      </c>
    </row>
    <row r="62" spans="1:6" ht="12.75" customHeight="1" x14ac:dyDescent="0.25">
      <c r="A62" s="44">
        <v>39448</v>
      </c>
      <c r="B62" s="44"/>
      <c r="C62" s="44"/>
      <c r="D62" s="245">
        <f>D61+$G$5</f>
        <v>1813009.9616553751</v>
      </c>
    </row>
    <row r="63" spans="1:6" x14ac:dyDescent="0.25">
      <c r="A63" s="44">
        <v>39479</v>
      </c>
      <c r="B63" s="44"/>
      <c r="C63" s="44"/>
      <c r="D63" s="245">
        <f t="shared" ref="D63:D73" si="12">D62+$G$5</f>
        <v>1850967.9891074281</v>
      </c>
    </row>
    <row r="64" spans="1:6" ht="12.75" customHeight="1" x14ac:dyDescent="0.25">
      <c r="A64" s="44">
        <v>39508</v>
      </c>
      <c r="B64" s="44"/>
      <c r="C64" s="44"/>
      <c r="D64" s="245">
        <f t="shared" si="12"/>
        <v>1888926.0165594812</v>
      </c>
    </row>
    <row r="65" spans="1:6" ht="12.75" customHeight="1" x14ac:dyDescent="0.25">
      <c r="A65" s="44">
        <v>39539</v>
      </c>
      <c r="B65" s="44"/>
      <c r="C65" s="44"/>
      <c r="D65" s="245">
        <f t="shared" si="12"/>
        <v>1926884.0440115342</v>
      </c>
    </row>
    <row r="66" spans="1:6" ht="13.5" customHeight="1" x14ac:dyDescent="0.25">
      <c r="A66" s="44">
        <v>39569</v>
      </c>
      <c r="B66" s="44"/>
      <c r="C66" s="44"/>
      <c r="D66" s="245">
        <f t="shared" si="12"/>
        <v>1964842.0714635872</v>
      </c>
    </row>
    <row r="67" spans="1:6" ht="12.75" customHeight="1" x14ac:dyDescent="0.25">
      <c r="A67" s="44">
        <v>39600</v>
      </c>
      <c r="B67" s="44"/>
      <c r="C67" s="44"/>
      <c r="D67" s="245">
        <f t="shared" si="12"/>
        <v>2002800.0989156403</v>
      </c>
    </row>
    <row r="68" spans="1:6" ht="12.75" customHeight="1" x14ac:dyDescent="0.25">
      <c r="A68" s="44">
        <v>39630</v>
      </c>
      <c r="B68" s="44"/>
      <c r="C68" s="44"/>
      <c r="D68" s="245">
        <f t="shared" si="12"/>
        <v>2040758.1263676933</v>
      </c>
    </row>
    <row r="69" spans="1:6" ht="12.75" customHeight="1" x14ac:dyDescent="0.25">
      <c r="A69" s="44">
        <v>39661</v>
      </c>
      <c r="B69" s="44"/>
      <c r="C69" s="44"/>
      <c r="D69" s="245">
        <f t="shared" si="12"/>
        <v>2078716.1538197463</v>
      </c>
    </row>
    <row r="70" spans="1:6" ht="12.75" customHeight="1" x14ac:dyDescent="0.25">
      <c r="A70" s="44">
        <v>39692</v>
      </c>
      <c r="B70" s="44"/>
      <c r="C70" s="44"/>
      <c r="D70" s="245">
        <f t="shared" si="12"/>
        <v>2116674.1812717994</v>
      </c>
    </row>
    <row r="71" spans="1:6" ht="12.75" customHeight="1" x14ac:dyDescent="0.25">
      <c r="A71" s="44">
        <v>39722</v>
      </c>
      <c r="B71" s="44"/>
      <c r="C71" s="44"/>
      <c r="D71" s="245">
        <f t="shared" si="12"/>
        <v>2154632.2087238524</v>
      </c>
    </row>
    <row r="72" spans="1:6" x14ac:dyDescent="0.25">
      <c r="A72" s="44">
        <v>39753</v>
      </c>
      <c r="B72" s="44"/>
      <c r="C72" s="44"/>
      <c r="D72" s="245">
        <f t="shared" si="12"/>
        <v>2192590.2361759054</v>
      </c>
    </row>
    <row r="73" spans="1:6" x14ac:dyDescent="0.25">
      <c r="A73" s="44">
        <v>39783</v>
      </c>
      <c r="B73" s="44"/>
      <c r="C73" s="44"/>
      <c r="D73" s="245">
        <f t="shared" si="12"/>
        <v>2230548.2636279585</v>
      </c>
      <c r="E73" s="245">
        <f>SUM(D62:D73)</f>
        <v>24261349.3517</v>
      </c>
      <c r="F73" s="245">
        <f>D73*12</f>
        <v>26766579.163535502</v>
      </c>
    </row>
    <row r="74" spans="1:6" x14ac:dyDescent="0.25">
      <c r="A74" s="44">
        <v>39814</v>
      </c>
      <c r="B74" s="44"/>
      <c r="C74" s="44"/>
      <c r="D74" s="245">
        <f>D73+$G$6</f>
        <v>2295812.7907332727</v>
      </c>
    </row>
    <row r="75" spans="1:6" x14ac:dyDescent="0.25">
      <c r="A75" s="44">
        <v>39845</v>
      </c>
      <c r="B75" s="44"/>
      <c r="C75" s="44"/>
      <c r="D75" s="245">
        <f t="shared" ref="D75:D85" si="13">D74+$G$6</f>
        <v>2361077.3178385869</v>
      </c>
    </row>
    <row r="76" spans="1:6" x14ac:dyDescent="0.25">
      <c r="A76" s="44">
        <v>39873</v>
      </c>
      <c r="B76" s="44"/>
      <c r="C76" s="44"/>
      <c r="D76" s="245">
        <f t="shared" si="13"/>
        <v>2426341.8449439011</v>
      </c>
    </row>
    <row r="77" spans="1:6" x14ac:dyDescent="0.25">
      <c r="A77" s="44">
        <v>39904</v>
      </c>
      <c r="B77" s="44"/>
      <c r="C77" s="44"/>
      <c r="D77" s="245">
        <f t="shared" si="13"/>
        <v>2491606.3720492152</v>
      </c>
    </row>
    <row r="78" spans="1:6" x14ac:dyDescent="0.25">
      <c r="A78" s="44">
        <v>39934</v>
      </c>
      <c r="B78" s="44"/>
      <c r="C78" s="44"/>
      <c r="D78" s="245">
        <f t="shared" si="13"/>
        <v>2556870.8991545294</v>
      </c>
    </row>
    <row r="79" spans="1:6" x14ac:dyDescent="0.25">
      <c r="A79" s="44">
        <v>39965</v>
      </c>
      <c r="B79" s="44"/>
      <c r="C79" s="44"/>
      <c r="D79" s="245">
        <f t="shared" si="13"/>
        <v>2622135.4262598436</v>
      </c>
    </row>
    <row r="80" spans="1:6" x14ac:dyDescent="0.25">
      <c r="A80" s="44">
        <v>39995</v>
      </c>
      <c r="B80" s="44"/>
      <c r="C80" s="44"/>
      <c r="D80" s="245">
        <f t="shared" si="13"/>
        <v>2687399.9533651578</v>
      </c>
    </row>
    <row r="81" spans="1:6" x14ac:dyDescent="0.25">
      <c r="A81" s="44">
        <v>40026</v>
      </c>
      <c r="B81" s="44"/>
      <c r="C81" s="44"/>
      <c r="D81" s="245">
        <f t="shared" si="13"/>
        <v>2752664.480470472</v>
      </c>
    </row>
    <row r="82" spans="1:6" x14ac:dyDescent="0.25">
      <c r="A82" s="44">
        <v>40057</v>
      </c>
      <c r="B82" s="44"/>
      <c r="C82" s="44"/>
      <c r="D82" s="245">
        <f t="shared" si="13"/>
        <v>2817929.0075757862</v>
      </c>
    </row>
    <row r="83" spans="1:6" x14ac:dyDescent="0.25">
      <c r="A83" s="44">
        <v>40087</v>
      </c>
      <c r="B83" s="44"/>
      <c r="C83" s="44"/>
      <c r="D83" s="245">
        <f t="shared" si="13"/>
        <v>2883193.5346811004</v>
      </c>
    </row>
    <row r="84" spans="1:6" x14ac:dyDescent="0.25">
      <c r="A84" s="44">
        <v>40118</v>
      </c>
      <c r="B84" s="44"/>
      <c r="C84" s="44"/>
      <c r="D84" s="245">
        <f t="shared" si="13"/>
        <v>2948458.0617864146</v>
      </c>
    </row>
    <row r="85" spans="1:6" x14ac:dyDescent="0.25">
      <c r="A85" s="44">
        <v>40148</v>
      </c>
      <c r="B85" s="44"/>
      <c r="C85" s="44"/>
      <c r="D85" s="245">
        <f t="shared" si="13"/>
        <v>3013722.5888917288</v>
      </c>
      <c r="E85" s="245">
        <f>SUM(D74:D85)</f>
        <v>31857212.277750008</v>
      </c>
      <c r="F85" s="245">
        <f>D85*12</f>
        <v>36164671.066700742</v>
      </c>
    </row>
    <row r="86" spans="1:6" x14ac:dyDescent="0.25">
      <c r="A86" s="44">
        <v>40179</v>
      </c>
      <c r="B86" s="44"/>
      <c r="C86" s="44"/>
      <c r="D86" s="245">
        <f>D85+$G$7</f>
        <v>3039169.8407987705</v>
      </c>
    </row>
    <row r="87" spans="1:6" x14ac:dyDescent="0.25">
      <c r="A87" s="44">
        <v>40210</v>
      </c>
      <c r="B87" s="44"/>
      <c r="C87" s="44"/>
      <c r="D87" s="245">
        <f t="shared" ref="D87:D97" si="14">D86+$G$7</f>
        <v>3064617.0927058123</v>
      </c>
    </row>
    <row r="88" spans="1:6" x14ac:dyDescent="0.25">
      <c r="A88" s="44">
        <v>40238</v>
      </c>
      <c r="B88" s="44"/>
      <c r="C88" s="44"/>
      <c r="D88" s="245">
        <f t="shared" si="14"/>
        <v>3090064.3446128541</v>
      </c>
    </row>
    <row r="89" spans="1:6" x14ac:dyDescent="0.25">
      <c r="A89" s="44">
        <v>40269</v>
      </c>
      <c r="B89" s="44"/>
      <c r="C89" s="44"/>
      <c r="D89" s="245">
        <f t="shared" si="14"/>
        <v>3115511.5965198958</v>
      </c>
    </row>
    <row r="90" spans="1:6" x14ac:dyDescent="0.25">
      <c r="A90" s="44">
        <v>40299</v>
      </c>
      <c r="B90" s="44"/>
      <c r="C90" s="44"/>
      <c r="D90" s="245">
        <f t="shared" si="14"/>
        <v>3140958.8484269376</v>
      </c>
    </row>
    <row r="91" spans="1:6" x14ac:dyDescent="0.25">
      <c r="A91" s="44">
        <v>40330</v>
      </c>
      <c r="B91" s="44"/>
      <c r="C91" s="44"/>
      <c r="D91" s="245">
        <f t="shared" si="14"/>
        <v>3166406.1003339794</v>
      </c>
    </row>
    <row r="92" spans="1:6" x14ac:dyDescent="0.25">
      <c r="A92" s="44">
        <v>40360</v>
      </c>
      <c r="B92" s="44"/>
      <c r="C92" s="44"/>
      <c r="D92" s="245">
        <f t="shared" si="14"/>
        <v>3191853.3522410211</v>
      </c>
    </row>
    <row r="93" spans="1:6" x14ac:dyDescent="0.25">
      <c r="A93" s="44">
        <v>40391</v>
      </c>
      <c r="B93" s="44"/>
      <c r="C93" s="44"/>
      <c r="D93" s="245">
        <f t="shared" si="14"/>
        <v>3217300.6041480629</v>
      </c>
    </row>
    <row r="94" spans="1:6" x14ac:dyDescent="0.25">
      <c r="A94" s="44">
        <v>40422</v>
      </c>
      <c r="B94" s="44"/>
      <c r="C94" s="44"/>
      <c r="D94" s="245">
        <f t="shared" si="14"/>
        <v>3242747.8560551046</v>
      </c>
    </row>
    <row r="95" spans="1:6" x14ac:dyDescent="0.25">
      <c r="A95" s="44">
        <v>40452</v>
      </c>
      <c r="B95" s="44"/>
      <c r="C95" s="44"/>
      <c r="D95" s="245">
        <f t="shared" si="14"/>
        <v>3268195.1079621464</v>
      </c>
    </row>
    <row r="96" spans="1:6" x14ac:dyDescent="0.25">
      <c r="A96" s="44">
        <v>40483</v>
      </c>
      <c r="B96" s="44"/>
      <c r="C96" s="44"/>
      <c r="D96" s="245">
        <f t="shared" si="14"/>
        <v>3293642.3598691882</v>
      </c>
    </row>
    <row r="97" spans="1:6" x14ac:dyDescent="0.25">
      <c r="A97" s="44">
        <v>40513</v>
      </c>
      <c r="B97" s="44"/>
      <c r="C97" s="44"/>
      <c r="D97" s="245">
        <f t="shared" si="14"/>
        <v>3319089.6117762299</v>
      </c>
      <c r="E97" s="245">
        <f>SUM(D86:D97)</f>
        <v>38149556.715450004</v>
      </c>
      <c r="F97" s="245">
        <f>D97*12</f>
        <v>39829075.341314763</v>
      </c>
    </row>
    <row r="98" spans="1:6" x14ac:dyDescent="0.25">
      <c r="A98" s="44">
        <v>40544</v>
      </c>
      <c r="B98" s="44"/>
      <c r="C98" s="44"/>
      <c r="D98" s="245">
        <f>D97+$G$8</f>
        <v>3387075.684438861</v>
      </c>
    </row>
    <row r="99" spans="1:6" x14ac:dyDescent="0.25">
      <c r="A99" s="44">
        <v>40575</v>
      </c>
      <c r="B99" s="44"/>
      <c r="C99" s="44"/>
      <c r="D99" s="245">
        <f t="shared" ref="D99:D109" si="15">D98+$G$8</f>
        <v>3455061.757101492</v>
      </c>
    </row>
    <row r="100" spans="1:6" x14ac:dyDescent="0.25">
      <c r="A100" s="44">
        <v>40603</v>
      </c>
      <c r="B100" s="44"/>
      <c r="C100" s="44"/>
      <c r="D100" s="245">
        <f t="shared" si="15"/>
        <v>3523047.8297641231</v>
      </c>
    </row>
    <row r="101" spans="1:6" x14ac:dyDescent="0.25">
      <c r="A101" s="44">
        <v>40634</v>
      </c>
      <c r="B101" s="44"/>
      <c r="D101" s="245">
        <f t="shared" si="15"/>
        <v>3591033.9024267541</v>
      </c>
    </row>
    <row r="102" spans="1:6" x14ac:dyDescent="0.25">
      <c r="A102" s="44">
        <v>40664</v>
      </c>
      <c r="B102" s="44"/>
      <c r="D102" s="245">
        <f t="shared" si="15"/>
        <v>3659019.9750893852</v>
      </c>
    </row>
    <row r="103" spans="1:6" x14ac:dyDescent="0.25">
      <c r="A103" s="44">
        <v>40695</v>
      </c>
      <c r="B103" s="44"/>
      <c r="D103" s="245">
        <f t="shared" si="15"/>
        <v>3727006.0477520162</v>
      </c>
    </row>
    <row r="104" spans="1:6" x14ac:dyDescent="0.25">
      <c r="A104" s="44">
        <v>40725</v>
      </c>
      <c r="B104" s="44"/>
      <c r="D104" s="245">
        <f t="shared" si="15"/>
        <v>3794992.1204146473</v>
      </c>
    </row>
    <row r="105" spans="1:6" x14ac:dyDescent="0.25">
      <c r="A105" s="44">
        <v>40756</v>
      </c>
      <c r="B105" s="44"/>
      <c r="D105" s="245">
        <f t="shared" si="15"/>
        <v>3862978.1930772783</v>
      </c>
    </row>
    <row r="106" spans="1:6" x14ac:dyDescent="0.25">
      <c r="A106" s="44">
        <v>40787</v>
      </c>
      <c r="B106" s="44"/>
      <c r="D106" s="245">
        <f t="shared" si="15"/>
        <v>3930964.2657399094</v>
      </c>
    </row>
    <row r="107" spans="1:6" x14ac:dyDescent="0.25">
      <c r="A107" s="44">
        <v>40817</v>
      </c>
      <c r="B107" s="44"/>
      <c r="D107" s="245">
        <f t="shared" si="15"/>
        <v>3998950.3384025404</v>
      </c>
    </row>
    <row r="108" spans="1:6" x14ac:dyDescent="0.25">
      <c r="A108" s="44">
        <v>40848</v>
      </c>
      <c r="B108" s="44"/>
      <c r="D108" s="245">
        <f t="shared" si="15"/>
        <v>4066936.4110651715</v>
      </c>
    </row>
    <row r="109" spans="1:6" x14ac:dyDescent="0.25">
      <c r="A109" s="44">
        <v>40878</v>
      </c>
      <c r="B109" s="44"/>
      <c r="D109" s="245">
        <f t="shared" si="15"/>
        <v>4134922.4837278025</v>
      </c>
      <c r="E109" s="245">
        <f>SUM(D98:D109)</f>
        <v>45131989.008999981</v>
      </c>
      <c r="F109" s="245">
        <f>D109*12</f>
        <v>49619069.804733634</v>
      </c>
    </row>
    <row r="110" spans="1:6" x14ac:dyDescent="0.25">
      <c r="A110" s="44">
        <v>40909</v>
      </c>
      <c r="B110" s="44"/>
      <c r="D110" s="245">
        <f>D109+$G$9</f>
        <v>4186232.8172741663</v>
      </c>
    </row>
    <row r="111" spans="1:6" x14ac:dyDescent="0.25">
      <c r="A111" s="44">
        <v>40940</v>
      </c>
      <c r="B111" s="44"/>
      <c r="D111" s="245">
        <f t="shared" ref="D111:D121" si="16">D110+$G$9</f>
        <v>4237543.15082053</v>
      </c>
    </row>
    <row r="112" spans="1:6" x14ac:dyDescent="0.25">
      <c r="A112" s="44">
        <v>40969</v>
      </c>
      <c r="B112" s="44"/>
      <c r="D112" s="245">
        <f t="shared" si="16"/>
        <v>4288853.4843668938</v>
      </c>
    </row>
    <row r="113" spans="1:6" x14ac:dyDescent="0.25">
      <c r="A113" s="44">
        <v>41000</v>
      </c>
      <c r="B113" s="44"/>
      <c r="D113" s="245">
        <f t="shared" si="16"/>
        <v>4340163.8179132575</v>
      </c>
    </row>
    <row r="114" spans="1:6" x14ac:dyDescent="0.25">
      <c r="A114" s="44">
        <v>41030</v>
      </c>
      <c r="B114" s="44"/>
      <c r="D114" s="245">
        <f t="shared" si="16"/>
        <v>4391474.1514596213</v>
      </c>
    </row>
    <row r="115" spans="1:6" x14ac:dyDescent="0.25">
      <c r="A115" s="44">
        <v>41061</v>
      </c>
      <c r="B115" s="44"/>
      <c r="D115" s="245">
        <f t="shared" si="16"/>
        <v>4442784.485005985</v>
      </c>
    </row>
    <row r="116" spans="1:6" x14ac:dyDescent="0.25">
      <c r="A116" s="44">
        <v>41091</v>
      </c>
      <c r="B116" s="44"/>
      <c r="D116" s="245">
        <f t="shared" si="16"/>
        <v>4494094.8185523488</v>
      </c>
    </row>
    <row r="117" spans="1:6" x14ac:dyDescent="0.25">
      <c r="A117" s="44">
        <v>41122</v>
      </c>
      <c r="B117" s="44"/>
      <c r="D117" s="245">
        <f t="shared" si="16"/>
        <v>4545405.1520987125</v>
      </c>
    </row>
    <row r="118" spans="1:6" x14ac:dyDescent="0.25">
      <c r="A118" s="44">
        <v>41153</v>
      </c>
      <c r="B118" s="44"/>
      <c r="D118" s="245">
        <f t="shared" si="16"/>
        <v>4596715.4856450763</v>
      </c>
    </row>
    <row r="119" spans="1:6" x14ac:dyDescent="0.25">
      <c r="A119" s="44">
        <v>41183</v>
      </c>
      <c r="B119" s="44"/>
      <c r="D119" s="245">
        <f t="shared" si="16"/>
        <v>4648025.81919144</v>
      </c>
    </row>
    <row r="120" spans="1:6" x14ac:dyDescent="0.25">
      <c r="A120" s="44">
        <v>41214</v>
      </c>
      <c r="B120" s="44"/>
      <c r="D120" s="245">
        <f t="shared" si="16"/>
        <v>4699336.1527378038</v>
      </c>
    </row>
    <row r="121" spans="1:6" x14ac:dyDescent="0.25">
      <c r="A121" s="44">
        <v>41244</v>
      </c>
      <c r="B121" s="44"/>
      <c r="D121" s="245">
        <f t="shared" si="16"/>
        <v>4750646.4862841675</v>
      </c>
      <c r="E121" s="245">
        <f>SUM(D110:D121)</f>
        <v>53621275.821350008</v>
      </c>
      <c r="F121" s="245">
        <f>D121*12</f>
        <v>57007757.835410014</v>
      </c>
    </row>
    <row r="122" spans="1:6" x14ac:dyDescent="0.25">
      <c r="A122" s="44">
        <v>41275</v>
      </c>
      <c r="B122" s="44"/>
      <c r="D122" s="246">
        <f>D121+$G$10</f>
        <v>4775749.6932718595</v>
      </c>
    </row>
    <row r="123" spans="1:6" x14ac:dyDescent="0.25">
      <c r="A123" s="44">
        <v>41306</v>
      </c>
      <c r="B123" s="44"/>
      <c r="D123" s="246">
        <f t="shared" ref="D123:D133" si="17">D122+$G$10</f>
        <v>4800852.9002595516</v>
      </c>
    </row>
    <row r="124" spans="1:6" x14ac:dyDescent="0.25">
      <c r="A124" s="44">
        <v>41334</v>
      </c>
      <c r="B124" s="44"/>
      <c r="D124" s="246">
        <f t="shared" si="17"/>
        <v>4825956.1072472436</v>
      </c>
    </row>
    <row r="125" spans="1:6" x14ac:dyDescent="0.25">
      <c r="A125" s="44">
        <v>41365</v>
      </c>
      <c r="B125" s="44"/>
      <c r="D125" s="246">
        <f t="shared" si="17"/>
        <v>4851059.3142349357</v>
      </c>
    </row>
    <row r="126" spans="1:6" x14ac:dyDescent="0.25">
      <c r="A126" s="44">
        <v>41395</v>
      </c>
      <c r="B126" s="44"/>
      <c r="D126" s="246">
        <f t="shared" si="17"/>
        <v>4876162.5212226277</v>
      </c>
    </row>
    <row r="127" spans="1:6" x14ac:dyDescent="0.25">
      <c r="A127" s="44">
        <v>41426</v>
      </c>
      <c r="B127" s="44"/>
      <c r="D127" s="246">
        <f t="shared" si="17"/>
        <v>4901265.7282103198</v>
      </c>
    </row>
    <row r="128" spans="1:6" x14ac:dyDescent="0.25">
      <c r="A128" s="44">
        <v>41456</v>
      </c>
      <c r="B128" s="44"/>
      <c r="D128" s="246">
        <f t="shared" si="17"/>
        <v>4926368.9351980118</v>
      </c>
    </row>
    <row r="129" spans="1:6" x14ac:dyDescent="0.25">
      <c r="A129" s="44">
        <v>41487</v>
      </c>
      <c r="B129" s="44"/>
      <c r="D129" s="246">
        <f t="shared" si="17"/>
        <v>4951472.1421857039</v>
      </c>
    </row>
    <row r="130" spans="1:6" x14ac:dyDescent="0.25">
      <c r="A130" s="44">
        <v>41518</v>
      </c>
      <c r="B130" s="44"/>
      <c r="D130" s="246">
        <f t="shared" si="17"/>
        <v>4976575.3491733959</v>
      </c>
    </row>
    <row r="131" spans="1:6" x14ac:dyDescent="0.25">
      <c r="A131" s="44">
        <v>41548</v>
      </c>
      <c r="B131" s="44"/>
      <c r="D131" s="246">
        <f t="shared" si="17"/>
        <v>5001678.5561610879</v>
      </c>
    </row>
    <row r="132" spans="1:6" x14ac:dyDescent="0.25">
      <c r="A132" s="44">
        <v>41579</v>
      </c>
      <c r="B132" s="44"/>
      <c r="D132" s="246">
        <f t="shared" si="17"/>
        <v>5026781.76314878</v>
      </c>
    </row>
    <row r="133" spans="1:6" x14ac:dyDescent="0.25">
      <c r="A133" s="44">
        <v>41609</v>
      </c>
      <c r="B133" s="44"/>
      <c r="D133" s="246">
        <f t="shared" si="17"/>
        <v>5051884.970136472</v>
      </c>
      <c r="E133" s="245">
        <f>SUM(D122:D133)</f>
        <v>58965807.980449989</v>
      </c>
      <c r="F133" s="245">
        <f>D133*12</f>
        <v>60622619.641637668</v>
      </c>
    </row>
    <row r="134" spans="1:6" x14ac:dyDescent="0.25">
      <c r="A134" s="44">
        <v>41640</v>
      </c>
      <c r="B134" s="44"/>
      <c r="D134" s="246">
        <f>D133+$G$11</f>
        <v>5118165.0729199639</v>
      </c>
    </row>
    <row r="135" spans="1:6" x14ac:dyDescent="0.25">
      <c r="A135" s="44">
        <v>41671</v>
      </c>
      <c r="B135" s="44"/>
      <c r="D135" s="246">
        <f t="shared" ref="D135:D145" si="18">D134+$G$11</f>
        <v>5184445.1757034557</v>
      </c>
    </row>
    <row r="136" spans="1:6" x14ac:dyDescent="0.25">
      <c r="A136" s="44">
        <v>41699</v>
      </c>
      <c r="B136" s="44"/>
      <c r="D136" s="246">
        <f t="shared" si="18"/>
        <v>5250725.2784869475</v>
      </c>
    </row>
    <row r="137" spans="1:6" x14ac:dyDescent="0.25">
      <c r="A137" s="44">
        <v>41730</v>
      </c>
      <c r="B137" s="44"/>
      <c r="D137" s="246">
        <f t="shared" si="18"/>
        <v>5317005.3812704394</v>
      </c>
    </row>
    <row r="138" spans="1:6" x14ac:dyDescent="0.25">
      <c r="A138" s="44">
        <v>41760</v>
      </c>
      <c r="B138" s="44"/>
      <c r="D138" s="246">
        <f t="shared" si="18"/>
        <v>5383285.4840539312</v>
      </c>
    </row>
    <row r="139" spans="1:6" x14ac:dyDescent="0.25">
      <c r="A139" s="44">
        <v>41791</v>
      </c>
      <c r="B139" s="44"/>
      <c r="D139" s="246">
        <f t="shared" si="18"/>
        <v>5449565.586837423</v>
      </c>
    </row>
    <row r="140" spans="1:6" x14ac:dyDescent="0.25">
      <c r="A140" s="44">
        <v>41821</v>
      </c>
      <c r="B140" s="44"/>
      <c r="D140" s="246">
        <f t="shared" si="18"/>
        <v>5515845.6896209149</v>
      </c>
    </row>
    <row r="141" spans="1:6" x14ac:dyDescent="0.25">
      <c r="A141" s="44">
        <v>41852</v>
      </c>
      <c r="B141" s="44"/>
      <c r="D141" s="246">
        <f t="shared" si="18"/>
        <v>5582125.7924044067</v>
      </c>
    </row>
    <row r="142" spans="1:6" x14ac:dyDescent="0.25">
      <c r="A142" s="44">
        <v>41883</v>
      </c>
      <c r="B142" s="44"/>
      <c r="D142" s="246">
        <f t="shared" si="18"/>
        <v>5648405.8951878985</v>
      </c>
    </row>
    <row r="143" spans="1:6" x14ac:dyDescent="0.25">
      <c r="A143" s="44">
        <v>41913</v>
      </c>
      <c r="B143" s="44"/>
      <c r="D143" s="246">
        <f t="shared" si="18"/>
        <v>5714685.9979713904</v>
      </c>
    </row>
    <row r="144" spans="1:6" x14ac:dyDescent="0.25">
      <c r="A144" s="44">
        <v>41944</v>
      </c>
      <c r="B144" s="44"/>
      <c r="D144" s="246">
        <f t="shared" si="18"/>
        <v>5780966.1007548822</v>
      </c>
    </row>
    <row r="145" spans="1:6" x14ac:dyDescent="0.25">
      <c r="A145" s="44">
        <v>41974</v>
      </c>
      <c r="B145" s="44"/>
      <c r="D145" s="246">
        <f t="shared" si="18"/>
        <v>5847246.203538374</v>
      </c>
      <c r="E145" s="246">
        <f>SUM(D134:D145)</f>
        <v>65792467.658750027</v>
      </c>
      <c r="F145" s="245">
        <f>+D145*12</f>
        <v>70166954.442460492</v>
      </c>
    </row>
    <row r="146" spans="1:6" x14ac:dyDescent="0.25">
      <c r="A146" s="44">
        <v>42005</v>
      </c>
      <c r="B146" s="44"/>
      <c r="D146" s="246">
        <f>+D145+$G$12</f>
        <v>5979908.282433752</v>
      </c>
      <c r="E146" s="246"/>
      <c r="F146" s="245"/>
    </row>
    <row r="147" spans="1:6" x14ac:dyDescent="0.25">
      <c r="A147" s="44">
        <v>42036</v>
      </c>
      <c r="B147" s="44"/>
      <c r="D147" s="246">
        <f t="shared" ref="D147:D157" si="19">+D146+$G$12</f>
        <v>6112570.3613291308</v>
      </c>
      <c r="E147" s="246"/>
      <c r="F147" s="245"/>
    </row>
    <row r="148" spans="1:6" x14ac:dyDescent="0.25">
      <c r="A148" s="44">
        <v>42064</v>
      </c>
      <c r="B148" s="44"/>
      <c r="D148" s="246">
        <f t="shared" si="19"/>
        <v>6245232.4402245097</v>
      </c>
      <c r="E148" s="246"/>
      <c r="F148" s="245"/>
    </row>
    <row r="149" spans="1:6" x14ac:dyDescent="0.25">
      <c r="A149" s="44">
        <v>42095</v>
      </c>
      <c r="B149" s="44"/>
      <c r="D149" s="246">
        <f t="shared" si="19"/>
        <v>6377894.5191198885</v>
      </c>
      <c r="E149" s="246"/>
      <c r="F149" s="245"/>
    </row>
    <row r="150" spans="1:6" x14ac:dyDescent="0.25">
      <c r="A150" s="44">
        <v>42125</v>
      </c>
      <c r="B150" s="44"/>
      <c r="D150" s="246">
        <f t="shared" si="19"/>
        <v>6510556.5980152674</v>
      </c>
      <c r="E150" s="246"/>
      <c r="F150" s="245"/>
    </row>
    <row r="151" spans="1:6" x14ac:dyDescent="0.25">
      <c r="A151" s="44">
        <v>42156</v>
      </c>
      <c r="B151" s="44"/>
      <c r="D151" s="246">
        <f t="shared" si="19"/>
        <v>6643218.6769106463</v>
      </c>
      <c r="E151" s="246"/>
      <c r="F151" s="245"/>
    </row>
    <row r="152" spans="1:6" x14ac:dyDescent="0.25">
      <c r="A152" s="44">
        <v>42186</v>
      </c>
      <c r="B152" s="44"/>
      <c r="D152" s="246">
        <f t="shared" si="19"/>
        <v>6775880.7558060251</v>
      </c>
      <c r="E152" s="246"/>
      <c r="F152" s="245"/>
    </row>
    <row r="153" spans="1:6" x14ac:dyDescent="0.25">
      <c r="A153" s="44">
        <v>42217</v>
      </c>
      <c r="B153" s="44"/>
      <c r="D153" s="246">
        <f t="shared" si="19"/>
        <v>6908542.834701404</v>
      </c>
      <c r="E153" s="246"/>
      <c r="F153" s="245"/>
    </row>
    <row r="154" spans="1:6" x14ac:dyDescent="0.25">
      <c r="A154" s="44">
        <v>42248</v>
      </c>
      <c r="B154" s="44"/>
      <c r="D154" s="246">
        <f t="shared" si="19"/>
        <v>7041204.9135967828</v>
      </c>
      <c r="E154" s="246"/>
      <c r="F154" s="245"/>
    </row>
    <row r="155" spans="1:6" x14ac:dyDescent="0.25">
      <c r="A155" s="44">
        <v>42278</v>
      </c>
      <c r="B155" s="44"/>
      <c r="D155" s="246">
        <f t="shared" si="19"/>
        <v>7173866.9924921617</v>
      </c>
      <c r="E155" s="246"/>
      <c r="F155" s="245"/>
    </row>
    <row r="156" spans="1:6" x14ac:dyDescent="0.25">
      <c r="A156" s="44">
        <v>42309</v>
      </c>
      <c r="B156" s="44"/>
      <c r="D156" s="246">
        <f t="shared" si="19"/>
        <v>7306529.0713875405</v>
      </c>
      <c r="E156" s="246"/>
      <c r="F156" s="245"/>
    </row>
    <row r="157" spans="1:6" x14ac:dyDescent="0.25">
      <c r="A157" s="44">
        <v>42339</v>
      </c>
      <c r="B157" s="44"/>
      <c r="D157" s="246">
        <f t="shared" si="19"/>
        <v>7439191.1502829194</v>
      </c>
      <c r="E157" s="246">
        <f>SUM(D146:D157)</f>
        <v>80514596.596300021</v>
      </c>
      <c r="F157" s="245">
        <f>+D157*12</f>
        <v>89270293.803395033</v>
      </c>
    </row>
    <row r="158" spans="1:6" x14ac:dyDescent="0.25">
      <c r="A158" s="44">
        <v>42370</v>
      </c>
      <c r="B158" s="44"/>
      <c r="D158" s="246">
        <f>+D157+$G$13</f>
        <v>7582385.6605445212</v>
      </c>
      <c r="E158" s="246"/>
      <c r="F158" s="245"/>
    </row>
    <row r="159" spans="1:6" x14ac:dyDescent="0.25">
      <c r="A159" s="44">
        <v>42401</v>
      </c>
      <c r="B159" s="44"/>
      <c r="D159" s="246">
        <f t="shared" ref="D159:D169" si="20">+D158+$G$13</f>
        <v>7725580.1708061229</v>
      </c>
      <c r="E159" s="246"/>
      <c r="F159" s="245"/>
    </row>
    <row r="160" spans="1:6" x14ac:dyDescent="0.25">
      <c r="A160" s="44">
        <v>42430</v>
      </c>
      <c r="B160" s="44"/>
      <c r="D160" s="246">
        <f t="shared" si="20"/>
        <v>7868774.6810677247</v>
      </c>
      <c r="E160" s="246"/>
      <c r="F160" s="245"/>
    </row>
    <row r="161" spans="1:6" x14ac:dyDescent="0.25">
      <c r="A161" s="44">
        <v>42461</v>
      </c>
      <c r="B161" s="44"/>
      <c r="D161" s="246">
        <f t="shared" si="20"/>
        <v>8011969.1913293265</v>
      </c>
      <c r="E161" s="246"/>
      <c r="F161" s="245"/>
    </row>
    <row r="162" spans="1:6" x14ac:dyDescent="0.25">
      <c r="A162" s="44">
        <v>42491</v>
      </c>
      <c r="B162" s="44"/>
      <c r="D162" s="246">
        <f t="shared" si="20"/>
        <v>8155163.7015909282</v>
      </c>
      <c r="E162" s="246"/>
      <c r="F162" s="245"/>
    </row>
    <row r="163" spans="1:6" x14ac:dyDescent="0.25">
      <c r="A163" s="44">
        <v>42522</v>
      </c>
      <c r="B163" s="44"/>
      <c r="D163" s="246">
        <f t="shared" si="20"/>
        <v>8298358.21185253</v>
      </c>
      <c r="E163" s="246"/>
      <c r="F163" s="245"/>
    </row>
    <row r="164" spans="1:6" x14ac:dyDescent="0.25">
      <c r="A164" s="44">
        <v>42552</v>
      </c>
      <c r="B164" s="44"/>
      <c r="D164" s="246">
        <f t="shared" si="20"/>
        <v>8441552.7221141327</v>
      </c>
      <c r="E164" s="246"/>
      <c r="F164" s="245"/>
    </row>
    <row r="165" spans="1:6" x14ac:dyDescent="0.25">
      <c r="A165" s="44">
        <v>42583</v>
      </c>
      <c r="B165" s="44"/>
      <c r="D165" s="246">
        <f t="shared" si="20"/>
        <v>8584747.2323757354</v>
      </c>
      <c r="E165" s="246"/>
      <c r="F165" s="245"/>
    </row>
    <row r="166" spans="1:6" x14ac:dyDescent="0.25">
      <c r="A166" s="44">
        <v>42614</v>
      </c>
      <c r="B166" s="44"/>
      <c r="D166" s="246">
        <f t="shared" si="20"/>
        <v>8727941.7426373381</v>
      </c>
      <c r="E166" s="246"/>
      <c r="F166" s="245"/>
    </row>
    <row r="167" spans="1:6" x14ac:dyDescent="0.25">
      <c r="A167" s="44">
        <v>42644</v>
      </c>
      <c r="B167" s="44"/>
      <c r="D167" s="246">
        <f t="shared" si="20"/>
        <v>8871136.2528989408</v>
      </c>
      <c r="E167" s="246"/>
      <c r="F167" s="245"/>
    </row>
    <row r="168" spans="1:6" x14ac:dyDescent="0.25">
      <c r="A168" s="44">
        <v>42675</v>
      </c>
      <c r="B168" s="44"/>
      <c r="D168" s="246">
        <f t="shared" si="20"/>
        <v>9014330.7631605435</v>
      </c>
      <c r="E168" s="246"/>
      <c r="F168" s="245"/>
    </row>
    <row r="169" spans="1:6" x14ac:dyDescent="0.25">
      <c r="A169" s="44">
        <v>42705</v>
      </c>
      <c r="B169" s="44"/>
      <c r="D169" s="246">
        <f t="shared" si="20"/>
        <v>9157525.2734221462</v>
      </c>
      <c r="E169" s="246">
        <f>SUM(D158:D169)</f>
        <v>100439465.6038</v>
      </c>
      <c r="F169" s="245">
        <f>+D169*12</f>
        <v>109890303.28106576</v>
      </c>
    </row>
    <row r="170" spans="1:6" x14ac:dyDescent="0.25">
      <c r="A170" s="44">
        <v>42736</v>
      </c>
      <c r="B170" s="44"/>
      <c r="D170" s="246">
        <f>+D169+$G$14</f>
        <v>9401387.9564315602</v>
      </c>
      <c r="E170" s="246"/>
      <c r="F170" s="245"/>
    </row>
    <row r="171" spans="1:6" x14ac:dyDescent="0.25">
      <c r="A171" s="44">
        <v>42767</v>
      </c>
      <c r="B171" s="44"/>
      <c r="D171" s="246">
        <f t="shared" ref="D171:D181" si="21">+D170+$G$14</f>
        <v>9645250.6394409742</v>
      </c>
      <c r="E171" s="246"/>
      <c r="F171" s="245"/>
    </row>
    <row r="172" spans="1:6" x14ac:dyDescent="0.25">
      <c r="A172" s="44">
        <v>42795</v>
      </c>
      <c r="B172" s="44"/>
      <c r="D172" s="246">
        <f t="shared" si="21"/>
        <v>9889113.3224503882</v>
      </c>
      <c r="E172" s="246"/>
      <c r="F172" s="245"/>
    </row>
    <row r="173" spans="1:6" x14ac:dyDescent="0.25">
      <c r="A173" s="44">
        <v>42826</v>
      </c>
      <c r="B173" s="44"/>
      <c r="D173" s="246">
        <f t="shared" si="21"/>
        <v>10132976.005459802</v>
      </c>
      <c r="E173" s="246"/>
      <c r="F173" s="245"/>
    </row>
    <row r="174" spans="1:6" x14ac:dyDescent="0.25">
      <c r="A174" s="44">
        <v>42856</v>
      </c>
      <c r="B174" s="44"/>
      <c r="D174" s="246">
        <f t="shared" si="21"/>
        <v>10376838.688469216</v>
      </c>
      <c r="E174" s="246"/>
      <c r="F174" s="245"/>
    </row>
    <row r="175" spans="1:6" x14ac:dyDescent="0.25">
      <c r="A175" s="44">
        <v>42887</v>
      </c>
      <c r="B175" s="44"/>
      <c r="D175" s="246">
        <f t="shared" si="21"/>
        <v>10620701.37147863</v>
      </c>
      <c r="E175" s="246"/>
      <c r="F175" s="245"/>
    </row>
    <row r="176" spans="1:6" x14ac:dyDescent="0.25">
      <c r="A176" s="44">
        <v>42917</v>
      </c>
      <c r="B176" s="44"/>
      <c r="D176" s="246">
        <f t="shared" si="21"/>
        <v>10864564.054488044</v>
      </c>
      <c r="E176" s="246"/>
      <c r="F176" s="245"/>
    </row>
    <row r="177" spans="1:6" x14ac:dyDescent="0.25">
      <c r="A177" s="44">
        <v>42948</v>
      </c>
      <c r="B177" s="44"/>
      <c r="D177" s="246">
        <f t="shared" si="21"/>
        <v>11108426.737497458</v>
      </c>
      <c r="E177" s="246"/>
      <c r="F177" s="245"/>
    </row>
    <row r="178" spans="1:6" x14ac:dyDescent="0.25">
      <c r="A178" s="44">
        <v>42979</v>
      </c>
      <c r="B178" s="44"/>
      <c r="D178" s="246">
        <f t="shared" si="21"/>
        <v>11352289.420506872</v>
      </c>
      <c r="E178" s="246"/>
      <c r="F178" s="245"/>
    </row>
    <row r="179" spans="1:6" x14ac:dyDescent="0.25">
      <c r="A179" s="44">
        <v>43009</v>
      </c>
      <c r="B179" s="44"/>
      <c r="D179" s="246">
        <f t="shared" si="21"/>
        <v>11596152.103516286</v>
      </c>
      <c r="E179" s="246"/>
      <c r="F179" s="245"/>
    </row>
    <row r="180" spans="1:6" x14ac:dyDescent="0.25">
      <c r="A180" s="44">
        <v>43040</v>
      </c>
      <c r="B180" s="44"/>
      <c r="D180" s="246">
        <f t="shared" si="21"/>
        <v>11840014.7865257</v>
      </c>
      <c r="E180" s="246"/>
      <c r="F180" s="245"/>
    </row>
    <row r="181" spans="1:6" x14ac:dyDescent="0.25">
      <c r="A181" s="44">
        <v>43070</v>
      </c>
      <c r="B181" s="44"/>
      <c r="D181" s="246">
        <f t="shared" si="21"/>
        <v>12083877.469535114</v>
      </c>
      <c r="E181" s="246">
        <f>SUM(D170:D181)</f>
        <v>128911592.55580005</v>
      </c>
      <c r="F181" s="245">
        <f>+D181*12</f>
        <v>145006529.63442138</v>
      </c>
    </row>
    <row r="182" spans="1:6" x14ac:dyDescent="0.25">
      <c r="A182" s="44">
        <v>43101</v>
      </c>
      <c r="B182" s="44"/>
      <c r="D182" s="246">
        <f>+D181+$G$15</f>
        <v>12157544.041383559</v>
      </c>
      <c r="E182" s="246"/>
      <c r="F182" s="245"/>
    </row>
    <row r="183" spans="1:6" x14ac:dyDescent="0.25">
      <c r="A183" s="44">
        <v>43132</v>
      </c>
      <c r="B183" s="44"/>
      <c r="D183" s="246">
        <f t="shared" ref="D183:D193" si="22">+D182+$G$15</f>
        <v>12231210.613232004</v>
      </c>
      <c r="E183" s="246"/>
      <c r="F183" s="245"/>
    </row>
    <row r="184" spans="1:6" x14ac:dyDescent="0.25">
      <c r="A184" s="44">
        <v>43160</v>
      </c>
      <c r="B184" s="44"/>
      <c r="D184" s="246">
        <f t="shared" si="22"/>
        <v>12304877.185080448</v>
      </c>
      <c r="E184" s="246"/>
      <c r="F184" s="245"/>
    </row>
    <row r="185" spans="1:6" x14ac:dyDescent="0.25">
      <c r="A185" s="44">
        <v>43191</v>
      </c>
      <c r="B185" s="44"/>
      <c r="D185" s="246">
        <f t="shared" si="22"/>
        <v>12378543.756928893</v>
      </c>
      <c r="E185" s="246"/>
      <c r="F185" s="245"/>
    </row>
    <row r="186" spans="1:6" x14ac:dyDescent="0.25">
      <c r="A186" s="44">
        <v>43221</v>
      </c>
      <c r="B186" s="44"/>
      <c r="D186" s="246">
        <f t="shared" si="22"/>
        <v>12452210.328777337</v>
      </c>
      <c r="E186" s="246"/>
      <c r="F186" s="245"/>
    </row>
    <row r="187" spans="1:6" x14ac:dyDescent="0.25">
      <c r="A187" s="44">
        <v>43252</v>
      </c>
      <c r="B187" s="44"/>
      <c r="D187" s="246">
        <f t="shared" si="22"/>
        <v>12525876.900625782</v>
      </c>
      <c r="E187" s="246"/>
      <c r="F187" s="245"/>
    </row>
    <row r="188" spans="1:6" x14ac:dyDescent="0.25">
      <c r="A188" s="44">
        <v>43282</v>
      </c>
      <c r="B188" s="44"/>
      <c r="D188" s="246">
        <f t="shared" si="22"/>
        <v>12599543.472474227</v>
      </c>
      <c r="E188" s="246"/>
      <c r="F188" s="245"/>
    </row>
    <row r="189" spans="1:6" x14ac:dyDescent="0.25">
      <c r="A189" s="44">
        <v>43313</v>
      </c>
      <c r="B189" s="44"/>
      <c r="D189" s="246">
        <f t="shared" si="22"/>
        <v>12673210.044322671</v>
      </c>
      <c r="E189" s="246"/>
      <c r="F189" s="245"/>
    </row>
    <row r="190" spans="1:6" x14ac:dyDescent="0.25">
      <c r="A190" s="44">
        <v>43344</v>
      </c>
      <c r="B190" s="44"/>
      <c r="D190" s="246">
        <f t="shared" si="22"/>
        <v>12746876.616171116</v>
      </c>
      <c r="E190" s="246"/>
      <c r="F190" s="245"/>
    </row>
    <row r="191" spans="1:6" x14ac:dyDescent="0.25">
      <c r="A191" s="44">
        <v>43374</v>
      </c>
      <c r="B191" s="44"/>
      <c r="D191" s="246">
        <f t="shared" si="22"/>
        <v>12820543.188019561</v>
      </c>
      <c r="E191" s="246"/>
      <c r="F191" s="245"/>
    </row>
    <row r="192" spans="1:6" x14ac:dyDescent="0.25">
      <c r="A192" s="44">
        <v>43405</v>
      </c>
      <c r="B192" s="44"/>
      <c r="D192" s="246">
        <f t="shared" si="22"/>
        <v>12894209.759868005</v>
      </c>
      <c r="E192" s="246"/>
      <c r="F192" s="245"/>
    </row>
    <row r="193" spans="1:6" x14ac:dyDescent="0.25">
      <c r="A193" s="44">
        <v>43435</v>
      </c>
      <c r="B193" s="44"/>
      <c r="D193" s="246">
        <f t="shared" si="22"/>
        <v>12967876.33171645</v>
      </c>
      <c r="E193" s="246">
        <f>SUM(D182:D193)</f>
        <v>150752522.23860005</v>
      </c>
      <c r="F193" s="245">
        <f>+D193*12</f>
        <v>155614515.98059741</v>
      </c>
    </row>
    <row r="194" spans="1:6" x14ac:dyDescent="0.25">
      <c r="A194" s="44">
        <v>43466</v>
      </c>
      <c r="B194" s="44"/>
      <c r="D194" s="246">
        <f>+D193+$G$16</f>
        <v>12919797.600827381</v>
      </c>
    </row>
    <row r="195" spans="1:6" x14ac:dyDescent="0.25">
      <c r="A195" s="44">
        <v>43497</v>
      </c>
      <c r="B195" s="44"/>
      <c r="D195" s="246">
        <f t="shared" ref="D195:D205" si="23">+D194+$G$16</f>
        <v>12871718.869938312</v>
      </c>
    </row>
    <row r="196" spans="1:6" x14ac:dyDescent="0.25">
      <c r="A196" s="44">
        <v>43525</v>
      </c>
      <c r="B196" s="44"/>
      <c r="D196" s="246">
        <f t="shared" si="23"/>
        <v>12823640.139049243</v>
      </c>
    </row>
    <row r="197" spans="1:6" x14ac:dyDescent="0.25">
      <c r="A197" s="44">
        <v>43556</v>
      </c>
      <c r="B197" s="44"/>
      <c r="D197" s="246">
        <f t="shared" si="23"/>
        <v>12775561.408160174</v>
      </c>
    </row>
    <row r="198" spans="1:6" x14ac:dyDescent="0.25">
      <c r="A198" s="44">
        <v>43586</v>
      </c>
      <c r="B198" s="44"/>
      <c r="D198" s="246">
        <f t="shared" si="23"/>
        <v>12727482.677271105</v>
      </c>
    </row>
    <row r="199" spans="1:6" x14ac:dyDescent="0.25">
      <c r="A199" s="44">
        <v>43617</v>
      </c>
      <c r="B199" s="44"/>
      <c r="D199" s="246">
        <f t="shared" si="23"/>
        <v>12679403.946382036</v>
      </c>
    </row>
    <row r="200" spans="1:6" x14ac:dyDescent="0.25">
      <c r="A200" s="44">
        <v>43647</v>
      </c>
      <c r="B200" s="44"/>
      <c r="D200" s="246">
        <f t="shared" si="23"/>
        <v>12631325.215492968</v>
      </c>
    </row>
    <row r="201" spans="1:6" x14ac:dyDescent="0.25">
      <c r="A201" s="44">
        <v>43678</v>
      </c>
      <c r="B201" s="44"/>
      <c r="D201" s="246">
        <f t="shared" si="23"/>
        <v>12583246.484603899</v>
      </c>
    </row>
    <row r="202" spans="1:6" x14ac:dyDescent="0.25">
      <c r="A202" s="44">
        <v>43709</v>
      </c>
      <c r="B202" s="44"/>
      <c r="D202" s="246">
        <f t="shared" si="23"/>
        <v>12535167.75371483</v>
      </c>
    </row>
    <row r="203" spans="1:6" x14ac:dyDescent="0.25">
      <c r="A203" s="44">
        <v>43739</v>
      </c>
      <c r="B203" s="44"/>
      <c r="D203" s="246">
        <f t="shared" si="23"/>
        <v>12487089.022825761</v>
      </c>
    </row>
    <row r="204" spans="1:6" x14ac:dyDescent="0.25">
      <c r="A204" s="44">
        <v>43770</v>
      </c>
      <c r="B204" s="44"/>
      <c r="D204" s="246">
        <f t="shared" si="23"/>
        <v>12439010.291936692</v>
      </c>
    </row>
    <row r="205" spans="1:6" x14ac:dyDescent="0.25">
      <c r="A205" s="44">
        <v>43800</v>
      </c>
      <c r="B205" s="44"/>
      <c r="D205" s="246">
        <f t="shared" si="23"/>
        <v>12390931.561047623</v>
      </c>
      <c r="E205" s="246">
        <f>SUM(D194:D205)</f>
        <v>151864374.97125</v>
      </c>
      <c r="F205" s="245">
        <f>+D205*12</f>
        <v>148691178.73257148</v>
      </c>
    </row>
    <row r="206" spans="1:6" x14ac:dyDescent="0.25">
      <c r="A206" s="44">
        <v>43831</v>
      </c>
      <c r="B206" s="44"/>
      <c r="D206" s="246">
        <f>+D205+$G$17</f>
        <v>12382202.147693502</v>
      </c>
    </row>
    <row r="207" spans="1:6" x14ac:dyDescent="0.25">
      <c r="A207" s="44">
        <v>43862</v>
      </c>
      <c r="B207" s="44"/>
      <c r="D207" s="246">
        <f t="shared" ref="D207:D217" si="24">+D206+$G$17</f>
        <v>12373472.734339381</v>
      </c>
    </row>
    <row r="208" spans="1:6" x14ac:dyDescent="0.25">
      <c r="A208" s="44">
        <v>43891</v>
      </c>
      <c r="B208" s="44"/>
      <c r="D208" s="246">
        <f t="shared" si="24"/>
        <v>12364743.320985259</v>
      </c>
    </row>
    <row r="209" spans="1:6" x14ac:dyDescent="0.25">
      <c r="A209" s="44">
        <v>43922</v>
      </c>
      <c r="B209" s="44"/>
      <c r="D209" s="246">
        <f t="shared" si="24"/>
        <v>12356013.907631138</v>
      </c>
    </row>
    <row r="210" spans="1:6" x14ac:dyDescent="0.25">
      <c r="A210" s="44">
        <v>43952</v>
      </c>
      <c r="B210" s="44"/>
      <c r="D210" s="246">
        <f t="shared" si="24"/>
        <v>12347284.494277017</v>
      </c>
    </row>
    <row r="211" spans="1:6" x14ac:dyDescent="0.25">
      <c r="A211" s="44">
        <v>43983</v>
      </c>
      <c r="B211" s="44"/>
      <c r="D211" s="246">
        <f t="shared" si="24"/>
        <v>12338555.080922896</v>
      </c>
    </row>
    <row r="212" spans="1:6" x14ac:dyDescent="0.25">
      <c r="A212" s="44">
        <v>44013</v>
      </c>
      <c r="B212" s="44"/>
      <c r="D212" s="246">
        <f t="shared" si="24"/>
        <v>12329825.667568775</v>
      </c>
    </row>
    <row r="213" spans="1:6" x14ac:dyDescent="0.25">
      <c r="A213" s="44">
        <v>44044</v>
      </c>
      <c r="B213" s="44"/>
      <c r="D213" s="246">
        <f t="shared" si="24"/>
        <v>12321096.254214654</v>
      </c>
    </row>
    <row r="214" spans="1:6" x14ac:dyDescent="0.25">
      <c r="A214" s="44">
        <v>44075</v>
      </c>
      <c r="B214" s="44"/>
      <c r="D214" s="246">
        <f t="shared" si="24"/>
        <v>12312366.840860533</v>
      </c>
    </row>
    <row r="215" spans="1:6" x14ac:dyDescent="0.25">
      <c r="A215" s="44">
        <v>44105</v>
      </c>
      <c r="B215" s="44"/>
      <c r="D215" s="246">
        <f t="shared" si="24"/>
        <v>12303637.427506411</v>
      </c>
    </row>
    <row r="216" spans="1:6" x14ac:dyDescent="0.25">
      <c r="A216" s="44">
        <v>44136</v>
      </c>
      <c r="B216" s="44"/>
      <c r="D216" s="246">
        <f t="shared" si="24"/>
        <v>12294908.01415229</v>
      </c>
    </row>
    <row r="217" spans="1:6" x14ac:dyDescent="0.25">
      <c r="A217" s="44">
        <v>44166</v>
      </c>
      <c r="B217" s="44"/>
      <c r="D217" s="246">
        <f t="shared" si="24"/>
        <v>12286178.600798169</v>
      </c>
      <c r="E217" s="246">
        <f>SUM(D206:D217)</f>
        <v>148010284.49095002</v>
      </c>
      <c r="F217" s="245">
        <f>+D217*12</f>
        <v>147434143.20957804</v>
      </c>
    </row>
  </sheetData>
  <mergeCells count="8">
    <mergeCell ref="AA1:AH1"/>
    <mergeCell ref="P28:V28"/>
    <mergeCell ref="J1:K1"/>
    <mergeCell ref="P25:R25"/>
    <mergeCell ref="P26:R26"/>
    <mergeCell ref="T44:U44"/>
    <mergeCell ref="P36:V36"/>
    <mergeCell ref="P1:X1"/>
  </mergeCells>
  <pageMargins left="0.48" right="0.1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0BD88-B4E5-4AC1-A328-D8675906CDDD}">
  <sheetPr>
    <pageSetUpPr fitToPage="1"/>
  </sheetPr>
  <dimension ref="A1:X91"/>
  <sheetViews>
    <sheetView tabSelected="1" topLeftCell="A56" zoomScaleNormal="100" workbookViewId="0">
      <selection sqref="A1:O87"/>
    </sheetView>
  </sheetViews>
  <sheetFormatPr defaultColWidth="8.54296875" defaultRowHeight="12.5" x14ac:dyDescent="0.25"/>
  <cols>
    <col min="1" max="1" width="9.1796875" style="555" customWidth="1"/>
    <col min="2" max="2" width="35.54296875" style="555" customWidth="1"/>
    <col min="3" max="3" width="10.26953125" style="555" customWidth="1"/>
    <col min="4" max="5" width="9.453125" style="555" customWidth="1"/>
    <col min="6" max="6" width="14.453125" style="555" customWidth="1"/>
    <col min="7" max="7" width="16.7265625" style="555" customWidth="1"/>
    <col min="8" max="8" width="15" style="555" customWidth="1"/>
    <col min="9" max="9" width="16" style="555" bestFit="1" customWidth="1"/>
    <col min="10" max="11" width="14.453125" style="555" customWidth="1"/>
    <col min="12" max="12" width="16.81640625" style="555" customWidth="1"/>
    <col min="13" max="13" width="15.54296875" style="555" bestFit="1" customWidth="1"/>
    <col min="14" max="14" width="16" style="555" bestFit="1" customWidth="1"/>
    <col min="15" max="15" width="16" style="555" customWidth="1"/>
    <col min="16" max="16" width="12.54296875" style="555" customWidth="1"/>
    <col min="17" max="24" width="13.54296875" style="555" customWidth="1"/>
    <col min="25" max="16384" width="8.54296875" style="555"/>
  </cols>
  <sheetData>
    <row r="1" spans="1:24" ht="13" x14ac:dyDescent="0.3">
      <c r="B1" s="556"/>
      <c r="M1" s="557" t="s">
        <v>361</v>
      </c>
      <c r="N1" s="558" t="s">
        <v>362</v>
      </c>
      <c r="O1" s="559"/>
    </row>
    <row r="2" spans="1:24" ht="13" customHeight="1" x14ac:dyDescent="0.3">
      <c r="A2" s="560" t="s">
        <v>363</v>
      </c>
      <c r="B2" s="560"/>
      <c r="C2" s="560"/>
      <c r="D2" s="560"/>
      <c r="E2" s="560"/>
      <c r="F2" s="560"/>
      <c r="M2" s="557" t="s">
        <v>364</v>
      </c>
      <c r="N2" s="561"/>
      <c r="O2" s="559"/>
    </row>
    <row r="3" spans="1:24" ht="25.5" customHeight="1" x14ac:dyDescent="0.3">
      <c r="A3" s="560"/>
      <c r="B3" s="560"/>
      <c r="C3" s="560"/>
      <c r="D3" s="560"/>
      <c r="E3" s="560"/>
      <c r="F3" s="560"/>
      <c r="M3" s="557" t="s">
        <v>365</v>
      </c>
      <c r="N3" s="561"/>
      <c r="O3" s="559"/>
    </row>
    <row r="4" spans="1:24" ht="13" x14ac:dyDescent="0.3">
      <c r="B4" s="562"/>
      <c r="M4" s="557" t="s">
        <v>366</v>
      </c>
      <c r="N4" s="561"/>
      <c r="O4" s="559"/>
    </row>
    <row r="5" spans="1:24" ht="13" x14ac:dyDescent="0.3">
      <c r="B5" s="562"/>
      <c r="M5" s="557" t="s">
        <v>367</v>
      </c>
      <c r="N5" s="563"/>
      <c r="O5" s="559"/>
    </row>
    <row r="6" spans="1:24" ht="13" x14ac:dyDescent="0.3">
      <c r="B6" s="562"/>
      <c r="M6" s="557"/>
      <c r="N6" s="558"/>
    </row>
    <row r="7" spans="1:24" ht="13" x14ac:dyDescent="0.3">
      <c r="B7" s="562"/>
      <c r="M7" s="557" t="s">
        <v>368</v>
      </c>
      <c r="N7" s="563"/>
      <c r="O7" s="559"/>
    </row>
    <row r="8" spans="1:24" x14ac:dyDescent="0.25">
      <c r="B8" s="562"/>
    </row>
    <row r="9" spans="1:24" ht="18" x14ac:dyDescent="0.25">
      <c r="B9" s="565" t="s">
        <v>369</v>
      </c>
      <c r="C9" s="565"/>
      <c r="D9" s="565"/>
      <c r="E9" s="565"/>
      <c r="F9" s="565"/>
      <c r="G9" s="565"/>
      <c r="H9" s="565"/>
      <c r="I9" s="565"/>
      <c r="J9" s="565"/>
      <c r="K9" s="565"/>
      <c r="L9" s="565"/>
      <c r="M9" s="565"/>
      <c r="N9" s="565"/>
      <c r="O9" s="565"/>
      <c r="P9" s="565"/>
      <c r="Q9" s="565"/>
      <c r="R9" s="565"/>
      <c r="S9" s="565"/>
      <c r="T9" s="565"/>
      <c r="U9" s="565"/>
      <c r="V9" s="565"/>
      <c r="W9" s="565"/>
      <c r="X9" s="565"/>
    </row>
    <row r="10" spans="1:24" ht="18" x14ac:dyDescent="0.25">
      <c r="A10" s="564" t="s">
        <v>370</v>
      </c>
      <c r="B10" s="564"/>
      <c r="C10" s="564"/>
      <c r="D10" s="564"/>
      <c r="E10" s="564"/>
      <c r="F10" s="564"/>
      <c r="G10" s="564"/>
      <c r="H10" s="564"/>
      <c r="I10" s="564"/>
      <c r="J10" s="564"/>
      <c r="K10" s="564"/>
      <c r="L10" s="564"/>
      <c r="M10" s="564"/>
      <c r="N10" s="564"/>
      <c r="O10" s="564"/>
      <c r="P10" s="565"/>
      <c r="Q10" s="565"/>
      <c r="R10" s="565"/>
      <c r="S10" s="565"/>
      <c r="T10" s="565"/>
      <c r="U10" s="565"/>
      <c r="V10" s="565"/>
      <c r="W10" s="565"/>
      <c r="X10" s="565"/>
    </row>
    <row r="11" spans="1:24" ht="18" x14ac:dyDescent="0.25">
      <c r="B11" s="566"/>
      <c r="C11" s="566"/>
      <c r="D11" s="566"/>
      <c r="E11" s="566"/>
      <c r="F11" s="566"/>
      <c r="G11" s="566"/>
      <c r="H11" s="566"/>
      <c r="I11" s="566"/>
      <c r="J11" s="566"/>
      <c r="K11" s="567"/>
      <c r="L11" s="566"/>
      <c r="M11" s="566"/>
      <c r="N11" s="566"/>
      <c r="O11" s="566"/>
      <c r="P11" s="566"/>
      <c r="Q11" s="566"/>
      <c r="R11" s="566"/>
      <c r="S11" s="566"/>
      <c r="T11" s="566"/>
      <c r="U11" s="566"/>
      <c r="V11" s="566"/>
      <c r="W11" s="566"/>
      <c r="X11" s="566"/>
    </row>
    <row r="12" spans="1:24" ht="18.5" thickBot="1" x14ac:dyDescent="0.3">
      <c r="B12" s="566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566"/>
      <c r="O12" s="566"/>
      <c r="P12" s="566"/>
      <c r="Q12" s="566"/>
      <c r="R12" s="566"/>
      <c r="S12" s="566"/>
      <c r="T12" s="566"/>
      <c r="U12" s="566"/>
      <c r="V12" s="566"/>
      <c r="W12" s="566"/>
      <c r="X12" s="566"/>
    </row>
    <row r="13" spans="1:24" ht="16" thickBot="1" x14ac:dyDescent="0.4">
      <c r="A13" s="568" t="s">
        <v>371</v>
      </c>
      <c r="B13" s="569" t="s">
        <v>372</v>
      </c>
      <c r="D13" s="570" t="s">
        <v>373</v>
      </c>
      <c r="E13" s="571"/>
      <c r="F13" s="571"/>
      <c r="G13" s="571"/>
      <c r="H13" s="571"/>
      <c r="I13" s="571"/>
      <c r="J13" s="571"/>
      <c r="K13" s="571"/>
      <c r="L13" s="571"/>
      <c r="M13" s="571"/>
      <c r="N13" s="571"/>
      <c r="O13" s="572"/>
    </row>
    <row r="14" spans="1:24" ht="13.5" thickBot="1" x14ac:dyDescent="0.35">
      <c r="B14" s="573"/>
    </row>
    <row r="15" spans="1:24" ht="13.5" thickBot="1" x14ac:dyDescent="0.35">
      <c r="B15" s="573"/>
      <c r="I15" s="574" t="s">
        <v>374</v>
      </c>
      <c r="J15" s="575"/>
      <c r="K15" s="575"/>
      <c r="L15" s="576" t="s">
        <v>375</v>
      </c>
      <c r="M15" s="574" t="s">
        <v>376</v>
      </c>
      <c r="N15" s="577"/>
    </row>
    <row r="16" spans="1:24" s="578" customFormat="1" ht="13.5" thickBot="1" x14ac:dyDescent="0.3">
      <c r="B16" s="579" t="s">
        <v>369</v>
      </c>
      <c r="C16" s="580" t="s">
        <v>377</v>
      </c>
      <c r="D16" s="581"/>
      <c r="E16" s="581"/>
      <c r="I16" s="582" t="s">
        <v>378</v>
      </c>
      <c r="J16" s="582" t="s">
        <v>379</v>
      </c>
      <c r="K16" s="583" t="s">
        <v>69</v>
      </c>
      <c r="L16" s="584"/>
      <c r="M16" s="585" t="s">
        <v>374</v>
      </c>
      <c r="N16" s="586" t="s">
        <v>375</v>
      </c>
    </row>
    <row r="17" spans="1:24" s="587" customFormat="1" ht="15" customHeight="1" x14ac:dyDescent="0.3">
      <c r="B17" s="588" t="s">
        <v>380</v>
      </c>
      <c r="C17" s="589"/>
      <c r="D17" s="590" t="s">
        <v>381</v>
      </c>
      <c r="E17" s="591"/>
      <c r="F17" s="592" t="s">
        <v>382</v>
      </c>
      <c r="G17" s="593" t="s">
        <v>383</v>
      </c>
      <c r="I17" s="594"/>
      <c r="J17" s="595"/>
      <c r="K17" s="596"/>
      <c r="L17" s="582"/>
      <c r="M17" s="597" t="s">
        <v>384</v>
      </c>
      <c r="N17" s="597" t="s">
        <v>384</v>
      </c>
    </row>
    <row r="18" spans="1:24" s="587" customFormat="1" ht="14" x14ac:dyDescent="0.3">
      <c r="B18" s="598" t="s">
        <v>289</v>
      </c>
      <c r="C18" s="598"/>
      <c r="D18" s="599">
        <v>704744447.81760001</v>
      </c>
      <c r="E18" s="599"/>
      <c r="F18" s="600">
        <v>0</v>
      </c>
      <c r="G18" s="601">
        <f>+D18-F18</f>
        <v>704744447.81760001</v>
      </c>
      <c r="I18" s="600"/>
      <c r="J18" s="600">
        <v>13440415.4376</v>
      </c>
      <c r="K18" s="602">
        <f>SUM(I18:J18)</f>
        <v>13440415.4376</v>
      </c>
      <c r="L18" s="603">
        <f t="shared" ref="L18:L26" si="0">G18-(I18+J18)</f>
        <v>691304032.38</v>
      </c>
      <c r="M18" s="604">
        <f t="shared" ref="M18:M24" si="1">+K18/D18</f>
        <v>1.9071332139219081E-2</v>
      </c>
      <c r="N18" s="604">
        <f t="shared" ref="N18:N24" si="2">+L18/D18</f>
        <v>0.98092866786078092</v>
      </c>
      <c r="O18" s="605"/>
    </row>
    <row r="19" spans="1:24" s="587" customFormat="1" ht="14" x14ac:dyDescent="0.3">
      <c r="B19" s="598" t="s">
        <v>385</v>
      </c>
      <c r="C19" s="598"/>
      <c r="D19" s="599">
        <v>249035857.14639997</v>
      </c>
      <c r="E19" s="599"/>
      <c r="F19" s="600">
        <v>0</v>
      </c>
      <c r="G19" s="601">
        <f t="shared" ref="G19:G27" si="3">+D19-F19</f>
        <v>249035857.14639997</v>
      </c>
      <c r="I19" s="600"/>
      <c r="J19" s="600">
        <v>37999723.5801</v>
      </c>
      <c r="K19" s="602">
        <f t="shared" ref="K19:K24" si="4">SUM(I19:J19)</f>
        <v>37999723.5801</v>
      </c>
      <c r="L19" s="603">
        <f t="shared" si="0"/>
        <v>211036133.56629997</v>
      </c>
      <c r="M19" s="604">
        <f t="shared" si="1"/>
        <v>0.15258735836486878</v>
      </c>
      <c r="N19" s="604">
        <f t="shared" si="2"/>
        <v>0.84741264163513119</v>
      </c>
    </row>
    <row r="20" spans="1:24" s="587" customFormat="1" ht="12.75" customHeight="1" x14ac:dyDescent="0.3">
      <c r="B20" s="598" t="s">
        <v>386</v>
      </c>
      <c r="C20" s="598"/>
      <c r="D20" s="599">
        <v>0</v>
      </c>
      <c r="E20" s="599"/>
      <c r="F20" s="600">
        <v>0</v>
      </c>
      <c r="G20" s="601">
        <f t="shared" si="3"/>
        <v>0</v>
      </c>
      <c r="I20" s="600">
        <v>0</v>
      </c>
      <c r="J20" s="600">
        <v>0</v>
      </c>
      <c r="K20" s="602">
        <f t="shared" si="4"/>
        <v>0</v>
      </c>
      <c r="L20" s="602">
        <f t="shared" si="0"/>
        <v>0</v>
      </c>
      <c r="M20" s="604">
        <f>IFERROR((+K20/D20),0)</f>
        <v>0</v>
      </c>
      <c r="N20" s="604">
        <f>IFERROR((+L20/D20),0)</f>
        <v>0</v>
      </c>
      <c r="O20" s="605"/>
    </row>
    <row r="21" spans="1:24" s="587" customFormat="1" ht="12.75" customHeight="1" x14ac:dyDescent="0.3">
      <c r="B21" s="598" t="s">
        <v>387</v>
      </c>
      <c r="C21" s="598"/>
      <c r="D21" s="599">
        <v>850957159.86929989</v>
      </c>
      <c r="E21" s="599"/>
      <c r="F21" s="600">
        <v>214392509.57190001</v>
      </c>
      <c r="G21" s="601">
        <f t="shared" si="3"/>
        <v>636564650.29739988</v>
      </c>
      <c r="I21" s="600">
        <v>437264469.16052109</v>
      </c>
      <c r="J21" s="600">
        <v>74325071.722000018</v>
      </c>
      <c r="K21" s="602">
        <f>SUM(I21:J21)</f>
        <v>511589540.88252109</v>
      </c>
      <c r="L21" s="603">
        <f t="shared" si="0"/>
        <v>124975109.41487879</v>
      </c>
      <c r="M21" s="604">
        <f>(K21+F21)/D21</f>
        <v>0.85313583890160349</v>
      </c>
      <c r="N21" s="604">
        <f t="shared" si="2"/>
        <v>0.14686416109839648</v>
      </c>
      <c r="O21" s="605"/>
    </row>
    <row r="22" spans="1:24" s="587" customFormat="1" ht="12.75" customHeight="1" x14ac:dyDescent="0.3">
      <c r="B22" s="598" t="s">
        <v>388</v>
      </c>
      <c r="C22" s="598"/>
      <c r="D22" s="599">
        <v>4150690.9641999998</v>
      </c>
      <c r="E22" s="599"/>
      <c r="F22" s="600">
        <v>0</v>
      </c>
      <c r="G22" s="601">
        <f t="shared" si="3"/>
        <v>4150690.9641999998</v>
      </c>
      <c r="I22" s="600"/>
      <c r="J22" s="600"/>
      <c r="K22" s="602">
        <f t="shared" si="4"/>
        <v>0</v>
      </c>
      <c r="L22" s="603">
        <f t="shared" si="0"/>
        <v>4150690.9641999998</v>
      </c>
      <c r="M22" s="604">
        <f t="shared" si="1"/>
        <v>0</v>
      </c>
      <c r="N22" s="604">
        <f t="shared" si="2"/>
        <v>1</v>
      </c>
      <c r="O22" s="605"/>
    </row>
    <row r="23" spans="1:24" s="587" customFormat="1" ht="12.75" customHeight="1" x14ac:dyDescent="0.3">
      <c r="B23" s="598" t="s">
        <v>49</v>
      </c>
      <c r="C23" s="598"/>
      <c r="D23" s="599">
        <v>33545884.1699</v>
      </c>
      <c r="E23" s="599"/>
      <c r="F23" s="600">
        <v>33545884.1699</v>
      </c>
      <c r="G23" s="601">
        <f t="shared" si="3"/>
        <v>0</v>
      </c>
      <c r="I23" s="600">
        <v>0</v>
      </c>
      <c r="J23" s="600">
        <v>0</v>
      </c>
      <c r="K23" s="602">
        <f t="shared" si="4"/>
        <v>0</v>
      </c>
      <c r="L23" s="603">
        <f t="shared" si="0"/>
        <v>0</v>
      </c>
      <c r="M23" s="604">
        <f t="shared" si="1"/>
        <v>0</v>
      </c>
      <c r="N23" s="604">
        <f t="shared" si="2"/>
        <v>0</v>
      </c>
      <c r="O23" s="605"/>
    </row>
    <row r="24" spans="1:24" s="587" customFormat="1" ht="12.75" customHeight="1" x14ac:dyDescent="0.3">
      <c r="B24" s="598" t="s">
        <v>389</v>
      </c>
      <c r="C24" s="598"/>
      <c r="D24" s="599">
        <v>7728656.2564000003</v>
      </c>
      <c r="E24" s="599"/>
      <c r="F24" s="600">
        <v>0</v>
      </c>
      <c r="G24" s="601">
        <f t="shared" si="3"/>
        <v>7728656.2564000003</v>
      </c>
      <c r="I24" s="600">
        <v>7440589.2519555148</v>
      </c>
      <c r="J24" s="600">
        <v>189867.44569999995</v>
      </c>
      <c r="K24" s="602">
        <f t="shared" si="4"/>
        <v>7630456.6976555148</v>
      </c>
      <c r="L24" s="603">
        <f t="shared" si="0"/>
        <v>98199.55874448549</v>
      </c>
      <c r="M24" s="604">
        <f t="shared" si="1"/>
        <v>0.98729409673729918</v>
      </c>
      <c r="N24" s="604">
        <f t="shared" si="2"/>
        <v>1.270590326270077E-2</v>
      </c>
      <c r="O24" s="605"/>
    </row>
    <row r="25" spans="1:24" s="587" customFormat="1" ht="12.75" customHeight="1" x14ac:dyDescent="0.3">
      <c r="B25" s="598" t="s">
        <v>390</v>
      </c>
      <c r="C25" s="598"/>
      <c r="D25" s="599"/>
      <c r="E25" s="599"/>
      <c r="F25" s="600"/>
      <c r="G25" s="601">
        <f t="shared" si="3"/>
        <v>0</v>
      </c>
      <c r="I25" s="600"/>
      <c r="J25" s="600"/>
      <c r="K25" s="602"/>
      <c r="L25" s="603">
        <f t="shared" si="0"/>
        <v>0</v>
      </c>
      <c r="M25" s="604"/>
      <c r="N25" s="604"/>
      <c r="O25" s="605"/>
    </row>
    <row r="26" spans="1:24" s="587" customFormat="1" ht="12.75" customHeight="1" x14ac:dyDescent="0.3">
      <c r="B26" s="598" t="s">
        <v>390</v>
      </c>
      <c r="C26" s="598"/>
      <c r="D26" s="599"/>
      <c r="E26" s="599"/>
      <c r="F26" s="600"/>
      <c r="G26" s="601">
        <f t="shared" si="3"/>
        <v>0</v>
      </c>
      <c r="I26" s="600"/>
      <c r="J26" s="600"/>
      <c r="K26" s="602"/>
      <c r="L26" s="603">
        <f t="shared" si="0"/>
        <v>0</v>
      </c>
      <c r="M26" s="604"/>
      <c r="N26" s="604"/>
      <c r="O26" s="605"/>
    </row>
    <row r="27" spans="1:24" s="587" customFormat="1" ht="12.75" customHeight="1" x14ac:dyDescent="0.3">
      <c r="B27" s="606" t="s">
        <v>102</v>
      </c>
      <c r="C27" s="607" t="s">
        <v>377</v>
      </c>
      <c r="D27" s="608">
        <f>SUM(D18:E26)</f>
        <v>1850162696.2237999</v>
      </c>
      <c r="E27" s="608"/>
      <c r="F27" s="609">
        <f>SUM(F18:F26)</f>
        <v>247938393.74180001</v>
      </c>
      <c r="G27" s="609">
        <f t="shared" si="3"/>
        <v>1602224302.4819999</v>
      </c>
      <c r="I27" s="609">
        <f>SUM(I18:I26)</f>
        <v>444705058.4124766</v>
      </c>
      <c r="J27" s="609">
        <f>SUM(J18:J26)</f>
        <v>125955078.18540002</v>
      </c>
      <c r="K27" s="610">
        <f>SUM(K18:K26)</f>
        <v>570660136.59787667</v>
      </c>
      <c r="L27" s="609">
        <f>SUM(L18:L26)</f>
        <v>1031564165.8841233</v>
      </c>
      <c r="M27" s="611"/>
      <c r="N27" s="611"/>
      <c r="O27" s="612"/>
    </row>
    <row r="28" spans="1:24" s="587" customFormat="1" ht="12.75" customHeight="1" x14ac:dyDescent="0.3">
      <c r="B28" s="613" t="s">
        <v>384</v>
      </c>
      <c r="C28" s="614" t="s">
        <v>377</v>
      </c>
      <c r="D28" s="615">
        <f>$D$27/$D$27</f>
        <v>1</v>
      </c>
      <c r="E28" s="615"/>
      <c r="F28" s="604"/>
      <c r="G28" s="604">
        <v>1</v>
      </c>
      <c r="I28" s="604">
        <f>$I$27/$G$27</f>
        <v>0.27755480785279912</v>
      </c>
      <c r="J28" s="604">
        <f>$J$27/$G$27</f>
        <v>7.8612637438018801E-2</v>
      </c>
      <c r="L28" s="604">
        <f>$L$27/$G$27</f>
        <v>0.6438325547091821</v>
      </c>
      <c r="M28" s="604">
        <f>I28+J28</f>
        <v>0.3561674452908179</v>
      </c>
      <c r="N28" s="616">
        <f>L28</f>
        <v>0.6438325547091821</v>
      </c>
      <c r="O28" s="617">
        <f>M28+N28</f>
        <v>1</v>
      </c>
    </row>
    <row r="29" spans="1:24" s="587" customFormat="1" ht="12.75" customHeight="1" thickBot="1" x14ac:dyDescent="0.4">
      <c r="A29" s="618"/>
      <c r="B29" s="619"/>
      <c r="C29" s="620"/>
      <c r="D29" s="621"/>
      <c r="E29" s="621"/>
      <c r="F29" s="621"/>
      <c r="G29" s="621"/>
      <c r="H29" s="618"/>
      <c r="I29" s="621"/>
      <c r="J29" s="621"/>
      <c r="K29" s="618"/>
      <c r="L29" s="621"/>
      <c r="M29" s="621"/>
      <c r="N29" s="621"/>
      <c r="O29" s="622"/>
    </row>
    <row r="30" spans="1:24" s="587" customFormat="1" ht="13" customHeight="1" x14ac:dyDescent="0.35">
      <c r="B30" s="623"/>
      <c r="C30" s="624"/>
      <c r="D30" s="625"/>
      <c r="E30" s="625"/>
      <c r="F30" s="625"/>
      <c r="G30" s="625"/>
      <c r="I30" s="625"/>
      <c r="J30" s="625"/>
      <c r="L30" s="625"/>
      <c r="M30" s="625"/>
      <c r="N30" s="625"/>
      <c r="O30" s="626"/>
    </row>
    <row r="31" spans="1:24" s="587" customFormat="1" ht="21" customHeight="1" thickBot="1" x14ac:dyDescent="0.4">
      <c r="A31" s="627" t="s">
        <v>391</v>
      </c>
      <c r="B31" s="569" t="s">
        <v>392</v>
      </c>
      <c r="C31" s="624"/>
      <c r="D31" s="625"/>
      <c r="E31" s="625"/>
      <c r="F31" s="625"/>
      <c r="G31" s="625"/>
      <c r="I31" s="625"/>
      <c r="J31" s="625"/>
      <c r="L31" s="625"/>
      <c r="M31" s="625"/>
      <c r="N31" s="625"/>
      <c r="O31" s="626"/>
    </row>
    <row r="32" spans="1:24" s="587" customFormat="1" ht="12.75" customHeight="1" thickBot="1" x14ac:dyDescent="0.35">
      <c r="B32" s="587" t="s">
        <v>377</v>
      </c>
      <c r="F32" s="628"/>
      <c r="I32" s="629" t="s">
        <v>374</v>
      </c>
      <c r="J32" s="630"/>
      <c r="P32" s="631"/>
      <c r="Q32" s="631"/>
      <c r="R32" s="631"/>
      <c r="S32" s="631"/>
      <c r="T32" s="631"/>
      <c r="U32" s="631"/>
      <c r="V32" s="631"/>
      <c r="W32" s="631"/>
      <c r="X32" s="631"/>
    </row>
    <row r="33" spans="1:24" s="587" customFormat="1" ht="12.75" customHeight="1" thickBot="1" x14ac:dyDescent="0.35">
      <c r="A33" s="627" t="s">
        <v>393</v>
      </c>
      <c r="B33" s="632" t="s">
        <v>394</v>
      </c>
      <c r="C33" s="633" t="s">
        <v>395</v>
      </c>
      <c r="D33" s="634"/>
      <c r="E33" s="634"/>
      <c r="F33" s="635"/>
      <c r="G33" s="636"/>
      <c r="H33" s="637"/>
      <c r="I33" s="638">
        <v>-41.49</v>
      </c>
      <c r="J33" s="639"/>
      <c r="K33" s="640" t="s">
        <v>396</v>
      </c>
      <c r="L33" s="641" t="s">
        <v>397</v>
      </c>
    </row>
    <row r="34" spans="1:24" s="587" customFormat="1" ht="12.75" customHeight="1" thickBot="1" x14ac:dyDescent="0.35">
      <c r="B34" s="573"/>
      <c r="F34" s="642"/>
      <c r="I34" s="640"/>
      <c r="P34" s="631"/>
      <c r="Q34" s="631"/>
      <c r="R34" s="631"/>
      <c r="S34" s="631"/>
      <c r="T34" s="631"/>
      <c r="U34" s="631"/>
      <c r="V34" s="631"/>
      <c r="W34" s="631"/>
      <c r="X34" s="631"/>
    </row>
    <row r="35" spans="1:24" s="587" customFormat="1" ht="12.75" customHeight="1" thickBot="1" x14ac:dyDescent="0.35">
      <c r="A35" s="627" t="s">
        <v>398</v>
      </c>
      <c r="B35" s="643" t="s">
        <v>392</v>
      </c>
      <c r="C35" s="641" t="s">
        <v>399</v>
      </c>
      <c r="I35" s="644" t="s">
        <v>374</v>
      </c>
      <c r="J35" s="645"/>
      <c r="K35" s="646"/>
      <c r="L35" s="647" t="s">
        <v>375</v>
      </c>
      <c r="P35" s="631"/>
      <c r="Q35" s="631"/>
      <c r="R35" s="631"/>
      <c r="S35" s="631"/>
      <c r="T35" s="631"/>
      <c r="U35" s="631"/>
      <c r="V35" s="631"/>
      <c r="W35" s="631"/>
      <c r="X35" s="631"/>
    </row>
    <row r="36" spans="1:24" s="587" customFormat="1" ht="12.75" customHeight="1" thickBot="1" x14ac:dyDescent="0.35">
      <c r="B36" s="573"/>
      <c r="I36" s="648" t="s">
        <v>378</v>
      </c>
      <c r="J36" s="648" t="s">
        <v>379</v>
      </c>
      <c r="K36" s="646"/>
      <c r="L36" s="649"/>
      <c r="P36" s="631"/>
      <c r="Q36" s="631"/>
      <c r="R36" s="631"/>
      <c r="S36" s="631"/>
      <c r="T36" s="631"/>
      <c r="U36" s="631"/>
      <c r="V36" s="631"/>
      <c r="W36" s="631"/>
      <c r="X36" s="631"/>
    </row>
    <row r="37" spans="1:24" s="587" customFormat="1" ht="12.75" customHeight="1" x14ac:dyDescent="0.3">
      <c r="B37" s="650" t="s">
        <v>400</v>
      </c>
      <c r="C37" s="651" t="s">
        <v>401</v>
      </c>
      <c r="D37" s="651"/>
      <c r="E37" s="651"/>
      <c r="F37" s="651"/>
      <c r="G37" s="652"/>
      <c r="H37" s="653"/>
      <c r="I37" s="654">
        <v>20.68</v>
      </c>
      <c r="J37" s="655">
        <f>+I37</f>
        <v>20.68</v>
      </c>
      <c r="K37" s="656"/>
      <c r="L37" s="657"/>
      <c r="M37" s="658"/>
      <c r="N37" s="658"/>
    </row>
    <row r="38" spans="1:24" s="587" customFormat="1" ht="12.75" customHeight="1" x14ac:dyDescent="0.3">
      <c r="B38" s="650" t="s">
        <v>402</v>
      </c>
      <c r="C38" s="651" t="s">
        <v>403</v>
      </c>
      <c r="D38" s="651"/>
      <c r="E38" s="651"/>
      <c r="F38" s="651"/>
      <c r="G38" s="659"/>
      <c r="H38" s="660"/>
      <c r="I38" s="654">
        <v>102.22</v>
      </c>
      <c r="J38" s="655">
        <f>+I38+I33</f>
        <v>60.73</v>
      </c>
      <c r="K38" s="656"/>
      <c r="L38" s="661"/>
      <c r="M38" s="658"/>
      <c r="N38" s="658"/>
    </row>
    <row r="39" spans="1:24" s="587" customFormat="1" ht="12.75" customHeight="1" x14ac:dyDescent="0.3">
      <c r="B39" s="650" t="s">
        <v>404</v>
      </c>
      <c r="C39" s="662"/>
      <c r="D39" s="662"/>
      <c r="E39" s="662"/>
      <c r="F39" s="662"/>
      <c r="G39" s="659"/>
      <c r="H39" s="660"/>
      <c r="I39" s="654">
        <v>1</v>
      </c>
      <c r="J39" s="655">
        <f>+I39</f>
        <v>1</v>
      </c>
      <c r="K39" s="656"/>
      <c r="L39" s="661"/>
    </row>
    <row r="40" spans="1:24" s="587" customFormat="1" ht="12.75" customHeight="1" x14ac:dyDescent="0.3">
      <c r="B40" s="663" t="s">
        <v>405</v>
      </c>
      <c r="C40" s="664" t="s">
        <v>406</v>
      </c>
      <c r="D40" s="665"/>
      <c r="E40" s="665"/>
      <c r="F40" s="666"/>
      <c r="G40" s="659"/>
      <c r="H40" s="667"/>
      <c r="I40" s="668">
        <f>SUM(I37:I39)</f>
        <v>123.9</v>
      </c>
      <c r="J40" s="668">
        <f>SUM(J37:J39)</f>
        <v>82.41</v>
      </c>
      <c r="K40" s="669"/>
      <c r="L40" s="668">
        <f>J40</f>
        <v>82.41</v>
      </c>
      <c r="M40" s="658"/>
      <c r="N40" s="658"/>
    </row>
    <row r="41" spans="1:24" s="587" customFormat="1" ht="12.75" customHeight="1" x14ac:dyDescent="0.3">
      <c r="B41" s="670" t="s">
        <v>407</v>
      </c>
      <c r="C41" s="664"/>
      <c r="D41" s="665"/>
      <c r="E41" s="665"/>
      <c r="F41" s="666"/>
      <c r="G41" s="659"/>
      <c r="H41" s="671"/>
      <c r="I41" s="672">
        <f>I40/1000</f>
        <v>0.12390000000000001</v>
      </c>
      <c r="J41" s="672">
        <f>J40/1000</f>
        <v>8.2409999999999997E-2</v>
      </c>
      <c r="K41" s="669"/>
      <c r="L41" s="673">
        <f>L40/1000</f>
        <v>8.2409999999999997E-2</v>
      </c>
      <c r="M41" s="631"/>
      <c r="N41" s="631"/>
    </row>
    <row r="42" spans="1:24" s="587" customFormat="1" ht="12.75" customHeight="1" x14ac:dyDescent="0.3">
      <c r="B42" s="650" t="s">
        <v>408</v>
      </c>
      <c r="C42" s="674" t="s">
        <v>409</v>
      </c>
      <c r="D42" s="675"/>
      <c r="E42" s="675"/>
      <c r="F42" s="676"/>
      <c r="G42" s="677"/>
      <c r="H42" s="671"/>
      <c r="I42" s="678">
        <f>I28</f>
        <v>0.27755480785279912</v>
      </c>
      <c r="J42" s="678">
        <f>J28</f>
        <v>7.8612637438018801E-2</v>
      </c>
      <c r="K42" s="669"/>
      <c r="L42" s="679">
        <f>L28</f>
        <v>0.6438325547091821</v>
      </c>
      <c r="M42" s="631"/>
      <c r="N42" s="631"/>
    </row>
    <row r="43" spans="1:24" s="587" customFormat="1" ht="12.75" customHeight="1" x14ac:dyDescent="0.3">
      <c r="B43" s="663" t="s">
        <v>410</v>
      </c>
      <c r="C43" s="680" t="s">
        <v>411</v>
      </c>
      <c r="D43" s="680"/>
      <c r="E43" s="680"/>
      <c r="F43" s="680"/>
      <c r="G43" s="681">
        <f>ROUND((I43+J43+L43),4)</f>
        <v>9.3899999999999997E-2</v>
      </c>
      <c r="H43" s="669"/>
      <c r="I43" s="682">
        <f>I41*I42</f>
        <v>3.4389040692961816E-2</v>
      </c>
      <c r="J43" s="683">
        <f>J41*J42</f>
        <v>6.4784674512671295E-3</v>
      </c>
      <c r="K43" s="669"/>
      <c r="L43" s="684">
        <f>L41*L42</f>
        <v>5.3058240833583695E-2</v>
      </c>
      <c r="M43" s="631"/>
      <c r="N43" s="631"/>
    </row>
    <row r="44" spans="1:24" s="587" customFormat="1" ht="14.5" thickBot="1" x14ac:dyDescent="0.35">
      <c r="A44" s="618"/>
      <c r="B44" s="618"/>
      <c r="C44" s="618"/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</row>
    <row r="45" spans="1:24" s="587" customFormat="1" ht="14" x14ac:dyDescent="0.3"/>
    <row r="46" spans="1:24" s="587" customFormat="1" ht="15.5" x14ac:dyDescent="0.35">
      <c r="A46" s="627" t="s">
        <v>412</v>
      </c>
      <c r="B46" s="569" t="s">
        <v>413</v>
      </c>
    </row>
    <row r="47" spans="1:24" s="587" customFormat="1" ht="14" x14ac:dyDescent="0.3">
      <c r="B47" s="685" t="s">
        <v>414</v>
      </c>
    </row>
    <row r="48" spans="1:24" s="587" customFormat="1" ht="14" x14ac:dyDescent="0.3">
      <c r="B48" s="573"/>
    </row>
    <row r="49" spans="2:15" s="587" customFormat="1" ht="15.5" x14ac:dyDescent="0.35">
      <c r="B49" s="686" t="s">
        <v>63</v>
      </c>
      <c r="C49" s="555"/>
      <c r="D49" s="555"/>
      <c r="E49" s="555"/>
      <c r="F49" s="687">
        <v>2019</v>
      </c>
      <c r="G49" s="688"/>
      <c r="H49" s="688"/>
      <c r="I49" s="688"/>
      <c r="J49" s="688"/>
      <c r="K49" s="687">
        <v>2020</v>
      </c>
      <c r="L49" s="688"/>
      <c r="M49" s="688"/>
      <c r="N49" s="688"/>
      <c r="O49" s="688"/>
    </row>
    <row r="50" spans="2:15" s="587" customFormat="1" ht="14" x14ac:dyDescent="0.3">
      <c r="B50" s="689" t="s">
        <v>415</v>
      </c>
      <c r="C50" s="690"/>
      <c r="D50" s="691" t="s">
        <v>416</v>
      </c>
      <c r="E50" s="691" t="s">
        <v>417</v>
      </c>
      <c r="F50" s="691" t="s">
        <v>418</v>
      </c>
      <c r="G50" s="691" t="s">
        <v>419</v>
      </c>
      <c r="H50" s="691" t="s">
        <v>420</v>
      </c>
      <c r="I50" s="691" t="s">
        <v>421</v>
      </c>
      <c r="J50" s="691" t="s">
        <v>422</v>
      </c>
      <c r="K50" s="691" t="s">
        <v>418</v>
      </c>
      <c r="L50" s="691" t="s">
        <v>419</v>
      </c>
      <c r="M50" s="691" t="s">
        <v>420</v>
      </c>
      <c r="N50" s="691" t="s">
        <v>421</v>
      </c>
      <c r="O50" s="691" t="s">
        <v>422</v>
      </c>
    </row>
    <row r="51" spans="2:15" s="697" customFormat="1" ht="18" customHeight="1" x14ac:dyDescent="0.25">
      <c r="B51" s="598" t="str">
        <f>+B21</f>
        <v>General Service 3000-4999 kW</v>
      </c>
      <c r="C51" s="692"/>
      <c r="D51" s="692">
        <v>4035</v>
      </c>
      <c r="E51" s="692">
        <v>4705</v>
      </c>
      <c r="F51" s="693">
        <f>+[3]Energy!K83</f>
        <v>209986862.70140001</v>
      </c>
      <c r="G51" s="693">
        <v>504881.69910000003</v>
      </c>
      <c r="H51" s="694">
        <f>ROUND((I37/1000),4)</f>
        <v>2.07E-2</v>
      </c>
      <c r="I51" s="695">
        <f>ROUND(('[3]Class A'!G30),2)</f>
        <v>26.76</v>
      </c>
      <c r="J51" s="696">
        <f>(+F51*H51)+(G51*I51)</f>
        <v>17857362.325834982</v>
      </c>
      <c r="K51" s="693">
        <f>+[3]Energy!K84</f>
        <v>211246783.87819999</v>
      </c>
      <c r="L51" s="693">
        <v>507910.98930000002</v>
      </c>
      <c r="M51" s="694">
        <f>+I37/1000</f>
        <v>2.068E-2</v>
      </c>
      <c r="N51" s="695">
        <f>ROUND(('[3]Class A'!G30),2)</f>
        <v>26.76</v>
      </c>
      <c r="O51" s="696">
        <f>ROUND(((+K51*M51)+(L51*N51)),2)</f>
        <v>17960281.559999999</v>
      </c>
    </row>
    <row r="52" spans="2:15" s="697" customFormat="1" ht="18" customHeight="1" x14ac:dyDescent="0.25">
      <c r="B52" s="598" t="str">
        <f>+B23</f>
        <v>Large User</v>
      </c>
      <c r="C52" s="692"/>
      <c r="D52" s="692">
        <v>4020</v>
      </c>
      <c r="E52" s="692">
        <v>4705</v>
      </c>
      <c r="F52" s="693">
        <f>+[3]Energy!L83</f>
        <v>34219938.542199999</v>
      </c>
      <c r="G52" s="693">
        <v>68382.8269</v>
      </c>
      <c r="H52" s="694">
        <f>ROUND((I37/1000),4)</f>
        <v>2.07E-2</v>
      </c>
      <c r="I52" s="695">
        <f>ROUND(('[3]Class A'!H30),2)</f>
        <v>1.59</v>
      </c>
      <c r="J52" s="696">
        <f>ROUND(((+F52*H52)+(G52*I52)),2)</f>
        <v>817081.42</v>
      </c>
      <c r="K52" s="693">
        <f>+[3]Energy!L84</f>
        <v>35092546.975000001</v>
      </c>
      <c r="L52" s="693">
        <v>70126.589000000007</v>
      </c>
      <c r="M52" s="694">
        <f>+I37/1000</f>
        <v>2.068E-2</v>
      </c>
      <c r="N52" s="695">
        <f>ROUND(('[3]Class A'!H30),2)</f>
        <v>1.59</v>
      </c>
      <c r="O52" s="696">
        <f>ROUND(((+K52*M52)+(L52*N52)),2)</f>
        <v>837215.15</v>
      </c>
    </row>
    <row r="53" spans="2:15" s="697" customFormat="1" ht="14" x14ac:dyDescent="0.25">
      <c r="B53" s="578"/>
      <c r="C53" s="578"/>
      <c r="D53" s="578"/>
      <c r="E53" s="578"/>
      <c r="F53" s="698">
        <f>+F51+F52</f>
        <v>244206801.24360001</v>
      </c>
      <c r="G53" s="698">
        <f>+G51+G52</f>
        <v>573264.52600000007</v>
      </c>
      <c r="H53" s="692"/>
      <c r="I53" s="692"/>
      <c r="J53" s="696">
        <f>+J51+J52</f>
        <v>18674443.745834984</v>
      </c>
      <c r="K53" s="698"/>
      <c r="L53" s="692"/>
      <c r="M53" s="692"/>
      <c r="N53" s="692"/>
      <c r="O53" s="696">
        <f>ROUND((O51+O52),2)</f>
        <v>18797496.710000001</v>
      </c>
    </row>
    <row r="54" spans="2:15" s="697" customFormat="1" ht="14" x14ac:dyDescent="0.25"/>
    <row r="55" spans="2:15" s="578" customFormat="1" ht="15.5" x14ac:dyDescent="0.25">
      <c r="B55" s="699" t="s">
        <v>423</v>
      </c>
      <c r="F55" s="700">
        <v>2019</v>
      </c>
      <c r="G55" s="700"/>
      <c r="H55" s="700"/>
      <c r="I55" s="700"/>
      <c r="J55" s="700"/>
      <c r="K55" s="700">
        <v>2020</v>
      </c>
      <c r="L55" s="700"/>
      <c r="M55" s="700"/>
      <c r="N55" s="700"/>
      <c r="O55" s="700"/>
    </row>
    <row r="56" spans="2:15" s="704" customFormat="1" ht="13" x14ac:dyDescent="0.25">
      <c r="B56" s="607" t="s">
        <v>415</v>
      </c>
      <c r="C56" s="701"/>
      <c r="D56" s="701" t="s">
        <v>416</v>
      </c>
      <c r="E56" s="702" t="s">
        <v>417</v>
      </c>
      <c r="F56" s="703" t="s">
        <v>369</v>
      </c>
      <c r="G56" s="703"/>
      <c r="H56" s="703"/>
      <c r="I56" s="703"/>
      <c r="J56" s="703"/>
      <c r="K56" s="703"/>
      <c r="L56" s="703"/>
      <c r="M56" s="703"/>
      <c r="N56" s="703"/>
      <c r="O56" s="703"/>
    </row>
    <row r="57" spans="2:15" s="578" customFormat="1" ht="17.25" customHeight="1" x14ac:dyDescent="0.25">
      <c r="B57" s="705" t="s">
        <v>424</v>
      </c>
      <c r="C57" s="706" t="s">
        <v>425</v>
      </c>
      <c r="D57" s="706" t="s">
        <v>426</v>
      </c>
      <c r="E57" s="707" t="s">
        <v>426</v>
      </c>
      <c r="F57" s="708" t="s">
        <v>109</v>
      </c>
      <c r="G57" s="709" t="s">
        <v>427</v>
      </c>
      <c r="H57" s="710"/>
      <c r="I57" s="711"/>
      <c r="J57" s="709" t="s">
        <v>422</v>
      </c>
      <c r="K57" s="709" t="s">
        <v>109</v>
      </c>
      <c r="L57" s="709" t="s">
        <v>427</v>
      </c>
      <c r="M57" s="710"/>
      <c r="N57" s="711"/>
      <c r="O57" s="708" t="s">
        <v>422</v>
      </c>
    </row>
    <row r="58" spans="2:15" s="578" customFormat="1" ht="17.25" customHeight="1" x14ac:dyDescent="0.25">
      <c r="B58" s="598" t="str">
        <f t="shared" ref="B58:B66" si="5">B18</f>
        <v>Residential</v>
      </c>
      <c r="C58" s="692" t="s">
        <v>82</v>
      </c>
      <c r="D58" s="692">
        <v>4006</v>
      </c>
      <c r="E58" s="712">
        <v>4705</v>
      </c>
      <c r="F58" s="713">
        <f>ROUND(('[3]19COP-Z'!D16),4)</f>
        <v>679728169.41139996</v>
      </c>
      <c r="G58" s="714">
        <f>+G43</f>
        <v>9.3899999999999997E-2</v>
      </c>
      <c r="H58" s="715"/>
      <c r="I58" s="716"/>
      <c r="J58" s="717">
        <f>ROUND((F58*G58),2)</f>
        <v>63826475.109999999</v>
      </c>
      <c r="K58" s="713">
        <f>ROUND(('[3]20COP-Z'!D16),4)</f>
        <v>683896219.51489997</v>
      </c>
      <c r="L58" s="718">
        <f>+G58</f>
        <v>9.3899999999999997E-2</v>
      </c>
      <c r="M58" s="715"/>
      <c r="N58" s="716"/>
      <c r="O58" s="717">
        <f t="shared" ref="O58:O66" si="6">ROUND(K58*L58,2)</f>
        <v>64217855.009999998</v>
      </c>
    </row>
    <row r="59" spans="2:15" s="578" customFormat="1" ht="17.25" customHeight="1" x14ac:dyDescent="0.25">
      <c r="B59" s="598" t="str">
        <f t="shared" si="5"/>
        <v>General Service &lt; 50 kW</v>
      </c>
      <c r="C59" s="692" t="s">
        <v>82</v>
      </c>
      <c r="D59" s="692">
        <v>4035</v>
      </c>
      <c r="E59" s="712">
        <v>4705</v>
      </c>
      <c r="F59" s="713">
        <f>ROUND(('[3]19COP-Z'!D17),4)</f>
        <v>238008971.87470001</v>
      </c>
      <c r="G59" s="719">
        <f>+$G$58</f>
        <v>9.3899999999999997E-2</v>
      </c>
      <c r="H59" s="715"/>
      <c r="I59" s="716"/>
      <c r="J59" s="717">
        <f t="shared" ref="J59:J66" si="7">ROUND((F59*G59),2)</f>
        <v>22349042.460000001</v>
      </c>
      <c r="K59" s="713">
        <f>ROUND(('[3]20COP-Z'!D17),4)</f>
        <v>236947426.3003</v>
      </c>
      <c r="L59" s="720">
        <f>L58</f>
        <v>9.3899999999999997E-2</v>
      </c>
      <c r="M59" s="715"/>
      <c r="N59" s="716"/>
      <c r="O59" s="717">
        <f t="shared" si="6"/>
        <v>22249363.329999998</v>
      </c>
    </row>
    <row r="60" spans="2:15" s="578" customFormat="1" ht="17.25" customHeight="1" x14ac:dyDescent="0.25">
      <c r="B60" s="598" t="str">
        <f t="shared" si="5"/>
        <v>General Service 50 to 2999 kW</v>
      </c>
      <c r="C60" s="692" t="s">
        <v>82</v>
      </c>
      <c r="D60" s="692">
        <v>4035</v>
      </c>
      <c r="E60" s="712">
        <v>4705</v>
      </c>
      <c r="F60" s="713"/>
      <c r="G60" s="719">
        <f t="shared" ref="G60:G66" si="8">+$G$58</f>
        <v>9.3899999999999997E-2</v>
      </c>
      <c r="H60" s="715"/>
      <c r="I60" s="716"/>
      <c r="J60" s="717">
        <f t="shared" si="7"/>
        <v>0</v>
      </c>
      <c r="K60" s="713"/>
      <c r="L60" s="720">
        <f t="shared" ref="L60:L66" si="9">L59</f>
        <v>9.3899999999999997E-2</v>
      </c>
      <c r="M60" s="715"/>
      <c r="N60" s="716"/>
      <c r="O60" s="717">
        <f t="shared" si="6"/>
        <v>0</v>
      </c>
    </row>
    <row r="61" spans="2:15" s="578" customFormat="1" ht="17.25" customHeight="1" x14ac:dyDescent="0.25">
      <c r="B61" s="598" t="str">
        <f>+B21</f>
        <v>General Service 3000-4999 kW</v>
      </c>
      <c r="C61" s="692" t="s">
        <v>82</v>
      </c>
      <c r="D61" s="692">
        <v>4035</v>
      </c>
      <c r="E61" s="712">
        <v>4705</v>
      </c>
      <c r="F61" s="713">
        <f>ROUND(('[3]19COP-Z'!D18-'[3]19COP-Z'!F6),4)</f>
        <v>602475419.87730002</v>
      </c>
      <c r="G61" s="719">
        <f t="shared" si="8"/>
        <v>9.3899999999999997E-2</v>
      </c>
      <c r="H61" s="715"/>
      <c r="I61" s="716"/>
      <c r="J61" s="717">
        <f t="shared" si="7"/>
        <v>56572441.93</v>
      </c>
      <c r="K61" s="713">
        <f>ROUND(('[3]20COP-Z'!D18-'[3]20COP-Z'!F6),4)</f>
        <v>585702450.73650002</v>
      </c>
      <c r="L61" s="720">
        <f t="shared" si="9"/>
        <v>9.3899999999999997E-2</v>
      </c>
      <c r="M61" s="715"/>
      <c r="N61" s="716"/>
      <c r="O61" s="717">
        <f t="shared" si="6"/>
        <v>54997460.119999997</v>
      </c>
    </row>
    <row r="62" spans="2:15" s="578" customFormat="1" ht="17.25" customHeight="1" x14ac:dyDescent="0.25">
      <c r="B62" s="598" t="str">
        <f t="shared" si="5"/>
        <v>Unmetered Scattered Load</v>
      </c>
      <c r="C62" s="692" t="s">
        <v>82</v>
      </c>
      <c r="D62" s="692">
        <v>4035</v>
      </c>
      <c r="E62" s="712">
        <v>4705</v>
      </c>
      <c r="F62" s="713">
        <f>ROUND(('[3]19COP-Z'!D21),4)</f>
        <v>4234881.3870000001</v>
      </c>
      <c r="G62" s="719">
        <f t="shared" si="8"/>
        <v>9.3899999999999997E-2</v>
      </c>
      <c r="H62" s="715"/>
      <c r="I62" s="716"/>
      <c r="J62" s="717">
        <f t="shared" si="7"/>
        <v>397655.36</v>
      </c>
      <c r="K62" s="713">
        <f>ROUND(('[3]20COP-Z'!D21),4)</f>
        <v>4319662.3794</v>
      </c>
      <c r="L62" s="720">
        <f t="shared" si="9"/>
        <v>9.3899999999999997E-2</v>
      </c>
      <c r="M62" s="715"/>
      <c r="N62" s="716"/>
      <c r="O62" s="717">
        <f t="shared" si="6"/>
        <v>405616.3</v>
      </c>
    </row>
    <row r="63" spans="2:15" s="578" customFormat="1" ht="17.25" customHeight="1" x14ac:dyDescent="0.25">
      <c r="B63" s="598" t="str">
        <f t="shared" si="5"/>
        <v>Large User</v>
      </c>
      <c r="C63" s="692" t="s">
        <v>82</v>
      </c>
      <c r="D63" s="692">
        <v>4020</v>
      </c>
      <c r="E63" s="712">
        <v>4705</v>
      </c>
      <c r="F63" s="713"/>
      <c r="G63" s="719">
        <f t="shared" si="8"/>
        <v>9.3899999999999997E-2</v>
      </c>
      <c r="H63" s="715"/>
      <c r="I63" s="716"/>
      <c r="J63" s="717">
        <f t="shared" si="7"/>
        <v>0</v>
      </c>
      <c r="K63" s="713"/>
      <c r="L63" s="720">
        <f t="shared" si="9"/>
        <v>9.3899999999999997E-2</v>
      </c>
      <c r="M63" s="715"/>
      <c r="N63" s="716"/>
      <c r="O63" s="717">
        <f t="shared" si="6"/>
        <v>0</v>
      </c>
    </row>
    <row r="64" spans="2:15" s="578" customFormat="1" ht="17.25" customHeight="1" x14ac:dyDescent="0.25">
      <c r="B64" s="598" t="str">
        <f t="shared" si="5"/>
        <v xml:space="preserve">Street Lighting </v>
      </c>
      <c r="C64" s="692" t="s">
        <v>82</v>
      </c>
      <c r="D64" s="692">
        <v>4025</v>
      </c>
      <c r="E64" s="712">
        <v>4705</v>
      </c>
      <c r="F64" s="713">
        <f>ROUND(('[3]19COP-Z'!D20),4)</f>
        <v>7646176.3585000001</v>
      </c>
      <c r="G64" s="719">
        <f t="shared" si="8"/>
        <v>9.3899999999999997E-2</v>
      </c>
      <c r="H64" s="715"/>
      <c r="I64" s="716"/>
      <c r="J64" s="717">
        <f t="shared" si="7"/>
        <v>717975.96</v>
      </c>
      <c r="K64" s="713">
        <f>ROUND(('[3]20COP-Z'!D20),4)</f>
        <v>7563243.4494000003</v>
      </c>
      <c r="L64" s="720">
        <f t="shared" si="9"/>
        <v>9.3899999999999997E-2</v>
      </c>
      <c r="M64" s="715"/>
      <c r="N64" s="716"/>
      <c r="O64" s="717">
        <f t="shared" si="6"/>
        <v>710188.56</v>
      </c>
    </row>
    <row r="65" spans="2:24" s="578" customFormat="1" ht="17.25" customHeight="1" x14ac:dyDescent="0.25">
      <c r="B65" s="598" t="str">
        <f t="shared" si="5"/>
        <v>other</v>
      </c>
      <c r="C65" s="692" t="s">
        <v>82</v>
      </c>
      <c r="D65" s="692">
        <v>4025</v>
      </c>
      <c r="E65" s="712">
        <v>4705</v>
      </c>
      <c r="F65" s="713"/>
      <c r="G65" s="719">
        <f t="shared" si="8"/>
        <v>9.3899999999999997E-2</v>
      </c>
      <c r="H65" s="715"/>
      <c r="I65" s="716"/>
      <c r="J65" s="717">
        <f t="shared" si="7"/>
        <v>0</v>
      </c>
      <c r="K65" s="713"/>
      <c r="L65" s="720">
        <f t="shared" si="9"/>
        <v>9.3899999999999997E-2</v>
      </c>
      <c r="M65" s="715"/>
      <c r="N65" s="716"/>
      <c r="O65" s="717">
        <f t="shared" si="6"/>
        <v>0</v>
      </c>
    </row>
    <row r="66" spans="2:24" s="578" customFormat="1" ht="17.25" customHeight="1" x14ac:dyDescent="0.25">
      <c r="B66" s="598" t="str">
        <f t="shared" si="5"/>
        <v>other</v>
      </c>
      <c r="C66" s="692" t="s">
        <v>82</v>
      </c>
      <c r="D66" s="692">
        <v>4025</v>
      </c>
      <c r="E66" s="712">
        <v>4705</v>
      </c>
      <c r="F66" s="713"/>
      <c r="G66" s="719">
        <f t="shared" si="8"/>
        <v>9.3899999999999997E-2</v>
      </c>
      <c r="H66" s="715"/>
      <c r="I66" s="716"/>
      <c r="J66" s="717">
        <f t="shared" si="7"/>
        <v>0</v>
      </c>
      <c r="K66" s="713"/>
      <c r="L66" s="720">
        <f t="shared" si="9"/>
        <v>9.3899999999999997E-2</v>
      </c>
      <c r="M66" s="715"/>
      <c r="N66" s="716"/>
      <c r="O66" s="717">
        <f t="shared" si="6"/>
        <v>0</v>
      </c>
    </row>
    <row r="67" spans="2:24" s="578" customFormat="1" ht="18" customHeight="1" x14ac:dyDescent="0.25">
      <c r="B67" s="607" t="s">
        <v>102</v>
      </c>
      <c r="C67" s="721"/>
      <c r="D67" s="722"/>
      <c r="E67" s="723"/>
      <c r="F67" s="724">
        <f>SUM(F58:F66)</f>
        <v>1532093618.9089</v>
      </c>
      <c r="G67" s="725"/>
      <c r="H67" s="726"/>
      <c r="I67" s="727"/>
      <c r="J67" s="728">
        <f>SUM(J58:J66)</f>
        <v>143863590.82000002</v>
      </c>
      <c r="K67" s="724">
        <f>SUM(K58:K66)</f>
        <v>1518429002.3805001</v>
      </c>
      <c r="L67" s="729"/>
      <c r="M67" s="726"/>
      <c r="N67" s="727"/>
      <c r="O67" s="728">
        <f>SUM(O58:O66)</f>
        <v>142580483.32000002</v>
      </c>
    </row>
    <row r="68" spans="2:24" s="578" customFormat="1" x14ac:dyDescent="0.25">
      <c r="C68" s="730"/>
      <c r="D68" s="730"/>
      <c r="E68" s="730"/>
      <c r="F68" s="731"/>
      <c r="G68" s="730"/>
      <c r="H68" s="730"/>
      <c r="I68" s="730"/>
      <c r="J68" s="730"/>
      <c r="K68" s="730"/>
      <c r="L68" s="730"/>
      <c r="M68" s="730"/>
      <c r="N68" s="730"/>
      <c r="O68" s="730"/>
    </row>
    <row r="69" spans="2:24" s="578" customFormat="1" x14ac:dyDescent="0.25">
      <c r="F69" s="732"/>
    </row>
    <row r="70" spans="2:24" s="578" customFormat="1" ht="15.5" x14ac:dyDescent="0.25">
      <c r="B70" s="699" t="s">
        <v>29</v>
      </c>
      <c r="F70" s="700">
        <v>2019</v>
      </c>
      <c r="G70" s="700"/>
      <c r="H70" s="700"/>
      <c r="I70" s="700"/>
      <c r="J70" s="700"/>
      <c r="K70" s="700">
        <v>2020</v>
      </c>
      <c r="L70" s="700"/>
      <c r="M70" s="700"/>
      <c r="N70" s="700"/>
      <c r="O70" s="700"/>
    </row>
    <row r="71" spans="2:24" s="578" customFormat="1" ht="13" x14ac:dyDescent="0.25">
      <c r="B71" s="607" t="s">
        <v>415</v>
      </c>
      <c r="C71" s="701"/>
      <c r="D71" s="701" t="s">
        <v>416</v>
      </c>
      <c r="E71" s="702" t="s">
        <v>417</v>
      </c>
      <c r="F71" s="703" t="s">
        <v>369</v>
      </c>
      <c r="G71" s="703"/>
      <c r="H71" s="733"/>
      <c r="I71" s="734"/>
      <c r="J71" s="703"/>
      <c r="K71" s="703"/>
      <c r="L71" s="703"/>
      <c r="M71" s="733"/>
      <c r="N71" s="734"/>
      <c r="O71" s="703"/>
    </row>
    <row r="72" spans="2:24" s="578" customFormat="1" x14ac:dyDescent="0.25">
      <c r="B72" s="705" t="s">
        <v>424</v>
      </c>
      <c r="C72" s="706" t="s">
        <v>425</v>
      </c>
      <c r="D72" s="706" t="s">
        <v>426</v>
      </c>
      <c r="E72" s="707" t="s">
        <v>426</v>
      </c>
      <c r="F72" s="708" t="s">
        <v>109</v>
      </c>
      <c r="G72" s="709" t="s">
        <v>428</v>
      </c>
      <c r="H72" s="735"/>
      <c r="I72" s="736"/>
      <c r="J72" s="709" t="s">
        <v>422</v>
      </c>
      <c r="K72" s="709" t="s">
        <v>109</v>
      </c>
      <c r="L72" s="709" t="s">
        <v>428</v>
      </c>
      <c r="M72" s="735"/>
      <c r="N72" s="736"/>
      <c r="O72" s="708" t="s">
        <v>422</v>
      </c>
    </row>
    <row r="73" spans="2:24" s="578" customFormat="1" ht="18" customHeight="1" x14ac:dyDescent="0.25">
      <c r="B73" s="598" t="str">
        <f t="shared" ref="B73:B81" si="10">+B18</f>
        <v>Residential</v>
      </c>
      <c r="C73" s="692" t="s">
        <v>82</v>
      </c>
      <c r="D73" s="692">
        <v>4006</v>
      </c>
      <c r="E73" s="712">
        <v>4705</v>
      </c>
      <c r="F73" s="737">
        <f>+F58</f>
        <v>679728169.41139996</v>
      </c>
      <c r="G73" s="738">
        <f>ROUND((J73/F73),4)</f>
        <v>9.3899999999999997E-2</v>
      </c>
      <c r="H73" s="735"/>
      <c r="I73" s="736"/>
      <c r="J73" s="717">
        <f>+J58</f>
        <v>63826475.109999999</v>
      </c>
      <c r="K73" s="737">
        <f>+K58</f>
        <v>683896219.51489997</v>
      </c>
      <c r="L73" s="738">
        <f>ROUND((O73/K73),4)</f>
        <v>9.3899999999999997E-2</v>
      </c>
      <c r="M73" s="735"/>
      <c r="N73" s="736"/>
      <c r="O73" s="717">
        <f>+O58</f>
        <v>64217855.009999998</v>
      </c>
      <c r="Q73" s="739"/>
      <c r="R73" s="739"/>
      <c r="S73" s="739"/>
      <c r="T73" s="739"/>
      <c r="U73" s="739"/>
      <c r="V73" s="739"/>
      <c r="W73" s="739"/>
      <c r="X73" s="739"/>
    </row>
    <row r="74" spans="2:24" s="578" customFormat="1" ht="18" customHeight="1" x14ac:dyDescent="0.25">
      <c r="B74" s="598" t="str">
        <f t="shared" si="10"/>
        <v>General Service &lt; 50 kW</v>
      </c>
      <c r="C74" s="692" t="s">
        <v>82</v>
      </c>
      <c r="D74" s="692">
        <v>4035</v>
      </c>
      <c r="E74" s="712">
        <v>4705</v>
      </c>
      <c r="F74" s="737">
        <f>+F59</f>
        <v>238008971.87470001</v>
      </c>
      <c r="G74" s="738">
        <f t="shared" ref="G74:G79" si="11">ROUND((J74/F74),4)</f>
        <v>9.3899999999999997E-2</v>
      </c>
      <c r="H74" s="735"/>
      <c r="I74" s="736"/>
      <c r="J74" s="717">
        <f>+J59</f>
        <v>22349042.460000001</v>
      </c>
      <c r="K74" s="737">
        <f>+K59</f>
        <v>236947426.3003</v>
      </c>
      <c r="L74" s="738">
        <f t="shared" ref="L74:L79" si="12">ROUND((O74/K74),4)</f>
        <v>9.3899999999999997E-2</v>
      </c>
      <c r="M74" s="735"/>
      <c r="N74" s="736"/>
      <c r="O74" s="717">
        <f t="shared" ref="O74:O81" si="13">+O59</f>
        <v>22249363.329999998</v>
      </c>
      <c r="Q74" s="739"/>
      <c r="R74" s="739"/>
      <c r="S74" s="739"/>
      <c r="T74" s="739"/>
      <c r="U74" s="739"/>
      <c r="V74" s="739"/>
      <c r="W74" s="739"/>
      <c r="X74" s="739"/>
    </row>
    <row r="75" spans="2:24" s="578" customFormat="1" ht="18" customHeight="1" x14ac:dyDescent="0.25">
      <c r="B75" s="598" t="str">
        <f t="shared" si="10"/>
        <v>General Service 50 to 2999 kW</v>
      </c>
      <c r="C75" s="692" t="s">
        <v>82</v>
      </c>
      <c r="D75" s="692">
        <v>4035</v>
      </c>
      <c r="E75" s="712">
        <v>4705</v>
      </c>
      <c r="F75" s="737">
        <f>+F60</f>
        <v>0</v>
      </c>
      <c r="G75" s="738"/>
      <c r="H75" s="735"/>
      <c r="I75" s="736"/>
      <c r="J75" s="717">
        <f>+J60</f>
        <v>0</v>
      </c>
      <c r="K75" s="737">
        <v>0</v>
      </c>
      <c r="L75" s="738"/>
      <c r="M75" s="735"/>
      <c r="N75" s="736"/>
      <c r="O75" s="717">
        <v>0</v>
      </c>
      <c r="Q75" s="739"/>
      <c r="R75" s="739"/>
      <c r="S75" s="739"/>
      <c r="T75" s="739"/>
      <c r="U75" s="739"/>
      <c r="V75" s="739"/>
      <c r="W75" s="739"/>
      <c r="X75" s="739"/>
    </row>
    <row r="76" spans="2:24" s="578" customFormat="1" ht="18" customHeight="1" x14ac:dyDescent="0.25">
      <c r="B76" s="598" t="str">
        <f t="shared" si="10"/>
        <v>General Service 3000-4999 kW</v>
      </c>
      <c r="C76" s="692" t="s">
        <v>82</v>
      </c>
      <c r="D76" s="692">
        <v>4035</v>
      </c>
      <c r="E76" s="712">
        <v>4705</v>
      </c>
      <c r="F76" s="737">
        <f>ROUND((F51+F61),4)</f>
        <v>812462282.57869995</v>
      </c>
      <c r="G76" s="738">
        <f>J76/F76</f>
        <v>9.1610165611337516E-2</v>
      </c>
      <c r="H76" s="735"/>
      <c r="I76" s="736"/>
      <c r="J76" s="717">
        <f>ROUND((J51+J61),2)</f>
        <v>74429804.260000005</v>
      </c>
      <c r="K76" s="737">
        <f>+K51+K61</f>
        <v>796949234.61470008</v>
      </c>
      <c r="L76" s="738">
        <f>O76/K76</f>
        <v>9.1546284896393396E-2</v>
      </c>
      <c r="M76" s="735"/>
      <c r="N76" s="736"/>
      <c r="O76" s="717">
        <f>+O51+O61</f>
        <v>72957741.679999992</v>
      </c>
      <c r="Q76" s="739"/>
      <c r="R76" s="739"/>
      <c r="S76" s="739"/>
      <c r="T76" s="739"/>
      <c r="U76" s="739"/>
      <c r="V76" s="739"/>
      <c r="W76" s="739"/>
      <c r="X76" s="739"/>
    </row>
    <row r="77" spans="2:24" s="578" customFormat="1" ht="18" customHeight="1" x14ac:dyDescent="0.25">
      <c r="B77" s="598" t="str">
        <f t="shared" si="10"/>
        <v>Unmetered Scattered Load</v>
      </c>
      <c r="C77" s="692" t="s">
        <v>82</v>
      </c>
      <c r="D77" s="692">
        <v>4035</v>
      </c>
      <c r="E77" s="712">
        <v>4705</v>
      </c>
      <c r="F77" s="737">
        <f t="shared" ref="F77:F81" si="14">+F62</f>
        <v>4234881.3870000001</v>
      </c>
      <c r="G77" s="738">
        <f t="shared" si="11"/>
        <v>9.3899999999999997E-2</v>
      </c>
      <c r="H77" s="735"/>
      <c r="I77" s="736"/>
      <c r="J77" s="717">
        <f>+J62</f>
        <v>397655.36</v>
      </c>
      <c r="K77" s="737">
        <f t="shared" ref="K77:K81" si="15">+K62</f>
        <v>4319662.3794</v>
      </c>
      <c r="L77" s="738">
        <f t="shared" si="12"/>
        <v>9.3899999999999997E-2</v>
      </c>
      <c r="M77" s="735"/>
      <c r="N77" s="736"/>
      <c r="O77" s="717">
        <f t="shared" si="13"/>
        <v>405616.3</v>
      </c>
      <c r="Q77" s="739"/>
      <c r="R77" s="739"/>
      <c r="S77" s="739"/>
      <c r="T77" s="739"/>
      <c r="U77" s="739"/>
      <c r="V77" s="739"/>
      <c r="W77" s="739"/>
      <c r="X77" s="739"/>
    </row>
    <row r="78" spans="2:24" s="578" customFormat="1" ht="18" customHeight="1" x14ac:dyDescent="0.25">
      <c r="B78" s="598" t="str">
        <f t="shared" si="10"/>
        <v>Large User</v>
      </c>
      <c r="C78" s="692" t="s">
        <v>82</v>
      </c>
      <c r="D78" s="692">
        <v>4020</v>
      </c>
      <c r="E78" s="712">
        <v>4705</v>
      </c>
      <c r="F78" s="737">
        <f>+F52+F63</f>
        <v>34219938.542199999</v>
      </c>
      <c r="G78" s="738">
        <f>J78/F78</f>
        <v>2.3877349136450843E-2</v>
      </c>
      <c r="H78" s="735"/>
      <c r="I78" s="736"/>
      <c r="J78" s="717">
        <f>+J52</f>
        <v>817081.42</v>
      </c>
      <c r="K78" s="737">
        <f>+K52+K63</f>
        <v>35092546.975000001</v>
      </c>
      <c r="L78" s="738">
        <f>O78/K78</f>
        <v>2.3857349271240804E-2</v>
      </c>
      <c r="M78" s="735"/>
      <c r="N78" s="736"/>
      <c r="O78" s="717">
        <f>+O52</f>
        <v>837215.15</v>
      </c>
      <c r="Q78" s="739"/>
      <c r="R78" s="739"/>
      <c r="S78" s="739"/>
      <c r="T78" s="739"/>
      <c r="U78" s="739"/>
      <c r="V78" s="739"/>
      <c r="W78" s="739"/>
      <c r="X78" s="739"/>
    </row>
    <row r="79" spans="2:24" s="578" customFormat="1" ht="18" customHeight="1" x14ac:dyDescent="0.25">
      <c r="B79" s="598" t="str">
        <f t="shared" si="10"/>
        <v xml:space="preserve">Street Lighting </v>
      </c>
      <c r="C79" s="692" t="s">
        <v>82</v>
      </c>
      <c r="D79" s="692">
        <v>4025</v>
      </c>
      <c r="E79" s="712">
        <v>4705</v>
      </c>
      <c r="F79" s="737">
        <f t="shared" si="14"/>
        <v>7646176.3585000001</v>
      </c>
      <c r="G79" s="738">
        <f t="shared" si="11"/>
        <v>9.3899999999999997E-2</v>
      </c>
      <c r="H79" s="735"/>
      <c r="I79" s="736"/>
      <c r="J79" s="717">
        <f>+J64</f>
        <v>717975.96</v>
      </c>
      <c r="K79" s="737">
        <f t="shared" si="15"/>
        <v>7563243.4494000003</v>
      </c>
      <c r="L79" s="738">
        <f t="shared" si="12"/>
        <v>9.3899999999999997E-2</v>
      </c>
      <c r="M79" s="735"/>
      <c r="N79" s="736"/>
      <c r="O79" s="717">
        <f t="shared" si="13"/>
        <v>710188.56</v>
      </c>
      <c r="Q79" s="739"/>
      <c r="R79" s="739"/>
      <c r="S79" s="739"/>
      <c r="T79" s="739"/>
      <c r="U79" s="739"/>
      <c r="V79" s="739"/>
      <c r="W79" s="739"/>
      <c r="X79" s="739"/>
    </row>
    <row r="80" spans="2:24" s="578" customFormat="1" ht="18" customHeight="1" x14ac:dyDescent="0.25">
      <c r="B80" s="598" t="str">
        <f t="shared" si="10"/>
        <v>other</v>
      </c>
      <c r="C80" s="692" t="s">
        <v>82</v>
      </c>
      <c r="D80" s="692">
        <v>4025</v>
      </c>
      <c r="E80" s="712">
        <v>4705</v>
      </c>
      <c r="F80" s="737">
        <f t="shared" si="14"/>
        <v>0</v>
      </c>
      <c r="G80" s="738"/>
      <c r="H80" s="735"/>
      <c r="I80" s="736"/>
      <c r="J80" s="717">
        <f>+J65</f>
        <v>0</v>
      </c>
      <c r="K80" s="737">
        <f t="shared" si="15"/>
        <v>0</v>
      </c>
      <c r="L80" s="738"/>
      <c r="M80" s="735"/>
      <c r="N80" s="736"/>
      <c r="O80" s="717">
        <f t="shared" si="13"/>
        <v>0</v>
      </c>
      <c r="Q80" s="739"/>
      <c r="R80" s="739"/>
      <c r="S80" s="739"/>
      <c r="T80" s="739"/>
      <c r="U80" s="739"/>
      <c r="V80" s="739"/>
      <c r="W80" s="739"/>
      <c r="X80" s="739"/>
    </row>
    <row r="81" spans="1:24" s="578" customFormat="1" ht="18" customHeight="1" x14ac:dyDescent="0.25">
      <c r="B81" s="598" t="str">
        <f t="shared" si="10"/>
        <v>other</v>
      </c>
      <c r="C81" s="692" t="s">
        <v>82</v>
      </c>
      <c r="D81" s="692">
        <v>4025</v>
      </c>
      <c r="E81" s="712">
        <v>4705</v>
      </c>
      <c r="F81" s="737">
        <f t="shared" si="14"/>
        <v>0</v>
      </c>
      <c r="G81" s="738"/>
      <c r="H81" s="735"/>
      <c r="I81" s="736"/>
      <c r="J81" s="717">
        <f>+J66</f>
        <v>0</v>
      </c>
      <c r="K81" s="737">
        <f t="shared" si="15"/>
        <v>0</v>
      </c>
      <c r="L81" s="738"/>
      <c r="M81" s="735"/>
      <c r="N81" s="736"/>
      <c r="O81" s="717">
        <f t="shared" si="13"/>
        <v>0</v>
      </c>
      <c r="Q81" s="739"/>
      <c r="R81" s="739"/>
      <c r="S81" s="739"/>
      <c r="T81" s="739"/>
      <c r="U81" s="739"/>
      <c r="V81" s="739"/>
      <c r="W81" s="739"/>
      <c r="X81" s="739"/>
    </row>
    <row r="82" spans="1:24" s="578" customFormat="1" ht="18" customHeight="1" x14ac:dyDescent="0.25">
      <c r="B82" s="607" t="s">
        <v>102</v>
      </c>
      <c r="C82" s="740"/>
      <c r="D82" s="701"/>
      <c r="E82" s="702"/>
      <c r="F82" s="724">
        <f>SUM(F73:F81)</f>
        <v>1776300420.1525002</v>
      </c>
      <c r="G82" s="725"/>
      <c r="H82" s="741"/>
      <c r="I82" s="742"/>
      <c r="J82" s="728">
        <f>SUM(J73:J81)</f>
        <v>162538034.56999999</v>
      </c>
      <c r="K82" s="724">
        <f>SUM(K73:K81)</f>
        <v>1764768333.2337</v>
      </c>
      <c r="L82" s="729"/>
      <c r="M82" s="741"/>
      <c r="N82" s="742"/>
      <c r="O82" s="728">
        <f>SUM(O73:O81)</f>
        <v>161377980.03</v>
      </c>
      <c r="Q82" s="739"/>
      <c r="R82" s="739"/>
      <c r="S82" s="739"/>
      <c r="T82" s="739"/>
      <c r="U82" s="739"/>
      <c r="V82" s="739"/>
      <c r="W82" s="739"/>
      <c r="X82" s="739"/>
    </row>
    <row r="83" spans="1:24" x14ac:dyDescent="0.25">
      <c r="H83" s="743"/>
    </row>
    <row r="84" spans="1:24" s="744" customFormat="1" ht="14.25" customHeight="1" x14ac:dyDescent="0.3">
      <c r="A84" s="555" t="s">
        <v>429</v>
      </c>
      <c r="G84" s="745"/>
      <c r="H84" s="745"/>
      <c r="I84" s="745"/>
      <c r="J84" s="745"/>
      <c r="K84" s="745"/>
      <c r="O84" s="746"/>
    </row>
    <row r="85" spans="1:24" ht="13" x14ac:dyDescent="0.3">
      <c r="A85" s="555" t="s">
        <v>430</v>
      </c>
      <c r="G85" s="747"/>
      <c r="H85" s="747"/>
      <c r="K85" s="747"/>
    </row>
    <row r="86" spans="1:24" x14ac:dyDescent="0.25">
      <c r="F86" s="748">
        <f>+F76*M21</f>
        <v>693140691.02369082</v>
      </c>
      <c r="G86" s="748">
        <f>+F86+'[3]20COP-Z'!B10</f>
        <v>712193720.05369079</v>
      </c>
      <c r="K86" s="555">
        <f>+K76*M21</f>
        <v>679905953.83500302</v>
      </c>
    </row>
    <row r="87" spans="1:24" ht="22.5" x14ac:dyDescent="0.9">
      <c r="K87" s="749">
        <f>+K86+'[3]20COP-Z'!B10</f>
        <v>698958982.86500299</v>
      </c>
    </row>
    <row r="88" spans="1:24" ht="22.5" x14ac:dyDescent="0.9">
      <c r="K88" s="749"/>
    </row>
    <row r="89" spans="1:24" x14ac:dyDescent="0.25">
      <c r="K89" s="750"/>
    </row>
    <row r="91" spans="1:24" x14ac:dyDescent="0.25">
      <c r="K91" s="743"/>
    </row>
  </sheetData>
  <mergeCells count="45">
    <mergeCell ref="F70:J70"/>
    <mergeCell ref="K70:O70"/>
    <mergeCell ref="H71:I82"/>
    <mergeCell ref="M71:N82"/>
    <mergeCell ref="C43:F43"/>
    <mergeCell ref="F49:J49"/>
    <mergeCell ref="K49:O49"/>
    <mergeCell ref="F55:J55"/>
    <mergeCell ref="K55:O55"/>
    <mergeCell ref="H57:I67"/>
    <mergeCell ref="M57:N67"/>
    <mergeCell ref="L35:L36"/>
    <mergeCell ref="C37:F37"/>
    <mergeCell ref="G37:G42"/>
    <mergeCell ref="L37:L39"/>
    <mergeCell ref="C38:F38"/>
    <mergeCell ref="C39:F39"/>
    <mergeCell ref="C40:F40"/>
    <mergeCell ref="C41:F41"/>
    <mergeCell ref="C42:F42"/>
    <mergeCell ref="D28:E28"/>
    <mergeCell ref="I32:J32"/>
    <mergeCell ref="C33:F33"/>
    <mergeCell ref="G33:H33"/>
    <mergeCell ref="I33:J33"/>
    <mergeCell ref="I35:J35"/>
    <mergeCell ref="D22:E22"/>
    <mergeCell ref="D23:E23"/>
    <mergeCell ref="D24:E24"/>
    <mergeCell ref="D25:E25"/>
    <mergeCell ref="D26:E26"/>
    <mergeCell ref="D27:E27"/>
    <mergeCell ref="D17:E17"/>
    <mergeCell ref="I17:K17"/>
    <mergeCell ref="D18:E18"/>
    <mergeCell ref="D19:E19"/>
    <mergeCell ref="D20:E20"/>
    <mergeCell ref="D21:E21"/>
    <mergeCell ref="A2:F3"/>
    <mergeCell ref="A10:O10"/>
    <mergeCell ref="D13:O13"/>
    <mergeCell ref="I15:K15"/>
    <mergeCell ref="L15:L16"/>
    <mergeCell ref="M15:N15"/>
    <mergeCell ref="D16:E16"/>
  </mergeCells>
  <conditionalFormatting sqref="B1">
    <cfRule type="expression" dxfId="0" priority="1" stopIfTrue="1">
      <formula>LEFT($C1,6)="Macros"</formula>
    </cfRule>
  </conditionalFormatting>
  <dataValidations count="2">
    <dataValidation type="list" allowBlank="1" showInputMessage="1" showErrorMessage="1" sqref="C58:C66 C73:C81" xr:uid="{6E4E6848-04B3-4367-A965-4A7F28655C53}">
      <formula1>"kWh, kW,Customer"</formula1>
    </dataValidation>
    <dataValidation allowBlank="1" showInputMessage="1" showErrorMessage="1" promptTitle="Date Format" prompt="E.g:  &quot;August 1, 2011&quot;" sqref="N7" xr:uid="{168135DE-B3D2-4686-BBB1-6023FACD3CBE}"/>
  </dataValidations>
  <pageMargins left="0.7" right="0.7" top="0.75" bottom="0.75" header="0.3" footer="0.3"/>
  <pageSetup scale="3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91"/>
  <sheetViews>
    <sheetView workbookViewId="0">
      <selection activeCell="N31" sqref="N31"/>
    </sheetView>
  </sheetViews>
  <sheetFormatPr defaultRowHeight="12.5" x14ac:dyDescent="0.25"/>
  <cols>
    <col min="1" max="1" width="8.54296875" bestFit="1" customWidth="1"/>
    <col min="2" max="3" width="18" style="11" customWidth="1"/>
    <col min="4" max="4" width="10.81640625" style="11" bestFit="1" customWidth="1"/>
    <col min="5" max="5" width="12.7265625" style="1" bestFit="1" customWidth="1"/>
    <col min="6" max="6" width="11.26953125" style="1" customWidth="1"/>
    <col min="7" max="15" width="14.7265625" style="1" customWidth="1"/>
    <col min="16" max="16" width="14.54296875" style="1" bestFit="1" customWidth="1"/>
    <col min="17" max="17" width="14.54296875" style="377" customWidth="1"/>
    <col min="18" max="19" width="12" bestFit="1" customWidth="1"/>
    <col min="20" max="21" width="11.1796875" bestFit="1" customWidth="1"/>
    <col min="22" max="23" width="10.1796875" bestFit="1" customWidth="1"/>
    <col min="24" max="25" width="12.7265625" bestFit="1" customWidth="1"/>
    <col min="26" max="26" width="6.26953125" bestFit="1" customWidth="1"/>
    <col min="27" max="27" width="12.7265625" bestFit="1" customWidth="1"/>
  </cols>
  <sheetData>
    <row r="1" spans="1:27" x14ac:dyDescent="0.25">
      <c r="B1" s="447"/>
      <c r="C1" s="447"/>
      <c r="D1" s="447"/>
      <c r="R1" s="1"/>
    </row>
    <row r="2" spans="1:27" ht="25" x14ac:dyDescent="0.25">
      <c r="B2" s="19" t="s">
        <v>41</v>
      </c>
      <c r="C2" s="19" t="s">
        <v>42</v>
      </c>
      <c r="D2" s="19" t="s">
        <v>43</v>
      </c>
      <c r="E2" s="33" t="s">
        <v>44</v>
      </c>
      <c r="F2" s="33"/>
      <c r="G2" s="34" t="s">
        <v>45</v>
      </c>
      <c r="H2" s="34" t="s">
        <v>46</v>
      </c>
      <c r="I2" s="34" t="s">
        <v>47</v>
      </c>
      <c r="J2" s="34" t="s">
        <v>48</v>
      </c>
      <c r="K2" s="34" t="s">
        <v>49</v>
      </c>
      <c r="L2" s="34" t="s">
        <v>50</v>
      </c>
      <c r="M2" s="34" t="s">
        <v>51</v>
      </c>
      <c r="P2" s="34" t="s">
        <v>52</v>
      </c>
      <c r="Q2" s="389" t="s">
        <v>53</v>
      </c>
      <c r="R2" s="34" t="s">
        <v>45</v>
      </c>
      <c r="S2" s="34" t="s">
        <v>46</v>
      </c>
      <c r="T2" s="34" t="s">
        <v>47</v>
      </c>
      <c r="U2" s="34" t="s">
        <v>48</v>
      </c>
      <c r="V2" s="34" t="s">
        <v>49</v>
      </c>
      <c r="W2" s="34" t="s">
        <v>50</v>
      </c>
      <c r="X2" s="34" t="s">
        <v>51</v>
      </c>
    </row>
    <row r="3" spans="1:27" x14ac:dyDescent="0.25">
      <c r="B3" s="447"/>
      <c r="C3" s="447"/>
      <c r="D3" s="447"/>
      <c r="Q3" s="389"/>
      <c r="R3" s="1"/>
    </row>
    <row r="4" spans="1:27" ht="13" thickBot="1" x14ac:dyDescent="0.3">
      <c r="A4" s="58"/>
      <c r="B4" s="359" t="s">
        <v>54</v>
      </c>
      <c r="C4" s="447"/>
      <c r="D4" s="447"/>
      <c r="Q4" s="1"/>
      <c r="R4" s="1"/>
    </row>
    <row r="5" spans="1:27" ht="13" thickBot="1" x14ac:dyDescent="0.3">
      <c r="B5" s="447"/>
      <c r="C5" s="447"/>
      <c r="D5" s="447"/>
      <c r="G5" s="374" t="s">
        <v>55</v>
      </c>
      <c r="H5" s="375"/>
      <c r="I5" s="375"/>
      <c r="J5" s="375"/>
      <c r="K5" s="375"/>
      <c r="L5" s="375"/>
      <c r="M5" s="376"/>
      <c r="Q5" s="1"/>
      <c r="R5" s="449" t="s">
        <v>56</v>
      </c>
      <c r="S5" s="450"/>
      <c r="T5" s="450"/>
      <c r="U5" s="450"/>
      <c r="V5" s="450"/>
      <c r="W5" s="450"/>
      <c r="X5" s="450"/>
      <c r="Y5" s="451"/>
    </row>
    <row r="6" spans="1:27" x14ac:dyDescent="0.25">
      <c r="A6">
        <v>2009</v>
      </c>
      <c r="B6" s="1">
        <f>ROUND((SUM(Power!B2:C13)),4)</f>
        <v>1839302872.6294999</v>
      </c>
      <c r="C6" s="1">
        <f>ROUND((Power!N149),4)</f>
        <v>1803793046.908</v>
      </c>
      <c r="D6" s="36"/>
      <c r="E6" s="37"/>
      <c r="F6" s="37"/>
      <c r="G6" s="1">
        <v>626869704</v>
      </c>
      <c r="H6" s="1">
        <v>230572826</v>
      </c>
      <c r="I6" s="1">
        <v>820920003</v>
      </c>
      <c r="K6" s="1">
        <v>79822385</v>
      </c>
      <c r="L6" s="1">
        <v>15920914</v>
      </c>
      <c r="M6" s="1">
        <v>3295401</v>
      </c>
      <c r="N6" s="1">
        <f t="shared" ref="N6:N15" si="0">ROUND((SUM(G6:M6)),4)</f>
        <v>1777401233</v>
      </c>
      <c r="Q6" s="1"/>
      <c r="R6" s="39"/>
    </row>
    <row r="7" spans="1:27" x14ac:dyDescent="0.25">
      <c r="A7">
        <v>2010</v>
      </c>
      <c r="B7" s="1">
        <f>ROUND((SUM(Power!B14:C25)),4)</f>
        <v>1896172479.9761</v>
      </c>
      <c r="C7" s="1">
        <f>ROUND((Power!N150),4)</f>
        <v>1840735382.2096</v>
      </c>
      <c r="D7" s="36"/>
      <c r="E7" s="37"/>
      <c r="F7" s="37"/>
      <c r="G7" s="1">
        <v>650651967</v>
      </c>
      <c r="H7" s="1">
        <v>236095929</v>
      </c>
      <c r="I7" s="1">
        <v>876884814</v>
      </c>
      <c r="K7" s="1">
        <v>46563626</v>
      </c>
      <c r="L7" s="1">
        <v>16035117</v>
      </c>
      <c r="M7" s="1">
        <v>3269039</v>
      </c>
      <c r="N7" s="1">
        <f t="shared" si="0"/>
        <v>1829500492</v>
      </c>
      <c r="Q7" s="1"/>
      <c r="R7" s="39"/>
    </row>
    <row r="8" spans="1:27" x14ac:dyDescent="0.25">
      <c r="A8">
        <v>2011</v>
      </c>
      <c r="B8" s="1">
        <f>ROUND((SUM(Power!B26:C37)),4)</f>
        <v>1897274570.3845999</v>
      </c>
      <c r="C8" s="1">
        <f>ROUND((Power!N151),4)</f>
        <v>1833864910.6591001</v>
      </c>
      <c r="D8" s="36"/>
      <c r="E8" s="37"/>
      <c r="F8" s="37"/>
      <c r="G8" s="1">
        <v>647280211</v>
      </c>
      <c r="H8" s="1">
        <v>240155523</v>
      </c>
      <c r="I8" s="1">
        <v>871254048</v>
      </c>
      <c r="K8" s="1">
        <v>56015269</v>
      </c>
      <c r="L8" s="1">
        <v>15857518</v>
      </c>
      <c r="M8" s="1">
        <v>3318783</v>
      </c>
      <c r="N8" s="1">
        <f t="shared" si="0"/>
        <v>1833881352</v>
      </c>
      <c r="Q8" s="1">
        <v>1778274</v>
      </c>
      <c r="R8" s="39"/>
    </row>
    <row r="9" spans="1:27" x14ac:dyDescent="0.25">
      <c r="A9">
        <v>2012</v>
      </c>
      <c r="B9" s="1">
        <f>ROUND((SUM(Power!B38:C49)),4)</f>
        <v>1887430252.5181</v>
      </c>
      <c r="C9" s="1">
        <f>ROUND((Power!N152),4)</f>
        <v>1829625336.9437001</v>
      </c>
      <c r="D9" s="36"/>
      <c r="E9" s="37"/>
      <c r="F9" s="37"/>
      <c r="G9" s="1">
        <v>644467300</v>
      </c>
      <c r="H9" s="1">
        <v>240981970</v>
      </c>
      <c r="I9" s="1">
        <f>850788483-P9-J9</f>
        <v>835716635.9368</v>
      </c>
      <c r="J9" s="1">
        <v>12532788</v>
      </c>
      <c r="K9" s="1">
        <v>69356376</v>
      </c>
      <c r="L9" s="1">
        <v>15943501</v>
      </c>
      <c r="M9" s="1">
        <v>3696460</v>
      </c>
      <c r="N9" s="1">
        <f t="shared" si="0"/>
        <v>1822695030.9368</v>
      </c>
      <c r="P9" s="1">
        <v>2539059.0631999997</v>
      </c>
      <c r="Q9" s="1">
        <v>1848119.1</v>
      </c>
      <c r="R9" s="39"/>
    </row>
    <row r="10" spans="1:27" x14ac:dyDescent="0.25">
      <c r="A10">
        <v>2013</v>
      </c>
      <c r="B10" s="1">
        <f>ROUND((SUM(Power!B50:C61)),4)</f>
        <v>1871565173.3492</v>
      </c>
      <c r="C10" s="1">
        <f>ROUND((Power!N153),4)</f>
        <v>1825921159.9988999</v>
      </c>
      <c r="D10" s="36"/>
      <c r="E10" s="37"/>
      <c r="F10" s="37"/>
      <c r="G10" s="1">
        <v>640344406.68604648</v>
      </c>
      <c r="H10" s="1">
        <v>241162381.78294572</v>
      </c>
      <c r="I10" s="1">
        <f>823562781.12-P10-J10</f>
        <v>799792369.75919998</v>
      </c>
      <c r="J10" s="1">
        <v>5958678</v>
      </c>
      <c r="K10" s="1">
        <v>88505648.025465026</v>
      </c>
      <c r="L10" s="1">
        <v>15982944.980620153</v>
      </c>
      <c r="M10" s="1">
        <v>3704154.0019379845</v>
      </c>
      <c r="N10" s="1">
        <f t="shared" si="0"/>
        <v>1795450583.2362001</v>
      </c>
      <c r="P10" s="1">
        <v>17811733.360799998</v>
      </c>
      <c r="Q10" s="1">
        <v>2265734.4722756413</v>
      </c>
      <c r="R10" s="1"/>
      <c r="Z10" s="48" t="s">
        <v>57</v>
      </c>
    </row>
    <row r="11" spans="1:27" x14ac:dyDescent="0.25">
      <c r="A11">
        <v>2014</v>
      </c>
      <c r="B11" s="1">
        <f>ROUND((SUM(Power!B62:C73)),4)</f>
        <v>1853832795.8131001</v>
      </c>
      <c r="C11" s="1">
        <f>ROUND((Power!N154),4)</f>
        <v>1806274832.6217</v>
      </c>
      <c r="D11" s="36"/>
      <c r="E11" s="37"/>
      <c r="F11" s="37"/>
      <c r="G11" s="1">
        <v>637186639.75172198</v>
      </c>
      <c r="H11" s="1">
        <v>242185854.43488768</v>
      </c>
      <c r="I11" s="1">
        <f>840637054.2-P11-J11</f>
        <v>797257776.23199999</v>
      </c>
      <c r="J11" s="1">
        <v>26304004.096999999</v>
      </c>
      <c r="K11" s="1">
        <v>63442910.469046049</v>
      </c>
      <c r="L11" s="1">
        <v>16039251.399241911</v>
      </c>
      <c r="M11" s="1">
        <v>4039940.43</v>
      </c>
      <c r="N11" s="1">
        <f t="shared" si="0"/>
        <v>1786456376.8139</v>
      </c>
      <c r="P11" s="1">
        <v>17075273.870999999</v>
      </c>
      <c r="Q11" s="1">
        <v>1773574.8000467035</v>
      </c>
      <c r="R11" s="1">
        <f t="shared" ref="R11:X11" si="1">(+G11/$N11*$C11)</f>
        <v>644255413.12068725</v>
      </c>
      <c r="S11" s="1">
        <f t="shared" si="1"/>
        <v>244872597.70815602</v>
      </c>
      <c r="T11" s="1">
        <f t="shared" si="1"/>
        <v>806102334.7730031</v>
      </c>
      <c r="U11" s="1">
        <f t="shared" si="1"/>
        <v>26595813.485424206</v>
      </c>
      <c r="V11" s="1">
        <f t="shared" si="1"/>
        <v>64146728.672371812</v>
      </c>
      <c r="W11" s="1">
        <f t="shared" si="1"/>
        <v>16217186.443820493</v>
      </c>
      <c r="X11" s="1">
        <f t="shared" si="1"/>
        <v>4084758.4182348396</v>
      </c>
      <c r="Y11" s="72">
        <f>SUM(R11:X11)</f>
        <v>1806274832.6216977</v>
      </c>
      <c r="Z11" s="14">
        <f>ROUND((+Y11-C11),2)</f>
        <v>0</v>
      </c>
      <c r="AA11" s="1">
        <f>(+P11/$N11*$C11)</f>
        <v>17264702.263996661</v>
      </c>
    </row>
    <row r="12" spans="1:27" x14ac:dyDescent="0.25">
      <c r="A12">
        <v>2015</v>
      </c>
      <c r="B12" s="1">
        <f>ROUND((SUM(Power!B74:C85)),4)</f>
        <v>1814066750.4028001</v>
      </c>
      <c r="C12" s="1">
        <f>ROUND((Power!N155),4)</f>
        <v>1809377410.0093999</v>
      </c>
      <c r="D12" s="36"/>
      <c r="E12" s="37"/>
      <c r="F12" s="37"/>
      <c r="G12" s="1">
        <v>635723826.94000006</v>
      </c>
      <c r="H12" s="1">
        <v>237964967.00999999</v>
      </c>
      <c r="I12" s="1">
        <f>832883576.37-P12-J12</f>
        <v>791055891.19650006</v>
      </c>
      <c r="J12" s="1">
        <v>25137315.489200003</v>
      </c>
      <c r="K12" s="1">
        <v>35769405.710000001</v>
      </c>
      <c r="L12" s="1">
        <v>16203415.84</v>
      </c>
      <c r="M12" s="1">
        <v>3943092</v>
      </c>
      <c r="N12" s="1">
        <f t="shared" si="0"/>
        <v>1745797914.1856999</v>
      </c>
      <c r="P12" s="1">
        <v>16690369.684300002</v>
      </c>
      <c r="Q12" s="1">
        <v>1590620.6375000002</v>
      </c>
      <c r="R12" s="1">
        <f t="shared" ref="R12:R15" si="2">(+G12/$N12*$C12)</f>
        <v>658875991.38671446</v>
      </c>
      <c r="S12" s="1">
        <f t="shared" ref="S12:S15" si="3">(+H12/$N12*$C12)</f>
        <v>246631315.21861053</v>
      </c>
      <c r="T12" s="1">
        <f t="shared" ref="T12:T15" si="4">(+I12/$N12*$C12)</f>
        <v>819865030.17069817</v>
      </c>
      <c r="U12" s="1">
        <f t="shared" ref="U12:U15" si="5">(+J12/$N12*$C12)</f>
        <v>26052781.037748378</v>
      </c>
      <c r="V12" s="1">
        <f t="shared" ref="V12:V15" si="6">(+K12/$N12*$C12)</f>
        <v>37072076.977089897</v>
      </c>
      <c r="W12" s="1">
        <f t="shared" ref="W12:W15" si="7">(+L12/$N12*$C12)</f>
        <v>16793521.373611819</v>
      </c>
      <c r="X12" s="1">
        <f t="shared" ref="X12:X15" si="8">(+M12/$N12*$C12)</f>
        <v>4086693.844926822</v>
      </c>
      <c r="Y12" s="72">
        <f t="shared" ref="Y12:Y15" si="9">SUM(R12:X12)</f>
        <v>1809377410.0094001</v>
      </c>
      <c r="Z12" s="14">
        <f>+Y12-C12</f>
        <v>0</v>
      </c>
      <c r="AA12" s="1">
        <f t="shared" ref="AA12:AA15" si="10">(+P12/$N12*$C12)</f>
        <v>17298209.389581081</v>
      </c>
    </row>
    <row r="13" spans="1:27" x14ac:dyDescent="0.25">
      <c r="A13">
        <v>2016</v>
      </c>
      <c r="B13" s="1">
        <f>ROUND((SUM(Power!B86:C97)),4)</f>
        <v>1820106481.6701</v>
      </c>
      <c r="C13" s="1">
        <f>ROUND((Power!N156),4)</f>
        <v>1829635952.0555999</v>
      </c>
      <c r="D13" s="36"/>
      <c r="E13" s="37"/>
      <c r="F13" s="37"/>
      <c r="G13" s="1">
        <v>650672519.71179998</v>
      </c>
      <c r="H13" s="1">
        <v>239091360.5415</v>
      </c>
      <c r="I13" s="1">
        <f>826940979.11-P13-J13</f>
        <v>788651342.46179998</v>
      </c>
      <c r="J13" s="1">
        <v>21447565.479899999</v>
      </c>
      <c r="K13" s="1">
        <v>28906567.2128</v>
      </c>
      <c r="L13" s="1">
        <v>16260856.581</v>
      </c>
      <c r="M13" s="1">
        <v>3917912</v>
      </c>
      <c r="N13" s="1">
        <f t="shared" si="0"/>
        <v>1748948123.9888</v>
      </c>
      <c r="P13" s="1">
        <v>16842071.168299999</v>
      </c>
      <c r="Q13" s="1">
        <v>1495632.5175000001</v>
      </c>
      <c r="R13" s="1">
        <f t="shared" si="2"/>
        <v>680691335.98095155</v>
      </c>
      <c r="S13" s="1">
        <f t="shared" si="3"/>
        <v>250121855.00101054</v>
      </c>
      <c r="T13" s="1">
        <f t="shared" si="4"/>
        <v>825035820.11004388</v>
      </c>
      <c r="U13" s="1">
        <f t="shared" si="5"/>
        <v>22437050.217701569</v>
      </c>
      <c r="V13" s="1">
        <f t="shared" si="6"/>
        <v>30240173.449186426</v>
      </c>
      <c r="W13" s="1">
        <f t="shared" si="7"/>
        <v>17011052.188308373</v>
      </c>
      <c r="X13" s="1">
        <f t="shared" si="8"/>
        <v>4098665.1083974428</v>
      </c>
      <c r="Y13" s="72">
        <f t="shared" si="9"/>
        <v>1829635952.0555999</v>
      </c>
      <c r="Z13" s="14">
        <f>+Y13-C13</f>
        <v>0</v>
      </c>
      <c r="AA13" s="1">
        <f t="shared" si="10"/>
        <v>17619081.145941451</v>
      </c>
    </row>
    <row r="14" spans="1:27" x14ac:dyDescent="0.25">
      <c r="A14">
        <v>2017</v>
      </c>
      <c r="B14" s="1">
        <f>ROUND((SUM(Power!B98:C109)),4)</f>
        <v>1765515469.1642001</v>
      </c>
      <c r="C14" s="1">
        <f>ROUND((Power!N157),4)</f>
        <v>1777413215.0747001</v>
      </c>
      <c r="D14" s="36"/>
      <c r="E14" s="37"/>
      <c r="F14" s="37"/>
      <c r="G14" s="1">
        <v>621996671.49440002</v>
      </c>
      <c r="H14" s="1">
        <v>232588463.34630001</v>
      </c>
      <c r="I14" s="1">
        <f>804219318.22-P14-J14</f>
        <v>686659318.3721</v>
      </c>
      <c r="J14" s="1">
        <v>101928298.7033</v>
      </c>
      <c r="K14" s="1">
        <v>31425633.769499999</v>
      </c>
      <c r="L14" s="1">
        <v>14867141.069</v>
      </c>
      <c r="M14" s="1">
        <v>3907712</v>
      </c>
      <c r="N14" s="1">
        <f t="shared" si="0"/>
        <v>1693373238.7546</v>
      </c>
      <c r="P14" s="1">
        <v>15631701.144599998</v>
      </c>
      <c r="Q14" s="1">
        <v>1477939.6539999999</v>
      </c>
      <c r="R14" s="1">
        <f t="shared" si="2"/>
        <v>652865581.16372645</v>
      </c>
      <c r="S14" s="1">
        <f t="shared" si="3"/>
        <v>244131535.18929622</v>
      </c>
      <c r="T14" s="1">
        <f t="shared" si="4"/>
        <v>720737353.5832907</v>
      </c>
      <c r="U14" s="1">
        <f t="shared" si="5"/>
        <v>106986871.50540319</v>
      </c>
      <c r="V14" s="1">
        <f t="shared" si="6"/>
        <v>32985248.305380616</v>
      </c>
      <c r="W14" s="1">
        <f t="shared" si="7"/>
        <v>15604978.513688359</v>
      </c>
      <c r="X14" s="1">
        <f t="shared" si="8"/>
        <v>4101646.8139145607</v>
      </c>
      <c r="Y14" s="72">
        <f t="shared" si="9"/>
        <v>1777413215.0747001</v>
      </c>
      <c r="Z14" s="14">
        <f>+Y14-C14</f>
        <v>0</v>
      </c>
      <c r="AA14" s="1">
        <f>(+P14/$N14*$C14)</f>
        <v>16407482.74074783</v>
      </c>
    </row>
    <row r="15" spans="1:27" x14ac:dyDescent="0.25">
      <c r="A15">
        <v>2018</v>
      </c>
      <c r="B15" s="1">
        <f>ROUND((SUM(Power!B110:C121)),4)</f>
        <v>1857049843.3989</v>
      </c>
      <c r="C15" s="1">
        <f>ROUND((Power!N158),4)</f>
        <v>1835782988.3504</v>
      </c>
      <c r="D15" s="36"/>
      <c r="F15" s="37"/>
      <c r="G15" s="37">
        <v>680846102.83019996</v>
      </c>
      <c r="H15" s="37">
        <v>240602996.91260001</v>
      </c>
      <c r="I15" s="37">
        <f>839662732.86-P15-J15</f>
        <v>616139317.53429997</v>
      </c>
      <c r="J15" s="1">
        <v>208734455.96570003</v>
      </c>
      <c r="K15" s="37">
        <v>33369028.32</v>
      </c>
      <c r="L15" s="37">
        <v>7466579.3225999996</v>
      </c>
      <c r="M15" s="37">
        <v>4009942</v>
      </c>
      <c r="N15" s="1">
        <f t="shared" si="0"/>
        <v>1791168422.8854001</v>
      </c>
      <c r="P15" s="37">
        <v>14788959.359999998</v>
      </c>
      <c r="Q15" s="1">
        <v>1158032.5540200002</v>
      </c>
      <c r="R15" s="1">
        <f t="shared" si="2"/>
        <v>697804671.6829133</v>
      </c>
      <c r="S15" s="1">
        <f t="shared" si="3"/>
        <v>246595955.48627803</v>
      </c>
      <c r="T15" s="1">
        <f t="shared" si="4"/>
        <v>631486164.63503921</v>
      </c>
      <c r="U15" s="1">
        <f t="shared" si="5"/>
        <v>213933630.38810369</v>
      </c>
      <c r="V15" s="1">
        <f t="shared" si="6"/>
        <v>34200186.730043799</v>
      </c>
      <c r="W15" s="1">
        <f t="shared" si="7"/>
        <v>7652557.473918194</v>
      </c>
      <c r="X15" s="1">
        <f t="shared" si="8"/>
        <v>4109821.9541037343</v>
      </c>
      <c r="Y15" s="72">
        <f t="shared" si="9"/>
        <v>1835782988.3504002</v>
      </c>
      <c r="Z15" s="14">
        <f>+Y15-C15</f>
        <v>0</v>
      </c>
      <c r="AA15" s="1">
        <f t="shared" si="10"/>
        <v>15157323.935377596</v>
      </c>
    </row>
    <row r="16" spans="1:27" x14ac:dyDescent="0.25">
      <c r="A16">
        <v>2019</v>
      </c>
      <c r="B16" s="1"/>
      <c r="C16" s="58">
        <f>ROUND((Power!N159),4)</f>
        <v>1796143016.2227001</v>
      </c>
      <c r="D16" s="447"/>
      <c r="E16" s="1">
        <f>ROUND((C16/D18),4)</f>
        <v>1735344291.7491</v>
      </c>
      <c r="F16" s="37"/>
      <c r="Q16" s="1">
        <v>17746.760000000002</v>
      </c>
    </row>
    <row r="17" spans="1:17" x14ac:dyDescent="0.25">
      <c r="A17">
        <v>2020</v>
      </c>
      <c r="B17" s="1"/>
      <c r="C17" s="58">
        <f>ROUND((Power!N160),4)</f>
        <v>1798633194.0739</v>
      </c>
      <c r="D17" s="447"/>
      <c r="E17" s="1">
        <f>ROUND((C17/D18),4)</f>
        <v>1737750178.0734999</v>
      </c>
      <c r="F17" s="37"/>
    </row>
    <row r="18" spans="1:17" ht="13" x14ac:dyDescent="0.3">
      <c r="A18" s="41" t="s">
        <v>58</v>
      </c>
      <c r="B18" s="447"/>
      <c r="C18" s="447"/>
      <c r="D18" s="36">
        <v>1.0350355400727813</v>
      </c>
      <c r="F18" s="37"/>
      <c r="G18" s="37"/>
    </row>
    <row r="19" spans="1:17" x14ac:dyDescent="0.25">
      <c r="B19" s="447"/>
      <c r="C19" s="447"/>
      <c r="D19"/>
      <c r="E19"/>
      <c r="F19" s="37"/>
      <c r="G19" s="37"/>
    </row>
    <row r="20" spans="1:17" x14ac:dyDescent="0.25">
      <c r="B20" s="447"/>
      <c r="C20" s="447"/>
      <c r="D20" s="447"/>
      <c r="G20"/>
    </row>
    <row r="21" spans="1:17" ht="26" x14ac:dyDescent="0.3">
      <c r="B21" s="42"/>
      <c r="C21" s="1"/>
      <c r="D21" s="447"/>
      <c r="F21" s="266" t="s">
        <v>59</v>
      </c>
      <c r="G21" s="34" t="s">
        <v>45</v>
      </c>
      <c r="H21" s="34" t="s">
        <v>46</v>
      </c>
      <c r="I21" s="34" t="s">
        <v>47</v>
      </c>
      <c r="J21" s="34" t="s">
        <v>60</v>
      </c>
      <c r="K21" s="34" t="s">
        <v>49</v>
      </c>
      <c r="L21" s="34" t="s">
        <v>50</v>
      </c>
      <c r="M21" s="34" t="s">
        <v>51</v>
      </c>
      <c r="P21" s="34" t="s">
        <v>52</v>
      </c>
      <c r="Q21" s="378"/>
    </row>
    <row r="22" spans="1:17" x14ac:dyDescent="0.25">
      <c r="B22" s="447"/>
      <c r="C22" s="447"/>
      <c r="D22" s="447"/>
      <c r="F22">
        <f t="shared" ref="F22:F33" si="11">A6</f>
        <v>2009</v>
      </c>
      <c r="G22" s="1">
        <f>ROUND((G6/Customer!B4),4)</f>
        <v>8220.7029999999995</v>
      </c>
      <c r="H22" s="1">
        <f>ROUND((H6/Customer!C4),4)</f>
        <v>31285.322400000001</v>
      </c>
      <c r="I22" s="1">
        <f>ROUND((I6/Customer!D4),4)</f>
        <v>816835.82389999996</v>
      </c>
      <c r="K22" s="1">
        <f>ROUND((K6/Customer!F4),4)</f>
        <v>26607461.666700002</v>
      </c>
      <c r="L22" s="1">
        <f>ROUND((L6/Customer!G4),4)</f>
        <v>10264.9349</v>
      </c>
      <c r="M22" s="1">
        <f>ROUND((M6/Customer!H4),4)</f>
        <v>4033.5385999999999</v>
      </c>
    </row>
    <row r="23" spans="1:17" x14ac:dyDescent="0.25">
      <c r="B23" s="447"/>
      <c r="C23" s="447"/>
      <c r="D23" s="447"/>
      <c r="F23">
        <f t="shared" si="11"/>
        <v>2010</v>
      </c>
      <c r="G23" s="1">
        <f>ROUND((G7/Customer!B5),4)</f>
        <v>8394.8593000000001</v>
      </c>
      <c r="H23" s="1">
        <f>ROUND((H7/Customer!C5),4)</f>
        <v>31699.238600000001</v>
      </c>
      <c r="I23" s="1">
        <f>ROUND((I7/Customer!D5),4)</f>
        <v>886637.83010000002</v>
      </c>
      <c r="K23" s="1">
        <f>ROUND((K7/Customer!F5),4)</f>
        <v>46563626</v>
      </c>
      <c r="L23" s="1">
        <f>ROUND((L7/Customer!G5),4)</f>
        <v>10187.4949</v>
      </c>
      <c r="M23" s="1">
        <f>ROUND((M7/Customer!H5),4)</f>
        <v>4030.8742000000002</v>
      </c>
    </row>
    <row r="24" spans="1:17" x14ac:dyDescent="0.25">
      <c r="B24" s="447"/>
      <c r="C24" s="447"/>
      <c r="D24" s="447"/>
      <c r="F24">
        <f t="shared" si="11"/>
        <v>2011</v>
      </c>
      <c r="G24" s="1">
        <f>ROUND((G8/Customer!B6),4)</f>
        <v>8218.2832999999991</v>
      </c>
      <c r="H24" s="1">
        <f>ROUND((H8/Customer!C6),4)</f>
        <v>31859.315900000001</v>
      </c>
      <c r="I24" s="1">
        <f>ROUND((I8/Customer!D6),4)</f>
        <v>893593.89540000004</v>
      </c>
      <c r="K24" s="1">
        <f>ROUND((K8/Customer!F6),4)</f>
        <v>28007634.5</v>
      </c>
      <c r="L24" s="1">
        <f>ROUND((L8/Customer!G6),4)</f>
        <v>10113.213</v>
      </c>
      <c r="M24" s="1">
        <f>ROUND((M8/Customer!H6),4)</f>
        <v>3946.2341999999999</v>
      </c>
    </row>
    <row r="25" spans="1:17" x14ac:dyDescent="0.25">
      <c r="B25" s="447"/>
      <c r="C25" s="447"/>
      <c r="D25" s="447"/>
      <c r="F25">
        <f t="shared" si="11"/>
        <v>2012</v>
      </c>
      <c r="G25" s="1">
        <f>ROUND((G9/Customer!B7),4)</f>
        <v>8056.1433999999999</v>
      </c>
      <c r="H25" s="1">
        <f>ROUND((H9/Customer!C7),4)</f>
        <v>31521.5134</v>
      </c>
      <c r="I25" s="1">
        <f>ROUND((I9/Customer!D7),4)</f>
        <v>882488.52789999999</v>
      </c>
      <c r="J25" s="1">
        <f>ROUND((J9/Customer!E7),4)</f>
        <v>12532788</v>
      </c>
      <c r="K25" s="1">
        <f>ROUND((K9/Customer!F7),4)</f>
        <v>34678188</v>
      </c>
      <c r="L25" s="1">
        <f>ROUND((L9/Customer!G7),4)</f>
        <v>10135.728499999999</v>
      </c>
      <c r="M25" s="1">
        <f>ROUND((M9/Customer!H7),4)</f>
        <v>4254.9179999999997</v>
      </c>
      <c r="P25" s="1">
        <f>ROUND((P9/Customer!K7),4)</f>
        <v>634764.76580000005</v>
      </c>
    </row>
    <row r="26" spans="1:17" x14ac:dyDescent="0.25">
      <c r="B26" s="447"/>
      <c r="C26" s="447"/>
      <c r="D26" s="447"/>
      <c r="F26">
        <f t="shared" si="11"/>
        <v>2013</v>
      </c>
      <c r="G26" s="1">
        <f>ROUND((G10/Customer!B8),4)</f>
        <v>7915.9434000000001</v>
      </c>
      <c r="H26" s="1">
        <f>ROUND((H10/Customer!C8),4)</f>
        <v>31372.756799999999</v>
      </c>
      <c r="I26" s="1">
        <f>ROUND((I10/Customer!D8),4)</f>
        <v>846341.13199999998</v>
      </c>
      <c r="J26" s="1">
        <f>ROUND((J10/Customer!E8),4)</f>
        <v>5958678</v>
      </c>
      <c r="K26" s="1">
        <f>ROUND((K10/Customer!F8),4)</f>
        <v>29501882.6752</v>
      </c>
      <c r="L26" s="1">
        <f>ROUND((L10/Customer!G8),4)</f>
        <v>10304.929099999999</v>
      </c>
      <c r="M26" s="1">
        <f>ROUND((M10/Customer!H8),4)</f>
        <v>4391.4096</v>
      </c>
      <c r="P26" s="1">
        <f>ROUND((P10/Customer!K8),4)</f>
        <v>4452933.3402000004</v>
      </c>
    </row>
    <row r="27" spans="1:17" x14ac:dyDescent="0.25">
      <c r="B27" s="447"/>
      <c r="C27" s="447"/>
      <c r="D27" s="447"/>
      <c r="F27">
        <f t="shared" si="11"/>
        <v>2014</v>
      </c>
      <c r="G27" s="1">
        <f>ROUND((G11/Customer!B9),4)</f>
        <v>7783.0977000000003</v>
      </c>
      <c r="H27" s="1">
        <f>ROUND((H11/Customer!C9),4)</f>
        <v>31273.999800000001</v>
      </c>
      <c r="I27" s="1">
        <f>ROUND((I11/Customer!D9),4)</f>
        <v>849049.8149</v>
      </c>
      <c r="J27" s="1">
        <f>ROUND((J11/Customer!E9),4)</f>
        <v>26304004.096999999</v>
      </c>
      <c r="K27" s="1">
        <f>ROUND((K11/Customer!F9),4)</f>
        <v>31721455.234499998</v>
      </c>
      <c r="L27" s="1">
        <f>ROUND((L11/Customer!G9),4)</f>
        <v>9925.2793000000001</v>
      </c>
      <c r="M27" s="1">
        <f>ROUND((M11/Customer!H9),4)</f>
        <v>4607.8590999999997</v>
      </c>
      <c r="P27" s="1">
        <f>ROUND((P11/Customer!K9),4)</f>
        <v>4268818.4677999998</v>
      </c>
    </row>
    <row r="28" spans="1:17" x14ac:dyDescent="0.25">
      <c r="B28" s="447"/>
      <c r="C28" s="447"/>
      <c r="D28" s="447"/>
      <c r="F28">
        <f t="shared" si="11"/>
        <v>2015</v>
      </c>
      <c r="G28" s="1">
        <f>ROUND((G12/Customer!B10),4)</f>
        <v>7649.5538999999999</v>
      </c>
      <c r="H28" s="1">
        <f>ROUND((H12/Customer!C10),4)</f>
        <v>30523.982400000001</v>
      </c>
      <c r="I28" s="1">
        <f>ROUND((I12/Customer!D10),4)</f>
        <v>846954.91559999995</v>
      </c>
      <c r="J28" s="1">
        <f>ROUND((J12/Customer!E10),4)</f>
        <v>25137315.4892</v>
      </c>
      <c r="K28" s="1">
        <f>ROUND((K12/Customer!F10),4)</f>
        <v>35769405.710000001</v>
      </c>
      <c r="L28" s="1">
        <f>ROUND((L12/Customer!G10),4)</f>
        <v>9898.2381000000005</v>
      </c>
      <c r="M28" s="1">
        <f>ROUND((M12/Customer!H10),4)</f>
        <v>4425.4679999999998</v>
      </c>
      <c r="P28" s="1">
        <f>ROUND((P12/Customer!K10),4)</f>
        <v>4172592.4210999999</v>
      </c>
    </row>
    <row r="29" spans="1:17" x14ac:dyDescent="0.25">
      <c r="B29" s="447"/>
      <c r="C29" s="447"/>
      <c r="D29" s="447"/>
      <c r="F29">
        <f t="shared" si="11"/>
        <v>2016</v>
      </c>
      <c r="G29" s="1">
        <f>ROUND((G13/Customer!B11),4)</f>
        <v>7697.5337</v>
      </c>
      <c r="H29" s="1">
        <f>ROUND((H13/Customer!C11),4)</f>
        <v>30476.910199999998</v>
      </c>
      <c r="I29" s="1">
        <f>ROUND((I13/Customer!D11),4)</f>
        <v>843477.37159999995</v>
      </c>
      <c r="J29" s="1">
        <f>ROUND((J13/Customer!E11),4)</f>
        <v>21447565.479899999</v>
      </c>
      <c r="K29" s="1">
        <f>ROUND((K13/Customer!F11),4)</f>
        <v>28906567.2128</v>
      </c>
      <c r="L29" s="1">
        <f>ROUND((L13/Customer!G11),4)</f>
        <v>9837.1787999999997</v>
      </c>
      <c r="M29" s="1">
        <f>ROUND((M13/Customer!H11),4)</f>
        <v>4522.4071000000004</v>
      </c>
      <c r="P29" s="1">
        <f>ROUND((P13/Customer!K11),4)</f>
        <v>4210517.7921000002</v>
      </c>
    </row>
    <row r="30" spans="1:17" x14ac:dyDescent="0.25">
      <c r="B30" s="447"/>
      <c r="C30" s="447"/>
      <c r="D30" s="447"/>
      <c r="F30">
        <f t="shared" si="11"/>
        <v>2017</v>
      </c>
      <c r="G30" s="1">
        <f>ROUND((G14/Customer!B12),4)</f>
        <v>7227.1410999999998</v>
      </c>
      <c r="H30" s="1">
        <f>ROUND((H14/Customer!C12),4)</f>
        <v>29308.022099999998</v>
      </c>
      <c r="I30" s="1">
        <f>ROUND((I14/Customer!D12),4)</f>
        <v>758739.57830000005</v>
      </c>
      <c r="J30" s="1">
        <f>ROUND((J14/Customer!E12),4)</f>
        <v>3775122.1741999998</v>
      </c>
      <c r="K30" s="1">
        <f>ROUND((K14/Customer!F12),4)</f>
        <v>31425633.769499999</v>
      </c>
      <c r="L30" s="1">
        <f>ROUND((L14/Customer!G12),4)</f>
        <v>8766.0030000000006</v>
      </c>
      <c r="M30" s="1">
        <f>ROUND((M14/Customer!H12),4)</f>
        <v>4410.0954000000002</v>
      </c>
      <c r="P30" s="1">
        <f>ROUND((P14/Customer!K12),4)</f>
        <v>3907925.2862</v>
      </c>
    </row>
    <row r="31" spans="1:17" x14ac:dyDescent="0.25">
      <c r="B31" s="447"/>
      <c r="C31" s="447"/>
      <c r="D31" s="447"/>
      <c r="F31">
        <f t="shared" si="11"/>
        <v>2018</v>
      </c>
      <c r="G31" s="1">
        <f>ROUND((G15/Customer!B13),4)</f>
        <v>7790.4468999999999</v>
      </c>
      <c r="H31" s="1">
        <f>ROUND((H15/Customer!C13),4)</f>
        <v>30139.420900000001</v>
      </c>
      <c r="I31" s="1">
        <f>ROUND((I15/Customer!D13),4)</f>
        <v>676332.95010000002</v>
      </c>
      <c r="J31" s="1">
        <f>ROUND((J15/Customer!E13),4)</f>
        <v>6139248.7049000002</v>
      </c>
      <c r="K31" s="1">
        <f>ROUND((K15/Customer!F13),4)</f>
        <v>33369028.32</v>
      </c>
      <c r="L31" s="1">
        <f>ROUND((L15/Customer!G13),4)</f>
        <v>4481.7403000000004</v>
      </c>
      <c r="M31" s="1">
        <f>ROUND((M15/Customer!H13),4)</f>
        <v>4307.1342999999997</v>
      </c>
      <c r="N31" s="554"/>
      <c r="P31" s="1">
        <f>ROUND((P15/Customer!K13),4)</f>
        <v>2957791.872</v>
      </c>
    </row>
    <row r="32" spans="1:17" x14ac:dyDescent="0.25">
      <c r="B32" s="447"/>
      <c r="C32" s="447"/>
      <c r="D32" s="447"/>
      <c r="F32" s="57">
        <f t="shared" si="11"/>
        <v>2019</v>
      </c>
      <c r="G32" s="58">
        <f t="shared" ref="G32:K32" si="12">ROUND((G31*G48),4)</f>
        <v>7743.7042000000001</v>
      </c>
      <c r="H32" s="58">
        <f t="shared" si="12"/>
        <v>30015.849300000002</v>
      </c>
      <c r="I32" s="58">
        <f t="shared" si="12"/>
        <v>676332.95010000002</v>
      </c>
      <c r="J32" s="58">
        <f t="shared" si="12"/>
        <v>6176084.1971000005</v>
      </c>
      <c r="K32" s="58">
        <f t="shared" si="12"/>
        <v>34219938.542199999</v>
      </c>
      <c r="L32" s="58">
        <f t="shared" ref="L32:M32" si="13">ROUND((L31*L48),4)</f>
        <v>4394.3464000000004</v>
      </c>
      <c r="M32" s="58">
        <f t="shared" si="13"/>
        <v>4338.5763999999999</v>
      </c>
      <c r="P32" s="58">
        <f>ROUND((P31*P48),4)</f>
        <v>2725605.21</v>
      </c>
    </row>
    <row r="33" spans="1:23" x14ac:dyDescent="0.25">
      <c r="B33" s="447"/>
      <c r="C33" s="447"/>
      <c r="D33" s="447"/>
      <c r="F33" s="57">
        <f t="shared" si="11"/>
        <v>2020</v>
      </c>
      <c r="G33" s="58">
        <f t="shared" ref="G33:K33" si="14">ROUND((G32*G48),4)</f>
        <v>7697.2420000000002</v>
      </c>
      <c r="H33" s="58">
        <f t="shared" si="14"/>
        <v>29892.784299999999</v>
      </c>
      <c r="I33" s="58">
        <f t="shared" si="14"/>
        <v>676332.95010000002</v>
      </c>
      <c r="J33" s="58">
        <f t="shared" si="14"/>
        <v>6213140.7023</v>
      </c>
      <c r="K33" s="58">
        <f t="shared" si="14"/>
        <v>35092546.975000001</v>
      </c>
      <c r="L33" s="58">
        <f>ROUND((L32*L48),4)</f>
        <v>4308.6566000000003</v>
      </c>
      <c r="M33" s="58">
        <f>ROUND((M32*M48),4)</f>
        <v>4370.2479999999996</v>
      </c>
      <c r="P33" s="58">
        <f>ROUND((P32*P48),4)</f>
        <v>2511645.2009999999</v>
      </c>
    </row>
    <row r="34" spans="1:23" x14ac:dyDescent="0.25">
      <c r="B34" s="447"/>
      <c r="C34" s="447"/>
      <c r="D34" s="447"/>
      <c r="F34"/>
    </row>
    <row r="35" spans="1:23" x14ac:dyDescent="0.25">
      <c r="B35" s="447"/>
      <c r="C35" s="447"/>
      <c r="D35" s="447"/>
      <c r="F35"/>
      <c r="G35" s="38"/>
      <c r="H35" s="38"/>
      <c r="I35" s="38"/>
      <c r="J35" s="38"/>
      <c r="K35" s="38"/>
      <c r="L35" s="38"/>
      <c r="M35" s="38"/>
      <c r="N35" s="38"/>
      <c r="R35" s="43"/>
      <c r="S35" s="43"/>
      <c r="T35" s="43"/>
      <c r="U35" s="43"/>
      <c r="V35" s="43"/>
      <c r="W35" s="43"/>
    </row>
    <row r="36" spans="1:23" x14ac:dyDescent="0.25">
      <c r="B36" s="447"/>
      <c r="C36" s="447"/>
      <c r="D36" s="447"/>
      <c r="F36">
        <v>2010</v>
      </c>
      <c r="G36" s="38">
        <f t="shared" ref="G36:I44" si="15">ROUND((G23/G22),4)</f>
        <v>1.0212000000000001</v>
      </c>
      <c r="H36" s="38">
        <f t="shared" si="15"/>
        <v>1.0132000000000001</v>
      </c>
      <c r="I36" s="38">
        <f t="shared" si="15"/>
        <v>1.0854999999999999</v>
      </c>
      <c r="J36" s="38">
        <v>0</v>
      </c>
      <c r="K36" s="38">
        <f t="shared" ref="K36:K44" si="16">ROUND((K23/K22),4)</f>
        <v>1.75</v>
      </c>
      <c r="L36" s="38">
        <f t="shared" ref="L36:M36" si="17">ROUND((L23/L22),4)</f>
        <v>0.99250000000000005</v>
      </c>
      <c r="M36" s="38">
        <f t="shared" si="17"/>
        <v>0.99929999999999997</v>
      </c>
      <c r="N36" s="38"/>
      <c r="P36" s="38">
        <v>0</v>
      </c>
      <c r="Q36" s="379"/>
      <c r="R36" s="43"/>
      <c r="S36" s="43"/>
      <c r="T36" s="43"/>
      <c r="U36" s="43"/>
      <c r="V36" s="43"/>
      <c r="W36" s="43"/>
    </row>
    <row r="37" spans="1:23" x14ac:dyDescent="0.25">
      <c r="B37" s="447"/>
      <c r="C37" s="447"/>
      <c r="D37" s="447"/>
      <c r="F37">
        <v>2011</v>
      </c>
      <c r="G37" s="38">
        <f t="shared" si="15"/>
        <v>0.97899999999999998</v>
      </c>
      <c r="H37" s="38">
        <f t="shared" si="15"/>
        <v>1.0049999999999999</v>
      </c>
      <c r="I37" s="38">
        <f t="shared" si="15"/>
        <v>1.0078</v>
      </c>
      <c r="J37" s="38">
        <v>0</v>
      </c>
      <c r="K37" s="38">
        <f t="shared" si="16"/>
        <v>0.60150000000000003</v>
      </c>
      <c r="L37" s="38">
        <f t="shared" ref="L37:M37" si="18">ROUND((L24/L23),4)</f>
        <v>0.99270000000000003</v>
      </c>
      <c r="M37" s="38">
        <f t="shared" si="18"/>
        <v>0.97899999999999998</v>
      </c>
      <c r="N37" s="38"/>
      <c r="P37" s="38">
        <v>0</v>
      </c>
      <c r="Q37" s="379"/>
      <c r="R37" s="43"/>
      <c r="S37" s="43"/>
      <c r="T37" s="43"/>
      <c r="U37" s="43"/>
      <c r="V37" s="43"/>
      <c r="W37" s="43"/>
    </row>
    <row r="38" spans="1:23" x14ac:dyDescent="0.25">
      <c r="B38" s="447"/>
      <c r="C38" s="447"/>
      <c r="D38" s="447"/>
      <c r="F38">
        <v>2012</v>
      </c>
      <c r="G38" s="38">
        <f t="shared" si="15"/>
        <v>0.98029999999999995</v>
      </c>
      <c r="H38" s="38">
        <f t="shared" si="15"/>
        <v>0.98939999999999995</v>
      </c>
      <c r="I38" s="38">
        <f t="shared" si="15"/>
        <v>0.98760000000000003</v>
      </c>
      <c r="J38" s="38">
        <v>0</v>
      </c>
      <c r="K38" s="38">
        <f t="shared" si="16"/>
        <v>1.2382</v>
      </c>
      <c r="L38" s="38">
        <f t="shared" ref="L38:M38" si="19">ROUND((L25/L24),4)</f>
        <v>1.0022</v>
      </c>
      <c r="M38" s="38">
        <f t="shared" si="19"/>
        <v>1.0782</v>
      </c>
      <c r="N38" s="38"/>
      <c r="P38" s="38">
        <v>0</v>
      </c>
      <c r="Q38" s="379"/>
      <c r="R38" s="43"/>
      <c r="S38" s="43"/>
      <c r="T38" s="43"/>
      <c r="U38" s="43"/>
      <c r="V38" s="43"/>
      <c r="W38" s="43"/>
    </row>
    <row r="39" spans="1:23" x14ac:dyDescent="0.25">
      <c r="B39" s="447"/>
      <c r="C39" s="447"/>
      <c r="D39" s="447"/>
      <c r="F39">
        <v>2013</v>
      </c>
      <c r="G39" s="38">
        <f t="shared" si="15"/>
        <v>0.98260000000000003</v>
      </c>
      <c r="H39" s="38">
        <f t="shared" si="15"/>
        <v>0.99529999999999996</v>
      </c>
      <c r="I39" s="38">
        <f t="shared" si="15"/>
        <v>0.95899999999999996</v>
      </c>
      <c r="J39" s="38">
        <v>0</v>
      </c>
      <c r="K39" s="38">
        <f t="shared" si="16"/>
        <v>0.85070000000000001</v>
      </c>
      <c r="L39" s="38">
        <f t="shared" ref="L39:M39" si="20">ROUND((L26/L25),4)</f>
        <v>1.0166999999999999</v>
      </c>
      <c r="M39" s="38">
        <f t="shared" si="20"/>
        <v>1.0321</v>
      </c>
      <c r="N39" s="38"/>
      <c r="P39" s="38">
        <v>0</v>
      </c>
      <c r="Q39" s="379">
        <v>1.0350999999999999</v>
      </c>
      <c r="R39" s="43"/>
      <c r="S39" s="43"/>
      <c r="T39" s="43"/>
      <c r="U39" s="43"/>
      <c r="V39" s="43"/>
      <c r="W39" s="43"/>
    </row>
    <row r="40" spans="1:23" x14ac:dyDescent="0.25">
      <c r="B40" s="447"/>
      <c r="C40" s="447"/>
      <c r="D40" s="447"/>
      <c r="F40">
        <v>2014</v>
      </c>
      <c r="G40" s="38">
        <f t="shared" si="15"/>
        <v>0.98319999999999996</v>
      </c>
      <c r="H40" s="38">
        <f t="shared" si="15"/>
        <v>0.99690000000000001</v>
      </c>
      <c r="I40" s="38">
        <f t="shared" si="15"/>
        <v>1.0032000000000001</v>
      </c>
      <c r="J40" s="38">
        <f t="shared" ref="J40" si="21">ROUND((J27/J26),4)</f>
        <v>4.4143999999999997</v>
      </c>
      <c r="K40" s="38">
        <f t="shared" si="16"/>
        <v>1.0751999999999999</v>
      </c>
      <c r="L40" s="38">
        <f t="shared" ref="L40:M40" si="22">ROUND((L27/L26),4)</f>
        <v>0.96319999999999995</v>
      </c>
      <c r="M40" s="38">
        <f t="shared" si="22"/>
        <v>1.0492999999999999</v>
      </c>
      <c r="N40" s="38"/>
      <c r="P40" s="38">
        <f>ROUND((P27/P26),4)</f>
        <v>0.9587</v>
      </c>
      <c r="Q40" s="379">
        <f>+Q39*0.01</f>
        <v>1.0350999999999999E-2</v>
      </c>
      <c r="R40" s="43"/>
      <c r="S40" s="43"/>
      <c r="T40" s="43"/>
      <c r="U40" s="43"/>
      <c r="V40" s="43"/>
      <c r="W40" s="43"/>
    </row>
    <row r="41" spans="1:23" x14ac:dyDescent="0.25">
      <c r="B41" s="447"/>
      <c r="C41" s="447"/>
      <c r="D41" s="447"/>
      <c r="F41">
        <v>2015</v>
      </c>
      <c r="G41" s="38">
        <f t="shared" si="15"/>
        <v>0.98280000000000001</v>
      </c>
      <c r="H41" s="38">
        <f t="shared" si="15"/>
        <v>0.97599999999999998</v>
      </c>
      <c r="I41" s="38">
        <f t="shared" si="15"/>
        <v>0.99750000000000005</v>
      </c>
      <c r="J41" s="38">
        <f t="shared" ref="J41" si="23">ROUND((J28/J27),4)</f>
        <v>0.9556</v>
      </c>
      <c r="K41" s="38">
        <f t="shared" si="16"/>
        <v>1.1275999999999999</v>
      </c>
      <c r="L41" s="38">
        <f t="shared" ref="L41:M41" si="24">ROUND((L28/L27),4)</f>
        <v>0.99729999999999996</v>
      </c>
      <c r="M41" s="38">
        <f t="shared" si="24"/>
        <v>0.96040000000000003</v>
      </c>
      <c r="N41" s="38"/>
      <c r="P41" s="38">
        <f>ROUND((P28/P27),4)</f>
        <v>0.97750000000000004</v>
      </c>
      <c r="Q41" s="379">
        <f>+Q39-Q40</f>
        <v>1.0247489999999999</v>
      </c>
      <c r="R41" s="43"/>
      <c r="S41" s="43"/>
      <c r="T41" s="43"/>
      <c r="U41" s="43"/>
      <c r="V41" s="43"/>
      <c r="W41" s="43"/>
    </row>
    <row r="42" spans="1:23" x14ac:dyDescent="0.25">
      <c r="B42" s="447"/>
      <c r="C42" s="447"/>
      <c r="D42" s="447"/>
      <c r="F42">
        <v>2016</v>
      </c>
      <c r="G42" s="38">
        <f t="shared" si="15"/>
        <v>1.0063</v>
      </c>
      <c r="H42" s="38">
        <f t="shared" si="15"/>
        <v>0.99850000000000005</v>
      </c>
      <c r="I42" s="38">
        <f t="shared" si="15"/>
        <v>0.99590000000000001</v>
      </c>
      <c r="J42" s="38">
        <f t="shared" ref="J42" si="25">ROUND((J29/J28),4)</f>
        <v>0.85319999999999996</v>
      </c>
      <c r="K42" s="38">
        <f t="shared" si="16"/>
        <v>0.80810000000000004</v>
      </c>
      <c r="L42" s="38">
        <f t="shared" ref="L42:M42" si="26">ROUND((L29/L28),4)</f>
        <v>0.99380000000000002</v>
      </c>
      <c r="M42" s="38">
        <f t="shared" si="26"/>
        <v>1.0219</v>
      </c>
      <c r="N42" s="38"/>
      <c r="P42" s="38">
        <f>ROUND((P29/P28),4)</f>
        <v>1.0091000000000001</v>
      </c>
      <c r="Q42" s="379"/>
      <c r="R42" s="43"/>
      <c r="S42" s="43"/>
      <c r="T42" s="43"/>
      <c r="U42" s="43"/>
      <c r="V42" s="43"/>
      <c r="W42" s="43"/>
    </row>
    <row r="43" spans="1:23" x14ac:dyDescent="0.25">
      <c r="B43" s="447"/>
      <c r="C43" s="447"/>
      <c r="D43" s="447"/>
      <c r="F43">
        <v>2017</v>
      </c>
      <c r="G43" s="38">
        <f t="shared" si="15"/>
        <v>0.93889999999999996</v>
      </c>
      <c r="H43" s="38">
        <f t="shared" si="15"/>
        <v>0.96160000000000001</v>
      </c>
      <c r="I43" s="38">
        <f t="shared" si="15"/>
        <v>0.89949999999999997</v>
      </c>
      <c r="J43" s="38">
        <f t="shared" ref="J43" si="27">ROUND((J30/J29),4)</f>
        <v>0.17599999999999999</v>
      </c>
      <c r="K43" s="38">
        <f t="shared" si="16"/>
        <v>1.0871</v>
      </c>
      <c r="L43" s="38">
        <f t="shared" ref="L43:M43" si="28">ROUND((L30/L29),4)</f>
        <v>0.8911</v>
      </c>
      <c r="M43" s="38">
        <f t="shared" si="28"/>
        <v>0.97519999999999996</v>
      </c>
      <c r="N43" s="38"/>
      <c r="P43" s="38">
        <f>ROUND((P30/P29),4)</f>
        <v>0.92810000000000004</v>
      </c>
      <c r="Q43" s="379"/>
      <c r="R43" s="43"/>
      <c r="S43" s="43"/>
      <c r="T43" s="43"/>
      <c r="U43" s="43"/>
      <c r="V43" s="43"/>
      <c r="W43" s="43"/>
    </row>
    <row r="44" spans="1:23" x14ac:dyDescent="0.25">
      <c r="B44" s="447"/>
      <c r="C44" s="447"/>
      <c r="D44" s="447"/>
      <c r="F44">
        <v>2018</v>
      </c>
      <c r="G44" s="38">
        <f t="shared" si="15"/>
        <v>1.0779000000000001</v>
      </c>
      <c r="H44" s="38">
        <f t="shared" si="15"/>
        <v>1.0284</v>
      </c>
      <c r="I44" s="38">
        <f t="shared" si="15"/>
        <v>0.89139999999999997</v>
      </c>
      <c r="J44" s="38">
        <f t="shared" ref="J44" si="29">ROUND((J31/J30),4)</f>
        <v>1.6262000000000001</v>
      </c>
      <c r="K44" s="38">
        <f t="shared" si="16"/>
        <v>1.0618000000000001</v>
      </c>
      <c r="L44" s="38">
        <f t="shared" ref="L44:M44" si="30">ROUND((L31/L30),4)</f>
        <v>0.51129999999999998</v>
      </c>
      <c r="M44" s="38">
        <f t="shared" si="30"/>
        <v>0.97670000000000001</v>
      </c>
      <c r="N44" s="38"/>
      <c r="P44" s="38">
        <f>ROUND((P31/P30),4)</f>
        <v>0.75690000000000002</v>
      </c>
      <c r="Q44" s="379"/>
      <c r="R44" s="43"/>
      <c r="S44" s="43"/>
      <c r="T44" s="43"/>
      <c r="U44" s="43"/>
      <c r="V44" s="43"/>
      <c r="W44" s="43"/>
    </row>
    <row r="45" spans="1:23" x14ac:dyDescent="0.25">
      <c r="B45" s="447"/>
      <c r="C45" s="447"/>
      <c r="D45" s="447"/>
      <c r="F45">
        <v>2019</v>
      </c>
      <c r="G45" s="38"/>
      <c r="H45" s="38"/>
      <c r="I45" s="38"/>
      <c r="J45" s="38"/>
      <c r="K45" s="38"/>
      <c r="L45" s="38"/>
      <c r="M45" s="38"/>
      <c r="N45" s="38"/>
      <c r="R45" s="43"/>
      <c r="S45" s="43"/>
      <c r="T45" s="43"/>
      <c r="U45" s="43"/>
      <c r="V45" s="43"/>
      <c r="W45" s="43"/>
    </row>
    <row r="46" spans="1:23" x14ac:dyDescent="0.25">
      <c r="B46" s="447"/>
      <c r="C46" s="447"/>
      <c r="D46" s="447"/>
      <c r="F46">
        <v>2020</v>
      </c>
      <c r="G46" s="38"/>
      <c r="H46" s="38"/>
      <c r="I46" s="38"/>
      <c r="J46" s="38"/>
      <c r="K46" s="38"/>
      <c r="L46" s="38"/>
      <c r="M46" s="38"/>
      <c r="N46" s="38"/>
      <c r="R46" s="43"/>
      <c r="S46" s="43"/>
      <c r="T46" s="43"/>
      <c r="U46" s="43"/>
      <c r="V46" s="43"/>
      <c r="W46" s="43"/>
    </row>
    <row r="47" spans="1:23" x14ac:dyDescent="0.25">
      <c r="A47" s="44"/>
      <c r="B47" s="447"/>
      <c r="C47" s="447"/>
      <c r="D47" s="1"/>
    </row>
    <row r="48" spans="1:23" x14ac:dyDescent="0.25">
      <c r="B48" s="447"/>
      <c r="C48" s="447"/>
      <c r="D48" s="447"/>
      <c r="F48" s="50" t="s">
        <v>61</v>
      </c>
      <c r="G48" s="60">
        <f t="shared" ref="G48:K48" si="31">G50</f>
        <v>0.99399999999999999</v>
      </c>
      <c r="H48" s="60">
        <f t="shared" si="31"/>
        <v>0.99590000000000001</v>
      </c>
      <c r="I48" s="60">
        <v>1</v>
      </c>
      <c r="J48" s="60">
        <f t="shared" si="31"/>
        <v>1.006</v>
      </c>
      <c r="K48" s="60">
        <f t="shared" si="31"/>
        <v>1.0255000000000001</v>
      </c>
      <c r="L48" s="60">
        <f>ROUND((GEOMEAN(L36:L43)),4)</f>
        <v>0.98050000000000004</v>
      </c>
      <c r="M48" s="60">
        <f t="shared" ref="M48" si="32">M50</f>
        <v>1.0073000000000001</v>
      </c>
      <c r="P48" s="60">
        <f>P50</f>
        <v>0.92149999999999999</v>
      </c>
      <c r="Q48" s="379"/>
    </row>
    <row r="49" spans="1:23" x14ac:dyDescent="0.25">
      <c r="A49" s="44"/>
      <c r="B49" s="447"/>
      <c r="C49" s="447"/>
      <c r="D49" s="447"/>
      <c r="F49" s="331"/>
      <c r="G49" s="42"/>
      <c r="H49" s="42"/>
      <c r="L49" s="37"/>
      <c r="M49" s="37"/>
    </row>
    <row r="50" spans="1:23" x14ac:dyDescent="0.25">
      <c r="B50" s="447"/>
      <c r="C50" s="447"/>
      <c r="D50" s="447"/>
      <c r="F50" s="50" t="s">
        <v>62</v>
      </c>
      <c r="G50" s="38">
        <f>ROUND((GEOMEAN(G36:G44)),4)</f>
        <v>0.99399999999999999</v>
      </c>
      <c r="H50" s="38">
        <f>ROUND((GEOMEAN(H36:H44)),4)</f>
        <v>0.99590000000000001</v>
      </c>
      <c r="I50" s="38">
        <f>ROUND((GEOMEAN(I36:I44)),4)</f>
        <v>0.97919999999999996</v>
      </c>
      <c r="J50" s="38">
        <f>ROUND((GEOMEAN(J40:J44)),4)</f>
        <v>1.006</v>
      </c>
      <c r="K50" s="38">
        <f>ROUND((GEOMEAN(K36:K44)),4)</f>
        <v>1.0255000000000001</v>
      </c>
      <c r="L50" s="38">
        <f>ROUND((GEOMEAN(L36:L44)),4)</f>
        <v>0.91200000000000003</v>
      </c>
      <c r="M50" s="38">
        <f t="shared" ref="M50" si="33">ROUND((GEOMEAN(M36:M44)),4)</f>
        <v>1.0073000000000001</v>
      </c>
      <c r="P50" s="38">
        <f>ROUND((GEOMEAN(P40:P44)),4)</f>
        <v>0.92149999999999999</v>
      </c>
      <c r="Q50" s="379"/>
      <c r="R50" s="43"/>
      <c r="S50" s="43"/>
      <c r="T50" s="43"/>
      <c r="U50" s="43"/>
      <c r="V50" s="43"/>
      <c r="W50" s="43"/>
    </row>
    <row r="51" spans="1:23" x14ac:dyDescent="0.25">
      <c r="B51" s="447"/>
      <c r="C51" s="447"/>
      <c r="D51" s="447"/>
      <c r="F51" s="331"/>
      <c r="H51" s="38"/>
      <c r="I51" s="38"/>
      <c r="J51" s="38"/>
      <c r="K51" s="38"/>
      <c r="L51" s="38"/>
      <c r="M51" s="38"/>
    </row>
    <row r="53" spans="1:23" x14ac:dyDescent="0.25">
      <c r="B53"/>
      <c r="C53"/>
      <c r="D53" s="447"/>
    </row>
    <row r="57" spans="1:23" ht="13" x14ac:dyDescent="0.3">
      <c r="B57" s="447"/>
      <c r="C57" s="447"/>
      <c r="D57" s="447"/>
      <c r="H57" s="45" t="s">
        <v>45</v>
      </c>
      <c r="I57" s="46" t="s">
        <v>46</v>
      </c>
      <c r="J57" s="46" t="s">
        <v>47</v>
      </c>
      <c r="K57" s="256" t="s">
        <v>63</v>
      </c>
      <c r="L57" s="46" t="s">
        <v>49</v>
      </c>
      <c r="M57" s="46" t="s">
        <v>50</v>
      </c>
      <c r="N57" s="46" t="s">
        <v>51</v>
      </c>
      <c r="P57" s="256" t="s">
        <v>64</v>
      </c>
      <c r="Q57" s="380"/>
    </row>
    <row r="58" spans="1:23" ht="13" x14ac:dyDescent="0.3">
      <c r="B58" s="447"/>
      <c r="C58" s="447"/>
      <c r="D58" s="447"/>
      <c r="F58" s="255" t="s">
        <v>65</v>
      </c>
      <c r="G58" s="255"/>
      <c r="H58" s="255"/>
      <c r="O58" s="37" t="s">
        <v>29</v>
      </c>
    </row>
    <row r="59" spans="1:23" x14ac:dyDescent="0.25">
      <c r="B59" s="447"/>
      <c r="C59" s="447"/>
      <c r="D59" s="447"/>
      <c r="F59">
        <v>2019</v>
      </c>
      <c r="G59" s="257">
        <f>ROUND((SUM(H59:N59)),4)</f>
        <v>1795903346.9361999</v>
      </c>
      <c r="H59" s="257">
        <f>ROUND((G32*Customer!B14),4)</f>
        <v>686239322.49979997</v>
      </c>
      <c r="I59" s="257">
        <f>ROUND((H32*Customer!C14),4)</f>
        <v>241897729.50870001</v>
      </c>
      <c r="J59" s="257">
        <f>ROUND((I32*Customer!D14),4)</f>
        <v>612081319.8405</v>
      </c>
      <c r="K59" s="257">
        <f>ROUND((J32*Customer!E14),4)</f>
        <v>209986862.70140001</v>
      </c>
      <c r="L59" s="257">
        <f>ROUND((K32*Customer!F14),4)</f>
        <v>34219938.542199999</v>
      </c>
      <c r="M59" s="257">
        <f>ROUND((L32*Customer!G14),4)</f>
        <v>7386896.2983999997</v>
      </c>
      <c r="N59" s="257">
        <f>ROUND((M32*Customer!H14),4)</f>
        <v>4091277.5452000001</v>
      </c>
      <c r="O59" s="35">
        <f>ROUND((SUM(H59:N59)),4)</f>
        <v>1795903346.9361999</v>
      </c>
      <c r="P59" s="257">
        <f>ROUND((P32*Customer!K14),4)</f>
        <v>13628026.050000001</v>
      </c>
      <c r="Q59" s="381"/>
    </row>
    <row r="60" spans="1:23" x14ac:dyDescent="0.25">
      <c r="B60" s="447"/>
      <c r="C60" s="447"/>
      <c r="D60" s="447"/>
      <c r="F60">
        <v>2020</v>
      </c>
      <c r="G60" s="257">
        <f>ROUND((SUM(H60:N60)),4)</f>
        <v>1800725580.6115</v>
      </c>
      <c r="H60" s="257">
        <f>ROUND((G33*Customer!B15),4)</f>
        <v>691674166.12</v>
      </c>
      <c r="I60" s="257">
        <f>ROUND((H33*Customer!C15),4)</f>
        <v>243207693.06479999</v>
      </c>
      <c r="J60" s="257">
        <f>ROUND((I33*Customer!D15),4)</f>
        <v>608023322.13989997</v>
      </c>
      <c r="K60" s="257">
        <f>ROUND((J33*Customer!E15),4)</f>
        <v>211246783.87819999</v>
      </c>
      <c r="L60" s="257">
        <f>ROUND((K33*Customer!F15),4)</f>
        <v>35092546.975000001</v>
      </c>
      <c r="M60" s="257">
        <f>ROUND((L33*Customer!G15),4)</f>
        <v>7307481.5936000003</v>
      </c>
      <c r="N60" s="257">
        <f>ROUND((M33*Customer!H15),4)</f>
        <v>4173586.84</v>
      </c>
      <c r="O60" s="35">
        <f>ROUND((SUM(H60:N60)),4)</f>
        <v>1800725580.6115</v>
      </c>
      <c r="P60" s="257">
        <f>ROUND((P33*Customer!K15),4)</f>
        <v>12558226.005000001</v>
      </c>
      <c r="Q60" s="381"/>
    </row>
    <row r="61" spans="1:23" x14ac:dyDescent="0.25">
      <c r="B61" s="447"/>
      <c r="C61" s="447"/>
      <c r="D61" s="447"/>
      <c r="F61" s="447"/>
      <c r="G61" s="35"/>
      <c r="H61" s="35"/>
      <c r="I61" s="35"/>
      <c r="J61" s="35"/>
      <c r="L61" s="35"/>
      <c r="M61" s="35"/>
      <c r="N61" s="35"/>
    </row>
    <row r="62" spans="1:23" ht="13" x14ac:dyDescent="0.3">
      <c r="B62" s="447"/>
      <c r="C62" s="447"/>
      <c r="D62" s="447"/>
      <c r="F62" s="255" t="s">
        <v>66</v>
      </c>
      <c r="G62" s="255"/>
      <c r="H62" s="255"/>
      <c r="I62" s="255"/>
      <c r="J62" s="255"/>
      <c r="L62" s="35"/>
      <c r="M62" s="35"/>
      <c r="O62" s="35" t="s">
        <v>29</v>
      </c>
    </row>
    <row r="63" spans="1:23" x14ac:dyDescent="0.25">
      <c r="B63" s="447"/>
      <c r="C63" s="447"/>
      <c r="D63" s="447"/>
      <c r="F63">
        <v>2019</v>
      </c>
      <c r="G63" s="35">
        <f>ROUND((E16),4)</f>
        <v>1735344291.7491</v>
      </c>
      <c r="H63" s="35">
        <f t="shared" ref="H63:I64" si="34">ROUND((H59+H72),4)</f>
        <v>656678745.44620001</v>
      </c>
      <c r="I63" s="35">
        <f t="shared" si="34"/>
        <v>231477696.38350001</v>
      </c>
      <c r="J63" s="35">
        <f>ROUND((J59+J72),4)</f>
        <v>591502874.83220005</v>
      </c>
      <c r="K63" s="35">
        <f t="shared" ref="K63" si="35">ROUND((K59+K72),4)</f>
        <v>209986862.70140001</v>
      </c>
      <c r="L63" s="35">
        <f t="shared" ref="L63:N64" si="36">ROUND((L59+L72),4)</f>
        <v>34219938.542199999</v>
      </c>
      <c r="M63" s="35">
        <f t="shared" si="36"/>
        <v>7386896.2983999997</v>
      </c>
      <c r="N63" s="35">
        <f t="shared" si="36"/>
        <v>4091277.5452000001</v>
      </c>
      <c r="O63" s="47">
        <f>ROUND((SUM(H63:N63)),4)</f>
        <v>1735344291.7491</v>
      </c>
      <c r="P63" s="391"/>
      <c r="Q63" s="381"/>
    </row>
    <row r="64" spans="1:23" ht="12" customHeight="1" x14ac:dyDescent="0.25">
      <c r="B64" s="447"/>
      <c r="C64" s="447"/>
      <c r="D64" s="447"/>
      <c r="F64">
        <v>2020</v>
      </c>
      <c r="G64" s="35">
        <f>ROUND((E17),4)</f>
        <v>1737750178.0734999</v>
      </c>
      <c r="H64" s="35">
        <f t="shared" si="34"/>
        <v>660769294.21730006</v>
      </c>
      <c r="I64" s="35">
        <f t="shared" si="34"/>
        <v>232340867.37130001</v>
      </c>
      <c r="J64" s="35">
        <f>ROUND((J60+J73),4)</f>
        <v>586819617.19809997</v>
      </c>
      <c r="K64" s="35">
        <f t="shared" ref="K64" si="37">ROUND((K60+K73),4)</f>
        <v>211246783.87819999</v>
      </c>
      <c r="L64" s="35">
        <f t="shared" si="36"/>
        <v>35092546.975000001</v>
      </c>
      <c r="M64" s="35">
        <f t="shared" si="36"/>
        <v>7307481.5936000003</v>
      </c>
      <c r="N64" s="35">
        <f t="shared" si="36"/>
        <v>4173586.84</v>
      </c>
      <c r="O64" s="47">
        <f>ROUND((SUM(H64:N64)),4)</f>
        <v>1737750178.0734999</v>
      </c>
      <c r="P64" s="391"/>
      <c r="Q64" s="381"/>
    </row>
    <row r="65" spans="2:17" ht="13" thickBot="1" x14ac:dyDescent="0.3">
      <c r="B65" s="447"/>
      <c r="C65" s="447"/>
      <c r="D65" s="447"/>
      <c r="F65" s="447"/>
      <c r="G65" s="447"/>
      <c r="H65" s="35"/>
      <c r="I65" s="35"/>
      <c r="J65" s="35"/>
      <c r="K65" s="35"/>
      <c r="L65" s="35"/>
      <c r="M65" s="35"/>
      <c r="N65" s="35"/>
      <c r="O65" s="35"/>
      <c r="P65" s="391"/>
      <c r="Q65" s="381"/>
    </row>
    <row r="66" spans="2:17" ht="13" thickBot="1" x14ac:dyDescent="0.3">
      <c r="B66"/>
      <c r="C66"/>
      <c r="D66" s="447"/>
      <c r="F66" s="447"/>
      <c r="G66" s="447"/>
      <c r="H66" s="368" t="s">
        <v>67</v>
      </c>
      <c r="I66" s="369"/>
      <c r="J66" s="369"/>
      <c r="K66" s="369"/>
      <c r="L66" s="369"/>
      <c r="M66" s="369"/>
      <c r="N66" s="370"/>
      <c r="O66" s="35"/>
      <c r="P66" s="382"/>
      <c r="Q66" s="382"/>
    </row>
    <row r="67" spans="2:17" x14ac:dyDescent="0.25">
      <c r="B67" s="447"/>
      <c r="C67" s="447"/>
      <c r="D67" s="447"/>
      <c r="F67" s="48" t="s">
        <v>68</v>
      </c>
      <c r="G67" s="35"/>
      <c r="H67" s="61">
        <f>(100%+J67)/2</f>
        <v>0.82000000000000006</v>
      </c>
      <c r="I67" s="61">
        <f>H67</f>
        <v>0.82000000000000006</v>
      </c>
      <c r="J67" s="61">
        <v>0.64</v>
      </c>
      <c r="K67" s="53"/>
      <c r="L67" s="53"/>
      <c r="M67" s="53"/>
      <c r="N67" s="53"/>
      <c r="O67" s="35" t="s">
        <v>69</v>
      </c>
      <c r="P67" s="392"/>
      <c r="Q67" s="383"/>
    </row>
    <row r="68" spans="2:17" x14ac:dyDescent="0.25">
      <c r="B68" s="447"/>
      <c r="C68" s="447"/>
      <c r="D68" s="447"/>
      <c r="F68">
        <v>2019</v>
      </c>
      <c r="G68" s="47">
        <f>ROUND((G63-G59),4)</f>
        <v>-60559055.187100001</v>
      </c>
      <c r="H68" s="47">
        <f t="shared" ref="H68:I68" si="38">ROUND((H59*H$67),4)</f>
        <v>562716244.44980001</v>
      </c>
      <c r="I68" s="47">
        <f t="shared" si="38"/>
        <v>198356138.19710001</v>
      </c>
      <c r="J68" s="47">
        <f>ROUND((J59*J$67),4)</f>
        <v>391732044.6979</v>
      </c>
      <c r="K68" s="47">
        <v>0</v>
      </c>
      <c r="L68" s="47">
        <f>ROUND((L59*L$67),4)</f>
        <v>0</v>
      </c>
      <c r="M68" s="47">
        <f>ROUND((M59*M$67),4)</f>
        <v>0</v>
      </c>
      <c r="N68" s="47">
        <f>ROUND((N59*N$67),4)</f>
        <v>0</v>
      </c>
      <c r="O68" s="47">
        <f>ROUND((SUM(H68:N68)),4)</f>
        <v>1152804427.3448</v>
      </c>
      <c r="P68" s="393"/>
      <c r="Q68" s="384"/>
    </row>
    <row r="69" spans="2:17" x14ac:dyDescent="0.25">
      <c r="B69" s="447"/>
      <c r="C69" s="447"/>
      <c r="D69" s="447"/>
      <c r="F69">
        <v>2020</v>
      </c>
      <c r="G69" s="47">
        <f>ROUND((G64-G60),4)</f>
        <v>-62975402.538000003</v>
      </c>
      <c r="H69" s="47">
        <f t="shared" ref="H69:I69" si="39">ROUND((H60*H67),4)</f>
        <v>567172816.2184</v>
      </c>
      <c r="I69" s="47">
        <f t="shared" si="39"/>
        <v>199430308.31310001</v>
      </c>
      <c r="J69" s="47">
        <f>ROUND((J60*J67),4)</f>
        <v>389134926.16949999</v>
      </c>
      <c r="K69" s="47">
        <v>0</v>
      </c>
      <c r="L69" s="47">
        <f>ROUND((L60*L67),4)</f>
        <v>0</v>
      </c>
      <c r="M69" s="47">
        <f>ROUND((M60*M67),4)</f>
        <v>0</v>
      </c>
      <c r="N69" s="47">
        <f>ROUND((N60*N67),4)</f>
        <v>0</v>
      </c>
      <c r="O69" s="47">
        <f>ROUND((SUM(H69:N69)),4)</f>
        <v>1155738050.701</v>
      </c>
      <c r="P69" s="393"/>
      <c r="Q69" s="384"/>
    </row>
    <row r="70" spans="2:17" x14ac:dyDescent="0.25">
      <c r="B70" s="447"/>
      <c r="C70" s="447"/>
      <c r="D70" s="447"/>
      <c r="F70" s="447"/>
      <c r="G70" s="35"/>
      <c r="H70" s="47"/>
      <c r="I70" s="47"/>
      <c r="J70" s="47"/>
      <c r="K70" s="47"/>
      <c r="L70" s="47"/>
      <c r="M70" s="47"/>
      <c r="N70" s="49"/>
      <c r="O70" s="35"/>
      <c r="P70" s="393"/>
      <c r="Q70" s="384"/>
    </row>
    <row r="71" spans="2:17" x14ac:dyDescent="0.25">
      <c r="B71" s="447"/>
      <c r="C71" s="447"/>
      <c r="D71" s="447"/>
      <c r="F71" s="231" t="s">
        <v>70</v>
      </c>
      <c r="G71" s="447"/>
      <c r="H71" s="447"/>
      <c r="I71" s="47"/>
      <c r="J71" s="47"/>
      <c r="K71" s="47"/>
      <c r="L71" s="47"/>
      <c r="M71" s="47"/>
      <c r="N71" s="49"/>
      <c r="O71" s="35"/>
      <c r="P71" s="393"/>
      <c r="Q71" s="384"/>
    </row>
    <row r="72" spans="2:17" x14ac:dyDescent="0.25">
      <c r="B72" s="447"/>
      <c r="C72" s="447"/>
      <c r="D72" s="447"/>
      <c r="F72">
        <v>2019</v>
      </c>
      <c r="H72" s="47">
        <f>ROUND((H68/$O$68*$G$68),4)</f>
        <v>-29560577.053599998</v>
      </c>
      <c r="I72" s="47">
        <f>ROUND((I68/$O$68*$G$68),4)</f>
        <v>-10420033.1252</v>
      </c>
      <c r="J72" s="47">
        <f>ROUND((J68/$O$68*$G$68),4)</f>
        <v>-20578445.008299999</v>
      </c>
      <c r="K72" s="47">
        <v>0</v>
      </c>
      <c r="L72" s="47">
        <f>ROUND((L68/$O$68*$H$68),4)</f>
        <v>0</v>
      </c>
      <c r="M72" s="47">
        <f>ROUND((M68/$O$68*$H$68),4)</f>
        <v>0</v>
      </c>
      <c r="N72" s="47">
        <f>ROUND((N68/$O$68*$H$68),4)</f>
        <v>0</v>
      </c>
      <c r="O72" s="47">
        <f>ROUND((SUM(H72:N72)),4)</f>
        <v>-60559055.187100001</v>
      </c>
      <c r="P72" s="393"/>
      <c r="Q72" s="384"/>
    </row>
    <row r="73" spans="2:17" x14ac:dyDescent="0.25">
      <c r="B73" s="447"/>
      <c r="C73" s="447"/>
      <c r="D73" s="447"/>
      <c r="F73">
        <v>2020</v>
      </c>
      <c r="H73" s="47">
        <f>ROUND((H69/$O$69*$G$69),4)</f>
        <v>-30904871.9027</v>
      </c>
      <c r="I73" s="47">
        <f>ROUND((I69/$O$69*$G$69),4)</f>
        <v>-10866825.693499999</v>
      </c>
      <c r="J73" s="47">
        <f>ROUND((J69/$O$69*$G$69),4)</f>
        <v>-21203704.941799998</v>
      </c>
      <c r="K73" s="47">
        <v>0</v>
      </c>
      <c r="L73" s="47">
        <f>ROUND((L69/$O$69*$H$69),4)</f>
        <v>0</v>
      </c>
      <c r="M73" s="47">
        <f>ROUND((M69/$O$69*$H$69),4)</f>
        <v>0</v>
      </c>
      <c r="N73" s="47">
        <f>ROUND((N69/$O$69*$H$69),4)</f>
        <v>0</v>
      </c>
      <c r="O73" s="47">
        <f>ROUND((SUM(H73:N73)),4)</f>
        <v>-62975402.538000003</v>
      </c>
      <c r="P73" s="393"/>
      <c r="Q73" s="384"/>
    </row>
    <row r="74" spans="2:17" x14ac:dyDescent="0.25">
      <c r="B74" s="447"/>
      <c r="C74" s="447"/>
      <c r="D74" s="447"/>
      <c r="F74" s="447"/>
      <c r="G74" s="447"/>
      <c r="P74" s="394"/>
    </row>
    <row r="75" spans="2:17" x14ac:dyDescent="0.25">
      <c r="B75" s="447"/>
      <c r="C75" s="447"/>
      <c r="D75" s="447"/>
      <c r="I75" s="296" t="s">
        <v>71</v>
      </c>
      <c r="J75" s="1">
        <f>ROUND((J64+P64),4)</f>
        <v>586819617.19809997</v>
      </c>
      <c r="P75" s="394"/>
    </row>
    <row r="76" spans="2:17" ht="13" thickBot="1" x14ac:dyDescent="0.3">
      <c r="B76" s="447"/>
      <c r="C76" s="447"/>
      <c r="D76" s="447"/>
      <c r="P76" s="394"/>
    </row>
    <row r="77" spans="2:17" ht="13" thickBot="1" x14ac:dyDescent="0.3">
      <c r="B77" s="447"/>
      <c r="C77" s="447"/>
      <c r="D77" s="447"/>
      <c r="F77" t="s">
        <v>10</v>
      </c>
      <c r="H77" s="371" t="s">
        <v>72</v>
      </c>
      <c r="I77" s="372"/>
      <c r="J77" s="372"/>
      <c r="K77" s="372"/>
      <c r="L77" s="372"/>
      <c r="M77" s="372"/>
      <c r="N77" s="373"/>
      <c r="P77" s="385"/>
      <c r="Q77" s="385"/>
    </row>
    <row r="78" spans="2:17" x14ac:dyDescent="0.25">
      <c r="B78" s="447"/>
      <c r="C78" s="447"/>
      <c r="D78" s="447"/>
      <c r="F78"/>
      <c r="H78" s="61">
        <v>0</v>
      </c>
      <c r="I78" s="61">
        <v>0.14000000000000001</v>
      </c>
      <c r="J78" s="61">
        <v>0.86</v>
      </c>
      <c r="K78" s="294"/>
      <c r="L78" s="295"/>
      <c r="P78" s="294"/>
      <c r="Q78" s="386"/>
    </row>
    <row r="79" spans="2:17" x14ac:dyDescent="0.25">
      <c r="B79" s="447"/>
      <c r="C79" s="447"/>
      <c r="D79" s="447"/>
      <c r="F79">
        <v>2019</v>
      </c>
      <c r="G79" s="47">
        <f>ROUND((CDM!T47*-1),4)</f>
        <v>-10996809.5</v>
      </c>
      <c r="H79" s="47">
        <f>ROUND((G79*H78),4)</f>
        <v>0</v>
      </c>
      <c r="I79" s="47">
        <f>ROUND((G79*I78),4)</f>
        <v>-1539553.33</v>
      </c>
      <c r="J79" s="47">
        <f>ROUND((G79*J78),4)</f>
        <v>-9457256.1699999999</v>
      </c>
      <c r="K79" s="47">
        <v>0</v>
      </c>
      <c r="L79" s="47">
        <v>0</v>
      </c>
      <c r="M79" s="47">
        <v>0</v>
      </c>
      <c r="N79" s="47">
        <v>0</v>
      </c>
      <c r="O79" s="47">
        <f>ROUND((SUM(H79:N79)),4)</f>
        <v>-10996809.5</v>
      </c>
      <c r="P79" s="47"/>
      <c r="Q79" s="384"/>
    </row>
    <row r="80" spans="2:17" x14ac:dyDescent="0.25">
      <c r="B80" s="447"/>
      <c r="C80" s="447"/>
      <c r="D80" s="447"/>
      <c r="F80">
        <v>2020</v>
      </c>
      <c r="G80" s="47">
        <f>ROUND((CDM!U47*-1),4)</f>
        <v>-24329685.5</v>
      </c>
      <c r="H80" s="47">
        <f>ROUND((G80*H78),4)</f>
        <v>0</v>
      </c>
      <c r="I80" s="47">
        <f>ROUND((G80*I78),4)</f>
        <v>-3406155.97</v>
      </c>
      <c r="J80" s="47">
        <f>ROUND((G80*J78),4)</f>
        <v>-20923529.530000001</v>
      </c>
      <c r="K80" s="47">
        <v>0</v>
      </c>
      <c r="L80" s="47">
        <v>0</v>
      </c>
      <c r="M80" s="47">
        <v>0</v>
      </c>
      <c r="N80" s="47">
        <v>0</v>
      </c>
      <c r="O80" s="47">
        <f>ROUND((SUM(H80:N80)),4)</f>
        <v>-24329685.5</v>
      </c>
      <c r="P80" s="47"/>
      <c r="Q80" s="384"/>
    </row>
    <row r="81" spans="6:17" x14ac:dyDescent="0.25">
      <c r="F81" s="447"/>
    </row>
    <row r="82" spans="6:17" ht="13" x14ac:dyDescent="0.3">
      <c r="F82" s="41" t="s">
        <v>73</v>
      </c>
      <c r="G82" s="41"/>
      <c r="H82" s="41"/>
      <c r="I82" s="41"/>
      <c r="J82" s="35"/>
      <c r="K82" s="35"/>
      <c r="O82" s="35" t="s">
        <v>29</v>
      </c>
      <c r="P82" s="35"/>
      <c r="Q82" s="381"/>
    </row>
    <row r="83" spans="6:17" x14ac:dyDescent="0.25">
      <c r="F83">
        <v>2019</v>
      </c>
      <c r="G83" s="257">
        <f t="shared" ref="G83:I83" si="40">ROUND((G63+G79),4)</f>
        <v>1724347482.2491</v>
      </c>
      <c r="H83" s="47">
        <f t="shared" si="40"/>
        <v>656678745.44620001</v>
      </c>
      <c r="I83" s="47">
        <f t="shared" si="40"/>
        <v>229938143.0535</v>
      </c>
      <c r="J83" s="47">
        <f t="shared" ref="J83:N84" si="41">ROUND((J63+J79),4)</f>
        <v>582045618.66219997</v>
      </c>
      <c r="K83" s="47">
        <f t="shared" si="41"/>
        <v>209986862.70140001</v>
      </c>
      <c r="L83" s="47">
        <f t="shared" si="41"/>
        <v>34219938.542199999</v>
      </c>
      <c r="M83" s="47">
        <f t="shared" si="41"/>
        <v>7386896.2983999997</v>
      </c>
      <c r="N83" s="47">
        <f t="shared" si="41"/>
        <v>4091277.5452000001</v>
      </c>
      <c r="O83" s="47">
        <f>ROUND((SUM(H83:N83)),4)</f>
        <v>1724347482.2491</v>
      </c>
      <c r="P83" s="47">
        <f>+AA14</f>
        <v>16407482.74074783</v>
      </c>
      <c r="Q83" s="384"/>
    </row>
    <row r="84" spans="6:17" x14ac:dyDescent="0.25">
      <c r="F84">
        <v>2020</v>
      </c>
      <c r="G84" s="257">
        <f t="shared" ref="G84:I84" si="42">ROUND((G64+G80),4)</f>
        <v>1713420492.5734999</v>
      </c>
      <c r="H84" s="47">
        <f t="shared" si="42"/>
        <v>660769294.21730006</v>
      </c>
      <c r="I84" s="47">
        <f t="shared" si="42"/>
        <v>228934711.40130001</v>
      </c>
      <c r="J84" s="47">
        <f t="shared" si="41"/>
        <v>565896087.6681</v>
      </c>
      <c r="K84" s="47">
        <f t="shared" si="41"/>
        <v>211246783.87819999</v>
      </c>
      <c r="L84" s="47">
        <f t="shared" si="41"/>
        <v>35092546.975000001</v>
      </c>
      <c r="M84" s="47">
        <f t="shared" si="41"/>
        <v>7307481.5936000003</v>
      </c>
      <c r="N84" s="47">
        <f t="shared" si="41"/>
        <v>4173586.84</v>
      </c>
      <c r="O84" s="47">
        <f>ROUND((SUM(H84:N84)),4)</f>
        <v>1713420492.5734999</v>
      </c>
      <c r="P84" s="47">
        <f>+AA15</f>
        <v>15157323.935377596</v>
      </c>
      <c r="Q84" s="384"/>
    </row>
    <row r="85" spans="6:17" x14ac:dyDescent="0.25">
      <c r="O85" s="395">
        <f>+P84</f>
        <v>15157323.935377596</v>
      </c>
    </row>
    <row r="86" spans="6:17" x14ac:dyDescent="0.25">
      <c r="I86" s="296"/>
      <c r="O86" s="395">
        <f>ROUND((+ED!C14),4)</f>
        <v>19053029.030000001</v>
      </c>
    </row>
    <row r="87" spans="6:17" x14ac:dyDescent="0.25">
      <c r="H87" s="43"/>
      <c r="I87" s="326"/>
      <c r="K87" s="43"/>
      <c r="L87" s="43"/>
      <c r="O87" s="395">
        <f>SUM(O84:O86)</f>
        <v>1747630845.5388775</v>
      </c>
    </row>
    <row r="88" spans="6:17" x14ac:dyDescent="0.25">
      <c r="H88" s="47"/>
      <c r="I88" s="326"/>
      <c r="K88" s="47"/>
      <c r="L88" s="47"/>
      <c r="M88" s="47"/>
      <c r="N88" s="47"/>
      <c r="O88" s="47"/>
      <c r="P88" s="321"/>
      <c r="Q88" s="387"/>
    </row>
    <row r="89" spans="6:17" x14ac:dyDescent="0.25">
      <c r="H89" s="47"/>
      <c r="I89" s="47"/>
      <c r="J89" s="47"/>
      <c r="K89" s="47"/>
      <c r="L89" s="47"/>
      <c r="M89" s="47"/>
      <c r="N89" s="47"/>
      <c r="O89" s="47"/>
      <c r="P89" s="322"/>
      <c r="Q89" s="388"/>
    </row>
    <row r="90" spans="6:17" x14ac:dyDescent="0.25">
      <c r="H90" s="47"/>
      <c r="I90" s="47"/>
      <c r="J90" s="47"/>
      <c r="K90" s="47"/>
      <c r="L90" s="47"/>
      <c r="M90" s="47"/>
    </row>
    <row r="91" spans="6:17" x14ac:dyDescent="0.25">
      <c r="H91" s="47"/>
      <c r="I91" s="47"/>
      <c r="J91" s="47"/>
      <c r="K91" s="47"/>
      <c r="L91" s="47"/>
      <c r="M91" s="47"/>
    </row>
  </sheetData>
  <mergeCells count="1">
    <mergeCell ref="R5:Y5"/>
  </mergeCells>
  <pageMargins left="0.61" right="0.48" top="0.54" bottom="0.75" header="0.3" footer="0.3"/>
  <pageSetup scale="3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8"/>
  <sheetViews>
    <sheetView workbookViewId="0">
      <selection activeCell="I7" sqref="I7"/>
    </sheetView>
  </sheetViews>
  <sheetFormatPr defaultRowHeight="12.5" x14ac:dyDescent="0.25"/>
  <cols>
    <col min="1" max="1" width="9" customWidth="1"/>
    <col min="2" max="12" width="10.7265625" style="1" customWidth="1"/>
    <col min="13" max="13" width="10.7265625" style="1" bestFit="1" customWidth="1"/>
    <col min="14" max="14" width="7.54296875" style="1" bestFit="1" customWidth="1"/>
    <col min="15" max="15" width="9.1796875" style="1"/>
  </cols>
  <sheetData>
    <row r="1" spans="1:14" ht="13" x14ac:dyDescent="0.3">
      <c r="A1" s="396" t="s">
        <v>74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</row>
    <row r="2" spans="1:14" ht="25" x14ac:dyDescent="0.25">
      <c r="B2" s="34" t="s">
        <v>45</v>
      </c>
      <c r="C2" s="34" t="s">
        <v>46</v>
      </c>
      <c r="D2" s="34" t="s">
        <v>47</v>
      </c>
      <c r="E2" s="34" t="s">
        <v>48</v>
      </c>
      <c r="F2" s="34" t="s">
        <v>49</v>
      </c>
      <c r="G2" s="34" t="s">
        <v>50</v>
      </c>
      <c r="H2" s="34" t="s">
        <v>51</v>
      </c>
      <c r="I2" s="33" t="s">
        <v>75</v>
      </c>
      <c r="J2" s="34" t="s">
        <v>76</v>
      </c>
      <c r="K2" s="34" t="s">
        <v>64</v>
      </c>
      <c r="L2" s="34" t="s">
        <v>29</v>
      </c>
    </row>
    <row r="3" spans="1:14" x14ac:dyDescent="0.25">
      <c r="A3" s="50">
        <v>2008</v>
      </c>
      <c r="B3" s="37">
        <v>75154</v>
      </c>
      <c r="C3" s="37">
        <v>7265</v>
      </c>
      <c r="D3" s="37">
        <v>1014</v>
      </c>
      <c r="E3" s="37"/>
      <c r="F3" s="37">
        <v>4</v>
      </c>
      <c r="G3" s="37">
        <v>1522</v>
      </c>
      <c r="H3" s="37">
        <v>820</v>
      </c>
      <c r="I3" s="1">
        <f>ROUND((SUM(B3:H3)),0)</f>
        <v>85779</v>
      </c>
      <c r="J3" s="1">
        <v>1</v>
      </c>
      <c r="K3" s="37"/>
      <c r="L3" s="1">
        <f>ROUND((I3+J3+K3),0)</f>
        <v>85780</v>
      </c>
      <c r="M3"/>
    </row>
    <row r="4" spans="1:14" x14ac:dyDescent="0.25">
      <c r="A4" s="50">
        <v>2009</v>
      </c>
      <c r="B4" s="1">
        <v>76255</v>
      </c>
      <c r="C4" s="1">
        <v>7370</v>
      </c>
      <c r="D4" s="1">
        <v>1005</v>
      </c>
      <c r="F4" s="1">
        <v>3</v>
      </c>
      <c r="G4" s="1">
        <v>1551</v>
      </c>
      <c r="H4" s="1">
        <v>817</v>
      </c>
      <c r="I4" s="1">
        <f t="shared" ref="I4:I15" si="0">ROUND((SUM(B4:H4)),0)</f>
        <v>87001</v>
      </c>
      <c r="J4" s="1">
        <v>1</v>
      </c>
      <c r="L4" s="1">
        <f t="shared" ref="L4:L15" si="1">ROUND((I4+J4+K4),0)</f>
        <v>87002</v>
      </c>
      <c r="M4"/>
    </row>
    <row r="5" spans="1:14" x14ac:dyDescent="0.25">
      <c r="A5" s="50">
        <v>2010</v>
      </c>
      <c r="B5" s="37">
        <v>77506</v>
      </c>
      <c r="C5" s="37">
        <v>7448</v>
      </c>
      <c r="D5" s="37">
        <v>989</v>
      </c>
      <c r="E5" s="37"/>
      <c r="F5" s="37">
        <v>1</v>
      </c>
      <c r="G5" s="37">
        <v>1574</v>
      </c>
      <c r="H5" s="37">
        <v>811</v>
      </c>
      <c r="I5" s="1">
        <f t="shared" si="0"/>
        <v>88329</v>
      </c>
      <c r="J5" s="1">
        <v>1</v>
      </c>
      <c r="K5" s="37"/>
      <c r="L5" s="1">
        <f t="shared" si="1"/>
        <v>88330</v>
      </c>
    </row>
    <row r="6" spans="1:14" x14ac:dyDescent="0.25">
      <c r="A6" s="50">
        <v>2011</v>
      </c>
      <c r="B6" s="37">
        <v>78761</v>
      </c>
      <c r="C6" s="37">
        <v>7538</v>
      </c>
      <c r="D6" s="37">
        <v>975</v>
      </c>
      <c r="E6" s="37"/>
      <c r="F6" s="37">
        <v>2</v>
      </c>
      <c r="G6" s="37">
        <v>1568</v>
      </c>
      <c r="H6" s="37">
        <f>+(818+864)/2</f>
        <v>841</v>
      </c>
      <c r="I6" s="1">
        <f t="shared" si="0"/>
        <v>89685</v>
      </c>
      <c r="J6" s="1">
        <v>1</v>
      </c>
      <c r="K6" s="37"/>
      <c r="L6" s="1">
        <f t="shared" si="1"/>
        <v>89686</v>
      </c>
    </row>
    <row r="7" spans="1:14" x14ac:dyDescent="0.25">
      <c r="A7" s="50">
        <v>2012</v>
      </c>
      <c r="B7" s="1">
        <v>79997</v>
      </c>
      <c r="C7" s="1">
        <v>7645</v>
      </c>
      <c r="D7" s="1">
        <f>952-K7-E7</f>
        <v>947</v>
      </c>
      <c r="E7" s="1">
        <v>1</v>
      </c>
      <c r="F7" s="1">
        <v>2</v>
      </c>
      <c r="G7" s="1">
        <v>1573</v>
      </c>
      <c r="H7" s="1">
        <f>(865+868+871+871)/4</f>
        <v>868.75</v>
      </c>
      <c r="I7" s="1">
        <f t="shared" si="0"/>
        <v>91034</v>
      </c>
      <c r="J7" s="1">
        <v>1</v>
      </c>
      <c r="K7" s="1">
        <v>4</v>
      </c>
      <c r="L7" s="1">
        <f>ROUND((I7+J7+K7),0)</f>
        <v>91039</v>
      </c>
    </row>
    <row r="8" spans="1:14" x14ac:dyDescent="0.25">
      <c r="A8" s="50">
        <v>2013</v>
      </c>
      <c r="B8" s="1">
        <v>80893</v>
      </c>
      <c r="C8" s="1">
        <v>7687</v>
      </c>
      <c r="D8" s="1">
        <f>950-K8-E8</f>
        <v>945</v>
      </c>
      <c r="E8" s="1">
        <v>1</v>
      </c>
      <c r="F8" s="1">
        <v>3</v>
      </c>
      <c r="G8" s="1">
        <v>1551</v>
      </c>
      <c r="H8" s="1">
        <v>843.5</v>
      </c>
      <c r="I8" s="1">
        <f t="shared" si="0"/>
        <v>91924</v>
      </c>
      <c r="J8" s="1">
        <v>1</v>
      </c>
      <c r="K8" s="1">
        <v>4</v>
      </c>
      <c r="L8" s="1">
        <f t="shared" si="1"/>
        <v>91929</v>
      </c>
    </row>
    <row r="9" spans="1:14" x14ac:dyDescent="0.25">
      <c r="A9" s="50">
        <v>2014</v>
      </c>
      <c r="B9" s="1">
        <v>81868</v>
      </c>
      <c r="C9" s="1">
        <v>7744</v>
      </c>
      <c r="D9" s="1">
        <f>944-K9-E9</f>
        <v>939</v>
      </c>
      <c r="E9" s="1">
        <v>1</v>
      </c>
      <c r="F9" s="1">
        <v>2</v>
      </c>
      <c r="G9" s="1">
        <v>1616</v>
      </c>
      <c r="H9" s="1">
        <v>876.75</v>
      </c>
      <c r="I9" s="1">
        <f t="shared" si="0"/>
        <v>93047</v>
      </c>
      <c r="J9" s="1">
        <v>1</v>
      </c>
      <c r="K9" s="1">
        <v>4</v>
      </c>
      <c r="L9" s="1">
        <f t="shared" si="1"/>
        <v>93052</v>
      </c>
      <c r="N9" s="51"/>
    </row>
    <row r="10" spans="1:14" x14ac:dyDescent="0.25">
      <c r="A10" s="50">
        <v>2015</v>
      </c>
      <c r="B10" s="1">
        <v>83106</v>
      </c>
      <c r="C10" s="1">
        <v>7796</v>
      </c>
      <c r="D10" s="1">
        <f>939-K10-E10</f>
        <v>934</v>
      </c>
      <c r="E10" s="1">
        <v>1</v>
      </c>
      <c r="F10" s="1">
        <v>1</v>
      </c>
      <c r="G10" s="1">
        <v>1637</v>
      </c>
      <c r="H10" s="1">
        <v>891</v>
      </c>
      <c r="I10" s="1">
        <f t="shared" si="0"/>
        <v>94366</v>
      </c>
      <c r="J10" s="1">
        <v>1</v>
      </c>
      <c r="K10" s="1">
        <v>4</v>
      </c>
      <c r="L10" s="1">
        <f t="shared" si="1"/>
        <v>94371</v>
      </c>
      <c r="N10" s="51"/>
    </row>
    <row r="11" spans="1:14" x14ac:dyDescent="0.25">
      <c r="A11" s="50">
        <v>2016</v>
      </c>
      <c r="B11" s="1">
        <v>84530</v>
      </c>
      <c r="C11" s="1">
        <v>7845</v>
      </c>
      <c r="D11" s="1">
        <f>940-K11-E11</f>
        <v>935</v>
      </c>
      <c r="E11" s="1">
        <v>1</v>
      </c>
      <c r="F11" s="1">
        <v>1</v>
      </c>
      <c r="G11" s="1">
        <v>1653</v>
      </c>
      <c r="H11" s="1">
        <v>866.33333333333337</v>
      </c>
      <c r="I11" s="1">
        <f t="shared" si="0"/>
        <v>95831</v>
      </c>
      <c r="J11" s="1">
        <v>1</v>
      </c>
      <c r="K11" s="1">
        <v>4</v>
      </c>
      <c r="L11" s="1">
        <f t="shared" si="1"/>
        <v>95836</v>
      </c>
      <c r="N11" s="51"/>
    </row>
    <row r="12" spans="1:14" x14ac:dyDescent="0.25">
      <c r="A12" s="50">
        <v>2017</v>
      </c>
      <c r="B12" s="1">
        <v>86064</v>
      </c>
      <c r="C12" s="1">
        <v>7936</v>
      </c>
      <c r="D12" s="1">
        <f>936-K12-E12</f>
        <v>905</v>
      </c>
      <c r="E12" s="1">
        <v>27</v>
      </c>
      <c r="F12" s="1">
        <v>1</v>
      </c>
      <c r="G12" s="1">
        <v>1696</v>
      </c>
      <c r="H12" s="1">
        <v>886.08333333333337</v>
      </c>
      <c r="I12" s="1">
        <f t="shared" si="0"/>
        <v>97515</v>
      </c>
      <c r="J12" s="1">
        <v>1</v>
      </c>
      <c r="K12" s="1">
        <v>4</v>
      </c>
      <c r="L12" s="1">
        <f t="shared" si="1"/>
        <v>97520</v>
      </c>
      <c r="N12" s="51"/>
    </row>
    <row r="13" spans="1:14" x14ac:dyDescent="0.25">
      <c r="A13" s="50">
        <v>2018</v>
      </c>
      <c r="B13" s="37">
        <v>87395</v>
      </c>
      <c r="C13" s="37">
        <v>7983</v>
      </c>
      <c r="D13" s="37">
        <f>950-K13-E13</f>
        <v>911</v>
      </c>
      <c r="E13" s="37">
        <v>34</v>
      </c>
      <c r="F13" s="37">
        <v>1</v>
      </c>
      <c r="G13" s="37">
        <v>1666</v>
      </c>
      <c r="H13" s="37">
        <v>931</v>
      </c>
      <c r="I13" s="37">
        <f t="shared" si="0"/>
        <v>98921</v>
      </c>
      <c r="J13" s="37">
        <v>1</v>
      </c>
      <c r="K13" s="37">
        <v>5</v>
      </c>
      <c r="L13" s="37">
        <f t="shared" si="1"/>
        <v>98927</v>
      </c>
      <c r="N13" s="51"/>
    </row>
    <row r="14" spans="1:14" x14ac:dyDescent="0.25">
      <c r="A14" s="59">
        <v>2019</v>
      </c>
      <c r="B14" s="58">
        <f>ROUND((B13*B31),0)</f>
        <v>88619</v>
      </c>
      <c r="C14" s="58">
        <f t="shared" ref="C14" si="2">ROUND((C13*C31),0)</f>
        <v>8059</v>
      </c>
      <c r="D14" s="58">
        <f>ROUND((D13*D31),0)</f>
        <v>905</v>
      </c>
      <c r="E14" s="58">
        <f>ROUND((E13*F31),0)</f>
        <v>34</v>
      </c>
      <c r="F14" s="58">
        <f>ROUND((F13*G31),0)</f>
        <v>1</v>
      </c>
      <c r="G14" s="58">
        <f>ROUND((G13*H31),0)</f>
        <v>1681</v>
      </c>
      <c r="H14" s="58">
        <f>ROUND((H13*I31),0)</f>
        <v>943</v>
      </c>
      <c r="I14" s="58">
        <f t="shared" si="0"/>
        <v>100242</v>
      </c>
      <c r="J14" s="58">
        <v>1</v>
      </c>
      <c r="K14" s="58">
        <f>ROUND((K13*E31),0)</f>
        <v>5</v>
      </c>
      <c r="L14" s="58">
        <f t="shared" si="1"/>
        <v>100248</v>
      </c>
      <c r="N14" s="51"/>
    </row>
    <row r="15" spans="1:14" x14ac:dyDescent="0.25">
      <c r="A15" s="59">
        <v>2020</v>
      </c>
      <c r="B15" s="58">
        <f>ROUND((B14*B31),0)</f>
        <v>89860</v>
      </c>
      <c r="C15" s="58">
        <f t="shared" ref="C15" si="3">ROUND((C14*C31),0)</f>
        <v>8136</v>
      </c>
      <c r="D15" s="58">
        <f>ROUND((D14*D31),0)</f>
        <v>899</v>
      </c>
      <c r="E15" s="58">
        <f>ROUND((E14*F31),0)</f>
        <v>34</v>
      </c>
      <c r="F15" s="58">
        <f>ROUND((F14*G31),0)</f>
        <v>1</v>
      </c>
      <c r="G15" s="58">
        <f>ROUND((G14*H31),0)</f>
        <v>1696</v>
      </c>
      <c r="H15" s="58">
        <f>ROUND((H14*I31),0)</f>
        <v>955</v>
      </c>
      <c r="I15" s="58">
        <f t="shared" si="0"/>
        <v>101581</v>
      </c>
      <c r="J15" s="58">
        <v>1</v>
      </c>
      <c r="K15" s="58">
        <f>ROUND((K14*E31),0)</f>
        <v>5</v>
      </c>
      <c r="L15" s="58">
        <f t="shared" si="1"/>
        <v>101587</v>
      </c>
      <c r="N15" s="51"/>
    </row>
    <row r="16" spans="1:14" ht="13" x14ac:dyDescent="0.3">
      <c r="A16" s="41"/>
      <c r="M16" s="256"/>
    </row>
    <row r="17" spans="1:19" ht="13" x14ac:dyDescent="0.3">
      <c r="A17" s="41" t="s">
        <v>77</v>
      </c>
      <c r="B17" s="40"/>
      <c r="C17" s="40"/>
      <c r="D17" s="40"/>
      <c r="E17" s="40"/>
      <c r="F17" s="40"/>
      <c r="G17" s="40"/>
      <c r="H17" s="40"/>
      <c r="I17" s="40"/>
    </row>
    <row r="18" spans="1:19" x14ac:dyDescent="0.25">
      <c r="A18" s="50">
        <v>2009</v>
      </c>
      <c r="B18" s="36">
        <f t="shared" ref="B18:D18" si="4">ROUND((B4/B3),4)</f>
        <v>1.0145999999999999</v>
      </c>
      <c r="C18" s="36">
        <f t="shared" si="4"/>
        <v>1.0145</v>
      </c>
      <c r="D18" s="36">
        <f t="shared" si="4"/>
        <v>0.99109999999999998</v>
      </c>
      <c r="E18" s="36"/>
      <c r="F18" s="36"/>
      <c r="G18" s="36">
        <f t="shared" ref="G18:I27" si="5">ROUND((F4/F3),4)</f>
        <v>0.75</v>
      </c>
      <c r="H18" s="36">
        <f t="shared" si="5"/>
        <v>1.0190999999999999</v>
      </c>
      <c r="I18" s="36">
        <f t="shared" si="5"/>
        <v>0.99629999999999996</v>
      </c>
      <c r="K18" s="36">
        <f t="shared" ref="K18:K27" si="6">J4/J3</f>
        <v>1</v>
      </c>
      <c r="L18" s="43"/>
      <c r="M18" s="43"/>
      <c r="N18" s="43"/>
      <c r="O18" s="43"/>
      <c r="P18" s="43"/>
      <c r="Q18" s="43"/>
      <c r="R18" s="43"/>
      <c r="S18" s="43"/>
    </row>
    <row r="19" spans="1:19" x14ac:dyDescent="0.25">
      <c r="A19" s="50">
        <v>2010</v>
      </c>
      <c r="B19" s="36">
        <f t="shared" ref="B19:D19" si="7">ROUND((B5/B4),4)</f>
        <v>1.0164</v>
      </c>
      <c r="C19" s="36">
        <f t="shared" si="7"/>
        <v>1.0105999999999999</v>
      </c>
      <c r="D19" s="36">
        <f t="shared" si="7"/>
        <v>0.98409999999999997</v>
      </c>
      <c r="E19" s="36"/>
      <c r="F19" s="36"/>
      <c r="G19" s="36">
        <f t="shared" si="5"/>
        <v>0.33329999999999999</v>
      </c>
      <c r="H19" s="36">
        <f t="shared" si="5"/>
        <v>1.0147999999999999</v>
      </c>
      <c r="I19" s="36">
        <f t="shared" si="5"/>
        <v>0.99270000000000003</v>
      </c>
      <c r="K19" s="36">
        <f t="shared" si="6"/>
        <v>1</v>
      </c>
      <c r="L19" s="43"/>
      <c r="M19" s="43"/>
      <c r="N19" s="43"/>
      <c r="O19" s="43"/>
      <c r="P19" s="43"/>
      <c r="Q19" s="43"/>
      <c r="R19" s="43"/>
      <c r="S19" s="43"/>
    </row>
    <row r="20" spans="1:19" x14ac:dyDescent="0.25">
      <c r="A20" s="50">
        <v>2011</v>
      </c>
      <c r="B20" s="36">
        <f t="shared" ref="B20:D20" si="8">ROUND((B6/B5),4)</f>
        <v>1.0162</v>
      </c>
      <c r="C20" s="36">
        <f t="shared" si="8"/>
        <v>1.0121</v>
      </c>
      <c r="D20" s="36">
        <f t="shared" si="8"/>
        <v>0.98580000000000001</v>
      </c>
      <c r="E20" s="36"/>
      <c r="F20" s="36"/>
      <c r="G20" s="36">
        <f t="shared" si="5"/>
        <v>2</v>
      </c>
      <c r="H20" s="36">
        <f t="shared" si="5"/>
        <v>0.99619999999999997</v>
      </c>
      <c r="I20" s="36">
        <f t="shared" si="5"/>
        <v>1.0369999999999999</v>
      </c>
      <c r="K20" s="36">
        <f t="shared" si="6"/>
        <v>1</v>
      </c>
      <c r="L20" s="43"/>
      <c r="M20" s="43"/>
      <c r="N20" s="43"/>
      <c r="O20" s="43"/>
      <c r="P20" s="43"/>
      <c r="Q20" s="43"/>
      <c r="R20" s="43"/>
      <c r="S20" s="43"/>
    </row>
    <row r="21" spans="1:19" x14ac:dyDescent="0.25">
      <c r="A21" s="50">
        <v>2012</v>
      </c>
      <c r="B21" s="36">
        <f t="shared" ref="B21:D21" si="9">ROUND((B7/B6),4)</f>
        <v>1.0157</v>
      </c>
      <c r="C21" s="36">
        <f t="shared" si="9"/>
        <v>1.0142</v>
      </c>
      <c r="D21" s="36">
        <f t="shared" si="9"/>
        <v>0.97130000000000005</v>
      </c>
      <c r="E21" s="36"/>
      <c r="F21" s="36"/>
      <c r="G21" s="36">
        <f t="shared" si="5"/>
        <v>1</v>
      </c>
      <c r="H21" s="36">
        <f t="shared" si="5"/>
        <v>1.0032000000000001</v>
      </c>
      <c r="I21" s="36">
        <f t="shared" si="5"/>
        <v>1.0329999999999999</v>
      </c>
      <c r="K21" s="36">
        <f t="shared" si="6"/>
        <v>1</v>
      </c>
      <c r="L21" s="43"/>
      <c r="M21" s="43"/>
      <c r="N21" s="43"/>
      <c r="O21" s="43"/>
      <c r="P21" s="43"/>
      <c r="Q21" s="43"/>
      <c r="R21" s="43"/>
      <c r="S21" s="43"/>
    </row>
    <row r="22" spans="1:19" x14ac:dyDescent="0.25">
      <c r="A22" s="50">
        <v>2013</v>
      </c>
      <c r="B22" s="36">
        <f t="shared" ref="B22:D22" si="10">ROUND((B8/B7),4)</f>
        <v>1.0112000000000001</v>
      </c>
      <c r="C22" s="36">
        <f t="shared" si="10"/>
        <v>1.0055000000000001</v>
      </c>
      <c r="D22" s="36">
        <f t="shared" si="10"/>
        <v>0.99790000000000001</v>
      </c>
      <c r="E22" s="36">
        <f t="shared" ref="E22:E27" si="11">ROUND((K8/K7),4)</f>
        <v>1</v>
      </c>
      <c r="F22" s="36">
        <f t="shared" ref="F22:F27" si="12">ROUND((E8/E7),4)</f>
        <v>1</v>
      </c>
      <c r="G22" s="36">
        <f t="shared" si="5"/>
        <v>1.5</v>
      </c>
      <c r="H22" s="36">
        <f t="shared" si="5"/>
        <v>0.98599999999999999</v>
      </c>
      <c r="I22" s="36">
        <f t="shared" si="5"/>
        <v>0.97089999999999999</v>
      </c>
      <c r="K22" s="36">
        <f t="shared" si="6"/>
        <v>1</v>
      </c>
      <c r="L22" s="43"/>
      <c r="M22" s="43"/>
      <c r="N22" s="43"/>
      <c r="O22" s="43"/>
      <c r="P22" s="43"/>
      <c r="Q22" s="43"/>
      <c r="R22" s="43"/>
      <c r="S22" s="43"/>
    </row>
    <row r="23" spans="1:19" x14ac:dyDescent="0.25">
      <c r="A23" s="50">
        <v>2014</v>
      </c>
      <c r="B23" s="36">
        <f t="shared" ref="B23:D23" si="13">ROUND((B9/B8),4)</f>
        <v>1.0121</v>
      </c>
      <c r="C23" s="36">
        <f t="shared" si="13"/>
        <v>1.0074000000000001</v>
      </c>
      <c r="D23" s="36">
        <f t="shared" si="13"/>
        <v>0.99370000000000003</v>
      </c>
      <c r="E23" s="36">
        <f t="shared" si="11"/>
        <v>1</v>
      </c>
      <c r="F23" s="36">
        <f t="shared" si="12"/>
        <v>1</v>
      </c>
      <c r="G23" s="36">
        <f t="shared" si="5"/>
        <v>0.66669999999999996</v>
      </c>
      <c r="H23" s="36">
        <f t="shared" si="5"/>
        <v>1.0419</v>
      </c>
      <c r="I23" s="36">
        <f t="shared" si="5"/>
        <v>1.0394000000000001</v>
      </c>
      <c r="K23" s="36">
        <f t="shared" si="6"/>
        <v>1</v>
      </c>
      <c r="L23" s="43"/>
      <c r="M23" s="43"/>
      <c r="N23" s="43"/>
      <c r="O23" s="43"/>
      <c r="P23" s="43"/>
      <c r="Q23" s="43"/>
      <c r="R23" s="43"/>
      <c r="S23" s="43"/>
    </row>
    <row r="24" spans="1:19" x14ac:dyDescent="0.25">
      <c r="A24" s="50">
        <v>2015</v>
      </c>
      <c r="B24" s="36">
        <f t="shared" ref="B24:D24" si="14">ROUND((B10/B9),4)</f>
        <v>1.0150999999999999</v>
      </c>
      <c r="C24" s="36">
        <f t="shared" si="14"/>
        <v>1.0066999999999999</v>
      </c>
      <c r="D24" s="36">
        <f t="shared" si="14"/>
        <v>0.99470000000000003</v>
      </c>
      <c r="E24" s="36">
        <f t="shared" si="11"/>
        <v>1</v>
      </c>
      <c r="F24" s="36">
        <f t="shared" si="12"/>
        <v>1</v>
      </c>
      <c r="G24" s="36">
        <f t="shared" si="5"/>
        <v>0.5</v>
      </c>
      <c r="H24" s="36">
        <f t="shared" si="5"/>
        <v>1.0129999999999999</v>
      </c>
      <c r="I24" s="36">
        <f t="shared" si="5"/>
        <v>1.0163</v>
      </c>
      <c r="K24" s="36">
        <f t="shared" si="6"/>
        <v>1</v>
      </c>
      <c r="L24" s="43"/>
      <c r="M24" s="43"/>
      <c r="N24" s="43"/>
      <c r="O24" s="43"/>
      <c r="P24" s="43"/>
      <c r="Q24" s="43"/>
      <c r="R24" s="43"/>
      <c r="S24" s="43"/>
    </row>
    <row r="25" spans="1:19" x14ac:dyDescent="0.25">
      <c r="A25" s="50">
        <v>2016</v>
      </c>
      <c r="B25" s="36">
        <f t="shared" ref="B25:D25" si="15">ROUND((B11/B10),4)</f>
        <v>1.0170999999999999</v>
      </c>
      <c r="C25" s="36">
        <f t="shared" si="15"/>
        <v>1.0063</v>
      </c>
      <c r="D25" s="36">
        <f t="shared" si="15"/>
        <v>1.0011000000000001</v>
      </c>
      <c r="E25" s="36">
        <f t="shared" si="11"/>
        <v>1</v>
      </c>
      <c r="F25" s="36">
        <f t="shared" si="12"/>
        <v>1</v>
      </c>
      <c r="G25" s="36">
        <f t="shared" si="5"/>
        <v>1</v>
      </c>
      <c r="H25" s="36">
        <f t="shared" si="5"/>
        <v>1.0098</v>
      </c>
      <c r="I25" s="36">
        <f t="shared" si="5"/>
        <v>0.97230000000000005</v>
      </c>
      <c r="K25" s="36">
        <f t="shared" si="6"/>
        <v>1</v>
      </c>
      <c r="L25" s="43"/>
      <c r="M25" s="43"/>
      <c r="N25" s="43"/>
      <c r="O25" s="43"/>
      <c r="P25" s="43"/>
      <c r="Q25" s="43"/>
      <c r="R25" s="43"/>
      <c r="S25" s="43"/>
    </row>
    <row r="26" spans="1:19" x14ac:dyDescent="0.25">
      <c r="A26" s="50">
        <v>2017</v>
      </c>
      <c r="B26" s="36">
        <f t="shared" ref="B26:D26" si="16">ROUND((B12/B11),4)</f>
        <v>1.0181</v>
      </c>
      <c r="C26" s="36">
        <f t="shared" si="16"/>
        <v>1.0116000000000001</v>
      </c>
      <c r="D26" s="36">
        <f t="shared" si="16"/>
        <v>0.96789999999999998</v>
      </c>
      <c r="E26" s="36">
        <f t="shared" si="11"/>
        <v>1</v>
      </c>
      <c r="F26" s="265">
        <f t="shared" si="12"/>
        <v>27</v>
      </c>
      <c r="G26" s="36">
        <f t="shared" si="5"/>
        <v>1</v>
      </c>
      <c r="H26" s="36">
        <f t="shared" si="5"/>
        <v>1.026</v>
      </c>
      <c r="I26" s="36">
        <f t="shared" si="5"/>
        <v>1.0227999999999999</v>
      </c>
      <c r="K26" s="36">
        <f t="shared" si="6"/>
        <v>1</v>
      </c>
      <c r="L26" s="43"/>
      <c r="M26" s="43"/>
      <c r="N26" s="43"/>
      <c r="O26" s="43"/>
      <c r="P26" s="43"/>
      <c r="Q26" s="43"/>
      <c r="R26" s="43"/>
      <c r="S26" s="43"/>
    </row>
    <row r="27" spans="1:19" x14ac:dyDescent="0.25">
      <c r="A27" s="50">
        <v>2018</v>
      </c>
      <c r="B27" s="36">
        <f t="shared" ref="B27:D27" si="17">ROUND((B13/B12),4)</f>
        <v>1.0155000000000001</v>
      </c>
      <c r="C27" s="36">
        <f t="shared" si="17"/>
        <v>1.0059</v>
      </c>
      <c r="D27" s="36">
        <f t="shared" si="17"/>
        <v>1.0065999999999999</v>
      </c>
      <c r="E27" s="36">
        <f t="shared" si="11"/>
        <v>1.25</v>
      </c>
      <c r="F27" s="36">
        <f t="shared" si="12"/>
        <v>1.2593000000000001</v>
      </c>
      <c r="G27" s="36">
        <f t="shared" si="5"/>
        <v>1</v>
      </c>
      <c r="H27" s="36">
        <f t="shared" si="5"/>
        <v>0.98229999999999995</v>
      </c>
      <c r="I27" s="36">
        <f t="shared" si="5"/>
        <v>1.0507</v>
      </c>
      <c r="K27" s="36">
        <f t="shared" si="6"/>
        <v>1</v>
      </c>
      <c r="L27" s="43"/>
      <c r="M27" s="43"/>
      <c r="N27" s="43"/>
      <c r="O27" s="43"/>
      <c r="P27" s="43"/>
      <c r="Q27" s="43"/>
      <c r="R27" s="43"/>
      <c r="S27" s="43"/>
    </row>
    <row r="28" spans="1:19" x14ac:dyDescent="0.25">
      <c r="A28" s="50"/>
      <c r="B28" s="36"/>
      <c r="C28" s="36"/>
      <c r="D28" s="36"/>
      <c r="E28" s="36"/>
      <c r="F28" s="36"/>
      <c r="G28" s="36"/>
      <c r="H28" s="36"/>
      <c r="I28" s="36"/>
      <c r="K28" s="36"/>
      <c r="L28" s="43"/>
      <c r="M28" s="43"/>
      <c r="N28" s="43"/>
      <c r="O28" s="43"/>
      <c r="P28" s="43"/>
      <c r="Q28" s="43"/>
      <c r="R28" s="43"/>
      <c r="S28" s="43"/>
    </row>
    <row r="29" spans="1:19" x14ac:dyDescent="0.25">
      <c r="A29" s="50"/>
      <c r="B29" s="36"/>
      <c r="C29" s="36"/>
      <c r="D29" s="36"/>
      <c r="E29" s="36"/>
      <c r="F29" s="36"/>
      <c r="G29" s="36"/>
      <c r="H29" s="36"/>
      <c r="I29" s="36"/>
      <c r="K29" s="36"/>
      <c r="L29" s="43"/>
      <c r="M29" s="43"/>
      <c r="N29" s="43"/>
      <c r="O29" s="43"/>
      <c r="P29" s="43"/>
      <c r="Q29" s="43"/>
      <c r="R29" s="43"/>
      <c r="S29" s="43"/>
    </row>
    <row r="31" spans="1:19" x14ac:dyDescent="0.25">
      <c r="A31" s="50" t="s">
        <v>78</v>
      </c>
      <c r="B31" s="60">
        <v>1.014</v>
      </c>
      <c r="C31" s="60">
        <f t="shared" ref="C31:I31" si="18">C33</f>
        <v>1.0095000000000001</v>
      </c>
      <c r="D31" s="60">
        <f t="shared" si="18"/>
        <v>0.99360000000000004</v>
      </c>
      <c r="E31" s="60">
        <v>1</v>
      </c>
      <c r="F31" s="60">
        <v>1</v>
      </c>
      <c r="G31" s="60">
        <f>G33</f>
        <v>0.87050000000000005</v>
      </c>
      <c r="H31" s="60">
        <f t="shared" si="18"/>
        <v>1.0091000000000001</v>
      </c>
      <c r="I31" s="60">
        <f t="shared" si="18"/>
        <v>1.0127999999999999</v>
      </c>
      <c r="J31" s="18"/>
      <c r="K31" s="60">
        <f>K33</f>
        <v>1</v>
      </c>
    </row>
    <row r="32" spans="1:19" x14ac:dyDescent="0.25">
      <c r="A32" s="50"/>
      <c r="B32" s="38"/>
      <c r="C32" s="38"/>
      <c r="D32" s="38"/>
      <c r="E32" s="38"/>
      <c r="F32" s="38"/>
      <c r="G32" s="38"/>
      <c r="H32" s="38"/>
      <c r="I32" s="38"/>
      <c r="K32" s="38"/>
    </row>
    <row r="33" spans="1:11" x14ac:dyDescent="0.25">
      <c r="A33" s="50" t="s">
        <v>62</v>
      </c>
      <c r="B33" s="38">
        <f t="shared" ref="B33:I33" si="19">ROUND((GEOMEAN(B18:B27)),4)</f>
        <v>1.0152000000000001</v>
      </c>
      <c r="C33" s="38">
        <f t="shared" si="19"/>
        <v>1.0095000000000001</v>
      </c>
      <c r="D33" s="38">
        <f>ROUND((GEOMEAN(D22:D27)),4)</f>
        <v>0.99360000000000004</v>
      </c>
      <c r="E33" s="38">
        <f>ROUND((GEOMEAN(E22:E27)),4)</f>
        <v>1.0379</v>
      </c>
      <c r="F33" s="38">
        <f>ROUND((GEOMEAN(F22:F27)),4)</f>
        <v>1.7999000000000001</v>
      </c>
      <c r="G33" s="38">
        <f>ROUND((GEOMEAN(G18:G27)),4)</f>
        <v>0.87050000000000005</v>
      </c>
      <c r="H33" s="38">
        <f t="shared" si="19"/>
        <v>1.0091000000000001</v>
      </c>
      <c r="I33" s="38">
        <f t="shared" si="19"/>
        <v>1.0127999999999999</v>
      </c>
      <c r="K33" s="38">
        <f>GEOMEAN(K18:K27)</f>
        <v>1</v>
      </c>
    </row>
    <row r="34" spans="1:11" x14ac:dyDescent="0.25">
      <c r="A34" s="50"/>
      <c r="B34" s="38"/>
      <c r="C34" s="38"/>
      <c r="D34" s="38"/>
      <c r="E34" s="38"/>
      <c r="F34" s="38"/>
      <c r="G34" s="38"/>
      <c r="H34" s="38"/>
      <c r="I34" s="38"/>
    </row>
    <row r="35" spans="1:11" x14ac:dyDescent="0.25">
      <c r="A35" s="50"/>
      <c r="B35" s="38"/>
      <c r="C35" s="38"/>
      <c r="D35" s="38"/>
      <c r="E35" s="38"/>
      <c r="F35" s="38"/>
      <c r="G35" s="38"/>
      <c r="H35" s="38"/>
      <c r="I35" s="38"/>
    </row>
    <row r="36" spans="1:11" x14ac:dyDescent="0.25">
      <c r="A36" s="50"/>
      <c r="B36" s="38"/>
      <c r="C36" s="38"/>
      <c r="D36" s="38"/>
      <c r="E36" s="38"/>
      <c r="F36" s="38"/>
      <c r="G36" s="38"/>
      <c r="H36" s="38"/>
      <c r="I36" s="38"/>
    </row>
    <row r="37" spans="1:11" x14ac:dyDescent="0.25">
      <c r="A37" s="50"/>
      <c r="B37" s="38"/>
      <c r="C37" s="38"/>
      <c r="D37" s="38"/>
      <c r="E37" s="38"/>
      <c r="F37" s="38"/>
      <c r="G37" s="38"/>
      <c r="H37" s="38"/>
      <c r="I37" s="38"/>
    </row>
    <row r="38" spans="1:11" x14ac:dyDescent="0.25">
      <c r="A38" s="50"/>
      <c r="B38" s="38"/>
      <c r="C38" s="38"/>
      <c r="D38" s="38"/>
      <c r="E38" s="38"/>
      <c r="F38" s="38"/>
      <c r="G38" s="38"/>
      <c r="H38" s="38"/>
      <c r="I38" s="38"/>
    </row>
    <row r="39" spans="1:11" x14ac:dyDescent="0.25">
      <c r="A39" s="50"/>
      <c r="B39" s="38"/>
      <c r="C39" s="38"/>
      <c r="D39" s="38"/>
      <c r="E39" s="38"/>
      <c r="F39" s="38"/>
      <c r="G39" s="38"/>
      <c r="H39" s="38"/>
      <c r="I39" s="38"/>
    </row>
    <row r="40" spans="1:11" x14ac:dyDescent="0.25">
      <c r="A40" s="50"/>
      <c r="B40" s="38"/>
      <c r="C40" s="38"/>
      <c r="D40" s="38"/>
      <c r="E40" s="38"/>
      <c r="F40" s="38"/>
      <c r="G40" s="38"/>
      <c r="H40" s="38"/>
      <c r="I40" s="38"/>
    </row>
    <row r="41" spans="1:11" x14ac:dyDescent="0.25">
      <c r="A41" s="50"/>
      <c r="B41" s="38"/>
      <c r="C41" s="38"/>
      <c r="D41" s="38"/>
      <c r="E41" s="38"/>
      <c r="F41" s="38"/>
      <c r="G41" s="38"/>
      <c r="H41" s="38"/>
      <c r="I41" s="38"/>
    </row>
    <row r="42" spans="1:11" x14ac:dyDescent="0.25">
      <c r="B42" s="38"/>
      <c r="C42" s="38"/>
      <c r="D42" s="38"/>
      <c r="E42" s="38"/>
      <c r="F42" s="38"/>
      <c r="G42" s="38"/>
      <c r="H42" s="38"/>
      <c r="I42" s="38"/>
    </row>
    <row r="43" spans="1:11" x14ac:dyDescent="0.25">
      <c r="B43" s="38"/>
      <c r="C43" s="38"/>
      <c r="D43" s="38"/>
      <c r="E43" s="38"/>
      <c r="F43" s="38"/>
      <c r="G43" s="38"/>
      <c r="H43" s="38"/>
      <c r="I43" s="38"/>
    </row>
    <row r="44" spans="1:11" x14ac:dyDescent="0.25">
      <c r="B44" s="38"/>
      <c r="C44" s="38"/>
      <c r="D44" s="38"/>
      <c r="E44" s="38"/>
      <c r="F44" s="38"/>
      <c r="G44" s="38"/>
      <c r="H44" s="38"/>
      <c r="I44" s="38"/>
    </row>
    <row r="45" spans="1:11" x14ac:dyDescent="0.25">
      <c r="B45" s="38"/>
      <c r="C45" s="38"/>
      <c r="D45" s="38"/>
      <c r="E45" s="38"/>
      <c r="F45" s="38"/>
      <c r="G45" s="38"/>
      <c r="H45" s="38"/>
      <c r="I45" s="38"/>
    </row>
    <row r="46" spans="1:11" x14ac:dyDescent="0.25">
      <c r="B46" s="38"/>
      <c r="C46" s="38"/>
      <c r="D46" s="38"/>
      <c r="E46" s="38"/>
      <c r="F46" s="38"/>
      <c r="G46" s="38"/>
      <c r="H46" s="38"/>
      <c r="I46" s="38"/>
    </row>
    <row r="47" spans="1:11" x14ac:dyDescent="0.25">
      <c r="B47" s="38"/>
      <c r="C47" s="38"/>
      <c r="D47" s="38"/>
      <c r="E47" s="38"/>
      <c r="F47" s="38"/>
      <c r="G47" s="38"/>
      <c r="H47" s="38"/>
      <c r="I47" s="38"/>
    </row>
    <row r="48" spans="1:11" x14ac:dyDescent="0.25">
      <c r="B48" s="38"/>
      <c r="C48" s="38"/>
      <c r="D48" s="38"/>
      <c r="E48" s="38"/>
      <c r="F48" s="38"/>
      <c r="G48" s="38"/>
      <c r="H48" s="38"/>
      <c r="I48" s="38"/>
    </row>
    <row r="49" spans="2:9" x14ac:dyDescent="0.25">
      <c r="B49" s="38"/>
      <c r="C49" s="38"/>
      <c r="D49" s="38"/>
      <c r="E49" s="38"/>
      <c r="F49" s="38"/>
      <c r="G49" s="38"/>
      <c r="H49" s="38"/>
      <c r="I49" s="38"/>
    </row>
    <row r="50" spans="2:9" x14ac:dyDescent="0.25">
      <c r="B50" s="38"/>
      <c r="C50" s="38"/>
      <c r="D50" s="38"/>
      <c r="E50" s="38"/>
      <c r="F50" s="38"/>
      <c r="G50" s="38"/>
      <c r="H50" s="38"/>
      <c r="I50" s="38"/>
    </row>
    <row r="51" spans="2:9" x14ac:dyDescent="0.25">
      <c r="B51" s="38"/>
      <c r="C51" s="38"/>
      <c r="D51" s="38"/>
      <c r="E51" s="38"/>
      <c r="F51" s="38"/>
      <c r="G51" s="38"/>
      <c r="H51" s="38"/>
      <c r="I51" s="38"/>
    </row>
    <row r="52" spans="2:9" x14ac:dyDescent="0.25">
      <c r="B52" s="38"/>
      <c r="C52" s="38"/>
      <c r="D52" s="38"/>
      <c r="E52" s="38"/>
      <c r="F52" s="38"/>
      <c r="G52" s="38"/>
      <c r="H52" s="38"/>
      <c r="I52" s="38"/>
    </row>
    <row r="53" spans="2:9" x14ac:dyDescent="0.25">
      <c r="B53" s="38"/>
      <c r="C53" s="38"/>
      <c r="D53" s="38"/>
      <c r="E53" s="38"/>
      <c r="F53" s="38"/>
      <c r="G53" s="38"/>
      <c r="H53" s="38"/>
      <c r="I53" s="38"/>
    </row>
    <row r="54" spans="2:9" x14ac:dyDescent="0.25">
      <c r="B54" s="38"/>
      <c r="C54" s="38"/>
      <c r="D54" s="38"/>
      <c r="E54" s="38"/>
      <c r="F54" s="38"/>
      <c r="G54" s="38"/>
      <c r="H54" s="38"/>
      <c r="I54" s="38"/>
    </row>
    <row r="55" spans="2:9" x14ac:dyDescent="0.25">
      <c r="B55" s="38"/>
      <c r="C55" s="38"/>
      <c r="D55" s="38"/>
      <c r="E55" s="38"/>
      <c r="F55" s="38"/>
      <c r="G55" s="38"/>
      <c r="H55" s="38"/>
      <c r="I55" s="38"/>
    </row>
    <row r="56" spans="2:9" x14ac:dyDescent="0.25">
      <c r="B56" s="38"/>
      <c r="C56" s="38"/>
      <c r="D56" s="38"/>
      <c r="E56" s="38"/>
      <c r="F56" s="38"/>
      <c r="G56" s="38"/>
      <c r="H56" s="38"/>
      <c r="I56" s="38"/>
    </row>
    <row r="57" spans="2:9" x14ac:dyDescent="0.25">
      <c r="B57" s="38"/>
      <c r="C57" s="38"/>
      <c r="D57" s="38"/>
      <c r="E57" s="38"/>
      <c r="F57" s="38"/>
      <c r="G57" s="38"/>
      <c r="H57" s="38"/>
      <c r="I57" s="38"/>
    </row>
    <row r="58" spans="2:9" x14ac:dyDescent="0.25">
      <c r="B58" s="38"/>
      <c r="C58" s="38"/>
      <c r="D58" s="38"/>
      <c r="E58" s="38"/>
      <c r="F58" s="38"/>
      <c r="G58" s="38"/>
      <c r="H58" s="38"/>
      <c r="I58" s="38"/>
    </row>
    <row r="59" spans="2:9" x14ac:dyDescent="0.25">
      <c r="B59" s="38"/>
      <c r="C59" s="38"/>
      <c r="D59" s="38"/>
      <c r="E59" s="38"/>
      <c r="F59" s="38"/>
      <c r="G59" s="38"/>
      <c r="H59" s="38"/>
      <c r="I59" s="38"/>
    </row>
    <row r="60" spans="2:9" x14ac:dyDescent="0.25">
      <c r="B60" s="38"/>
      <c r="C60" s="38"/>
      <c r="H60" s="38"/>
      <c r="I60" s="38"/>
    </row>
    <row r="66" spans="2:9" x14ac:dyDescent="0.25">
      <c r="D66" s="52"/>
      <c r="E66" s="52"/>
      <c r="F66" s="52"/>
      <c r="G66" s="52"/>
    </row>
    <row r="67" spans="2:9" x14ac:dyDescent="0.25">
      <c r="B67" s="52"/>
      <c r="C67" s="52"/>
      <c r="D67" s="52"/>
      <c r="E67" s="52"/>
      <c r="F67" s="52"/>
      <c r="G67" s="52"/>
      <c r="H67" s="52"/>
      <c r="I67" s="52"/>
    </row>
    <row r="68" spans="2:9" x14ac:dyDescent="0.25">
      <c r="B68" s="52"/>
      <c r="C68" s="52"/>
      <c r="H68" s="52"/>
      <c r="I68" s="52"/>
    </row>
    <row r="86" spans="2:9" x14ac:dyDescent="0.25">
      <c r="D86" s="53"/>
      <c r="E86" s="53"/>
      <c r="F86" s="53"/>
      <c r="G86" s="53"/>
    </row>
    <row r="87" spans="2:9" x14ac:dyDescent="0.25">
      <c r="B87" s="53"/>
      <c r="C87" s="53"/>
      <c r="D87" s="53"/>
      <c r="E87" s="53"/>
      <c r="F87" s="53"/>
      <c r="G87" s="53"/>
      <c r="H87" s="53"/>
      <c r="I87" s="53"/>
    </row>
    <row r="88" spans="2:9" x14ac:dyDescent="0.25">
      <c r="B88" s="53"/>
      <c r="C88" s="53"/>
      <c r="H88" s="53"/>
      <c r="I88" s="53"/>
    </row>
  </sheetData>
  <pageMargins left="0.7" right="0.7" top="0.75" bottom="0.75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zoomScaleNormal="100" workbookViewId="0">
      <selection activeCell="B13" sqref="B13"/>
    </sheetView>
  </sheetViews>
  <sheetFormatPr defaultRowHeight="12.5" x14ac:dyDescent="0.25"/>
  <cols>
    <col min="1" max="1" width="15.453125" bestFit="1" customWidth="1"/>
    <col min="2" max="2" width="13.453125" customWidth="1"/>
    <col min="3" max="3" width="17.1796875" customWidth="1"/>
    <col min="4" max="4" width="15.453125" customWidth="1"/>
  </cols>
  <sheetData>
    <row r="1" spans="1:4" ht="14" x14ac:dyDescent="0.3">
      <c r="A1" s="452" t="s">
        <v>79</v>
      </c>
      <c r="B1" s="452"/>
      <c r="C1" s="452"/>
      <c r="D1" s="452"/>
    </row>
    <row r="2" spans="1:4" ht="14" x14ac:dyDescent="0.3">
      <c r="A2" s="237" t="s">
        <v>80</v>
      </c>
      <c r="B2" s="237" t="s">
        <v>81</v>
      </c>
      <c r="C2" s="238" t="s">
        <v>82</v>
      </c>
      <c r="D2" s="238" t="s">
        <v>83</v>
      </c>
    </row>
    <row r="3" spans="1:4" ht="14" x14ac:dyDescent="0.3">
      <c r="A3" s="426">
        <v>2009</v>
      </c>
      <c r="B3" s="343">
        <v>49918.169999999991</v>
      </c>
      <c r="C3" s="343">
        <v>22622441.550000001</v>
      </c>
      <c r="D3" s="343">
        <f>ROUND((C3/12),2)</f>
        <v>1885203.46</v>
      </c>
    </row>
    <row r="4" spans="1:4" ht="14" x14ac:dyDescent="0.3">
      <c r="A4" s="426">
        <v>2010</v>
      </c>
      <c r="B4" s="343">
        <v>53143.520000000004</v>
      </c>
      <c r="C4" s="343">
        <v>24190281.489999998</v>
      </c>
      <c r="D4" s="343">
        <f t="shared" ref="D4:D14" si="0">ROUND((C4/12),2)</f>
        <v>2015856.79</v>
      </c>
    </row>
    <row r="5" spans="1:4" ht="14" x14ac:dyDescent="0.3">
      <c r="A5" s="426">
        <v>2011</v>
      </c>
      <c r="B5" s="343">
        <v>49138.899999999994</v>
      </c>
      <c r="C5" s="343">
        <v>21309995.489999998</v>
      </c>
      <c r="D5" s="343">
        <f t="shared" si="0"/>
        <v>1775832.96</v>
      </c>
    </row>
    <row r="6" spans="1:4" ht="14" x14ac:dyDescent="0.3">
      <c r="A6" s="426">
        <v>2012</v>
      </c>
      <c r="B6" s="343">
        <v>37866.879999999997</v>
      </c>
      <c r="C6" s="343">
        <v>17590423.550000001</v>
      </c>
      <c r="D6" s="343">
        <f t="shared" si="0"/>
        <v>1465868.63</v>
      </c>
    </row>
    <row r="7" spans="1:4" ht="14" x14ac:dyDescent="0.3">
      <c r="A7" s="426">
        <v>2013</v>
      </c>
      <c r="B7" s="343">
        <v>32780.5</v>
      </c>
      <c r="C7" s="343">
        <v>15021820.6</v>
      </c>
      <c r="D7" s="343">
        <f t="shared" si="0"/>
        <v>1251818.3799999999</v>
      </c>
    </row>
    <row r="8" spans="1:4" ht="14" x14ac:dyDescent="0.3">
      <c r="A8" s="426">
        <v>2014</v>
      </c>
      <c r="B8" s="343">
        <v>32611.380000000005</v>
      </c>
      <c r="C8" s="343">
        <v>14039293.18</v>
      </c>
      <c r="D8" s="343">
        <f t="shared" si="0"/>
        <v>1169941.1000000001</v>
      </c>
    </row>
    <row r="9" spans="1:4" ht="14" x14ac:dyDescent="0.3">
      <c r="A9" s="426">
        <v>2015</v>
      </c>
      <c r="B9" s="343">
        <v>49708.520000000004</v>
      </c>
      <c r="C9" s="343">
        <v>23075916.899999999</v>
      </c>
      <c r="D9" s="343">
        <f t="shared" si="0"/>
        <v>1922993.08</v>
      </c>
    </row>
    <row r="10" spans="1:4" ht="14" x14ac:dyDescent="0.3">
      <c r="A10" s="426">
        <v>2016</v>
      </c>
      <c r="B10" s="343">
        <v>49930.489999999991</v>
      </c>
      <c r="C10" s="343">
        <v>19564437.330000002</v>
      </c>
      <c r="D10" s="343">
        <f t="shared" si="0"/>
        <v>1630369.78</v>
      </c>
    </row>
    <row r="11" spans="1:4" ht="14" x14ac:dyDescent="0.3">
      <c r="A11" s="426">
        <v>2017</v>
      </c>
      <c r="B11" s="343">
        <v>44998.2</v>
      </c>
      <c r="C11" s="343">
        <v>20383811.499999996</v>
      </c>
      <c r="D11" s="343">
        <f t="shared" si="0"/>
        <v>1698650.96</v>
      </c>
    </row>
    <row r="12" spans="1:4" ht="14" x14ac:dyDescent="0.3">
      <c r="A12" s="426">
        <v>2018</v>
      </c>
      <c r="B12" s="343">
        <v>33065.300000000003</v>
      </c>
      <c r="C12" s="343">
        <v>12731868.73</v>
      </c>
      <c r="D12" s="343">
        <f t="shared" si="0"/>
        <v>1060989.06</v>
      </c>
    </row>
    <row r="13" spans="1:4" ht="14" x14ac:dyDescent="0.3">
      <c r="A13" s="426" t="s">
        <v>84</v>
      </c>
      <c r="B13" s="343">
        <f>ROUND((AVERAGE(B3:B12)),2)</f>
        <v>43316.19</v>
      </c>
      <c r="C13" s="343">
        <f>ROUND((AVERAGE(C3:C12)),2)</f>
        <v>19053029.030000001</v>
      </c>
      <c r="D13" s="343">
        <f t="shared" si="0"/>
        <v>1587752.42</v>
      </c>
    </row>
    <row r="14" spans="1:4" ht="14" x14ac:dyDescent="0.3">
      <c r="A14" s="426" t="s">
        <v>85</v>
      </c>
      <c r="B14" s="343">
        <f>ROUND((AVERAGE(B3:B12)),2)</f>
        <v>43316.19</v>
      </c>
      <c r="C14" s="343">
        <f>ROUND((AVERAGE(C3:C12)),2)</f>
        <v>19053029.030000001</v>
      </c>
      <c r="D14" s="343">
        <f t="shared" si="0"/>
        <v>1587752.42</v>
      </c>
    </row>
    <row r="15" spans="1:4" ht="14" x14ac:dyDescent="0.3">
      <c r="A15" s="426"/>
      <c r="B15" s="343"/>
      <c r="C15" s="343"/>
      <c r="D15" s="343"/>
    </row>
    <row r="16" spans="1:4" ht="14" x14ac:dyDescent="0.3">
      <c r="A16" s="426"/>
      <c r="B16" s="426"/>
      <c r="C16" s="344"/>
      <c r="D16" s="345"/>
    </row>
    <row r="17" spans="1:4" ht="14" x14ac:dyDescent="0.3">
      <c r="A17" s="426"/>
      <c r="B17" s="426"/>
      <c r="C17" s="344"/>
      <c r="D17" s="345"/>
    </row>
    <row r="18" spans="1:4" ht="14" x14ac:dyDescent="0.3">
      <c r="A18" s="237" t="s">
        <v>86</v>
      </c>
      <c r="B18" s="238" t="s">
        <v>87</v>
      </c>
      <c r="C18" s="238" t="s">
        <v>88</v>
      </c>
      <c r="D18" s="345"/>
    </row>
    <row r="19" spans="1:4" ht="14" x14ac:dyDescent="0.3">
      <c r="A19" s="346">
        <v>244192680</v>
      </c>
      <c r="B19" s="347">
        <v>37347</v>
      </c>
      <c r="C19" s="347">
        <v>38359</v>
      </c>
      <c r="D19" s="345"/>
    </row>
    <row r="20" spans="1:4" ht="14" x14ac:dyDescent="0.3">
      <c r="A20" s="346">
        <v>1000023320</v>
      </c>
      <c r="B20" s="347">
        <v>38360</v>
      </c>
      <c r="C20" s="347">
        <v>40908</v>
      </c>
      <c r="D20" s="345"/>
    </row>
    <row r="21" spans="1:4" ht="14" x14ac:dyDescent="0.3">
      <c r="A21" s="346">
        <v>1000023650</v>
      </c>
      <c r="B21" s="347">
        <v>40909</v>
      </c>
      <c r="C21" s="347">
        <v>41274</v>
      </c>
      <c r="D21" s="345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topLeftCell="A4" workbookViewId="0">
      <selection activeCell="L35" sqref="L35"/>
    </sheetView>
  </sheetViews>
  <sheetFormatPr defaultRowHeight="12.5" x14ac:dyDescent="0.25"/>
  <cols>
    <col min="1" max="1" width="11" customWidth="1"/>
    <col min="2" max="8" width="12.7265625" style="1" customWidth="1"/>
    <col min="9" max="9" width="12.7265625" customWidth="1"/>
    <col min="10" max="10" width="10.7265625" bestFit="1" customWidth="1"/>
    <col min="12" max="12" width="9.1796875" bestFit="1" customWidth="1"/>
  </cols>
  <sheetData>
    <row r="1" spans="1:13" x14ac:dyDescent="0.25">
      <c r="A1" s="112" t="s">
        <v>89</v>
      </c>
      <c r="B1" s="112"/>
      <c r="C1" s="112"/>
      <c r="D1" s="112"/>
      <c r="E1" s="112"/>
      <c r="F1" s="112"/>
    </row>
    <row r="2" spans="1:13" ht="42" customHeight="1" x14ac:dyDescent="0.25">
      <c r="B2" s="54" t="s">
        <v>47</v>
      </c>
      <c r="C2" s="54" t="s">
        <v>90</v>
      </c>
      <c r="D2" s="54" t="s">
        <v>49</v>
      </c>
      <c r="E2" s="54" t="s">
        <v>50</v>
      </c>
      <c r="F2" s="54" t="s">
        <v>29</v>
      </c>
      <c r="G2" s="54" t="s">
        <v>91</v>
      </c>
      <c r="H2" s="54" t="s">
        <v>92</v>
      </c>
      <c r="I2" s="54"/>
      <c r="J2" s="54" t="s">
        <v>93</v>
      </c>
    </row>
    <row r="3" spans="1:13" x14ac:dyDescent="0.25">
      <c r="A3" s="448">
        <v>2009</v>
      </c>
      <c r="B3" s="102">
        <v>2169096</v>
      </c>
      <c r="C3" s="102"/>
      <c r="D3" s="102">
        <v>171311</v>
      </c>
      <c r="E3" s="102">
        <v>44226</v>
      </c>
      <c r="F3" s="102">
        <f t="shared" ref="F3:F12" si="0">SUM(B3:E3)</f>
        <v>2384633</v>
      </c>
      <c r="G3" s="102">
        <v>1029080.11</v>
      </c>
      <c r="H3" s="102">
        <v>171310.71</v>
      </c>
      <c r="I3" s="51">
        <f>+G3/(B3+C3+J3)</f>
        <v>0.47442810737745122</v>
      </c>
      <c r="J3" s="102"/>
    </row>
    <row r="4" spans="1:13" x14ac:dyDescent="0.25">
      <c r="A4" s="448">
        <v>2010</v>
      </c>
      <c r="B4" s="102">
        <v>2260312</v>
      </c>
      <c r="C4" s="102"/>
      <c r="D4" s="102">
        <v>95621</v>
      </c>
      <c r="E4" s="102">
        <v>44895</v>
      </c>
      <c r="F4" s="102">
        <f t="shared" si="0"/>
        <v>2400828</v>
      </c>
      <c r="G4" s="102">
        <v>1114073.81</v>
      </c>
      <c r="H4" s="102">
        <v>95621.02</v>
      </c>
      <c r="I4" s="51">
        <f t="shared" ref="I4:I12" si="1">+G4/(B4+C4)</f>
        <v>0.49288496897773409</v>
      </c>
      <c r="J4" s="102"/>
    </row>
    <row r="5" spans="1:13" x14ac:dyDescent="0.25">
      <c r="A5" s="448">
        <v>2011</v>
      </c>
      <c r="B5" s="102">
        <v>2244883</v>
      </c>
      <c r="C5" s="102"/>
      <c r="D5" s="102">
        <v>105771</v>
      </c>
      <c r="E5" s="102">
        <v>44252</v>
      </c>
      <c r="F5" s="102">
        <f t="shared" si="0"/>
        <v>2394906</v>
      </c>
      <c r="G5" s="102">
        <v>1109674.6200000001</v>
      </c>
      <c r="H5" s="102">
        <v>105771.07</v>
      </c>
      <c r="I5" s="51">
        <f t="shared" si="1"/>
        <v>0.49431289737594347</v>
      </c>
      <c r="J5" s="102"/>
    </row>
    <row r="6" spans="1:13" x14ac:dyDescent="0.25">
      <c r="A6" s="448">
        <v>2012</v>
      </c>
      <c r="B6" s="102">
        <v>2191041.8129999996</v>
      </c>
      <c r="C6" s="102">
        <v>31998.419000000002</v>
      </c>
      <c r="D6" s="102">
        <v>136790</v>
      </c>
      <c r="E6" s="102">
        <v>44229</v>
      </c>
      <c r="F6" s="102">
        <f t="shared" si="0"/>
        <v>2404059.2319999998</v>
      </c>
      <c r="G6" s="102">
        <v>1090918.6399999999</v>
      </c>
      <c r="H6" s="102">
        <v>136790.35999999999</v>
      </c>
      <c r="I6" s="51">
        <f t="shared" si="1"/>
        <v>0.49073274711656228</v>
      </c>
      <c r="J6" s="102">
        <v>4890.768</v>
      </c>
    </row>
    <row r="7" spans="1:13" x14ac:dyDescent="0.25">
      <c r="A7" s="448">
        <v>2013</v>
      </c>
      <c r="B7" s="102">
        <v>2172493.1097000004</v>
      </c>
      <c r="C7" s="102">
        <v>16786.679899999999</v>
      </c>
      <c r="D7" s="102">
        <v>181960.6</v>
      </c>
      <c r="E7" s="102">
        <v>44582.02</v>
      </c>
      <c r="F7" s="102">
        <f t="shared" si="0"/>
        <v>2415822.4096000004</v>
      </c>
      <c r="G7" s="102">
        <v>1097384.2276999999</v>
      </c>
      <c r="H7" s="102">
        <v>181960.59980000003</v>
      </c>
      <c r="I7" s="51">
        <f t="shared" si="1"/>
        <v>0.50125353228629643</v>
      </c>
      <c r="J7" s="102">
        <v>36056.200400000002</v>
      </c>
    </row>
    <row r="8" spans="1:13" x14ac:dyDescent="0.25">
      <c r="A8" s="448">
        <v>2014</v>
      </c>
      <c r="B8" s="102">
        <v>2072802.4709999999</v>
      </c>
      <c r="C8" s="102">
        <v>55462.149399999995</v>
      </c>
      <c r="D8" s="102">
        <v>126219.41</v>
      </c>
      <c r="E8" s="102">
        <v>44711.85</v>
      </c>
      <c r="F8" s="102">
        <f t="shared" si="0"/>
        <v>2299195.8804000001</v>
      </c>
      <c r="G8" s="102">
        <v>1057011.3</v>
      </c>
      <c r="H8" s="102">
        <v>126219.41179999997</v>
      </c>
      <c r="I8" s="51">
        <f t="shared" si="1"/>
        <v>0.49665407669152462</v>
      </c>
      <c r="J8" s="102">
        <v>31006.339600000003</v>
      </c>
    </row>
    <row r="9" spans="1:13" x14ac:dyDescent="0.25">
      <c r="A9" s="448">
        <v>2015</v>
      </c>
      <c r="B9" s="102">
        <v>2063302.6587</v>
      </c>
      <c r="C9" s="102">
        <v>53215.524099999995</v>
      </c>
      <c r="D9" s="102">
        <v>62997.91</v>
      </c>
      <c r="E9" s="102">
        <v>45213.11</v>
      </c>
      <c r="F9" s="102">
        <f t="shared" si="0"/>
        <v>2224729.2028000001</v>
      </c>
      <c r="G9" s="102">
        <v>1071480.1832999999</v>
      </c>
      <c r="H9" s="102">
        <v>74090.267500000002</v>
      </c>
      <c r="I9" s="51">
        <f t="shared" si="1"/>
        <v>0.50624662334934889</v>
      </c>
      <c r="J9" s="102">
        <v>30561.897200000003</v>
      </c>
    </row>
    <row r="10" spans="1:13" x14ac:dyDescent="0.25">
      <c r="A10" s="448">
        <v>2016</v>
      </c>
      <c r="B10" s="102">
        <v>2088279.5105999999</v>
      </c>
      <c r="C10" s="102">
        <v>51329.678899999992</v>
      </c>
      <c r="D10" s="102">
        <v>62931.33</v>
      </c>
      <c r="E10" s="102">
        <v>45218.23</v>
      </c>
      <c r="F10" s="102">
        <f t="shared" si="0"/>
        <v>2247758.7494999999</v>
      </c>
      <c r="G10" s="102">
        <v>1072433.5667000001</v>
      </c>
      <c r="H10" s="102">
        <v>62478.332399999992</v>
      </c>
      <c r="I10" s="51">
        <f t="shared" si="1"/>
        <v>0.50122871595565288</v>
      </c>
      <c r="J10" s="102">
        <v>31132.920500000004</v>
      </c>
    </row>
    <row r="11" spans="1:13" x14ac:dyDescent="0.25">
      <c r="A11" s="448">
        <v>2017</v>
      </c>
      <c r="B11" s="102">
        <v>1832120.3498</v>
      </c>
      <c r="C11" s="102">
        <v>246827.2684</v>
      </c>
      <c r="D11" s="102">
        <v>58806.46</v>
      </c>
      <c r="E11" s="102">
        <v>42035.72</v>
      </c>
      <c r="F11" s="102">
        <f t="shared" si="0"/>
        <v>2179789.7982000001</v>
      </c>
      <c r="G11" s="102">
        <v>1056503.9194999998</v>
      </c>
      <c r="H11" s="102">
        <v>58119.461999999992</v>
      </c>
      <c r="I11" s="51">
        <f t="shared" si="1"/>
        <v>0.50819169768921113</v>
      </c>
      <c r="J11" s="102">
        <v>30205.531800000008</v>
      </c>
    </row>
    <row r="12" spans="1:13" x14ac:dyDescent="0.25">
      <c r="A12" s="448">
        <v>2018</v>
      </c>
      <c r="B12" s="102">
        <v>1663598.9622000002</v>
      </c>
      <c r="C12" s="102">
        <v>505084.01630000002</v>
      </c>
      <c r="D12" s="102">
        <v>69010.508700000006</v>
      </c>
      <c r="E12" s="102">
        <v>20808.9388</v>
      </c>
      <c r="F12" s="102">
        <f t="shared" si="0"/>
        <v>2258502.4260000004</v>
      </c>
      <c r="G12" s="102">
        <v>1081229.5778000001</v>
      </c>
      <c r="H12" s="102">
        <v>68264.508699999991</v>
      </c>
      <c r="I12" s="51">
        <f t="shared" si="1"/>
        <v>0.49856506853198412</v>
      </c>
      <c r="J12" s="102">
        <v>34080.072999999997</v>
      </c>
    </row>
    <row r="13" spans="1:13" x14ac:dyDescent="0.25">
      <c r="A13" s="448">
        <v>2019</v>
      </c>
      <c r="B13" s="103">
        <v>1543451.2774</v>
      </c>
      <c r="C13" s="103">
        <v>504881.69910000003</v>
      </c>
      <c r="D13" s="103">
        <v>68382.8269</v>
      </c>
      <c r="E13" s="103">
        <v>20613.041099999999</v>
      </c>
      <c r="F13" s="103">
        <f>ROUND((SUM(B13:E13)),4)</f>
        <v>2137328.8445000001</v>
      </c>
      <c r="G13" s="103">
        <f>ROUND(((B13+C13)*I13),4)</f>
        <v>1016894.5857000001</v>
      </c>
      <c r="H13" s="103">
        <f>ROUND((D13),4)</f>
        <v>68382.8269</v>
      </c>
      <c r="I13" s="51">
        <f>AVERAGE(I3:I12)</f>
        <v>0.49644984353517091</v>
      </c>
      <c r="J13" s="103">
        <v>34080.072999999997</v>
      </c>
      <c r="L13" s="72"/>
      <c r="M13" s="48"/>
    </row>
    <row r="14" spans="1:13" x14ac:dyDescent="0.25">
      <c r="A14" s="448">
        <v>2020</v>
      </c>
      <c r="B14" s="103">
        <v>1500626.4309</v>
      </c>
      <c r="C14" s="103">
        <v>507910.98930000002</v>
      </c>
      <c r="D14" s="103">
        <v>70126.589000000007</v>
      </c>
      <c r="E14" s="103">
        <v>20391.435300000001</v>
      </c>
      <c r="F14" s="103">
        <f>ROUND((SUM(B14:E14)),4)</f>
        <v>2099055.4445000002</v>
      </c>
      <c r="G14" s="103">
        <f>ROUND(((B14+C14)*I14),4)</f>
        <v>1001561.2361</v>
      </c>
      <c r="H14" s="103">
        <f>ROUND((D14),4)</f>
        <v>70126.589000000007</v>
      </c>
      <c r="I14" s="51">
        <f>AVERAGE(I4:I13)</f>
        <v>0.49865201715094287</v>
      </c>
      <c r="J14" s="103">
        <v>34080.072999999997</v>
      </c>
      <c r="L14" s="72"/>
      <c r="M14" s="48"/>
    </row>
    <row r="15" spans="1:13" ht="13" x14ac:dyDescent="0.3">
      <c r="A15" s="41"/>
      <c r="E15" s="55"/>
      <c r="F15" s="37">
        <f>ROUND((ED!B14),4)</f>
        <v>43316.19</v>
      </c>
      <c r="I15" s="1"/>
      <c r="L15" s="112"/>
    </row>
    <row r="16" spans="1:13" ht="13" x14ac:dyDescent="0.3">
      <c r="A16" s="41" t="s">
        <v>94</v>
      </c>
      <c r="B16" s="40"/>
      <c r="E16" s="40"/>
      <c r="F16" s="37">
        <f>+F14+F15</f>
        <v>2142371.6345000002</v>
      </c>
      <c r="G16" s="1">
        <f>+F16+J14</f>
        <v>2176451.7075</v>
      </c>
      <c r="I16" s="1"/>
    </row>
    <row r="17" spans="1:12" x14ac:dyDescent="0.25">
      <c r="A17" s="447">
        <v>2009</v>
      </c>
      <c r="B17" s="55">
        <f>+B3/Energy!I6</f>
        <v>2.642274511612796E-3</v>
      </c>
      <c r="C17" s="55"/>
      <c r="D17" s="55">
        <f>+D3/Energy!K6</f>
        <v>2.1461523606441978E-3</v>
      </c>
      <c r="E17" s="55">
        <f>+E3/Energy!L6</f>
        <v>2.7778555929640725E-3</v>
      </c>
      <c r="H17" s="55"/>
      <c r="I17" s="55"/>
      <c r="L17" s="327"/>
    </row>
    <row r="18" spans="1:12" x14ac:dyDescent="0.25">
      <c r="A18" s="447">
        <v>2010</v>
      </c>
      <c r="B18" s="55">
        <f>+B4/Energy!I7</f>
        <v>2.5776612434298585E-3</v>
      </c>
      <c r="C18" s="55"/>
      <c r="D18" s="55">
        <f>+D4/Energy!K7</f>
        <v>2.0535557089132192E-3</v>
      </c>
      <c r="E18" s="55">
        <f>+E4/Energy!L7</f>
        <v>2.7997924804664663E-3</v>
      </c>
      <c r="H18" s="55"/>
      <c r="I18" s="55"/>
      <c r="J18" s="261"/>
      <c r="L18" s="327"/>
    </row>
    <row r="19" spans="1:12" x14ac:dyDescent="0.25">
      <c r="A19" s="447">
        <v>2011</v>
      </c>
      <c r="B19" s="55">
        <f>+B5/Energy!I8</f>
        <v>2.576611271021607E-3</v>
      </c>
      <c r="C19" s="55"/>
      <c r="D19" s="55">
        <f>+D5/Energy!K8</f>
        <v>1.8882530047298353E-3</v>
      </c>
      <c r="E19" s="55">
        <f>+E5/Energy!L8</f>
        <v>2.7906006475918867E-3</v>
      </c>
      <c r="H19" s="55"/>
      <c r="I19" s="55"/>
      <c r="L19" s="327"/>
    </row>
    <row r="20" spans="1:12" x14ac:dyDescent="0.25">
      <c r="A20" s="447">
        <v>2012</v>
      </c>
      <c r="B20" s="55">
        <f>+B6/Energy!I9</f>
        <v>2.6217520613837516E-3</v>
      </c>
      <c r="C20" s="55">
        <f>+C6/Energy!J9</f>
        <v>2.5531764360811021E-3</v>
      </c>
      <c r="D20" s="55">
        <f>+D6/Energy!K9</f>
        <v>1.9722772135614469E-3</v>
      </c>
      <c r="E20" s="55">
        <f>+E6/Energy!L9</f>
        <v>2.7741083968947596E-3</v>
      </c>
      <c r="H20" s="55"/>
      <c r="I20" s="55"/>
      <c r="L20" s="327"/>
    </row>
    <row r="21" spans="1:12" x14ac:dyDescent="0.25">
      <c r="A21" s="447">
        <v>2013</v>
      </c>
      <c r="B21" s="55">
        <f>+B7/Energy!I10</f>
        <v>2.7163213752015298E-3</v>
      </c>
      <c r="C21" s="55">
        <f>+C7/Energy!J10</f>
        <v>2.8171819151831998E-3</v>
      </c>
      <c r="D21" s="55">
        <f>+D7/Energy!K10</f>
        <v>2.0559207695721965E-3</v>
      </c>
      <c r="E21" s="55">
        <f>+E7/Energy!L10</f>
        <v>2.7893495256385578E-3</v>
      </c>
      <c r="H21" s="55"/>
      <c r="I21" s="55"/>
      <c r="J21" s="55">
        <f>+J7/Energy!P10</f>
        <v>2.0242948661780644E-3</v>
      </c>
      <c r="L21" s="327"/>
    </row>
    <row r="22" spans="1:12" x14ac:dyDescent="0.25">
      <c r="A22" s="447">
        <v>2014</v>
      </c>
      <c r="B22" s="55">
        <f>+B8/Energy!I11</f>
        <v>2.5999150247194573E-3</v>
      </c>
      <c r="C22" s="55">
        <f>+C8/Energy!J11</f>
        <v>2.108505959605044E-3</v>
      </c>
      <c r="D22" s="55">
        <f>+D8/Energy!K11</f>
        <v>1.9894958958666118E-3</v>
      </c>
      <c r="E22" s="55">
        <f>+E8/Energy!L11</f>
        <v>2.7876519225899336E-3</v>
      </c>
      <c r="H22" s="55"/>
      <c r="I22" s="55"/>
      <c r="J22" s="55">
        <f>+J8/Energy!P11</f>
        <v>1.8158619202389486E-3</v>
      </c>
      <c r="L22" s="327"/>
    </row>
    <row r="23" spans="1:12" x14ac:dyDescent="0.25">
      <c r="A23" s="447">
        <v>2015</v>
      </c>
      <c r="B23" s="55">
        <f>+B9/Energy!I12</f>
        <v>2.6082893530812112E-3</v>
      </c>
      <c r="C23" s="55">
        <f>+C9/Energy!J12</f>
        <v>2.1169931261300957E-3</v>
      </c>
      <c r="D23" s="55">
        <f>+D9/Energy!K12</f>
        <v>1.7612232786520065E-3</v>
      </c>
      <c r="E23" s="55">
        <f>+E9/Energy!L12</f>
        <v>2.7903443598840576E-3</v>
      </c>
      <c r="H23" s="55"/>
      <c r="I23" s="55"/>
      <c r="J23" s="55">
        <f>+J9/Energy!P12</f>
        <v>1.8311096625228391E-3</v>
      </c>
      <c r="L23" s="327"/>
    </row>
    <row r="24" spans="1:12" x14ac:dyDescent="0.25">
      <c r="A24" s="447">
        <v>2016</v>
      </c>
      <c r="B24" s="55">
        <f>+B10/Energy!I13</f>
        <v>2.6479121991745676E-3</v>
      </c>
      <c r="C24" s="55">
        <f>+C10/Energy!J13</f>
        <v>2.3932636526091781E-3</v>
      </c>
      <c r="D24" s="55">
        <f>+D10/Energy!K13</f>
        <v>2.1770599579231131E-3</v>
      </c>
      <c r="E24" s="55">
        <f>+E10/Energy!L13</f>
        <v>2.780802461097606E-3</v>
      </c>
      <c r="H24" s="55"/>
      <c r="I24" s="55"/>
      <c r="J24" s="55">
        <f>+J10/Energy!P13</f>
        <v>1.848520896800277E-3</v>
      </c>
      <c r="L24" s="327"/>
    </row>
    <row r="25" spans="1:12" x14ac:dyDescent="0.25">
      <c r="A25" s="447">
        <v>2017</v>
      </c>
      <c r="B25" s="55">
        <f>+B11/Energy!I14</f>
        <v>2.668164984847953E-3</v>
      </c>
      <c r="C25" s="55">
        <f>+C11/Energy!J14</f>
        <v>2.4215774376700038E-3</v>
      </c>
      <c r="D25" s="55">
        <f>+D11/Energy!K14</f>
        <v>1.8712895476136534E-3</v>
      </c>
      <c r="E25" s="55">
        <f>+E11/Energy!L14</f>
        <v>2.8274245737568309E-3</v>
      </c>
      <c r="H25" s="55"/>
      <c r="I25" s="55"/>
      <c r="J25" s="55">
        <f>+J11/Energy!P14</f>
        <v>1.9323253125546459E-3</v>
      </c>
      <c r="L25" s="327"/>
    </row>
    <row r="26" spans="1:12" x14ac:dyDescent="0.25">
      <c r="A26" s="447">
        <v>2018</v>
      </c>
      <c r="B26" s="55">
        <f>+B12/Energy!I15</f>
        <v>2.7000370125014606E-3</v>
      </c>
      <c r="C26" s="55">
        <f>+C12/Energy!J15</f>
        <v>2.4197443300065283E-3</v>
      </c>
      <c r="D26" s="55">
        <f>+D12/Energy!K15</f>
        <v>2.0681006362609005E-3</v>
      </c>
      <c r="E26" s="55">
        <f>+E12/Energy!L15</f>
        <v>2.7869440477267904E-3</v>
      </c>
      <c r="H26" s="55"/>
      <c r="I26" s="55"/>
      <c r="J26" s="55">
        <f>+J12/Energy!P15</f>
        <v>2.3044267125499765E-3</v>
      </c>
      <c r="L26" s="327"/>
    </row>
    <row r="27" spans="1:12" x14ac:dyDescent="0.25">
      <c r="A27" s="447">
        <v>2019</v>
      </c>
      <c r="B27" s="55"/>
      <c r="C27" s="55"/>
      <c r="D27" s="55"/>
      <c r="E27" s="55"/>
      <c r="H27" s="55"/>
      <c r="I27" s="55"/>
    </row>
    <row r="28" spans="1:12" x14ac:dyDescent="0.25">
      <c r="A28" s="447">
        <v>2020</v>
      </c>
      <c r="B28" s="55"/>
      <c r="C28" s="55"/>
      <c r="D28" s="55"/>
      <c r="E28" s="55"/>
      <c r="H28" s="55"/>
      <c r="I28" s="55"/>
    </row>
    <row r="29" spans="1:12" x14ac:dyDescent="0.25">
      <c r="A29" s="447">
        <v>2021</v>
      </c>
      <c r="B29" s="55"/>
      <c r="C29" s="55"/>
      <c r="D29" s="55"/>
      <c r="E29" s="55"/>
      <c r="H29" s="55"/>
      <c r="I29" s="55"/>
    </row>
    <row r="30" spans="1:12" x14ac:dyDescent="0.25">
      <c r="A30" s="447">
        <v>2022</v>
      </c>
      <c r="B30" s="55"/>
      <c r="C30" s="55"/>
      <c r="D30" s="55"/>
      <c r="E30" s="55"/>
      <c r="H30" s="55"/>
      <c r="I30" s="55"/>
    </row>
    <row r="31" spans="1:12" x14ac:dyDescent="0.25">
      <c r="A31" s="447" t="s">
        <v>58</v>
      </c>
      <c r="B31" s="55">
        <f>AVERAGE(B20:B26)</f>
        <v>2.6517702872728478E-3</v>
      </c>
      <c r="C31" s="55">
        <f>AVERAGE(C20:C26)</f>
        <v>2.4043489796121641E-3</v>
      </c>
      <c r="D31" s="55">
        <f>AVERAGE(D17:D26)</f>
        <v>1.9983328373737183E-3</v>
      </c>
      <c r="E31" s="55">
        <f>AVERAGE(E17:E26)</f>
        <v>2.7904874008610964E-3</v>
      </c>
      <c r="H31" s="55"/>
      <c r="I31" s="55"/>
      <c r="J31" s="55">
        <f>AVERAGE(J21:J26)</f>
        <v>1.9594232284741251E-3</v>
      </c>
      <c r="L31" s="55"/>
    </row>
    <row r="32" spans="1:12" x14ac:dyDescent="0.25">
      <c r="C32" s="55"/>
      <c r="J32" s="55"/>
    </row>
    <row r="35" spans="2:5" x14ac:dyDescent="0.25">
      <c r="B35" s="53"/>
      <c r="C35" s="53"/>
      <c r="D35" s="53"/>
      <c r="E35" s="53"/>
    </row>
    <row r="36" spans="2:5" x14ac:dyDescent="0.25">
      <c r="B36" s="53"/>
      <c r="C36" s="53"/>
      <c r="D36" s="53"/>
      <c r="E36" s="53"/>
    </row>
  </sheetData>
  <pageMargins left="0.46" right="0.4" top="0.75" bottom="0.75" header="0.3" footer="0.3"/>
  <pageSetup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3A39-EE06-4EF6-B58D-51F14B810DFB}">
  <sheetPr>
    <pageSetUpPr fitToPage="1"/>
  </sheetPr>
  <dimension ref="A1:N92"/>
  <sheetViews>
    <sheetView topLeftCell="A21" workbookViewId="0">
      <selection activeCell="E38" sqref="E38"/>
    </sheetView>
  </sheetViews>
  <sheetFormatPr defaultRowHeight="12.5" x14ac:dyDescent="0.25"/>
  <cols>
    <col min="1" max="1" width="31.453125" bestFit="1" customWidth="1"/>
    <col min="2" max="2" width="18.54296875" customWidth="1"/>
    <col min="3" max="3" width="12.7265625" customWidth="1"/>
    <col min="4" max="4" width="13.453125" customWidth="1"/>
    <col min="5" max="5" width="11.7265625" customWidth="1"/>
    <col min="6" max="6" width="12.7265625" customWidth="1"/>
    <col min="7" max="7" width="12.54296875" bestFit="1" customWidth="1"/>
    <col min="9" max="9" width="11.1796875" bestFit="1" customWidth="1"/>
    <col min="11" max="12" width="12.7265625" bestFit="1" customWidth="1"/>
    <col min="14" max="15" width="11.7265625" bestFit="1" customWidth="1"/>
    <col min="256" max="256" width="31.453125" bestFit="1" customWidth="1"/>
    <col min="257" max="257" width="12.7265625" customWidth="1"/>
    <col min="258" max="258" width="11.7265625" customWidth="1"/>
    <col min="259" max="259" width="12.7265625" customWidth="1"/>
    <col min="260" max="260" width="10" customWidth="1"/>
    <col min="261" max="261" width="12.7265625" customWidth="1"/>
    <col min="512" max="512" width="31.453125" bestFit="1" customWidth="1"/>
    <col min="513" max="513" width="12.7265625" customWidth="1"/>
    <col min="514" max="514" width="11.7265625" customWidth="1"/>
    <col min="515" max="515" width="12.7265625" customWidth="1"/>
    <col min="516" max="516" width="10" customWidth="1"/>
    <col min="517" max="517" width="12.7265625" customWidth="1"/>
    <col min="768" max="768" width="31.453125" bestFit="1" customWidth="1"/>
    <col min="769" max="769" width="12.7265625" customWidth="1"/>
    <col min="770" max="770" width="11.7265625" customWidth="1"/>
    <col min="771" max="771" width="12.7265625" customWidth="1"/>
    <col min="772" max="772" width="10" customWidth="1"/>
    <col min="773" max="773" width="12.7265625" customWidth="1"/>
    <col min="1024" max="1024" width="31.453125" bestFit="1" customWidth="1"/>
    <col min="1025" max="1025" width="12.7265625" customWidth="1"/>
    <col min="1026" max="1026" width="11.7265625" customWidth="1"/>
    <col min="1027" max="1027" width="12.7265625" customWidth="1"/>
    <col min="1028" max="1028" width="10" customWidth="1"/>
    <col min="1029" max="1029" width="12.7265625" customWidth="1"/>
    <col min="1280" max="1280" width="31.453125" bestFit="1" customWidth="1"/>
    <col min="1281" max="1281" width="12.7265625" customWidth="1"/>
    <col min="1282" max="1282" width="11.7265625" customWidth="1"/>
    <col min="1283" max="1283" width="12.7265625" customWidth="1"/>
    <col min="1284" max="1284" width="10" customWidth="1"/>
    <col min="1285" max="1285" width="12.7265625" customWidth="1"/>
    <col min="1536" max="1536" width="31.453125" bestFit="1" customWidth="1"/>
    <col min="1537" max="1537" width="12.7265625" customWidth="1"/>
    <col min="1538" max="1538" width="11.7265625" customWidth="1"/>
    <col min="1539" max="1539" width="12.7265625" customWidth="1"/>
    <col min="1540" max="1540" width="10" customWidth="1"/>
    <col min="1541" max="1541" width="12.7265625" customWidth="1"/>
    <col min="1792" max="1792" width="31.453125" bestFit="1" customWidth="1"/>
    <col min="1793" max="1793" width="12.7265625" customWidth="1"/>
    <col min="1794" max="1794" width="11.7265625" customWidth="1"/>
    <col min="1795" max="1795" width="12.7265625" customWidth="1"/>
    <col min="1796" max="1796" width="10" customWidth="1"/>
    <col min="1797" max="1797" width="12.7265625" customWidth="1"/>
    <col min="2048" max="2048" width="31.453125" bestFit="1" customWidth="1"/>
    <col min="2049" max="2049" width="12.7265625" customWidth="1"/>
    <col min="2050" max="2050" width="11.7265625" customWidth="1"/>
    <col min="2051" max="2051" width="12.7265625" customWidth="1"/>
    <col min="2052" max="2052" width="10" customWidth="1"/>
    <col min="2053" max="2053" width="12.7265625" customWidth="1"/>
    <col min="2304" max="2304" width="31.453125" bestFit="1" customWidth="1"/>
    <col min="2305" max="2305" width="12.7265625" customWidth="1"/>
    <col min="2306" max="2306" width="11.7265625" customWidth="1"/>
    <col min="2307" max="2307" width="12.7265625" customWidth="1"/>
    <col min="2308" max="2308" width="10" customWidth="1"/>
    <col min="2309" max="2309" width="12.7265625" customWidth="1"/>
    <col min="2560" max="2560" width="31.453125" bestFit="1" customWidth="1"/>
    <col min="2561" max="2561" width="12.7265625" customWidth="1"/>
    <col min="2562" max="2562" width="11.7265625" customWidth="1"/>
    <col min="2563" max="2563" width="12.7265625" customWidth="1"/>
    <col min="2564" max="2564" width="10" customWidth="1"/>
    <col min="2565" max="2565" width="12.7265625" customWidth="1"/>
    <col min="2816" max="2816" width="31.453125" bestFit="1" customWidth="1"/>
    <col min="2817" max="2817" width="12.7265625" customWidth="1"/>
    <col min="2818" max="2818" width="11.7265625" customWidth="1"/>
    <col min="2819" max="2819" width="12.7265625" customWidth="1"/>
    <col min="2820" max="2820" width="10" customWidth="1"/>
    <col min="2821" max="2821" width="12.7265625" customWidth="1"/>
    <col min="3072" max="3072" width="31.453125" bestFit="1" customWidth="1"/>
    <col min="3073" max="3073" width="12.7265625" customWidth="1"/>
    <col min="3074" max="3074" width="11.7265625" customWidth="1"/>
    <col min="3075" max="3075" width="12.7265625" customWidth="1"/>
    <col min="3076" max="3076" width="10" customWidth="1"/>
    <col min="3077" max="3077" width="12.7265625" customWidth="1"/>
    <col min="3328" max="3328" width="31.453125" bestFit="1" customWidth="1"/>
    <col min="3329" max="3329" width="12.7265625" customWidth="1"/>
    <col min="3330" max="3330" width="11.7265625" customWidth="1"/>
    <col min="3331" max="3331" width="12.7265625" customWidth="1"/>
    <col min="3332" max="3332" width="10" customWidth="1"/>
    <col min="3333" max="3333" width="12.7265625" customWidth="1"/>
    <col min="3584" max="3584" width="31.453125" bestFit="1" customWidth="1"/>
    <col min="3585" max="3585" width="12.7265625" customWidth="1"/>
    <col min="3586" max="3586" width="11.7265625" customWidth="1"/>
    <col min="3587" max="3587" width="12.7265625" customWidth="1"/>
    <col min="3588" max="3588" width="10" customWidth="1"/>
    <col min="3589" max="3589" width="12.7265625" customWidth="1"/>
    <col min="3840" max="3840" width="31.453125" bestFit="1" customWidth="1"/>
    <col min="3841" max="3841" width="12.7265625" customWidth="1"/>
    <col min="3842" max="3842" width="11.7265625" customWidth="1"/>
    <col min="3843" max="3843" width="12.7265625" customWidth="1"/>
    <col min="3844" max="3844" width="10" customWidth="1"/>
    <col min="3845" max="3845" width="12.7265625" customWidth="1"/>
    <col min="4096" max="4096" width="31.453125" bestFit="1" customWidth="1"/>
    <col min="4097" max="4097" width="12.7265625" customWidth="1"/>
    <col min="4098" max="4098" width="11.7265625" customWidth="1"/>
    <col min="4099" max="4099" width="12.7265625" customWidth="1"/>
    <col min="4100" max="4100" width="10" customWidth="1"/>
    <col min="4101" max="4101" width="12.7265625" customWidth="1"/>
    <col min="4352" max="4352" width="31.453125" bestFit="1" customWidth="1"/>
    <col min="4353" max="4353" width="12.7265625" customWidth="1"/>
    <col min="4354" max="4354" width="11.7265625" customWidth="1"/>
    <col min="4355" max="4355" width="12.7265625" customWidth="1"/>
    <col min="4356" max="4356" width="10" customWidth="1"/>
    <col min="4357" max="4357" width="12.7265625" customWidth="1"/>
    <col min="4608" max="4608" width="31.453125" bestFit="1" customWidth="1"/>
    <col min="4609" max="4609" width="12.7265625" customWidth="1"/>
    <col min="4610" max="4610" width="11.7265625" customWidth="1"/>
    <col min="4611" max="4611" width="12.7265625" customWidth="1"/>
    <col min="4612" max="4612" width="10" customWidth="1"/>
    <col min="4613" max="4613" width="12.7265625" customWidth="1"/>
    <col min="4864" max="4864" width="31.453125" bestFit="1" customWidth="1"/>
    <col min="4865" max="4865" width="12.7265625" customWidth="1"/>
    <col min="4866" max="4866" width="11.7265625" customWidth="1"/>
    <col min="4867" max="4867" width="12.7265625" customWidth="1"/>
    <col min="4868" max="4868" width="10" customWidth="1"/>
    <col min="4869" max="4869" width="12.7265625" customWidth="1"/>
    <col min="5120" max="5120" width="31.453125" bestFit="1" customWidth="1"/>
    <col min="5121" max="5121" width="12.7265625" customWidth="1"/>
    <col min="5122" max="5122" width="11.7265625" customWidth="1"/>
    <col min="5123" max="5123" width="12.7265625" customWidth="1"/>
    <col min="5124" max="5124" width="10" customWidth="1"/>
    <col min="5125" max="5125" width="12.7265625" customWidth="1"/>
    <col min="5376" max="5376" width="31.453125" bestFit="1" customWidth="1"/>
    <col min="5377" max="5377" width="12.7265625" customWidth="1"/>
    <col min="5378" max="5378" width="11.7265625" customWidth="1"/>
    <col min="5379" max="5379" width="12.7265625" customWidth="1"/>
    <col min="5380" max="5380" width="10" customWidth="1"/>
    <col min="5381" max="5381" width="12.7265625" customWidth="1"/>
    <col min="5632" max="5632" width="31.453125" bestFit="1" customWidth="1"/>
    <col min="5633" max="5633" width="12.7265625" customWidth="1"/>
    <col min="5634" max="5634" width="11.7265625" customWidth="1"/>
    <col min="5635" max="5635" width="12.7265625" customWidth="1"/>
    <col min="5636" max="5636" width="10" customWidth="1"/>
    <col min="5637" max="5637" width="12.7265625" customWidth="1"/>
    <col min="5888" max="5888" width="31.453125" bestFit="1" customWidth="1"/>
    <col min="5889" max="5889" width="12.7265625" customWidth="1"/>
    <col min="5890" max="5890" width="11.7265625" customWidth="1"/>
    <col min="5891" max="5891" width="12.7265625" customWidth="1"/>
    <col min="5892" max="5892" width="10" customWidth="1"/>
    <col min="5893" max="5893" width="12.7265625" customWidth="1"/>
    <col min="6144" max="6144" width="31.453125" bestFit="1" customWidth="1"/>
    <col min="6145" max="6145" width="12.7265625" customWidth="1"/>
    <col min="6146" max="6146" width="11.7265625" customWidth="1"/>
    <col min="6147" max="6147" width="12.7265625" customWidth="1"/>
    <col min="6148" max="6148" width="10" customWidth="1"/>
    <col min="6149" max="6149" width="12.7265625" customWidth="1"/>
    <col min="6400" max="6400" width="31.453125" bestFit="1" customWidth="1"/>
    <col min="6401" max="6401" width="12.7265625" customWidth="1"/>
    <col min="6402" max="6402" width="11.7265625" customWidth="1"/>
    <col min="6403" max="6403" width="12.7265625" customWidth="1"/>
    <col min="6404" max="6404" width="10" customWidth="1"/>
    <col min="6405" max="6405" width="12.7265625" customWidth="1"/>
    <col min="6656" max="6656" width="31.453125" bestFit="1" customWidth="1"/>
    <col min="6657" max="6657" width="12.7265625" customWidth="1"/>
    <col min="6658" max="6658" width="11.7265625" customWidth="1"/>
    <col min="6659" max="6659" width="12.7265625" customWidth="1"/>
    <col min="6660" max="6660" width="10" customWidth="1"/>
    <col min="6661" max="6661" width="12.7265625" customWidth="1"/>
    <col min="6912" max="6912" width="31.453125" bestFit="1" customWidth="1"/>
    <col min="6913" max="6913" width="12.7265625" customWidth="1"/>
    <col min="6914" max="6914" width="11.7265625" customWidth="1"/>
    <col min="6915" max="6915" width="12.7265625" customWidth="1"/>
    <col min="6916" max="6916" width="10" customWidth="1"/>
    <col min="6917" max="6917" width="12.7265625" customWidth="1"/>
    <col min="7168" max="7168" width="31.453125" bestFit="1" customWidth="1"/>
    <col min="7169" max="7169" width="12.7265625" customWidth="1"/>
    <col min="7170" max="7170" width="11.7265625" customWidth="1"/>
    <col min="7171" max="7171" width="12.7265625" customWidth="1"/>
    <col min="7172" max="7172" width="10" customWidth="1"/>
    <col min="7173" max="7173" width="12.7265625" customWidth="1"/>
    <col min="7424" max="7424" width="31.453125" bestFit="1" customWidth="1"/>
    <col min="7425" max="7425" width="12.7265625" customWidth="1"/>
    <col min="7426" max="7426" width="11.7265625" customWidth="1"/>
    <col min="7427" max="7427" width="12.7265625" customWidth="1"/>
    <col min="7428" max="7428" width="10" customWidth="1"/>
    <col min="7429" max="7429" width="12.7265625" customWidth="1"/>
    <col min="7680" max="7680" width="31.453125" bestFit="1" customWidth="1"/>
    <col min="7681" max="7681" width="12.7265625" customWidth="1"/>
    <col min="7682" max="7682" width="11.7265625" customWidth="1"/>
    <col min="7683" max="7683" width="12.7265625" customWidth="1"/>
    <col min="7684" max="7684" width="10" customWidth="1"/>
    <col min="7685" max="7685" width="12.7265625" customWidth="1"/>
    <col min="7936" max="7936" width="31.453125" bestFit="1" customWidth="1"/>
    <col min="7937" max="7937" width="12.7265625" customWidth="1"/>
    <col min="7938" max="7938" width="11.7265625" customWidth="1"/>
    <col min="7939" max="7939" width="12.7265625" customWidth="1"/>
    <col min="7940" max="7940" width="10" customWidth="1"/>
    <col min="7941" max="7941" width="12.7265625" customWidth="1"/>
    <col min="8192" max="8192" width="31.453125" bestFit="1" customWidth="1"/>
    <col min="8193" max="8193" width="12.7265625" customWidth="1"/>
    <col min="8194" max="8194" width="11.7265625" customWidth="1"/>
    <col min="8195" max="8195" width="12.7265625" customWidth="1"/>
    <col min="8196" max="8196" width="10" customWidth="1"/>
    <col min="8197" max="8197" width="12.7265625" customWidth="1"/>
    <col min="8448" max="8448" width="31.453125" bestFit="1" customWidth="1"/>
    <col min="8449" max="8449" width="12.7265625" customWidth="1"/>
    <col min="8450" max="8450" width="11.7265625" customWidth="1"/>
    <col min="8451" max="8451" width="12.7265625" customWidth="1"/>
    <col min="8452" max="8452" width="10" customWidth="1"/>
    <col min="8453" max="8453" width="12.7265625" customWidth="1"/>
    <col min="8704" max="8704" width="31.453125" bestFit="1" customWidth="1"/>
    <col min="8705" max="8705" width="12.7265625" customWidth="1"/>
    <col min="8706" max="8706" width="11.7265625" customWidth="1"/>
    <col min="8707" max="8707" width="12.7265625" customWidth="1"/>
    <col min="8708" max="8708" width="10" customWidth="1"/>
    <col min="8709" max="8709" width="12.7265625" customWidth="1"/>
    <col min="8960" max="8960" width="31.453125" bestFit="1" customWidth="1"/>
    <col min="8961" max="8961" width="12.7265625" customWidth="1"/>
    <col min="8962" max="8962" width="11.7265625" customWidth="1"/>
    <col min="8963" max="8963" width="12.7265625" customWidth="1"/>
    <col min="8964" max="8964" width="10" customWidth="1"/>
    <col min="8965" max="8965" width="12.7265625" customWidth="1"/>
    <col min="9216" max="9216" width="31.453125" bestFit="1" customWidth="1"/>
    <col min="9217" max="9217" width="12.7265625" customWidth="1"/>
    <col min="9218" max="9218" width="11.7265625" customWidth="1"/>
    <col min="9219" max="9219" width="12.7265625" customWidth="1"/>
    <col min="9220" max="9220" width="10" customWidth="1"/>
    <col min="9221" max="9221" width="12.7265625" customWidth="1"/>
    <col min="9472" max="9472" width="31.453125" bestFit="1" customWidth="1"/>
    <col min="9473" max="9473" width="12.7265625" customWidth="1"/>
    <col min="9474" max="9474" width="11.7265625" customWidth="1"/>
    <col min="9475" max="9475" width="12.7265625" customWidth="1"/>
    <col min="9476" max="9476" width="10" customWidth="1"/>
    <col min="9477" max="9477" width="12.7265625" customWidth="1"/>
    <col min="9728" max="9728" width="31.453125" bestFit="1" customWidth="1"/>
    <col min="9729" max="9729" width="12.7265625" customWidth="1"/>
    <col min="9730" max="9730" width="11.7265625" customWidth="1"/>
    <col min="9731" max="9731" width="12.7265625" customWidth="1"/>
    <col min="9732" max="9732" width="10" customWidth="1"/>
    <col min="9733" max="9733" width="12.7265625" customWidth="1"/>
    <col min="9984" max="9984" width="31.453125" bestFit="1" customWidth="1"/>
    <col min="9985" max="9985" width="12.7265625" customWidth="1"/>
    <col min="9986" max="9986" width="11.7265625" customWidth="1"/>
    <col min="9987" max="9987" width="12.7265625" customWidth="1"/>
    <col min="9988" max="9988" width="10" customWidth="1"/>
    <col min="9989" max="9989" width="12.7265625" customWidth="1"/>
    <col min="10240" max="10240" width="31.453125" bestFit="1" customWidth="1"/>
    <col min="10241" max="10241" width="12.7265625" customWidth="1"/>
    <col min="10242" max="10242" width="11.7265625" customWidth="1"/>
    <col min="10243" max="10243" width="12.7265625" customWidth="1"/>
    <col min="10244" max="10244" width="10" customWidth="1"/>
    <col min="10245" max="10245" width="12.7265625" customWidth="1"/>
    <col min="10496" max="10496" width="31.453125" bestFit="1" customWidth="1"/>
    <col min="10497" max="10497" width="12.7265625" customWidth="1"/>
    <col min="10498" max="10498" width="11.7265625" customWidth="1"/>
    <col min="10499" max="10499" width="12.7265625" customWidth="1"/>
    <col min="10500" max="10500" width="10" customWidth="1"/>
    <col min="10501" max="10501" width="12.7265625" customWidth="1"/>
    <col min="10752" max="10752" width="31.453125" bestFit="1" customWidth="1"/>
    <col min="10753" max="10753" width="12.7265625" customWidth="1"/>
    <col min="10754" max="10754" width="11.7265625" customWidth="1"/>
    <col min="10755" max="10755" width="12.7265625" customWidth="1"/>
    <col min="10756" max="10756" width="10" customWidth="1"/>
    <col min="10757" max="10757" width="12.7265625" customWidth="1"/>
    <col min="11008" max="11008" width="31.453125" bestFit="1" customWidth="1"/>
    <col min="11009" max="11009" width="12.7265625" customWidth="1"/>
    <col min="11010" max="11010" width="11.7265625" customWidth="1"/>
    <col min="11011" max="11011" width="12.7265625" customWidth="1"/>
    <col min="11012" max="11012" width="10" customWidth="1"/>
    <col min="11013" max="11013" width="12.7265625" customWidth="1"/>
    <col min="11264" max="11264" width="31.453125" bestFit="1" customWidth="1"/>
    <col min="11265" max="11265" width="12.7265625" customWidth="1"/>
    <col min="11266" max="11266" width="11.7265625" customWidth="1"/>
    <col min="11267" max="11267" width="12.7265625" customWidth="1"/>
    <col min="11268" max="11268" width="10" customWidth="1"/>
    <col min="11269" max="11269" width="12.7265625" customWidth="1"/>
    <col min="11520" max="11520" width="31.453125" bestFit="1" customWidth="1"/>
    <col min="11521" max="11521" width="12.7265625" customWidth="1"/>
    <col min="11522" max="11522" width="11.7265625" customWidth="1"/>
    <col min="11523" max="11523" width="12.7265625" customWidth="1"/>
    <col min="11524" max="11524" width="10" customWidth="1"/>
    <col min="11525" max="11525" width="12.7265625" customWidth="1"/>
    <col min="11776" max="11776" width="31.453125" bestFit="1" customWidth="1"/>
    <col min="11777" max="11777" width="12.7265625" customWidth="1"/>
    <col min="11778" max="11778" width="11.7265625" customWidth="1"/>
    <col min="11779" max="11779" width="12.7265625" customWidth="1"/>
    <col min="11780" max="11780" width="10" customWidth="1"/>
    <col min="11781" max="11781" width="12.7265625" customWidth="1"/>
    <col min="12032" max="12032" width="31.453125" bestFit="1" customWidth="1"/>
    <col min="12033" max="12033" width="12.7265625" customWidth="1"/>
    <col min="12034" max="12034" width="11.7265625" customWidth="1"/>
    <col min="12035" max="12035" width="12.7265625" customWidth="1"/>
    <col min="12036" max="12036" width="10" customWidth="1"/>
    <col min="12037" max="12037" width="12.7265625" customWidth="1"/>
    <col min="12288" max="12288" width="31.453125" bestFit="1" customWidth="1"/>
    <col min="12289" max="12289" width="12.7265625" customWidth="1"/>
    <col min="12290" max="12290" width="11.7265625" customWidth="1"/>
    <col min="12291" max="12291" width="12.7265625" customWidth="1"/>
    <col min="12292" max="12292" width="10" customWidth="1"/>
    <col min="12293" max="12293" width="12.7265625" customWidth="1"/>
    <col min="12544" max="12544" width="31.453125" bestFit="1" customWidth="1"/>
    <col min="12545" max="12545" width="12.7265625" customWidth="1"/>
    <col min="12546" max="12546" width="11.7265625" customWidth="1"/>
    <col min="12547" max="12547" width="12.7265625" customWidth="1"/>
    <col min="12548" max="12548" width="10" customWidth="1"/>
    <col min="12549" max="12549" width="12.7265625" customWidth="1"/>
    <col min="12800" max="12800" width="31.453125" bestFit="1" customWidth="1"/>
    <col min="12801" max="12801" width="12.7265625" customWidth="1"/>
    <col min="12802" max="12802" width="11.7265625" customWidth="1"/>
    <col min="12803" max="12803" width="12.7265625" customWidth="1"/>
    <col min="12804" max="12804" width="10" customWidth="1"/>
    <col min="12805" max="12805" width="12.7265625" customWidth="1"/>
    <col min="13056" max="13056" width="31.453125" bestFit="1" customWidth="1"/>
    <col min="13057" max="13057" width="12.7265625" customWidth="1"/>
    <col min="13058" max="13058" width="11.7265625" customWidth="1"/>
    <col min="13059" max="13059" width="12.7265625" customWidth="1"/>
    <col min="13060" max="13060" width="10" customWidth="1"/>
    <col min="13061" max="13061" width="12.7265625" customWidth="1"/>
    <col min="13312" max="13312" width="31.453125" bestFit="1" customWidth="1"/>
    <col min="13313" max="13313" width="12.7265625" customWidth="1"/>
    <col min="13314" max="13314" width="11.7265625" customWidth="1"/>
    <col min="13315" max="13315" width="12.7265625" customWidth="1"/>
    <col min="13316" max="13316" width="10" customWidth="1"/>
    <col min="13317" max="13317" width="12.7265625" customWidth="1"/>
    <col min="13568" max="13568" width="31.453125" bestFit="1" customWidth="1"/>
    <col min="13569" max="13569" width="12.7265625" customWidth="1"/>
    <col min="13570" max="13570" width="11.7265625" customWidth="1"/>
    <col min="13571" max="13571" width="12.7265625" customWidth="1"/>
    <col min="13572" max="13572" width="10" customWidth="1"/>
    <col min="13573" max="13573" width="12.7265625" customWidth="1"/>
    <col min="13824" max="13824" width="31.453125" bestFit="1" customWidth="1"/>
    <col min="13825" max="13825" width="12.7265625" customWidth="1"/>
    <col min="13826" max="13826" width="11.7265625" customWidth="1"/>
    <col min="13827" max="13827" width="12.7265625" customWidth="1"/>
    <col min="13828" max="13828" width="10" customWidth="1"/>
    <col min="13829" max="13829" width="12.7265625" customWidth="1"/>
    <col min="14080" max="14080" width="31.453125" bestFit="1" customWidth="1"/>
    <col min="14081" max="14081" width="12.7265625" customWidth="1"/>
    <col min="14082" max="14082" width="11.7265625" customWidth="1"/>
    <col min="14083" max="14083" width="12.7265625" customWidth="1"/>
    <col min="14084" max="14084" width="10" customWidth="1"/>
    <col min="14085" max="14085" width="12.7265625" customWidth="1"/>
    <col min="14336" max="14336" width="31.453125" bestFit="1" customWidth="1"/>
    <col min="14337" max="14337" width="12.7265625" customWidth="1"/>
    <col min="14338" max="14338" width="11.7265625" customWidth="1"/>
    <col min="14339" max="14339" width="12.7265625" customWidth="1"/>
    <col min="14340" max="14340" width="10" customWidth="1"/>
    <col min="14341" max="14341" width="12.7265625" customWidth="1"/>
    <col min="14592" max="14592" width="31.453125" bestFit="1" customWidth="1"/>
    <col min="14593" max="14593" width="12.7265625" customWidth="1"/>
    <col min="14594" max="14594" width="11.7265625" customWidth="1"/>
    <col min="14595" max="14595" width="12.7265625" customWidth="1"/>
    <col min="14596" max="14596" width="10" customWidth="1"/>
    <col min="14597" max="14597" width="12.7265625" customWidth="1"/>
    <col min="14848" max="14848" width="31.453125" bestFit="1" customWidth="1"/>
    <col min="14849" max="14849" width="12.7265625" customWidth="1"/>
    <col min="14850" max="14850" width="11.7265625" customWidth="1"/>
    <col min="14851" max="14851" width="12.7265625" customWidth="1"/>
    <col min="14852" max="14852" width="10" customWidth="1"/>
    <col min="14853" max="14853" width="12.7265625" customWidth="1"/>
    <col min="15104" max="15104" width="31.453125" bestFit="1" customWidth="1"/>
    <col min="15105" max="15105" width="12.7265625" customWidth="1"/>
    <col min="15106" max="15106" width="11.7265625" customWidth="1"/>
    <col min="15107" max="15107" width="12.7265625" customWidth="1"/>
    <col min="15108" max="15108" width="10" customWidth="1"/>
    <col min="15109" max="15109" width="12.7265625" customWidth="1"/>
    <col min="15360" max="15360" width="31.453125" bestFit="1" customWidth="1"/>
    <col min="15361" max="15361" width="12.7265625" customWidth="1"/>
    <col min="15362" max="15362" width="11.7265625" customWidth="1"/>
    <col min="15363" max="15363" width="12.7265625" customWidth="1"/>
    <col min="15364" max="15364" width="10" customWidth="1"/>
    <col min="15365" max="15365" width="12.7265625" customWidth="1"/>
    <col min="15616" max="15616" width="31.453125" bestFit="1" customWidth="1"/>
    <col min="15617" max="15617" width="12.7265625" customWidth="1"/>
    <col min="15618" max="15618" width="11.7265625" customWidth="1"/>
    <col min="15619" max="15619" width="12.7265625" customWidth="1"/>
    <col min="15620" max="15620" width="10" customWidth="1"/>
    <col min="15621" max="15621" width="12.7265625" customWidth="1"/>
    <col min="15872" max="15872" width="31.453125" bestFit="1" customWidth="1"/>
    <col min="15873" max="15873" width="12.7265625" customWidth="1"/>
    <col min="15874" max="15874" width="11.7265625" customWidth="1"/>
    <col min="15875" max="15875" width="12.7265625" customWidth="1"/>
    <col min="15876" max="15876" width="10" customWidth="1"/>
    <col min="15877" max="15877" width="12.7265625" customWidth="1"/>
    <col min="16128" max="16128" width="31.453125" bestFit="1" customWidth="1"/>
    <col min="16129" max="16129" width="12.7265625" customWidth="1"/>
    <col min="16130" max="16130" width="11.7265625" customWidth="1"/>
    <col min="16131" max="16131" width="12.7265625" customWidth="1"/>
    <col min="16132" max="16132" width="10" customWidth="1"/>
    <col min="16133" max="16133" width="12.7265625" customWidth="1"/>
  </cols>
  <sheetData>
    <row r="1" spans="1:14" ht="13" x14ac:dyDescent="0.3">
      <c r="A1" s="62" t="s">
        <v>95</v>
      </c>
      <c r="B1" s="63" t="s">
        <v>82</v>
      </c>
      <c r="C1" s="63" t="s">
        <v>81</v>
      </c>
      <c r="D1" s="63" t="s">
        <v>96</v>
      </c>
      <c r="F1" s="63"/>
      <c r="G1" s="63"/>
    </row>
    <row r="2" spans="1:14" x14ac:dyDescent="0.25">
      <c r="A2" s="64" t="s">
        <v>45</v>
      </c>
      <c r="B2" s="65">
        <f>ROUND((Energy!$H$83),4)</f>
        <v>656678745.44620001</v>
      </c>
      <c r="C2" s="66"/>
      <c r="D2" s="101">
        <v>0.98092866786078092</v>
      </c>
    </row>
    <row r="3" spans="1:14" x14ac:dyDescent="0.25">
      <c r="A3" s="64" t="s">
        <v>46</v>
      </c>
      <c r="B3" s="65">
        <f>ROUND((Energy!$I$83),4)</f>
        <v>229938143.0535</v>
      </c>
      <c r="C3" s="66"/>
      <c r="D3" s="101">
        <v>0.84741264163513119</v>
      </c>
      <c r="F3" s="3"/>
      <c r="G3" s="56"/>
      <c r="H3" s="107"/>
    </row>
    <row r="4" spans="1:14" ht="13" x14ac:dyDescent="0.3">
      <c r="A4" s="64" t="s">
        <v>47</v>
      </c>
      <c r="B4" s="65">
        <f>ROUND((Energy!$J$83),4)</f>
        <v>582045618.66219997</v>
      </c>
      <c r="C4" s="68">
        <f>ROUND((Load!$B$13),4)</f>
        <v>1543451.2774</v>
      </c>
      <c r="D4" s="101">
        <v>0.14686416109839648</v>
      </c>
      <c r="E4" s="113"/>
      <c r="F4" s="112"/>
      <c r="G4" s="72"/>
    </row>
    <row r="5" spans="1:14" ht="13" x14ac:dyDescent="0.3">
      <c r="A5" s="70" t="s">
        <v>97</v>
      </c>
      <c r="B5" s="65">
        <f>ROUND((Energy!$P$83),4)</f>
        <v>16407482.740700001</v>
      </c>
      <c r="C5" s="68">
        <f>ROUND((Load!$J$13),4)</f>
        <v>34080.072999999997</v>
      </c>
      <c r="D5" s="101">
        <v>0</v>
      </c>
      <c r="E5" s="113"/>
      <c r="F5" s="112" t="s">
        <v>98</v>
      </c>
      <c r="G5" s="332"/>
    </row>
    <row r="6" spans="1:14" ht="13" x14ac:dyDescent="0.3">
      <c r="A6" s="70" t="s">
        <v>99</v>
      </c>
      <c r="B6" s="65">
        <f>ROUND((Energy!$K$83),4)</f>
        <v>209986862.70140001</v>
      </c>
      <c r="C6" s="68">
        <f>ROUND((Load!$C$13),4)</f>
        <v>504881.69910000003</v>
      </c>
      <c r="D6" s="101">
        <v>0</v>
      </c>
      <c r="E6" s="113"/>
      <c r="F6" s="112">
        <f>ROUND((B6*1.0351),4)</f>
        <v>217357401.58219999</v>
      </c>
      <c r="G6" s="332"/>
    </row>
    <row r="7" spans="1:14" ht="13" x14ac:dyDescent="0.3">
      <c r="A7" s="64" t="s">
        <v>49</v>
      </c>
      <c r="B7" s="65">
        <f>ROUND((Energy!$L$83),4)</f>
        <v>34219938.542199999</v>
      </c>
      <c r="C7" s="68">
        <f>ROUND((Load!$D$13),4)</f>
        <v>68382.8269</v>
      </c>
      <c r="D7" s="101">
        <v>0</v>
      </c>
      <c r="E7" s="113"/>
      <c r="F7" s="112"/>
      <c r="G7" s="332"/>
      <c r="K7" s="69"/>
    </row>
    <row r="8" spans="1:14" ht="13" x14ac:dyDescent="0.3">
      <c r="A8" s="64" t="s">
        <v>50</v>
      </c>
      <c r="B8" s="65">
        <f>ROUND((Energy!$M$83),4)</f>
        <v>7386896.2983999997</v>
      </c>
      <c r="C8" s="68">
        <f>ROUND((Load!$E$13),4)</f>
        <v>20613.041099999999</v>
      </c>
      <c r="D8" s="101">
        <v>1.270590326270077E-2</v>
      </c>
      <c r="F8" s="63"/>
      <c r="G8" s="258"/>
    </row>
    <row r="9" spans="1:14" x14ac:dyDescent="0.25">
      <c r="A9" s="64" t="s">
        <v>51</v>
      </c>
      <c r="B9" s="65">
        <f>ROUND((Energy!$N$83),4)</f>
        <v>4091277.5452000001</v>
      </c>
      <c r="C9" s="66"/>
      <c r="D9" s="101">
        <v>1</v>
      </c>
      <c r="F9" s="333"/>
      <c r="G9" s="258" t="s">
        <v>100</v>
      </c>
      <c r="I9" s="104"/>
    </row>
    <row r="10" spans="1:14" x14ac:dyDescent="0.25">
      <c r="A10" s="70" t="s">
        <v>76</v>
      </c>
      <c r="B10" s="65">
        <f>ROUND((ED!$C$13),4)</f>
        <v>19053029.030000001</v>
      </c>
      <c r="C10" s="68">
        <f>ROUND((ED!$B$13),4)</f>
        <v>43316.19</v>
      </c>
      <c r="D10" s="67">
        <v>0</v>
      </c>
      <c r="F10" s="333"/>
      <c r="G10" s="258" t="s">
        <v>101</v>
      </c>
      <c r="I10" s="104"/>
    </row>
    <row r="11" spans="1:14" ht="13" x14ac:dyDescent="0.3">
      <c r="A11" s="357" t="s">
        <v>102</v>
      </c>
      <c r="B11" s="71">
        <f>ROUND((SUM(B2:B10)),4)</f>
        <v>1759807994.0197999</v>
      </c>
      <c r="C11" s="71">
        <f>ROUND((SUM(C2:C10)),4)</f>
        <v>2214725.1074999999</v>
      </c>
      <c r="D11" s="71"/>
      <c r="F11" s="333"/>
      <c r="G11" s="258"/>
      <c r="I11" s="104"/>
    </row>
    <row r="12" spans="1:14" x14ac:dyDescent="0.25">
      <c r="B12" s="72"/>
      <c r="C12" s="72"/>
    </row>
    <row r="13" spans="1:14" x14ac:dyDescent="0.25">
      <c r="J13" s="262"/>
      <c r="K13" s="48"/>
    </row>
    <row r="14" spans="1:14" ht="13" x14ac:dyDescent="0.3">
      <c r="A14" s="62" t="s">
        <v>103</v>
      </c>
      <c r="B14" s="458" t="s">
        <v>104</v>
      </c>
      <c r="C14" s="458" t="s">
        <v>105</v>
      </c>
      <c r="D14" s="73"/>
      <c r="E14" s="74"/>
      <c r="F14" s="75"/>
    </row>
    <row r="15" spans="1:14" ht="13" x14ac:dyDescent="0.3">
      <c r="A15" s="76" t="s">
        <v>106</v>
      </c>
      <c r="B15" s="459"/>
      <c r="C15" s="460"/>
      <c r="D15" s="461">
        <v>2019</v>
      </c>
      <c r="E15" s="462"/>
      <c r="F15" s="463"/>
    </row>
    <row r="16" spans="1:14" x14ac:dyDescent="0.25">
      <c r="A16" s="64" t="str">
        <f>A2</f>
        <v xml:space="preserve">Residential </v>
      </c>
      <c r="B16" s="65">
        <f>+B2</f>
        <v>656678745.44620001</v>
      </c>
      <c r="C16" s="92">
        <v>1.0350999999999999</v>
      </c>
      <c r="D16" s="65">
        <f t="shared" ref="D16:D22" si="0">ROUND((B16*C16),4)</f>
        <v>679728169.41139996</v>
      </c>
      <c r="E16" s="93">
        <v>9.3899999999999997E-2</v>
      </c>
      <c r="F16" s="78">
        <f t="shared" ref="F16:F22" si="1">ROUND((D16*E16),2)</f>
        <v>63826475.109999999</v>
      </c>
      <c r="G16" s="110"/>
      <c r="H16" s="48"/>
      <c r="J16" s="105"/>
      <c r="L16" s="109"/>
      <c r="N16" s="109"/>
    </row>
    <row r="17" spans="1:14" x14ac:dyDescent="0.25">
      <c r="A17" s="64" t="str">
        <f>A3</f>
        <v>GS&lt;50 kW</v>
      </c>
      <c r="B17" s="65">
        <f>+B3</f>
        <v>229938143.0535</v>
      </c>
      <c r="C17" s="77">
        <f t="shared" ref="C17:C22" si="2">$C$16</f>
        <v>1.0350999999999999</v>
      </c>
      <c r="D17" s="65">
        <f t="shared" si="0"/>
        <v>238008971.87470001</v>
      </c>
      <c r="E17" s="106">
        <f t="shared" ref="E17" si="3">E16</f>
        <v>9.3899999999999997E-2</v>
      </c>
      <c r="F17" s="78">
        <f t="shared" si="1"/>
        <v>22349042.460000001</v>
      </c>
      <c r="H17" s="108"/>
      <c r="J17" s="105"/>
      <c r="L17" s="109"/>
      <c r="N17" s="109"/>
    </row>
    <row r="18" spans="1:14" x14ac:dyDescent="0.25">
      <c r="A18" s="64" t="str">
        <f>A4</f>
        <v>GS&gt;50 kW</v>
      </c>
      <c r="B18" s="65">
        <f>+B4+B6</f>
        <v>792032481.36360002</v>
      </c>
      <c r="C18" s="77">
        <f t="shared" si="2"/>
        <v>1.0350999999999999</v>
      </c>
      <c r="D18" s="65">
        <f t="shared" si="0"/>
        <v>819832821.45949996</v>
      </c>
      <c r="E18" s="106">
        <v>9.154803052120189E-2</v>
      </c>
      <c r="F18" s="78">
        <f>ROUND((D18*E18),2)</f>
        <v>75054080.159999996</v>
      </c>
      <c r="H18" t="s">
        <v>107</v>
      </c>
      <c r="J18" s="105"/>
      <c r="L18" s="109"/>
      <c r="N18" s="109"/>
    </row>
    <row r="19" spans="1:14" x14ac:dyDescent="0.25">
      <c r="A19" s="64" t="str">
        <f>A7</f>
        <v>Large User</v>
      </c>
      <c r="B19" s="65">
        <f>+B7</f>
        <v>34219938.542199999</v>
      </c>
      <c r="C19" s="92">
        <v>1.0053000000000001</v>
      </c>
      <c r="D19" s="65">
        <f t="shared" si="0"/>
        <v>34401304.216499999</v>
      </c>
      <c r="E19" s="106">
        <v>2.3857349271240804E-2</v>
      </c>
      <c r="F19" s="78">
        <f>ROUND((D19*E19),2)</f>
        <v>820723.93</v>
      </c>
      <c r="J19" s="104"/>
      <c r="L19" s="109"/>
      <c r="N19" s="109"/>
    </row>
    <row r="20" spans="1:14" x14ac:dyDescent="0.25">
      <c r="A20" s="64" t="str">
        <f>A8</f>
        <v xml:space="preserve">Streetlights </v>
      </c>
      <c r="B20" s="65">
        <f>+B8</f>
        <v>7386896.2983999997</v>
      </c>
      <c r="C20" s="77">
        <f t="shared" si="2"/>
        <v>1.0350999999999999</v>
      </c>
      <c r="D20" s="65">
        <f t="shared" si="0"/>
        <v>7646176.3585000001</v>
      </c>
      <c r="E20" s="106">
        <f>+E16</f>
        <v>9.3899999999999997E-2</v>
      </c>
      <c r="F20" s="78">
        <f t="shared" si="1"/>
        <v>717975.96</v>
      </c>
      <c r="L20" s="109"/>
      <c r="N20" s="109"/>
    </row>
    <row r="21" spans="1:14" x14ac:dyDescent="0.25">
      <c r="A21" s="64" t="str">
        <f>A9</f>
        <v>USL</v>
      </c>
      <c r="B21" s="65">
        <f>B9*D9</f>
        <v>4091277.5452000001</v>
      </c>
      <c r="C21" s="77">
        <f t="shared" si="2"/>
        <v>1.0350999999999999</v>
      </c>
      <c r="D21" s="65">
        <f t="shared" si="0"/>
        <v>4234881.3870000001</v>
      </c>
      <c r="E21" s="106">
        <f>+E16</f>
        <v>9.3899999999999997E-2</v>
      </c>
      <c r="F21" s="78">
        <f t="shared" si="1"/>
        <v>397655.36</v>
      </c>
      <c r="N21" s="109"/>
    </row>
    <row r="22" spans="1:14" x14ac:dyDescent="0.25">
      <c r="A22" s="64" t="str">
        <f>A10</f>
        <v>Embedded Distributor</v>
      </c>
      <c r="B22" s="65">
        <f>B10*D10</f>
        <v>0</v>
      </c>
      <c r="C22" s="77">
        <f t="shared" si="2"/>
        <v>1.0350999999999999</v>
      </c>
      <c r="D22" s="65">
        <f t="shared" si="0"/>
        <v>0</v>
      </c>
      <c r="E22" s="106">
        <f>+E16</f>
        <v>9.3899999999999997E-2</v>
      </c>
      <c r="F22" s="78">
        <f t="shared" si="1"/>
        <v>0</v>
      </c>
      <c r="L22" s="109"/>
      <c r="N22" s="109"/>
    </row>
    <row r="23" spans="1:14" ht="13" x14ac:dyDescent="0.3">
      <c r="A23" s="357" t="s">
        <v>102</v>
      </c>
      <c r="B23" s="71">
        <f>SUM(B16:B21)</f>
        <v>1724347482.2491002</v>
      </c>
      <c r="C23" s="76"/>
      <c r="D23" s="71">
        <f>SUM(D16:D21)</f>
        <v>1783852324.7075999</v>
      </c>
      <c r="E23" s="79"/>
      <c r="F23" s="80">
        <f>ROUND((SUM(F16:F21)),2)</f>
        <v>163165952.97999999</v>
      </c>
      <c r="L23" s="109"/>
    </row>
    <row r="24" spans="1:14" ht="13" x14ac:dyDescent="0.3">
      <c r="A24" s="81"/>
      <c r="B24" s="82"/>
      <c r="C24" s="41"/>
      <c r="D24" s="82"/>
      <c r="E24" s="83"/>
      <c r="F24" s="84"/>
      <c r="L24" s="109"/>
    </row>
    <row r="25" spans="1:14" ht="13" x14ac:dyDescent="0.3">
      <c r="A25" s="85" t="s">
        <v>108</v>
      </c>
      <c r="B25" s="86"/>
      <c r="C25" s="429" t="s">
        <v>109</v>
      </c>
      <c r="D25" s="87"/>
      <c r="E25" s="88"/>
      <c r="F25" s="86"/>
    </row>
    <row r="26" spans="1:14" ht="13" x14ac:dyDescent="0.3">
      <c r="A26" s="76" t="s">
        <v>110</v>
      </c>
      <c r="B26" s="428"/>
      <c r="C26" s="427" t="s">
        <v>111</v>
      </c>
      <c r="D26" s="453">
        <f>$D$15</f>
        <v>2019</v>
      </c>
      <c r="E26" s="454"/>
      <c r="F26" s="457"/>
    </row>
    <row r="27" spans="1:14" x14ac:dyDescent="0.25">
      <c r="A27" s="64" t="str">
        <f>+A16</f>
        <v xml:space="preserve">Residential </v>
      </c>
      <c r="B27" s="65"/>
      <c r="C27" s="77" t="s">
        <v>82</v>
      </c>
      <c r="D27" s="65">
        <f>D16</f>
        <v>679728169.41139996</v>
      </c>
      <c r="E27" s="89">
        <v>6.3E-3</v>
      </c>
      <c r="F27" s="78">
        <f t="shared" ref="F27:F33" si="4">ROUND((D27*E27),2)</f>
        <v>4282287.47</v>
      </c>
      <c r="H27" s="48"/>
    </row>
    <row r="28" spans="1:14" x14ac:dyDescent="0.25">
      <c r="A28" s="64" t="str">
        <f t="shared" ref="A28:A32" si="5">+A17</f>
        <v>GS&lt;50 kW</v>
      </c>
      <c r="B28" s="65"/>
      <c r="C28" s="77" t="s">
        <v>82</v>
      </c>
      <c r="D28" s="65">
        <f>D17</f>
        <v>238008971.87470001</v>
      </c>
      <c r="E28" s="89">
        <v>5.4999999999999997E-3</v>
      </c>
      <c r="F28" s="78">
        <f t="shared" si="4"/>
        <v>1309049.3500000001</v>
      </c>
    </row>
    <row r="29" spans="1:14" x14ac:dyDescent="0.25">
      <c r="A29" s="64" t="str">
        <f t="shared" si="5"/>
        <v>GS&gt;50 kW</v>
      </c>
      <c r="B29" s="65"/>
      <c r="C29" s="77" t="s">
        <v>81</v>
      </c>
      <c r="D29" s="65">
        <f>+C4+C5+C6</f>
        <v>2082413.0495000002</v>
      </c>
      <c r="E29" s="89">
        <v>2.9203000000000001</v>
      </c>
      <c r="F29" s="78">
        <f t="shared" si="4"/>
        <v>6081270.8300000001</v>
      </c>
      <c r="H29" s="48" t="s">
        <v>112</v>
      </c>
    </row>
    <row r="30" spans="1:14" x14ac:dyDescent="0.25">
      <c r="A30" s="64" t="str">
        <f t="shared" si="5"/>
        <v>Large User</v>
      </c>
      <c r="B30" s="65"/>
      <c r="C30" s="77" t="s">
        <v>81</v>
      </c>
      <c r="D30" s="65">
        <f>C7</f>
        <v>68382.8269</v>
      </c>
      <c r="E30" s="89">
        <v>2.7446999999999999</v>
      </c>
      <c r="F30" s="78">
        <f t="shared" si="4"/>
        <v>187690.34</v>
      </c>
    </row>
    <row r="31" spans="1:14" x14ac:dyDescent="0.25">
      <c r="A31" s="64" t="str">
        <f t="shared" si="5"/>
        <v xml:space="preserve">Streetlights </v>
      </c>
      <c r="B31" s="65"/>
      <c r="C31" s="77" t="s">
        <v>81</v>
      </c>
      <c r="D31" s="65">
        <f>C8</f>
        <v>20613.041099999999</v>
      </c>
      <c r="E31" s="89">
        <v>1.7758</v>
      </c>
      <c r="F31" s="78">
        <f t="shared" si="4"/>
        <v>36604.639999999999</v>
      </c>
    </row>
    <row r="32" spans="1:14" x14ac:dyDescent="0.25">
      <c r="A32" s="64" t="str">
        <f t="shared" si="5"/>
        <v>USL</v>
      </c>
      <c r="B32" s="65"/>
      <c r="C32" s="77" t="s">
        <v>82</v>
      </c>
      <c r="D32" s="65">
        <f>D21</f>
        <v>4234881.3870000001</v>
      </c>
      <c r="E32" s="89">
        <v>5.4999999999999997E-3</v>
      </c>
      <c r="F32" s="78">
        <f t="shared" si="4"/>
        <v>23291.85</v>
      </c>
    </row>
    <row r="33" spans="1:8" x14ac:dyDescent="0.25">
      <c r="A33" s="90" t="str">
        <f>+A22</f>
        <v>Embedded Distributor</v>
      </c>
      <c r="B33" s="91"/>
      <c r="C33" s="92" t="s">
        <v>81</v>
      </c>
      <c r="D33" s="91">
        <f>+C10</f>
        <v>43316.19</v>
      </c>
      <c r="E33" s="93">
        <v>2.7534000000000001</v>
      </c>
      <c r="F33" s="94">
        <f t="shared" si="4"/>
        <v>119266.8</v>
      </c>
    </row>
    <row r="34" spans="1:8" ht="13" x14ac:dyDescent="0.3">
      <c r="A34" s="357" t="s">
        <v>102</v>
      </c>
      <c r="B34" s="71"/>
      <c r="C34" s="76"/>
      <c r="D34" s="71"/>
      <c r="E34" s="79"/>
      <c r="F34" s="80">
        <f>ROUND((SUM(F27:F33)),2)</f>
        <v>12039461.279999999</v>
      </c>
    </row>
    <row r="36" spans="1:8" ht="13" x14ac:dyDescent="0.3">
      <c r="A36" s="85" t="s">
        <v>113</v>
      </c>
      <c r="B36" s="86"/>
      <c r="C36" s="95" t="s">
        <v>109</v>
      </c>
      <c r="D36" s="87"/>
      <c r="E36" s="88"/>
      <c r="F36" s="86"/>
    </row>
    <row r="37" spans="1:8" ht="13" x14ac:dyDescent="0.3">
      <c r="A37" s="76" t="s">
        <v>110</v>
      </c>
      <c r="B37" s="428"/>
      <c r="C37" s="96" t="s">
        <v>111</v>
      </c>
      <c r="D37" s="453">
        <f>$D$15</f>
        <v>2019</v>
      </c>
      <c r="E37" s="454"/>
      <c r="F37" s="457"/>
    </row>
    <row r="38" spans="1:8" x14ac:dyDescent="0.25">
      <c r="A38" s="64" t="str">
        <f>+A16</f>
        <v xml:space="preserve">Residential </v>
      </c>
      <c r="B38" s="65"/>
      <c r="C38" s="77" t="str">
        <f t="shared" ref="C38:D43" si="6">C27</f>
        <v>kWh</v>
      </c>
      <c r="D38" s="65">
        <f t="shared" si="6"/>
        <v>679728169.41139996</v>
      </c>
      <c r="E38" s="89">
        <v>1.6999999999999999E-3</v>
      </c>
      <c r="F38" s="78">
        <f t="shared" ref="F38:F44" si="7">ROUND((D38*E38),2)</f>
        <v>1155537.8899999999</v>
      </c>
    </row>
    <row r="39" spans="1:8" x14ac:dyDescent="0.25">
      <c r="A39" s="64" t="str">
        <f t="shared" ref="A39:A44" si="8">+A17</f>
        <v>GS&lt;50 kW</v>
      </c>
      <c r="B39" s="65"/>
      <c r="C39" s="77" t="str">
        <f t="shared" si="6"/>
        <v>kWh</v>
      </c>
      <c r="D39" s="65">
        <f t="shared" si="6"/>
        <v>238008971.87470001</v>
      </c>
      <c r="E39" s="89">
        <v>1.5E-3</v>
      </c>
      <c r="F39" s="78">
        <f t="shared" si="7"/>
        <v>357013.46</v>
      </c>
    </row>
    <row r="40" spans="1:8" x14ac:dyDescent="0.25">
      <c r="A40" s="64" t="str">
        <f t="shared" si="8"/>
        <v>GS&gt;50 kW</v>
      </c>
      <c r="B40" s="65"/>
      <c r="C40" s="77" t="str">
        <f t="shared" si="6"/>
        <v>kW</v>
      </c>
      <c r="D40" s="65">
        <f>D29</f>
        <v>2082413.0495000002</v>
      </c>
      <c r="E40" s="89">
        <v>0.86280000000000001</v>
      </c>
      <c r="F40" s="78">
        <f t="shared" si="7"/>
        <v>1796705.98</v>
      </c>
      <c r="H40" s="48" t="s">
        <v>112</v>
      </c>
    </row>
    <row r="41" spans="1:8" x14ac:dyDescent="0.25">
      <c r="A41" s="64" t="str">
        <f t="shared" si="8"/>
        <v>Large User</v>
      </c>
      <c r="B41" s="65"/>
      <c r="C41" s="77" t="str">
        <f t="shared" si="6"/>
        <v>kW</v>
      </c>
      <c r="D41" s="65">
        <f t="shared" si="6"/>
        <v>68382.8269</v>
      </c>
      <c r="E41" s="89">
        <v>0.81110000000000004</v>
      </c>
      <c r="F41" s="78">
        <f t="shared" si="7"/>
        <v>55465.31</v>
      </c>
    </row>
    <row r="42" spans="1:8" x14ac:dyDescent="0.25">
      <c r="A42" s="64" t="str">
        <f t="shared" si="8"/>
        <v xml:space="preserve">Streetlights </v>
      </c>
      <c r="B42" s="65"/>
      <c r="C42" s="77" t="str">
        <f t="shared" si="6"/>
        <v>kW</v>
      </c>
      <c r="D42" s="65">
        <f t="shared" si="6"/>
        <v>20613.041099999999</v>
      </c>
      <c r="E42" s="89">
        <v>0.5252</v>
      </c>
      <c r="F42" s="78">
        <f t="shared" si="7"/>
        <v>10825.97</v>
      </c>
    </row>
    <row r="43" spans="1:8" x14ac:dyDescent="0.25">
      <c r="A43" s="64" t="str">
        <f t="shared" si="8"/>
        <v>USL</v>
      </c>
      <c r="B43" s="65"/>
      <c r="C43" s="77" t="str">
        <f t="shared" si="6"/>
        <v>kWh</v>
      </c>
      <c r="D43" s="65">
        <f t="shared" si="6"/>
        <v>4234881.3870000001</v>
      </c>
      <c r="E43" s="89">
        <v>1.5E-3</v>
      </c>
      <c r="F43" s="78">
        <f t="shared" si="7"/>
        <v>6352.32</v>
      </c>
    </row>
    <row r="44" spans="1:8" x14ac:dyDescent="0.25">
      <c r="A44" s="90" t="str">
        <f t="shared" si="8"/>
        <v>Embedded Distributor</v>
      </c>
      <c r="B44" s="91"/>
      <c r="C44" s="92" t="s">
        <v>81</v>
      </c>
      <c r="D44" s="91">
        <f>D33</f>
        <v>43316.19</v>
      </c>
      <c r="E44" s="93">
        <v>0.81389999999999996</v>
      </c>
      <c r="F44" s="94">
        <f t="shared" si="7"/>
        <v>35255.050000000003</v>
      </c>
    </row>
    <row r="45" spans="1:8" ht="13" x14ac:dyDescent="0.3">
      <c r="A45" s="357" t="s">
        <v>102</v>
      </c>
      <c r="B45" s="71"/>
      <c r="C45" s="76"/>
      <c r="D45" s="71"/>
      <c r="E45" s="79"/>
      <c r="F45" s="80">
        <f>ROUND((SUM(F38:F44)),2)</f>
        <v>3417155.98</v>
      </c>
    </row>
    <row r="47" spans="1:8" ht="13" x14ac:dyDescent="0.3">
      <c r="A47" s="85" t="s">
        <v>114</v>
      </c>
      <c r="B47" s="86"/>
      <c r="C47" s="429" t="s">
        <v>109</v>
      </c>
      <c r="D47" s="87"/>
      <c r="E47" s="88"/>
      <c r="F47" s="86"/>
    </row>
    <row r="48" spans="1:8" ht="13" x14ac:dyDescent="0.3">
      <c r="A48" s="76" t="s">
        <v>110</v>
      </c>
      <c r="B48" s="428"/>
      <c r="C48" s="427" t="s">
        <v>111</v>
      </c>
      <c r="D48" s="453">
        <f>$D$15</f>
        <v>2019</v>
      </c>
      <c r="E48" s="454"/>
      <c r="F48" s="455"/>
    </row>
    <row r="49" spans="1:12" x14ac:dyDescent="0.25">
      <c r="A49" s="64" t="str">
        <f>+A16</f>
        <v xml:space="preserve">Residential </v>
      </c>
      <c r="B49" s="65"/>
      <c r="C49" s="77" t="s">
        <v>82</v>
      </c>
      <c r="D49" s="65">
        <f>+D16</f>
        <v>679728169.41139996</v>
      </c>
      <c r="E49" s="89">
        <v>3.0000000000000001E-3</v>
      </c>
      <c r="F49" s="78">
        <f t="shared" ref="F49:F55" si="9">ROUND((D49*E49),2)</f>
        <v>2039184.51</v>
      </c>
      <c r="L49" s="109">
        <f t="shared" ref="L49:L54" si="10">+F49+F71</f>
        <v>2379048.59</v>
      </c>
    </row>
    <row r="50" spans="1:12" x14ac:dyDescent="0.25">
      <c r="A50" s="64" t="str">
        <f t="shared" ref="A50:A55" si="11">+A17</f>
        <v>GS&lt;50 kW</v>
      </c>
      <c r="B50" s="65"/>
      <c r="C50" s="77" t="s">
        <v>82</v>
      </c>
      <c r="D50" s="65">
        <f t="shared" ref="D50:D55" si="12">+D17</f>
        <v>238008971.87470001</v>
      </c>
      <c r="E50" s="89">
        <f>+E49</f>
        <v>3.0000000000000001E-3</v>
      </c>
      <c r="F50" s="78">
        <f t="shared" si="9"/>
        <v>714026.92</v>
      </c>
      <c r="L50" s="109">
        <f t="shared" si="10"/>
        <v>833031.41</v>
      </c>
    </row>
    <row r="51" spans="1:12" x14ac:dyDescent="0.25">
      <c r="A51" s="64" t="str">
        <f t="shared" si="11"/>
        <v>GS&gt;50 kW</v>
      </c>
      <c r="B51" s="65"/>
      <c r="C51" s="77" t="s">
        <v>82</v>
      </c>
      <c r="D51" s="65">
        <f t="shared" si="12"/>
        <v>819832821.45949996</v>
      </c>
      <c r="E51" s="89">
        <f>+E49</f>
        <v>3.0000000000000001E-3</v>
      </c>
      <c r="F51" s="78">
        <f t="shared" si="9"/>
        <v>2459498.46</v>
      </c>
      <c r="H51" s="48" t="s">
        <v>107</v>
      </c>
      <c r="L51" s="109">
        <f t="shared" si="10"/>
        <v>2869414.87</v>
      </c>
    </row>
    <row r="52" spans="1:12" x14ac:dyDescent="0.25">
      <c r="A52" s="64" t="str">
        <f t="shared" si="11"/>
        <v>Large User</v>
      </c>
      <c r="B52" s="65"/>
      <c r="C52" s="77" t="s">
        <v>82</v>
      </c>
      <c r="D52" s="65">
        <f t="shared" si="12"/>
        <v>34401304.216499999</v>
      </c>
      <c r="E52" s="89">
        <f>+E49</f>
        <v>3.0000000000000001E-3</v>
      </c>
      <c r="F52" s="78">
        <f t="shared" si="9"/>
        <v>103203.91</v>
      </c>
      <c r="L52" s="109">
        <f t="shared" si="10"/>
        <v>120404.56</v>
      </c>
    </row>
    <row r="53" spans="1:12" x14ac:dyDescent="0.25">
      <c r="A53" s="64" t="str">
        <f t="shared" si="11"/>
        <v xml:space="preserve">Streetlights </v>
      </c>
      <c r="B53" s="65"/>
      <c r="C53" s="77" t="s">
        <v>82</v>
      </c>
      <c r="D53" s="65">
        <f t="shared" si="12"/>
        <v>7646176.3585000001</v>
      </c>
      <c r="E53" s="89">
        <f>+E49</f>
        <v>3.0000000000000001E-3</v>
      </c>
      <c r="F53" s="78">
        <f t="shared" si="9"/>
        <v>22938.53</v>
      </c>
      <c r="L53" s="109">
        <f t="shared" si="10"/>
        <v>26761.62</v>
      </c>
    </row>
    <row r="54" spans="1:12" x14ac:dyDescent="0.25">
      <c r="A54" s="64" t="str">
        <f t="shared" si="11"/>
        <v>USL</v>
      </c>
      <c r="B54" s="65"/>
      <c r="C54" s="77" t="s">
        <v>82</v>
      </c>
      <c r="D54" s="65">
        <f t="shared" si="12"/>
        <v>4234881.3870000001</v>
      </c>
      <c r="E54" s="89">
        <f>+E49</f>
        <v>3.0000000000000001E-3</v>
      </c>
      <c r="F54" s="78">
        <f t="shared" si="9"/>
        <v>12704.64</v>
      </c>
      <c r="L54" s="109">
        <f t="shared" si="10"/>
        <v>14822.08</v>
      </c>
    </row>
    <row r="55" spans="1:12" x14ac:dyDescent="0.25">
      <c r="A55" s="70" t="str">
        <f t="shared" si="11"/>
        <v>Embedded Distributor</v>
      </c>
      <c r="B55" s="65"/>
      <c r="C55" s="77" t="s">
        <v>82</v>
      </c>
      <c r="D55" s="65">
        <f t="shared" si="12"/>
        <v>0</v>
      </c>
      <c r="E55" s="89">
        <f>+E49</f>
        <v>3.0000000000000001E-3</v>
      </c>
      <c r="F55" s="78">
        <f t="shared" si="9"/>
        <v>0</v>
      </c>
      <c r="L55" s="109">
        <f>+F55+F66+F77</f>
        <v>0</v>
      </c>
    </row>
    <row r="56" spans="1:12" ht="13" x14ac:dyDescent="0.3">
      <c r="A56" s="357" t="s">
        <v>102</v>
      </c>
      <c r="B56" s="71"/>
      <c r="C56" s="76"/>
      <c r="D56" s="71">
        <f>SUM(D49:D55)</f>
        <v>1783852324.7075999</v>
      </c>
      <c r="E56" s="79"/>
      <c r="F56" s="80">
        <f>ROUND((SUM(F49:F55)),2)</f>
        <v>5351556.97</v>
      </c>
    </row>
    <row r="58" spans="1:12" ht="13" x14ac:dyDescent="0.3">
      <c r="A58" s="85" t="s">
        <v>115</v>
      </c>
      <c r="B58" s="86"/>
      <c r="C58" s="429" t="s">
        <v>109</v>
      </c>
      <c r="D58" s="87"/>
      <c r="E58" s="88"/>
      <c r="F58" s="86"/>
    </row>
    <row r="59" spans="1:12" ht="13" x14ac:dyDescent="0.3">
      <c r="A59" s="76" t="s">
        <v>110</v>
      </c>
      <c r="B59" s="428"/>
      <c r="C59" s="427" t="s">
        <v>111</v>
      </c>
      <c r="D59" s="453">
        <f>$D$15</f>
        <v>2019</v>
      </c>
      <c r="E59" s="454"/>
      <c r="F59" s="455"/>
    </row>
    <row r="60" spans="1:12" x14ac:dyDescent="0.25">
      <c r="A60" s="64" t="str">
        <f>+A16</f>
        <v xml:space="preserve">Residential </v>
      </c>
      <c r="B60" s="65"/>
      <c r="C60" s="77" t="s">
        <v>82</v>
      </c>
      <c r="D60" s="65">
        <f>+D49</f>
        <v>679728169.41139996</v>
      </c>
      <c r="E60" s="89">
        <v>4.0000000000000002E-4</v>
      </c>
      <c r="F60" s="78">
        <f t="shared" ref="F60:F66" si="13">ROUND((D60*E60),2)</f>
        <v>271891.27</v>
      </c>
    </row>
    <row r="61" spans="1:12" x14ac:dyDescent="0.25">
      <c r="A61" s="64" t="str">
        <f t="shared" ref="A61:A66" si="14">+A17</f>
        <v>GS&lt;50 kW</v>
      </c>
      <c r="B61" s="65"/>
      <c r="C61" s="77" t="s">
        <v>82</v>
      </c>
      <c r="D61" s="65">
        <f>+D50</f>
        <v>238008971.87470001</v>
      </c>
      <c r="E61" s="89">
        <f>+E60</f>
        <v>4.0000000000000002E-4</v>
      </c>
      <c r="F61" s="78">
        <f t="shared" si="13"/>
        <v>95203.59</v>
      </c>
    </row>
    <row r="62" spans="1:12" x14ac:dyDescent="0.25">
      <c r="A62" s="64" t="str">
        <f t="shared" si="14"/>
        <v>GS&gt;50 kW</v>
      </c>
      <c r="B62" s="65"/>
      <c r="C62" s="77" t="s">
        <v>82</v>
      </c>
      <c r="D62" s="65">
        <f>+D51-F6</f>
        <v>602475419.87730002</v>
      </c>
      <c r="E62" s="89">
        <f>+E60</f>
        <v>4.0000000000000002E-4</v>
      </c>
      <c r="F62" s="78">
        <f t="shared" si="13"/>
        <v>240990.17</v>
      </c>
      <c r="H62" s="48" t="s">
        <v>107</v>
      </c>
    </row>
    <row r="63" spans="1:12" x14ac:dyDescent="0.25">
      <c r="A63" s="64" t="str">
        <f t="shared" si="14"/>
        <v>Large User</v>
      </c>
      <c r="B63" s="65"/>
      <c r="C63" s="77" t="s">
        <v>82</v>
      </c>
      <c r="D63" s="65">
        <v>0</v>
      </c>
      <c r="E63" s="89">
        <f>+E60</f>
        <v>4.0000000000000002E-4</v>
      </c>
      <c r="F63" s="78">
        <f t="shared" si="13"/>
        <v>0</v>
      </c>
      <c r="H63" t="s">
        <v>116</v>
      </c>
    </row>
    <row r="64" spans="1:12" x14ac:dyDescent="0.25">
      <c r="A64" s="64" t="str">
        <f t="shared" si="14"/>
        <v xml:space="preserve">Streetlights </v>
      </c>
      <c r="B64" s="65"/>
      <c r="C64" s="77" t="s">
        <v>82</v>
      </c>
      <c r="D64" s="65">
        <f>+D53</f>
        <v>7646176.3585000001</v>
      </c>
      <c r="E64" s="89">
        <f>+E60</f>
        <v>4.0000000000000002E-4</v>
      </c>
      <c r="F64" s="78">
        <f t="shared" si="13"/>
        <v>3058.47</v>
      </c>
    </row>
    <row r="65" spans="1:8" x14ac:dyDescent="0.25">
      <c r="A65" s="64" t="str">
        <f t="shared" si="14"/>
        <v>USL</v>
      </c>
      <c r="B65" s="65"/>
      <c r="C65" s="77" t="s">
        <v>82</v>
      </c>
      <c r="D65" s="65">
        <f>+D54</f>
        <v>4234881.3870000001</v>
      </c>
      <c r="E65" s="89">
        <f>+E60</f>
        <v>4.0000000000000002E-4</v>
      </c>
      <c r="F65" s="78">
        <f t="shared" si="13"/>
        <v>1693.95</v>
      </c>
    </row>
    <row r="66" spans="1:8" x14ac:dyDescent="0.25">
      <c r="A66" s="70" t="str">
        <f t="shared" si="14"/>
        <v>Embedded Distributor</v>
      </c>
      <c r="B66" s="65"/>
      <c r="C66" s="77" t="s">
        <v>82</v>
      </c>
      <c r="D66" s="65">
        <f>+D55</f>
        <v>0</v>
      </c>
      <c r="E66" s="89">
        <f>+E60</f>
        <v>4.0000000000000002E-4</v>
      </c>
      <c r="F66" s="78">
        <f t="shared" si="13"/>
        <v>0</v>
      </c>
    </row>
    <row r="67" spans="1:8" ht="13" x14ac:dyDescent="0.3">
      <c r="A67" s="357" t="s">
        <v>102</v>
      </c>
      <c r="B67" s="71"/>
      <c r="C67" s="76"/>
      <c r="D67" s="71">
        <f>SUM(D60:D66)</f>
        <v>1532093618.9089</v>
      </c>
      <c r="E67" s="79"/>
      <c r="F67" s="80">
        <f>ROUND((SUM(F60:F66)),2)</f>
        <v>612837.44999999995</v>
      </c>
    </row>
    <row r="69" spans="1:8" ht="13" x14ac:dyDescent="0.3">
      <c r="A69" s="85" t="s">
        <v>117</v>
      </c>
      <c r="B69" s="86"/>
      <c r="C69" s="429" t="s">
        <v>109</v>
      </c>
      <c r="D69" s="87"/>
      <c r="E69" s="88"/>
      <c r="F69" s="86"/>
    </row>
    <row r="70" spans="1:8" ht="13" x14ac:dyDescent="0.3">
      <c r="A70" s="76" t="s">
        <v>110</v>
      </c>
      <c r="B70" s="428"/>
      <c r="C70" s="427" t="s">
        <v>111</v>
      </c>
      <c r="D70" s="456">
        <f>$D$15</f>
        <v>2019</v>
      </c>
      <c r="E70" s="454"/>
      <c r="F70" s="457"/>
    </row>
    <row r="71" spans="1:8" x14ac:dyDescent="0.25">
      <c r="A71" s="64" t="str">
        <f>+A16</f>
        <v xml:space="preserve">Residential </v>
      </c>
      <c r="B71" s="65"/>
      <c r="C71" s="77" t="s">
        <v>82</v>
      </c>
      <c r="D71" s="65">
        <f t="shared" ref="D71:D77" si="15">D49</f>
        <v>679728169.41139996</v>
      </c>
      <c r="E71" s="89">
        <v>5.0000000000000001E-4</v>
      </c>
      <c r="F71" s="78">
        <f t="shared" ref="F71:F77" si="16">ROUND((D71*E71),2)</f>
        <v>339864.08</v>
      </c>
    </row>
    <row r="72" spans="1:8" x14ac:dyDescent="0.25">
      <c r="A72" s="64" t="str">
        <f t="shared" ref="A72:A77" si="17">+A17</f>
        <v>GS&lt;50 kW</v>
      </c>
      <c r="B72" s="65"/>
      <c r="C72" s="77" t="s">
        <v>82</v>
      </c>
      <c r="D72" s="65">
        <f t="shared" si="15"/>
        <v>238008971.87470001</v>
      </c>
      <c r="E72" s="89">
        <f>+E71</f>
        <v>5.0000000000000001E-4</v>
      </c>
      <c r="F72" s="78">
        <f t="shared" si="16"/>
        <v>119004.49</v>
      </c>
      <c r="H72" s="48"/>
    </row>
    <row r="73" spans="1:8" x14ac:dyDescent="0.25">
      <c r="A73" s="64" t="str">
        <f t="shared" si="17"/>
        <v>GS&gt;50 kW</v>
      </c>
      <c r="B73" s="65"/>
      <c r="C73" s="77" t="s">
        <v>82</v>
      </c>
      <c r="D73" s="65">
        <f t="shared" si="15"/>
        <v>819832821.45949996</v>
      </c>
      <c r="E73" s="89">
        <f>+E71</f>
        <v>5.0000000000000001E-4</v>
      </c>
      <c r="F73" s="78">
        <f t="shared" si="16"/>
        <v>409916.41</v>
      </c>
      <c r="H73" s="48" t="s">
        <v>107</v>
      </c>
    </row>
    <row r="74" spans="1:8" x14ac:dyDescent="0.25">
      <c r="A74" s="64" t="str">
        <f t="shared" si="17"/>
        <v>Large User</v>
      </c>
      <c r="B74" s="65"/>
      <c r="C74" s="77" t="s">
        <v>82</v>
      </c>
      <c r="D74" s="65">
        <f t="shared" si="15"/>
        <v>34401304.216499999</v>
      </c>
      <c r="E74" s="89">
        <f>+E71</f>
        <v>5.0000000000000001E-4</v>
      </c>
      <c r="F74" s="78">
        <f t="shared" si="16"/>
        <v>17200.650000000001</v>
      </c>
    </row>
    <row r="75" spans="1:8" x14ac:dyDescent="0.25">
      <c r="A75" s="64" t="str">
        <f t="shared" si="17"/>
        <v xml:space="preserve">Streetlights </v>
      </c>
      <c r="B75" s="65"/>
      <c r="C75" s="77" t="s">
        <v>82</v>
      </c>
      <c r="D75" s="65">
        <f t="shared" si="15"/>
        <v>7646176.3585000001</v>
      </c>
      <c r="E75" s="89">
        <f>+E71</f>
        <v>5.0000000000000001E-4</v>
      </c>
      <c r="F75" s="78">
        <f t="shared" si="16"/>
        <v>3823.09</v>
      </c>
    </row>
    <row r="76" spans="1:8" x14ac:dyDescent="0.25">
      <c r="A76" s="64" t="str">
        <f t="shared" si="17"/>
        <v>USL</v>
      </c>
      <c r="B76" s="65"/>
      <c r="C76" s="77" t="s">
        <v>82</v>
      </c>
      <c r="D76" s="65">
        <f t="shared" si="15"/>
        <v>4234881.3870000001</v>
      </c>
      <c r="E76" s="89">
        <f>+E71</f>
        <v>5.0000000000000001E-4</v>
      </c>
      <c r="F76" s="78">
        <f t="shared" si="16"/>
        <v>2117.44</v>
      </c>
    </row>
    <row r="77" spans="1:8" x14ac:dyDescent="0.25">
      <c r="A77" s="70" t="str">
        <f t="shared" si="17"/>
        <v>Embedded Distributor</v>
      </c>
      <c r="B77" s="65"/>
      <c r="C77" s="77" t="s">
        <v>82</v>
      </c>
      <c r="D77" s="65">
        <f t="shared" si="15"/>
        <v>0</v>
      </c>
      <c r="E77" s="89">
        <f>+E71</f>
        <v>5.0000000000000001E-4</v>
      </c>
      <c r="F77" s="78">
        <f t="shared" si="16"/>
        <v>0</v>
      </c>
    </row>
    <row r="78" spans="1:8" ht="13" x14ac:dyDescent="0.3">
      <c r="A78" s="357" t="s">
        <v>102</v>
      </c>
      <c r="B78" s="71"/>
      <c r="C78" s="76"/>
      <c r="D78" s="71">
        <f>SUM(D71:D77)</f>
        <v>1783852324.7075999</v>
      </c>
      <c r="E78" s="79"/>
      <c r="F78" s="80">
        <f>ROUND((SUM(F71:F77)),2)</f>
        <v>891926.16</v>
      </c>
    </row>
    <row r="80" spans="1:8" ht="13" x14ac:dyDescent="0.3">
      <c r="A80" s="85" t="s">
        <v>118</v>
      </c>
      <c r="B80" s="86"/>
      <c r="C80" s="95"/>
      <c r="D80" s="87"/>
      <c r="E80" s="88"/>
      <c r="F80" s="86"/>
    </row>
    <row r="81" spans="1:6" ht="13" x14ac:dyDescent="0.3">
      <c r="A81" s="76" t="s">
        <v>110</v>
      </c>
      <c r="B81" s="428"/>
      <c r="C81" s="96"/>
      <c r="D81" s="456">
        <f>$D$15</f>
        <v>2019</v>
      </c>
      <c r="E81" s="454"/>
      <c r="F81" s="457"/>
    </row>
    <row r="82" spans="1:6" x14ac:dyDescent="0.25">
      <c r="A82" s="64" t="str">
        <f>+A16</f>
        <v xml:space="preserve">Residential </v>
      </c>
      <c r="B82" s="65"/>
      <c r="C82" s="77"/>
      <c r="D82" s="65">
        <f>ROUND((Customer!B14*12),0)</f>
        <v>1063428</v>
      </c>
      <c r="E82" s="89">
        <v>0.56999999999999995</v>
      </c>
      <c r="F82" s="78">
        <f>ROUND((D82*E82),2)</f>
        <v>606153.96</v>
      </c>
    </row>
    <row r="83" spans="1:6" x14ac:dyDescent="0.25">
      <c r="A83" s="64" t="str">
        <f>A17</f>
        <v>GS&lt;50 kW</v>
      </c>
      <c r="B83" s="65"/>
      <c r="C83" s="77"/>
      <c r="D83" s="65">
        <f>ROUND((Customer!C14*12),0)</f>
        <v>96708</v>
      </c>
      <c r="E83" s="89">
        <f>+E82</f>
        <v>0.56999999999999995</v>
      </c>
      <c r="F83" s="78">
        <f>ROUND((D83*E83),2)</f>
        <v>55123.56</v>
      </c>
    </row>
    <row r="84" spans="1:6" ht="13" x14ac:dyDescent="0.3">
      <c r="A84" s="357" t="s">
        <v>102</v>
      </c>
      <c r="B84" s="71"/>
      <c r="C84" s="76"/>
      <c r="D84" s="71">
        <f>SUM(D82:D83)</f>
        <v>1160136</v>
      </c>
      <c r="E84" s="79"/>
      <c r="F84" s="80">
        <f>ROUND((SUM(F82:F83)),2)</f>
        <v>661277.52</v>
      </c>
    </row>
    <row r="85" spans="1:6" ht="13" x14ac:dyDescent="0.3">
      <c r="A85" s="97"/>
      <c r="B85" s="430">
        <f>$D$15</f>
        <v>2019</v>
      </c>
    </row>
    <row r="86" spans="1:6" x14ac:dyDescent="0.25">
      <c r="A86" s="98" t="s">
        <v>119</v>
      </c>
      <c r="B86" s="99">
        <f>F23</f>
        <v>163165952.97999999</v>
      </c>
    </row>
    <row r="87" spans="1:6" x14ac:dyDescent="0.25">
      <c r="A87" s="98" t="s">
        <v>120</v>
      </c>
      <c r="B87" s="99">
        <f>F56+F67</f>
        <v>5964394.4199999999</v>
      </c>
    </row>
    <row r="88" spans="1:6" x14ac:dyDescent="0.25">
      <c r="A88" s="98" t="s">
        <v>121</v>
      </c>
      <c r="B88" s="99">
        <f>F34</f>
        <v>12039461.279999999</v>
      </c>
    </row>
    <row r="89" spans="1:6" x14ac:dyDescent="0.25">
      <c r="A89" s="98" t="s">
        <v>122</v>
      </c>
      <c r="B89" s="99">
        <f>F45</f>
        <v>3417155.98</v>
      </c>
    </row>
    <row r="90" spans="1:6" x14ac:dyDescent="0.25">
      <c r="A90" s="98" t="s">
        <v>123</v>
      </c>
      <c r="B90" s="99">
        <f>F78</f>
        <v>891926.16</v>
      </c>
    </row>
    <row r="91" spans="1:6" x14ac:dyDescent="0.25">
      <c r="A91" s="100" t="s">
        <v>124</v>
      </c>
      <c r="B91" s="99">
        <f>+F84</f>
        <v>661277.52</v>
      </c>
    </row>
    <row r="92" spans="1:6" ht="13" x14ac:dyDescent="0.3">
      <c r="A92" s="73" t="s">
        <v>102</v>
      </c>
      <c r="B92" s="80">
        <f>SUM(B86:B91)</f>
        <v>186140168.33999997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49" bottom="0.44" header="0.3" footer="0.3"/>
  <pageSetup scale="4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C2-4CBB-4925-B9C1-0153DB9E2E70}">
  <sheetPr>
    <pageSetUpPr fitToPage="1"/>
  </sheetPr>
  <dimension ref="A1:N142"/>
  <sheetViews>
    <sheetView topLeftCell="A67" workbookViewId="0">
      <selection activeCell="E99" sqref="E99"/>
    </sheetView>
  </sheetViews>
  <sheetFormatPr defaultRowHeight="12.5" x14ac:dyDescent="0.25"/>
  <cols>
    <col min="1" max="1" width="31.453125" bestFit="1" customWidth="1"/>
    <col min="2" max="2" width="18.54296875" customWidth="1"/>
    <col min="3" max="3" width="12.7265625" customWidth="1"/>
    <col min="4" max="4" width="13.453125" customWidth="1"/>
    <col min="5" max="5" width="11.26953125" customWidth="1"/>
    <col min="6" max="6" width="14.453125" bestFit="1" customWidth="1"/>
    <col min="7" max="7" width="12.26953125" bestFit="1" customWidth="1"/>
    <col min="8" max="8" width="12.7265625" bestFit="1" customWidth="1"/>
    <col min="9" max="9" width="17" bestFit="1" customWidth="1"/>
    <col min="10" max="10" width="17.1796875" bestFit="1" customWidth="1"/>
    <col min="11" max="11" width="14" bestFit="1" customWidth="1"/>
    <col min="12" max="12" width="12.7265625" bestFit="1" customWidth="1"/>
    <col min="14" max="15" width="14.453125" bestFit="1" customWidth="1"/>
    <col min="257" max="257" width="31.453125" bestFit="1" customWidth="1"/>
    <col min="258" max="258" width="12.7265625" customWidth="1"/>
    <col min="259" max="259" width="11.7265625" customWidth="1"/>
    <col min="260" max="260" width="12.7265625" customWidth="1"/>
    <col min="261" max="261" width="10" customWidth="1"/>
    <col min="262" max="262" width="12.7265625" customWidth="1"/>
    <col min="513" max="513" width="31.453125" bestFit="1" customWidth="1"/>
    <col min="514" max="514" width="12.7265625" customWidth="1"/>
    <col min="515" max="515" width="11.7265625" customWidth="1"/>
    <col min="516" max="516" width="12.7265625" customWidth="1"/>
    <col min="517" max="517" width="10" customWidth="1"/>
    <col min="518" max="518" width="12.7265625" customWidth="1"/>
    <col min="769" max="769" width="31.453125" bestFit="1" customWidth="1"/>
    <col min="770" max="770" width="12.7265625" customWidth="1"/>
    <col min="771" max="771" width="11.7265625" customWidth="1"/>
    <col min="772" max="772" width="12.7265625" customWidth="1"/>
    <col min="773" max="773" width="10" customWidth="1"/>
    <col min="774" max="774" width="12.7265625" customWidth="1"/>
    <col min="1025" max="1025" width="31.453125" bestFit="1" customWidth="1"/>
    <col min="1026" max="1026" width="12.7265625" customWidth="1"/>
    <col min="1027" max="1027" width="11.7265625" customWidth="1"/>
    <col min="1028" max="1028" width="12.7265625" customWidth="1"/>
    <col min="1029" max="1029" width="10" customWidth="1"/>
    <col min="1030" max="1030" width="12.7265625" customWidth="1"/>
    <col min="1281" max="1281" width="31.453125" bestFit="1" customWidth="1"/>
    <col min="1282" max="1282" width="12.7265625" customWidth="1"/>
    <col min="1283" max="1283" width="11.7265625" customWidth="1"/>
    <col min="1284" max="1284" width="12.7265625" customWidth="1"/>
    <col min="1285" max="1285" width="10" customWidth="1"/>
    <col min="1286" max="1286" width="12.7265625" customWidth="1"/>
    <col min="1537" max="1537" width="31.453125" bestFit="1" customWidth="1"/>
    <col min="1538" max="1538" width="12.7265625" customWidth="1"/>
    <col min="1539" max="1539" width="11.7265625" customWidth="1"/>
    <col min="1540" max="1540" width="12.7265625" customWidth="1"/>
    <col min="1541" max="1541" width="10" customWidth="1"/>
    <col min="1542" max="1542" width="12.7265625" customWidth="1"/>
    <col min="1793" max="1793" width="31.453125" bestFit="1" customWidth="1"/>
    <col min="1794" max="1794" width="12.7265625" customWidth="1"/>
    <col min="1795" max="1795" width="11.7265625" customWidth="1"/>
    <col min="1796" max="1796" width="12.7265625" customWidth="1"/>
    <col min="1797" max="1797" width="10" customWidth="1"/>
    <col min="1798" max="1798" width="12.7265625" customWidth="1"/>
    <col min="2049" max="2049" width="31.453125" bestFit="1" customWidth="1"/>
    <col min="2050" max="2050" width="12.7265625" customWidth="1"/>
    <col min="2051" max="2051" width="11.7265625" customWidth="1"/>
    <col min="2052" max="2052" width="12.7265625" customWidth="1"/>
    <col min="2053" max="2053" width="10" customWidth="1"/>
    <col min="2054" max="2054" width="12.7265625" customWidth="1"/>
    <col min="2305" max="2305" width="31.453125" bestFit="1" customWidth="1"/>
    <col min="2306" max="2306" width="12.7265625" customWidth="1"/>
    <col min="2307" max="2307" width="11.7265625" customWidth="1"/>
    <col min="2308" max="2308" width="12.7265625" customWidth="1"/>
    <col min="2309" max="2309" width="10" customWidth="1"/>
    <col min="2310" max="2310" width="12.7265625" customWidth="1"/>
    <col min="2561" max="2561" width="31.453125" bestFit="1" customWidth="1"/>
    <col min="2562" max="2562" width="12.7265625" customWidth="1"/>
    <col min="2563" max="2563" width="11.7265625" customWidth="1"/>
    <col min="2564" max="2564" width="12.7265625" customWidth="1"/>
    <col min="2565" max="2565" width="10" customWidth="1"/>
    <col min="2566" max="2566" width="12.7265625" customWidth="1"/>
    <col min="2817" max="2817" width="31.453125" bestFit="1" customWidth="1"/>
    <col min="2818" max="2818" width="12.7265625" customWidth="1"/>
    <col min="2819" max="2819" width="11.7265625" customWidth="1"/>
    <col min="2820" max="2820" width="12.7265625" customWidth="1"/>
    <col min="2821" max="2821" width="10" customWidth="1"/>
    <col min="2822" max="2822" width="12.7265625" customWidth="1"/>
    <col min="3073" max="3073" width="31.453125" bestFit="1" customWidth="1"/>
    <col min="3074" max="3074" width="12.7265625" customWidth="1"/>
    <col min="3075" max="3075" width="11.7265625" customWidth="1"/>
    <col min="3076" max="3076" width="12.7265625" customWidth="1"/>
    <col min="3077" max="3077" width="10" customWidth="1"/>
    <col min="3078" max="3078" width="12.7265625" customWidth="1"/>
    <col min="3329" max="3329" width="31.453125" bestFit="1" customWidth="1"/>
    <col min="3330" max="3330" width="12.7265625" customWidth="1"/>
    <col min="3331" max="3331" width="11.7265625" customWidth="1"/>
    <col min="3332" max="3332" width="12.7265625" customWidth="1"/>
    <col min="3333" max="3333" width="10" customWidth="1"/>
    <col min="3334" max="3334" width="12.7265625" customWidth="1"/>
    <col min="3585" max="3585" width="31.453125" bestFit="1" customWidth="1"/>
    <col min="3586" max="3586" width="12.7265625" customWidth="1"/>
    <col min="3587" max="3587" width="11.7265625" customWidth="1"/>
    <col min="3588" max="3588" width="12.7265625" customWidth="1"/>
    <col min="3589" max="3589" width="10" customWidth="1"/>
    <col min="3590" max="3590" width="12.7265625" customWidth="1"/>
    <col min="3841" max="3841" width="31.453125" bestFit="1" customWidth="1"/>
    <col min="3842" max="3842" width="12.7265625" customWidth="1"/>
    <col min="3843" max="3843" width="11.7265625" customWidth="1"/>
    <col min="3844" max="3844" width="12.7265625" customWidth="1"/>
    <col min="3845" max="3845" width="10" customWidth="1"/>
    <col min="3846" max="3846" width="12.7265625" customWidth="1"/>
    <col min="4097" max="4097" width="31.453125" bestFit="1" customWidth="1"/>
    <col min="4098" max="4098" width="12.7265625" customWidth="1"/>
    <col min="4099" max="4099" width="11.7265625" customWidth="1"/>
    <col min="4100" max="4100" width="12.7265625" customWidth="1"/>
    <col min="4101" max="4101" width="10" customWidth="1"/>
    <col min="4102" max="4102" width="12.7265625" customWidth="1"/>
    <col min="4353" max="4353" width="31.453125" bestFit="1" customWidth="1"/>
    <col min="4354" max="4354" width="12.7265625" customWidth="1"/>
    <col min="4355" max="4355" width="11.7265625" customWidth="1"/>
    <col min="4356" max="4356" width="12.7265625" customWidth="1"/>
    <col min="4357" max="4357" width="10" customWidth="1"/>
    <col min="4358" max="4358" width="12.7265625" customWidth="1"/>
    <col min="4609" max="4609" width="31.453125" bestFit="1" customWidth="1"/>
    <col min="4610" max="4610" width="12.7265625" customWidth="1"/>
    <col min="4611" max="4611" width="11.7265625" customWidth="1"/>
    <col min="4612" max="4612" width="12.7265625" customWidth="1"/>
    <col min="4613" max="4613" width="10" customWidth="1"/>
    <col min="4614" max="4614" width="12.7265625" customWidth="1"/>
    <col min="4865" max="4865" width="31.453125" bestFit="1" customWidth="1"/>
    <col min="4866" max="4866" width="12.7265625" customWidth="1"/>
    <col min="4867" max="4867" width="11.7265625" customWidth="1"/>
    <col min="4868" max="4868" width="12.7265625" customWidth="1"/>
    <col min="4869" max="4869" width="10" customWidth="1"/>
    <col min="4870" max="4870" width="12.7265625" customWidth="1"/>
    <col min="5121" max="5121" width="31.453125" bestFit="1" customWidth="1"/>
    <col min="5122" max="5122" width="12.7265625" customWidth="1"/>
    <col min="5123" max="5123" width="11.7265625" customWidth="1"/>
    <col min="5124" max="5124" width="12.7265625" customWidth="1"/>
    <col min="5125" max="5125" width="10" customWidth="1"/>
    <col min="5126" max="5126" width="12.7265625" customWidth="1"/>
    <col min="5377" max="5377" width="31.453125" bestFit="1" customWidth="1"/>
    <col min="5378" max="5378" width="12.7265625" customWidth="1"/>
    <col min="5379" max="5379" width="11.7265625" customWidth="1"/>
    <col min="5380" max="5380" width="12.7265625" customWidth="1"/>
    <col min="5381" max="5381" width="10" customWidth="1"/>
    <col min="5382" max="5382" width="12.7265625" customWidth="1"/>
    <col min="5633" max="5633" width="31.453125" bestFit="1" customWidth="1"/>
    <col min="5634" max="5634" width="12.7265625" customWidth="1"/>
    <col min="5635" max="5635" width="11.7265625" customWidth="1"/>
    <col min="5636" max="5636" width="12.7265625" customWidth="1"/>
    <col min="5637" max="5637" width="10" customWidth="1"/>
    <col min="5638" max="5638" width="12.7265625" customWidth="1"/>
    <col min="5889" max="5889" width="31.453125" bestFit="1" customWidth="1"/>
    <col min="5890" max="5890" width="12.7265625" customWidth="1"/>
    <col min="5891" max="5891" width="11.7265625" customWidth="1"/>
    <col min="5892" max="5892" width="12.7265625" customWidth="1"/>
    <col min="5893" max="5893" width="10" customWidth="1"/>
    <col min="5894" max="5894" width="12.7265625" customWidth="1"/>
    <col min="6145" max="6145" width="31.453125" bestFit="1" customWidth="1"/>
    <col min="6146" max="6146" width="12.7265625" customWidth="1"/>
    <col min="6147" max="6147" width="11.7265625" customWidth="1"/>
    <col min="6148" max="6148" width="12.7265625" customWidth="1"/>
    <col min="6149" max="6149" width="10" customWidth="1"/>
    <col min="6150" max="6150" width="12.7265625" customWidth="1"/>
    <col min="6401" max="6401" width="31.453125" bestFit="1" customWidth="1"/>
    <col min="6402" max="6402" width="12.7265625" customWidth="1"/>
    <col min="6403" max="6403" width="11.7265625" customWidth="1"/>
    <col min="6404" max="6404" width="12.7265625" customWidth="1"/>
    <col min="6405" max="6405" width="10" customWidth="1"/>
    <col min="6406" max="6406" width="12.7265625" customWidth="1"/>
    <col min="6657" max="6657" width="31.453125" bestFit="1" customWidth="1"/>
    <col min="6658" max="6658" width="12.7265625" customWidth="1"/>
    <col min="6659" max="6659" width="11.7265625" customWidth="1"/>
    <col min="6660" max="6660" width="12.7265625" customWidth="1"/>
    <col min="6661" max="6661" width="10" customWidth="1"/>
    <col min="6662" max="6662" width="12.7265625" customWidth="1"/>
    <col min="6913" max="6913" width="31.453125" bestFit="1" customWidth="1"/>
    <col min="6914" max="6914" width="12.7265625" customWidth="1"/>
    <col min="6915" max="6915" width="11.7265625" customWidth="1"/>
    <col min="6916" max="6916" width="12.7265625" customWidth="1"/>
    <col min="6917" max="6917" width="10" customWidth="1"/>
    <col min="6918" max="6918" width="12.7265625" customWidth="1"/>
    <col min="7169" max="7169" width="31.453125" bestFit="1" customWidth="1"/>
    <col min="7170" max="7170" width="12.7265625" customWidth="1"/>
    <col min="7171" max="7171" width="11.7265625" customWidth="1"/>
    <col min="7172" max="7172" width="12.7265625" customWidth="1"/>
    <col min="7173" max="7173" width="10" customWidth="1"/>
    <col min="7174" max="7174" width="12.7265625" customWidth="1"/>
    <col min="7425" max="7425" width="31.453125" bestFit="1" customWidth="1"/>
    <col min="7426" max="7426" width="12.7265625" customWidth="1"/>
    <col min="7427" max="7427" width="11.7265625" customWidth="1"/>
    <col min="7428" max="7428" width="12.7265625" customWidth="1"/>
    <col min="7429" max="7429" width="10" customWidth="1"/>
    <col min="7430" max="7430" width="12.7265625" customWidth="1"/>
    <col min="7681" max="7681" width="31.453125" bestFit="1" customWidth="1"/>
    <col min="7682" max="7682" width="12.7265625" customWidth="1"/>
    <col min="7683" max="7683" width="11.7265625" customWidth="1"/>
    <col min="7684" max="7684" width="12.7265625" customWidth="1"/>
    <col min="7685" max="7685" width="10" customWidth="1"/>
    <col min="7686" max="7686" width="12.7265625" customWidth="1"/>
    <col min="7937" max="7937" width="31.453125" bestFit="1" customWidth="1"/>
    <col min="7938" max="7938" width="12.7265625" customWidth="1"/>
    <col min="7939" max="7939" width="11.7265625" customWidth="1"/>
    <col min="7940" max="7940" width="12.7265625" customWidth="1"/>
    <col min="7941" max="7941" width="10" customWidth="1"/>
    <col min="7942" max="7942" width="12.7265625" customWidth="1"/>
    <col min="8193" max="8193" width="31.453125" bestFit="1" customWidth="1"/>
    <col min="8194" max="8194" width="12.7265625" customWidth="1"/>
    <col min="8195" max="8195" width="11.7265625" customWidth="1"/>
    <col min="8196" max="8196" width="12.7265625" customWidth="1"/>
    <col min="8197" max="8197" width="10" customWidth="1"/>
    <col min="8198" max="8198" width="12.7265625" customWidth="1"/>
    <col min="8449" max="8449" width="31.453125" bestFit="1" customWidth="1"/>
    <col min="8450" max="8450" width="12.7265625" customWidth="1"/>
    <col min="8451" max="8451" width="11.7265625" customWidth="1"/>
    <col min="8452" max="8452" width="12.7265625" customWidth="1"/>
    <col min="8453" max="8453" width="10" customWidth="1"/>
    <col min="8454" max="8454" width="12.7265625" customWidth="1"/>
    <col min="8705" max="8705" width="31.453125" bestFit="1" customWidth="1"/>
    <col min="8706" max="8706" width="12.7265625" customWidth="1"/>
    <col min="8707" max="8707" width="11.7265625" customWidth="1"/>
    <col min="8708" max="8708" width="12.7265625" customWidth="1"/>
    <col min="8709" max="8709" width="10" customWidth="1"/>
    <col min="8710" max="8710" width="12.7265625" customWidth="1"/>
    <col min="8961" max="8961" width="31.453125" bestFit="1" customWidth="1"/>
    <col min="8962" max="8962" width="12.7265625" customWidth="1"/>
    <col min="8963" max="8963" width="11.7265625" customWidth="1"/>
    <col min="8964" max="8964" width="12.7265625" customWidth="1"/>
    <col min="8965" max="8965" width="10" customWidth="1"/>
    <col min="8966" max="8966" width="12.7265625" customWidth="1"/>
    <col min="9217" max="9217" width="31.453125" bestFit="1" customWidth="1"/>
    <col min="9218" max="9218" width="12.7265625" customWidth="1"/>
    <col min="9219" max="9219" width="11.7265625" customWidth="1"/>
    <col min="9220" max="9220" width="12.7265625" customWidth="1"/>
    <col min="9221" max="9221" width="10" customWidth="1"/>
    <col min="9222" max="9222" width="12.7265625" customWidth="1"/>
    <col min="9473" max="9473" width="31.453125" bestFit="1" customWidth="1"/>
    <col min="9474" max="9474" width="12.7265625" customWidth="1"/>
    <col min="9475" max="9475" width="11.7265625" customWidth="1"/>
    <col min="9476" max="9476" width="12.7265625" customWidth="1"/>
    <col min="9477" max="9477" width="10" customWidth="1"/>
    <col min="9478" max="9478" width="12.7265625" customWidth="1"/>
    <col min="9729" max="9729" width="31.453125" bestFit="1" customWidth="1"/>
    <col min="9730" max="9730" width="12.7265625" customWidth="1"/>
    <col min="9731" max="9731" width="11.7265625" customWidth="1"/>
    <col min="9732" max="9732" width="12.7265625" customWidth="1"/>
    <col min="9733" max="9733" width="10" customWidth="1"/>
    <col min="9734" max="9734" width="12.7265625" customWidth="1"/>
    <col min="9985" max="9985" width="31.453125" bestFit="1" customWidth="1"/>
    <col min="9986" max="9986" width="12.7265625" customWidth="1"/>
    <col min="9987" max="9987" width="11.7265625" customWidth="1"/>
    <col min="9988" max="9988" width="12.7265625" customWidth="1"/>
    <col min="9989" max="9989" width="10" customWidth="1"/>
    <col min="9990" max="9990" width="12.7265625" customWidth="1"/>
    <col min="10241" max="10241" width="31.453125" bestFit="1" customWidth="1"/>
    <col min="10242" max="10242" width="12.7265625" customWidth="1"/>
    <col min="10243" max="10243" width="11.7265625" customWidth="1"/>
    <col min="10244" max="10244" width="12.7265625" customWidth="1"/>
    <col min="10245" max="10245" width="10" customWidth="1"/>
    <col min="10246" max="10246" width="12.7265625" customWidth="1"/>
    <col min="10497" max="10497" width="31.453125" bestFit="1" customWidth="1"/>
    <col min="10498" max="10498" width="12.7265625" customWidth="1"/>
    <col min="10499" max="10499" width="11.7265625" customWidth="1"/>
    <col min="10500" max="10500" width="12.7265625" customWidth="1"/>
    <col min="10501" max="10501" width="10" customWidth="1"/>
    <col min="10502" max="10502" width="12.7265625" customWidth="1"/>
    <col min="10753" max="10753" width="31.453125" bestFit="1" customWidth="1"/>
    <col min="10754" max="10754" width="12.7265625" customWidth="1"/>
    <col min="10755" max="10755" width="11.7265625" customWidth="1"/>
    <col min="10756" max="10756" width="12.7265625" customWidth="1"/>
    <col min="10757" max="10757" width="10" customWidth="1"/>
    <col min="10758" max="10758" width="12.7265625" customWidth="1"/>
    <col min="11009" max="11009" width="31.453125" bestFit="1" customWidth="1"/>
    <col min="11010" max="11010" width="12.7265625" customWidth="1"/>
    <col min="11011" max="11011" width="11.7265625" customWidth="1"/>
    <col min="11012" max="11012" width="12.7265625" customWidth="1"/>
    <col min="11013" max="11013" width="10" customWidth="1"/>
    <col min="11014" max="11014" width="12.7265625" customWidth="1"/>
    <col min="11265" max="11265" width="31.453125" bestFit="1" customWidth="1"/>
    <col min="11266" max="11266" width="12.7265625" customWidth="1"/>
    <col min="11267" max="11267" width="11.7265625" customWidth="1"/>
    <col min="11268" max="11268" width="12.7265625" customWidth="1"/>
    <col min="11269" max="11269" width="10" customWidth="1"/>
    <col min="11270" max="11270" width="12.7265625" customWidth="1"/>
    <col min="11521" max="11521" width="31.453125" bestFit="1" customWidth="1"/>
    <col min="11522" max="11522" width="12.7265625" customWidth="1"/>
    <col min="11523" max="11523" width="11.7265625" customWidth="1"/>
    <col min="11524" max="11524" width="12.7265625" customWidth="1"/>
    <col min="11525" max="11525" width="10" customWidth="1"/>
    <col min="11526" max="11526" width="12.7265625" customWidth="1"/>
    <col min="11777" max="11777" width="31.453125" bestFit="1" customWidth="1"/>
    <col min="11778" max="11778" width="12.7265625" customWidth="1"/>
    <col min="11779" max="11779" width="11.7265625" customWidth="1"/>
    <col min="11780" max="11780" width="12.7265625" customWidth="1"/>
    <col min="11781" max="11781" width="10" customWidth="1"/>
    <col min="11782" max="11782" width="12.7265625" customWidth="1"/>
    <col min="12033" max="12033" width="31.453125" bestFit="1" customWidth="1"/>
    <col min="12034" max="12034" width="12.7265625" customWidth="1"/>
    <col min="12035" max="12035" width="11.7265625" customWidth="1"/>
    <col min="12036" max="12036" width="12.7265625" customWidth="1"/>
    <col min="12037" max="12037" width="10" customWidth="1"/>
    <col min="12038" max="12038" width="12.7265625" customWidth="1"/>
    <col min="12289" max="12289" width="31.453125" bestFit="1" customWidth="1"/>
    <col min="12290" max="12290" width="12.7265625" customWidth="1"/>
    <col min="12291" max="12291" width="11.7265625" customWidth="1"/>
    <col min="12292" max="12292" width="12.7265625" customWidth="1"/>
    <col min="12293" max="12293" width="10" customWidth="1"/>
    <col min="12294" max="12294" width="12.7265625" customWidth="1"/>
    <col min="12545" max="12545" width="31.453125" bestFit="1" customWidth="1"/>
    <col min="12546" max="12546" width="12.7265625" customWidth="1"/>
    <col min="12547" max="12547" width="11.7265625" customWidth="1"/>
    <col min="12548" max="12548" width="12.7265625" customWidth="1"/>
    <col min="12549" max="12549" width="10" customWidth="1"/>
    <col min="12550" max="12550" width="12.7265625" customWidth="1"/>
    <col min="12801" max="12801" width="31.453125" bestFit="1" customWidth="1"/>
    <col min="12802" max="12802" width="12.7265625" customWidth="1"/>
    <col min="12803" max="12803" width="11.7265625" customWidth="1"/>
    <col min="12804" max="12804" width="12.7265625" customWidth="1"/>
    <col min="12805" max="12805" width="10" customWidth="1"/>
    <col min="12806" max="12806" width="12.7265625" customWidth="1"/>
    <col min="13057" max="13057" width="31.453125" bestFit="1" customWidth="1"/>
    <col min="13058" max="13058" width="12.7265625" customWidth="1"/>
    <col min="13059" max="13059" width="11.7265625" customWidth="1"/>
    <col min="13060" max="13060" width="12.7265625" customWidth="1"/>
    <col min="13061" max="13061" width="10" customWidth="1"/>
    <col min="13062" max="13062" width="12.7265625" customWidth="1"/>
    <col min="13313" max="13313" width="31.453125" bestFit="1" customWidth="1"/>
    <col min="13314" max="13314" width="12.7265625" customWidth="1"/>
    <col min="13315" max="13315" width="11.7265625" customWidth="1"/>
    <col min="13316" max="13316" width="12.7265625" customWidth="1"/>
    <col min="13317" max="13317" width="10" customWidth="1"/>
    <col min="13318" max="13318" width="12.7265625" customWidth="1"/>
    <col min="13569" max="13569" width="31.453125" bestFit="1" customWidth="1"/>
    <col min="13570" max="13570" width="12.7265625" customWidth="1"/>
    <col min="13571" max="13571" width="11.7265625" customWidth="1"/>
    <col min="13572" max="13572" width="12.7265625" customWidth="1"/>
    <col min="13573" max="13573" width="10" customWidth="1"/>
    <col min="13574" max="13574" width="12.7265625" customWidth="1"/>
    <col min="13825" max="13825" width="31.453125" bestFit="1" customWidth="1"/>
    <col min="13826" max="13826" width="12.7265625" customWidth="1"/>
    <col min="13827" max="13827" width="11.7265625" customWidth="1"/>
    <col min="13828" max="13828" width="12.7265625" customWidth="1"/>
    <col min="13829" max="13829" width="10" customWidth="1"/>
    <col min="13830" max="13830" width="12.7265625" customWidth="1"/>
    <col min="14081" max="14081" width="31.453125" bestFit="1" customWidth="1"/>
    <col min="14082" max="14082" width="12.7265625" customWidth="1"/>
    <col min="14083" max="14083" width="11.7265625" customWidth="1"/>
    <col min="14084" max="14084" width="12.7265625" customWidth="1"/>
    <col min="14085" max="14085" width="10" customWidth="1"/>
    <col min="14086" max="14086" width="12.7265625" customWidth="1"/>
    <col min="14337" max="14337" width="31.453125" bestFit="1" customWidth="1"/>
    <col min="14338" max="14338" width="12.7265625" customWidth="1"/>
    <col min="14339" max="14339" width="11.7265625" customWidth="1"/>
    <col min="14340" max="14340" width="12.7265625" customWidth="1"/>
    <col min="14341" max="14341" width="10" customWidth="1"/>
    <col min="14342" max="14342" width="12.7265625" customWidth="1"/>
    <col min="14593" max="14593" width="31.453125" bestFit="1" customWidth="1"/>
    <col min="14594" max="14594" width="12.7265625" customWidth="1"/>
    <col min="14595" max="14595" width="11.7265625" customWidth="1"/>
    <col min="14596" max="14596" width="12.7265625" customWidth="1"/>
    <col min="14597" max="14597" width="10" customWidth="1"/>
    <col min="14598" max="14598" width="12.7265625" customWidth="1"/>
    <col min="14849" max="14849" width="31.453125" bestFit="1" customWidth="1"/>
    <col min="14850" max="14850" width="12.7265625" customWidth="1"/>
    <col min="14851" max="14851" width="11.7265625" customWidth="1"/>
    <col min="14852" max="14852" width="12.7265625" customWidth="1"/>
    <col min="14853" max="14853" width="10" customWidth="1"/>
    <col min="14854" max="14854" width="12.7265625" customWidth="1"/>
    <col min="15105" max="15105" width="31.453125" bestFit="1" customWidth="1"/>
    <col min="15106" max="15106" width="12.7265625" customWidth="1"/>
    <col min="15107" max="15107" width="11.7265625" customWidth="1"/>
    <col min="15108" max="15108" width="12.7265625" customWidth="1"/>
    <col min="15109" max="15109" width="10" customWidth="1"/>
    <col min="15110" max="15110" width="12.7265625" customWidth="1"/>
    <col min="15361" max="15361" width="31.453125" bestFit="1" customWidth="1"/>
    <col min="15362" max="15362" width="12.7265625" customWidth="1"/>
    <col min="15363" max="15363" width="11.7265625" customWidth="1"/>
    <col min="15364" max="15364" width="12.7265625" customWidth="1"/>
    <col min="15365" max="15365" width="10" customWidth="1"/>
    <col min="15366" max="15366" width="12.7265625" customWidth="1"/>
    <col min="15617" max="15617" width="31.453125" bestFit="1" customWidth="1"/>
    <col min="15618" max="15618" width="12.7265625" customWidth="1"/>
    <col min="15619" max="15619" width="11.7265625" customWidth="1"/>
    <col min="15620" max="15620" width="12.7265625" customWidth="1"/>
    <col min="15621" max="15621" width="10" customWidth="1"/>
    <col min="15622" max="15622" width="12.7265625" customWidth="1"/>
    <col min="15873" max="15873" width="31.453125" bestFit="1" customWidth="1"/>
    <col min="15874" max="15874" width="12.7265625" customWidth="1"/>
    <col min="15875" max="15875" width="11.7265625" customWidth="1"/>
    <col min="15876" max="15876" width="12.7265625" customWidth="1"/>
    <col min="15877" max="15877" width="10" customWidth="1"/>
    <col min="15878" max="15878" width="12.7265625" customWidth="1"/>
    <col min="16129" max="16129" width="31.453125" bestFit="1" customWidth="1"/>
    <col min="16130" max="16130" width="12.7265625" customWidth="1"/>
    <col min="16131" max="16131" width="11.7265625" customWidth="1"/>
    <col min="16132" max="16132" width="12.7265625" customWidth="1"/>
    <col min="16133" max="16133" width="10" customWidth="1"/>
    <col min="16134" max="16134" width="12.7265625" customWidth="1"/>
  </cols>
  <sheetData>
    <row r="1" spans="1:14" ht="13" x14ac:dyDescent="0.3">
      <c r="A1" s="62" t="s">
        <v>125</v>
      </c>
      <c r="B1" s="63" t="s">
        <v>82</v>
      </c>
      <c r="C1" s="63" t="s">
        <v>81</v>
      </c>
      <c r="D1" s="63" t="s">
        <v>96</v>
      </c>
      <c r="F1" s="63"/>
      <c r="G1" s="63"/>
      <c r="I1" s="56"/>
      <c r="J1" s="56"/>
    </row>
    <row r="2" spans="1:14" x14ac:dyDescent="0.25">
      <c r="A2" s="64" t="s">
        <v>45</v>
      </c>
      <c r="B2" s="65">
        <f>ROUND((Energy!$H$84),4)</f>
        <v>660769294.21730006</v>
      </c>
      <c r="C2" s="66"/>
      <c r="D2" s="101">
        <v>0.98092866786078092</v>
      </c>
      <c r="I2" s="348"/>
      <c r="J2" s="348"/>
      <c r="L2" s="69"/>
    </row>
    <row r="3" spans="1:14" x14ac:dyDescent="0.25">
      <c r="A3" s="64" t="s">
        <v>46</v>
      </c>
      <c r="B3" s="65">
        <f>ROUND((Energy!$I$84),4)</f>
        <v>228934711.40130001</v>
      </c>
      <c r="C3" s="66"/>
      <c r="D3" s="101">
        <v>0.84741264163513119</v>
      </c>
      <c r="F3" s="3"/>
      <c r="G3" s="56"/>
      <c r="H3" s="107"/>
      <c r="I3" s="348"/>
      <c r="J3" s="348"/>
      <c r="L3" s="69"/>
    </row>
    <row r="4" spans="1:14" ht="13" x14ac:dyDescent="0.3">
      <c r="A4" s="64" t="s">
        <v>47</v>
      </c>
      <c r="B4" s="65">
        <f>ROUND((Energy!$J$84),4)</f>
        <v>565896087.6681</v>
      </c>
      <c r="C4" s="68">
        <f>ROUND((Load!$B$14),4)</f>
        <v>1500626.4309</v>
      </c>
      <c r="D4" s="101">
        <v>0.14686416109839648</v>
      </c>
      <c r="E4" s="113"/>
      <c r="F4" s="72"/>
      <c r="G4" s="72"/>
      <c r="I4" s="348"/>
      <c r="J4" s="348"/>
      <c r="L4" s="69"/>
    </row>
    <row r="5" spans="1:14" ht="13" x14ac:dyDescent="0.3">
      <c r="A5" s="70" t="s">
        <v>97</v>
      </c>
      <c r="B5" s="65">
        <f>ROUND((Energy!$P$84),4)</f>
        <v>15157323.9354</v>
      </c>
      <c r="C5" s="68">
        <f>ROUND((Load!$J$14),4)</f>
        <v>34080.072999999997</v>
      </c>
      <c r="D5" s="101">
        <v>0</v>
      </c>
      <c r="E5" s="113"/>
      <c r="F5" s="72" t="s">
        <v>98</v>
      </c>
      <c r="G5" s="72"/>
      <c r="I5" s="348"/>
      <c r="J5" s="348"/>
    </row>
    <row r="6" spans="1:14" ht="13" x14ac:dyDescent="0.3">
      <c r="A6" s="70" t="s">
        <v>99</v>
      </c>
      <c r="B6" s="65">
        <f>ROUND((Energy!$K$84),4)</f>
        <v>211246783.87819999</v>
      </c>
      <c r="C6" s="68">
        <f>ROUND((Load!$C$14),4)</f>
        <v>507910.98930000002</v>
      </c>
      <c r="D6" s="101">
        <v>0</v>
      </c>
      <c r="E6" s="113"/>
      <c r="F6" s="72">
        <f>ROUND((B6*1.035),4)</f>
        <v>218640421.31389999</v>
      </c>
      <c r="G6" s="72"/>
      <c r="H6" s="69"/>
      <c r="I6" s="348"/>
      <c r="J6" s="348"/>
    </row>
    <row r="7" spans="1:14" ht="13" x14ac:dyDescent="0.3">
      <c r="A7" s="64" t="s">
        <v>49</v>
      </c>
      <c r="B7" s="65">
        <f>ROUND((Energy!$L$84),4)</f>
        <v>35092546.975000001</v>
      </c>
      <c r="C7" s="68">
        <f>ROUND((Load!$D$14),4)</f>
        <v>70126.589000000007</v>
      </c>
      <c r="D7" s="101">
        <v>0</v>
      </c>
      <c r="E7" s="113"/>
      <c r="F7" s="72"/>
      <c r="G7" s="72"/>
      <c r="I7" s="348"/>
      <c r="J7" s="348"/>
      <c r="K7" s="69"/>
      <c r="L7" s="69"/>
    </row>
    <row r="8" spans="1:14" ht="13" x14ac:dyDescent="0.3">
      <c r="A8" s="64" t="s">
        <v>50</v>
      </c>
      <c r="B8" s="65">
        <f>ROUND((Energy!$M$84),4)</f>
        <v>7307481.5936000003</v>
      </c>
      <c r="C8" s="68">
        <f>ROUND((Load!$E$14),4)</f>
        <v>20391.435300000001</v>
      </c>
      <c r="D8" s="101">
        <v>1.270590326270077E-2</v>
      </c>
      <c r="F8" s="63"/>
      <c r="I8" s="348"/>
      <c r="J8" s="348"/>
      <c r="L8" s="69"/>
    </row>
    <row r="9" spans="1:14" x14ac:dyDescent="0.25">
      <c r="A9" s="64" t="s">
        <v>51</v>
      </c>
      <c r="B9" s="65">
        <f>ROUND((Energy!$N$84),4)</f>
        <v>4173586.84</v>
      </c>
      <c r="C9" s="66"/>
      <c r="D9" s="101">
        <v>1</v>
      </c>
      <c r="F9" s="109"/>
      <c r="G9" s="48"/>
      <c r="I9" s="348"/>
      <c r="J9" s="348"/>
      <c r="L9" s="69"/>
    </row>
    <row r="10" spans="1:14" x14ac:dyDescent="0.25">
      <c r="A10" s="70" t="s">
        <v>76</v>
      </c>
      <c r="B10" s="65">
        <f>ROUND((ED!C14),4)</f>
        <v>19053029.030000001</v>
      </c>
      <c r="C10" s="68">
        <f>ROUND((ED!$B$14),4)</f>
        <v>43316.19</v>
      </c>
      <c r="D10" s="67">
        <v>0</v>
      </c>
      <c r="F10" s="109"/>
      <c r="G10" s="48"/>
      <c r="I10" s="348"/>
      <c r="J10" s="348"/>
      <c r="L10" s="69"/>
    </row>
    <row r="11" spans="1:14" ht="13" x14ac:dyDescent="0.3">
      <c r="A11" s="357" t="s">
        <v>102</v>
      </c>
      <c r="B11" s="71">
        <f>ROUND((SUM(B2:B10)),4)</f>
        <v>1747630845.5388999</v>
      </c>
      <c r="C11" s="71">
        <f>ROUND((SUM(C2:C10)),4)</f>
        <v>2176451.7075</v>
      </c>
      <c r="D11" s="71"/>
      <c r="F11" s="109"/>
      <c r="G11" s="48"/>
      <c r="I11" s="348"/>
      <c r="J11" s="348"/>
    </row>
    <row r="12" spans="1:14" x14ac:dyDescent="0.25">
      <c r="B12" s="72"/>
      <c r="C12" s="72"/>
      <c r="I12" s="348"/>
      <c r="J12" s="348"/>
      <c r="L12" s="69"/>
    </row>
    <row r="14" spans="1:14" ht="13" x14ac:dyDescent="0.3">
      <c r="A14" s="62" t="s">
        <v>103</v>
      </c>
      <c r="B14" s="458" t="s">
        <v>126</v>
      </c>
      <c r="C14" s="458" t="s">
        <v>127</v>
      </c>
      <c r="D14" s="73"/>
      <c r="E14" s="74"/>
      <c r="F14" s="75"/>
    </row>
    <row r="15" spans="1:14" ht="13" x14ac:dyDescent="0.3">
      <c r="A15" s="76" t="s">
        <v>106</v>
      </c>
      <c r="B15" s="459"/>
      <c r="C15" s="460"/>
      <c r="D15" s="461">
        <v>2020</v>
      </c>
      <c r="E15" s="462"/>
      <c r="F15" s="463"/>
    </row>
    <row r="16" spans="1:14" x14ac:dyDescent="0.25">
      <c r="A16" s="64" t="str">
        <f>A2</f>
        <v xml:space="preserve">Residential </v>
      </c>
      <c r="B16" s="65">
        <f>+B2</f>
        <v>660769294.21730006</v>
      </c>
      <c r="C16" s="92">
        <v>1.0349999999999999</v>
      </c>
      <c r="D16" s="65">
        <f t="shared" ref="D16:D22" si="0">ROUND((B16*C16),4)</f>
        <v>683896219.51489997</v>
      </c>
      <c r="E16" s="93">
        <v>9.3899999999999997E-2</v>
      </c>
      <c r="F16" s="78">
        <f t="shared" ref="F16:F22" si="1">ROUND((D16*E16),2)</f>
        <v>64217855.009999998</v>
      </c>
      <c r="G16" s="109"/>
      <c r="H16" s="109"/>
      <c r="J16" s="105"/>
      <c r="L16" s="109"/>
      <c r="N16" s="109"/>
    </row>
    <row r="17" spans="1:14" x14ac:dyDescent="0.25">
      <c r="A17" s="64" t="str">
        <f>A3</f>
        <v>GS&lt;50 kW</v>
      </c>
      <c r="B17" s="65">
        <f>+B3</f>
        <v>228934711.40130001</v>
      </c>
      <c r="C17" s="77">
        <f t="shared" ref="C17:C22" si="2">$C$16</f>
        <v>1.0349999999999999</v>
      </c>
      <c r="D17" s="65">
        <f t="shared" si="0"/>
        <v>236947426.3003</v>
      </c>
      <c r="E17" s="106">
        <f>E16</f>
        <v>9.3899999999999997E-2</v>
      </c>
      <c r="F17" s="78">
        <f t="shared" si="1"/>
        <v>22249363.329999998</v>
      </c>
      <c r="J17" s="105"/>
      <c r="L17" s="109"/>
      <c r="N17" s="109"/>
    </row>
    <row r="18" spans="1:14" x14ac:dyDescent="0.25">
      <c r="A18" s="64" t="str">
        <f>A4</f>
        <v>GS&gt;50 kW</v>
      </c>
      <c r="B18" s="65">
        <f>+B4+B6</f>
        <v>777142871.54629993</v>
      </c>
      <c r="C18" s="77">
        <f t="shared" si="2"/>
        <v>1.0349999999999999</v>
      </c>
      <c r="D18" s="65">
        <f t="shared" si="0"/>
        <v>804342872.05040002</v>
      </c>
      <c r="E18" s="106">
        <v>9.154803052120189E-2</v>
      </c>
      <c r="F18" s="78">
        <f t="shared" si="1"/>
        <v>73636005.799999997</v>
      </c>
      <c r="J18" s="105"/>
      <c r="L18" s="109"/>
      <c r="N18" s="109"/>
    </row>
    <row r="19" spans="1:14" x14ac:dyDescent="0.25">
      <c r="A19" s="64" t="str">
        <f>A7</f>
        <v>Large User</v>
      </c>
      <c r="B19" s="65">
        <f>+B7</f>
        <v>35092546.975000001</v>
      </c>
      <c r="C19" s="92">
        <v>1.0053000000000001</v>
      </c>
      <c r="D19" s="65">
        <f t="shared" si="0"/>
        <v>35278537.473999999</v>
      </c>
      <c r="E19" s="106">
        <v>2.3857349271240804E-2</v>
      </c>
      <c r="F19" s="78">
        <f t="shared" si="1"/>
        <v>841652.39</v>
      </c>
      <c r="J19" s="104"/>
      <c r="L19" s="109"/>
      <c r="N19" s="109"/>
    </row>
    <row r="20" spans="1:14" x14ac:dyDescent="0.25">
      <c r="A20" s="64" t="str">
        <f>A8</f>
        <v xml:space="preserve">Streetlights </v>
      </c>
      <c r="B20" s="65">
        <f>+B8</f>
        <v>7307481.5936000003</v>
      </c>
      <c r="C20" s="77">
        <f t="shared" si="2"/>
        <v>1.0349999999999999</v>
      </c>
      <c r="D20" s="65">
        <f t="shared" si="0"/>
        <v>7563243.4494000003</v>
      </c>
      <c r="E20" s="106">
        <f>+E16</f>
        <v>9.3899999999999997E-2</v>
      </c>
      <c r="F20" s="78">
        <f t="shared" si="1"/>
        <v>710188.56</v>
      </c>
      <c r="L20" s="109"/>
      <c r="N20" s="109"/>
    </row>
    <row r="21" spans="1:14" x14ac:dyDescent="0.25">
      <c r="A21" s="64" t="str">
        <f>A9</f>
        <v>USL</v>
      </c>
      <c r="B21" s="65">
        <f>B9*D9</f>
        <v>4173586.84</v>
      </c>
      <c r="C21" s="77">
        <f t="shared" si="2"/>
        <v>1.0349999999999999</v>
      </c>
      <c r="D21" s="65">
        <f t="shared" si="0"/>
        <v>4319662.3794</v>
      </c>
      <c r="E21" s="106">
        <f>E16</f>
        <v>9.3899999999999997E-2</v>
      </c>
      <c r="F21" s="78">
        <f t="shared" si="1"/>
        <v>405616.3</v>
      </c>
      <c r="L21" s="109"/>
      <c r="N21" s="109"/>
    </row>
    <row r="22" spans="1:14" x14ac:dyDescent="0.25">
      <c r="A22" s="64" t="str">
        <f>A10</f>
        <v>Embedded Distributor</v>
      </c>
      <c r="B22" s="65">
        <f>B10*D10</f>
        <v>0</v>
      </c>
      <c r="C22" s="77">
        <f t="shared" si="2"/>
        <v>1.0349999999999999</v>
      </c>
      <c r="D22" s="65">
        <f t="shared" si="0"/>
        <v>0</v>
      </c>
      <c r="E22" s="106">
        <f>E16</f>
        <v>9.3899999999999997E-2</v>
      </c>
      <c r="F22" s="78">
        <f t="shared" si="1"/>
        <v>0</v>
      </c>
      <c r="L22" s="109"/>
      <c r="N22" s="109"/>
    </row>
    <row r="23" spans="1:14" ht="13" x14ac:dyDescent="0.3">
      <c r="A23" s="357" t="s">
        <v>102</v>
      </c>
      <c r="B23" s="71">
        <f>SUM(B16:B21)</f>
        <v>1713420492.5734999</v>
      </c>
      <c r="C23" s="76"/>
      <c r="D23" s="71">
        <f>ROUND((SUM(D16:D21)),4)</f>
        <v>1772347961.1684</v>
      </c>
      <c r="E23" s="79"/>
      <c r="F23" s="80">
        <f>ROUND((SUM(F16:F21)),2)</f>
        <v>162060681.38999999</v>
      </c>
      <c r="L23" s="109"/>
    </row>
    <row r="24" spans="1:14" x14ac:dyDescent="0.25">
      <c r="D24" s="69"/>
    </row>
    <row r="25" spans="1:14" ht="13" x14ac:dyDescent="0.3">
      <c r="A25" s="85" t="s">
        <v>108</v>
      </c>
      <c r="B25" s="86"/>
      <c r="C25" s="429" t="s">
        <v>109</v>
      </c>
      <c r="D25" s="87"/>
      <c r="E25" s="88"/>
      <c r="F25" s="86"/>
    </row>
    <row r="26" spans="1:14" ht="13" x14ac:dyDescent="0.3">
      <c r="A26" s="76" t="s">
        <v>110</v>
      </c>
      <c r="B26" s="428"/>
      <c r="C26" s="427" t="s">
        <v>111</v>
      </c>
      <c r="D26" s="453">
        <f>$D$15</f>
        <v>2020</v>
      </c>
      <c r="E26" s="454"/>
      <c r="F26" s="457"/>
      <c r="L26" t="s">
        <v>128</v>
      </c>
    </row>
    <row r="27" spans="1:14" x14ac:dyDescent="0.25">
      <c r="A27" s="64" t="str">
        <f t="shared" ref="A27:A33" si="3">+A16</f>
        <v xml:space="preserve">Residential </v>
      </c>
      <c r="B27" s="65"/>
      <c r="C27" s="77" t="s">
        <v>82</v>
      </c>
      <c r="D27" s="65">
        <f>D16</f>
        <v>683896219.51489997</v>
      </c>
      <c r="E27" s="89">
        <f>ROUND((L28),4)</f>
        <v>6.3E-3</v>
      </c>
      <c r="F27" s="78">
        <f t="shared" ref="F27:F33" si="4">ROUND((D27*E27),2)</f>
        <v>4308546.18</v>
      </c>
      <c r="H27" s="48"/>
    </row>
    <row r="28" spans="1:14" x14ac:dyDescent="0.25">
      <c r="A28" s="64" t="str">
        <f t="shared" si="3"/>
        <v>GS&lt;50 kW</v>
      </c>
      <c r="B28" s="65"/>
      <c r="C28" s="77" t="s">
        <v>82</v>
      </c>
      <c r="D28" s="65">
        <f>D17</f>
        <v>236947426.3003</v>
      </c>
      <c r="E28" s="89">
        <f>ROUND((L29),4)</f>
        <v>5.4999999999999997E-3</v>
      </c>
      <c r="F28" s="78">
        <f t="shared" si="4"/>
        <v>1303210.8400000001</v>
      </c>
      <c r="L28">
        <v>6.3332540846919357E-3</v>
      </c>
    </row>
    <row r="29" spans="1:14" x14ac:dyDescent="0.25">
      <c r="A29" s="64" t="str">
        <f t="shared" si="3"/>
        <v>GS&gt;50 kW</v>
      </c>
      <c r="B29" s="65"/>
      <c r="C29" s="77" t="s">
        <v>81</v>
      </c>
      <c r="D29" s="65">
        <f>+C4+C5+C6</f>
        <v>2042617.4932000001</v>
      </c>
      <c r="E29" s="89">
        <f>ROUND((L30),4)</f>
        <v>2.9203000000000001</v>
      </c>
      <c r="F29" s="78">
        <f t="shared" si="4"/>
        <v>5965055.8700000001</v>
      </c>
      <c r="H29" s="48" t="s">
        <v>112</v>
      </c>
      <c r="L29">
        <v>5.4745077671234368E-3</v>
      </c>
    </row>
    <row r="30" spans="1:14" x14ac:dyDescent="0.25">
      <c r="A30" s="64" t="str">
        <f t="shared" si="3"/>
        <v>Large User</v>
      </c>
      <c r="B30" s="65"/>
      <c r="C30" s="77" t="s">
        <v>81</v>
      </c>
      <c r="D30" s="65">
        <f>C7</f>
        <v>70126.589000000007</v>
      </c>
      <c r="E30" s="89">
        <f>ROUND((L31),4)</f>
        <v>2.7446999999999999</v>
      </c>
      <c r="F30" s="78">
        <f t="shared" si="4"/>
        <v>192476.45</v>
      </c>
      <c r="L30">
        <v>2.92027419237575</v>
      </c>
    </row>
    <row r="31" spans="1:14" x14ac:dyDescent="0.25">
      <c r="A31" s="64" t="str">
        <f t="shared" si="3"/>
        <v xml:space="preserve">Streetlights </v>
      </c>
      <c r="B31" s="65"/>
      <c r="C31" s="77" t="s">
        <v>81</v>
      </c>
      <c r="D31" s="65">
        <f>C8</f>
        <v>20391.435300000001</v>
      </c>
      <c r="E31" s="89">
        <f>ROUND((L33),4)</f>
        <v>1.7758</v>
      </c>
      <c r="F31" s="78">
        <f t="shared" si="4"/>
        <v>36211.11</v>
      </c>
      <c r="L31">
        <v>2.7446606379816152</v>
      </c>
    </row>
    <row r="32" spans="1:14" x14ac:dyDescent="0.25">
      <c r="A32" s="64" t="str">
        <f t="shared" si="3"/>
        <v>USL</v>
      </c>
      <c r="B32" s="65"/>
      <c r="C32" s="77" t="s">
        <v>82</v>
      </c>
      <c r="D32" s="65">
        <f>D21</f>
        <v>4319662.3794</v>
      </c>
      <c r="E32" s="89">
        <f>ROUND((L32),4)</f>
        <v>5.4999999999999997E-3</v>
      </c>
      <c r="F32" s="78">
        <f t="shared" si="4"/>
        <v>23758.14</v>
      </c>
      <c r="L32">
        <v>5.4745071603860603E-3</v>
      </c>
    </row>
    <row r="33" spans="1:12" x14ac:dyDescent="0.25">
      <c r="A33" s="90" t="str">
        <f t="shared" si="3"/>
        <v>Embedded Distributor</v>
      </c>
      <c r="B33" s="91"/>
      <c r="C33" s="92" t="s">
        <v>81</v>
      </c>
      <c r="D33" s="91">
        <f>+C10</f>
        <v>43316.19</v>
      </c>
      <c r="E33" s="93">
        <f>ROUND((L34),4)</f>
        <v>2.7534000000000001</v>
      </c>
      <c r="F33" s="94">
        <f t="shared" si="4"/>
        <v>119266.8</v>
      </c>
      <c r="L33">
        <v>1.7757799348034904</v>
      </c>
    </row>
    <row r="34" spans="1:12" ht="13" x14ac:dyDescent="0.3">
      <c r="A34" s="357" t="s">
        <v>102</v>
      </c>
      <c r="B34" s="71"/>
      <c r="C34" s="76"/>
      <c r="D34" s="71"/>
      <c r="E34" s="79"/>
      <c r="F34" s="80">
        <f>ROUND((SUM(F27:F33)),2)</f>
        <v>11948525.390000001</v>
      </c>
      <c r="L34">
        <v>2.7533551604631348</v>
      </c>
    </row>
    <row r="36" spans="1:12" ht="13" x14ac:dyDescent="0.3">
      <c r="A36" s="85" t="s">
        <v>113</v>
      </c>
      <c r="B36" s="86"/>
      <c r="C36" s="95" t="s">
        <v>109</v>
      </c>
      <c r="D36" s="87"/>
      <c r="E36" s="88"/>
      <c r="F36" s="86"/>
      <c r="L36" t="s">
        <v>129</v>
      </c>
    </row>
    <row r="37" spans="1:12" ht="13" x14ac:dyDescent="0.3">
      <c r="A37" s="76" t="s">
        <v>110</v>
      </c>
      <c r="B37" s="428"/>
      <c r="C37" s="96" t="s">
        <v>111</v>
      </c>
      <c r="D37" s="453">
        <f>$D$15</f>
        <v>2020</v>
      </c>
      <c r="E37" s="454"/>
      <c r="F37" s="457"/>
    </row>
    <row r="38" spans="1:12" x14ac:dyDescent="0.25">
      <c r="A38" s="64" t="str">
        <f t="shared" ref="A38:A44" si="5">+A16</f>
        <v xml:space="preserve">Residential </v>
      </c>
      <c r="B38" s="65"/>
      <c r="C38" s="77" t="str">
        <f t="shared" ref="C38:D43" si="6">C27</f>
        <v>kWh</v>
      </c>
      <c r="D38" s="65">
        <f t="shared" si="6"/>
        <v>683896219.51489997</v>
      </c>
      <c r="E38" s="106">
        <f>ROUND((L38),4)</f>
        <v>1.6999999999999999E-3</v>
      </c>
      <c r="F38" s="78">
        <f t="shared" ref="F38:F44" si="7">ROUND((D38*E38),2)</f>
        <v>1162623.57</v>
      </c>
      <c r="L38">
        <v>1.7359426798059237E-3</v>
      </c>
    </row>
    <row r="39" spans="1:12" x14ac:dyDescent="0.25">
      <c r="A39" s="64" t="str">
        <f t="shared" si="5"/>
        <v>GS&lt;50 kW</v>
      </c>
      <c r="B39" s="65"/>
      <c r="C39" s="77" t="str">
        <f t="shared" si="6"/>
        <v>kWh</v>
      </c>
      <c r="D39" s="65">
        <f t="shared" si="6"/>
        <v>236947426.3003</v>
      </c>
      <c r="E39" s="89">
        <f>ROUND((L39),4)</f>
        <v>1.5E-3</v>
      </c>
      <c r="F39" s="78">
        <f t="shared" si="7"/>
        <v>355421.14</v>
      </c>
      <c r="L39">
        <v>1.5317141081853793E-3</v>
      </c>
    </row>
    <row r="40" spans="1:12" x14ac:dyDescent="0.25">
      <c r="A40" s="64" t="str">
        <f t="shared" si="5"/>
        <v>GS&gt;50 kW</v>
      </c>
      <c r="B40" s="65"/>
      <c r="C40" s="77" t="str">
        <f t="shared" si="6"/>
        <v>kW</v>
      </c>
      <c r="D40" s="65">
        <f>D29</f>
        <v>2042617.4932000001</v>
      </c>
      <c r="E40" s="89">
        <f>ROUND((L40),4)</f>
        <v>0.86280000000000001</v>
      </c>
      <c r="F40" s="78">
        <f t="shared" si="7"/>
        <v>1762370.37</v>
      </c>
      <c r="H40" s="48" t="s">
        <v>112</v>
      </c>
      <c r="L40">
        <v>0.86276351025435805</v>
      </c>
    </row>
    <row r="41" spans="1:12" x14ac:dyDescent="0.25">
      <c r="A41" s="64" t="str">
        <f t="shared" si="5"/>
        <v>Large User</v>
      </c>
      <c r="B41" s="65"/>
      <c r="C41" s="77" t="str">
        <f t="shared" si="6"/>
        <v>kW</v>
      </c>
      <c r="D41" s="65">
        <f t="shared" si="6"/>
        <v>70126.589000000007</v>
      </c>
      <c r="E41" s="89">
        <f>ROUND((L41),4)</f>
        <v>0.81110000000000004</v>
      </c>
      <c r="F41" s="78">
        <f t="shared" si="7"/>
        <v>56879.68</v>
      </c>
      <c r="L41">
        <v>0.81109365513467402</v>
      </c>
    </row>
    <row r="42" spans="1:12" x14ac:dyDescent="0.25">
      <c r="A42" s="64" t="str">
        <f t="shared" si="5"/>
        <v xml:space="preserve">Streetlights </v>
      </c>
      <c r="B42" s="65"/>
      <c r="C42" s="77" t="str">
        <f t="shared" si="6"/>
        <v>kW</v>
      </c>
      <c r="D42" s="65">
        <f t="shared" si="6"/>
        <v>20391.435300000001</v>
      </c>
      <c r="E42" s="89">
        <f>ROUND((L43),4)</f>
        <v>0.5252</v>
      </c>
      <c r="F42" s="78">
        <f t="shared" si="7"/>
        <v>10709.58</v>
      </c>
      <c r="L42">
        <v>1.5317140071850846E-3</v>
      </c>
    </row>
    <row r="43" spans="1:12" x14ac:dyDescent="0.25">
      <c r="A43" s="64" t="str">
        <f t="shared" si="5"/>
        <v>USL</v>
      </c>
      <c r="B43" s="65"/>
      <c r="C43" s="77" t="str">
        <f t="shared" si="6"/>
        <v>kWh</v>
      </c>
      <c r="D43" s="65">
        <f t="shared" si="6"/>
        <v>4319662.3794</v>
      </c>
      <c r="E43" s="89">
        <f>ROUND((L42),4)</f>
        <v>1.5E-3</v>
      </c>
      <c r="F43" s="78">
        <f t="shared" si="7"/>
        <v>6479.49</v>
      </c>
      <c r="L43">
        <v>0.52517394886473612</v>
      </c>
    </row>
    <row r="44" spans="1:12" x14ac:dyDescent="0.25">
      <c r="A44" s="90" t="str">
        <f t="shared" si="5"/>
        <v>Embedded Distributor</v>
      </c>
      <c r="B44" s="91"/>
      <c r="C44" s="92" t="s">
        <v>81</v>
      </c>
      <c r="D44" s="91">
        <f>D33</f>
        <v>43316.19</v>
      </c>
      <c r="E44" s="93">
        <f>ROUND((L44),4)</f>
        <v>0.81389999999999996</v>
      </c>
      <c r="F44" s="94">
        <f t="shared" si="7"/>
        <v>35255.050000000003</v>
      </c>
      <c r="L44">
        <v>0.81385076120489119</v>
      </c>
    </row>
    <row r="45" spans="1:12" ht="13" x14ac:dyDescent="0.3">
      <c r="A45" s="357" t="s">
        <v>102</v>
      </c>
      <c r="B45" s="71"/>
      <c r="C45" s="76"/>
      <c r="D45" s="71"/>
      <c r="E45" s="79"/>
      <c r="F45" s="80">
        <f>ROUND((SUM(F38:F44)),2)</f>
        <v>3389738.88</v>
      </c>
    </row>
    <row r="47" spans="1:12" ht="13" x14ac:dyDescent="0.3">
      <c r="A47" s="85" t="s">
        <v>114</v>
      </c>
      <c r="B47" s="86"/>
      <c r="C47" s="429" t="s">
        <v>109</v>
      </c>
      <c r="D47" s="87"/>
      <c r="E47" s="88"/>
      <c r="F47" s="86"/>
    </row>
    <row r="48" spans="1:12" ht="13" x14ac:dyDescent="0.3">
      <c r="A48" s="76" t="s">
        <v>110</v>
      </c>
      <c r="B48" s="428"/>
      <c r="C48" s="427" t="s">
        <v>111</v>
      </c>
      <c r="D48" s="453">
        <f>$D$15</f>
        <v>2020</v>
      </c>
      <c r="E48" s="454"/>
      <c r="F48" s="455"/>
    </row>
    <row r="49" spans="1:12" x14ac:dyDescent="0.25">
      <c r="A49" s="64" t="str">
        <f t="shared" ref="A49:A55" si="8">+A16</f>
        <v xml:space="preserve">Residential </v>
      </c>
      <c r="B49" s="65"/>
      <c r="C49" s="77" t="s">
        <v>82</v>
      </c>
      <c r="D49" s="65">
        <f>D16</f>
        <v>683896219.51489997</v>
      </c>
      <c r="E49" s="89">
        <v>3.0000000000000001E-3</v>
      </c>
      <c r="F49" s="78">
        <f t="shared" ref="F49:F55" si="9">ROUND((D49*E49),2)</f>
        <v>2051688.66</v>
      </c>
      <c r="L49" s="109">
        <f t="shared" ref="L49:L54" si="10">+F49+F71</f>
        <v>2393636.77</v>
      </c>
    </row>
    <row r="50" spans="1:12" x14ac:dyDescent="0.25">
      <c r="A50" s="64" t="str">
        <f t="shared" si="8"/>
        <v>GS&lt;50 kW</v>
      </c>
      <c r="B50" s="65"/>
      <c r="C50" s="77" t="s">
        <v>82</v>
      </c>
      <c r="D50" s="65">
        <f>D17</f>
        <v>236947426.3003</v>
      </c>
      <c r="E50" s="89">
        <f>+E49</f>
        <v>3.0000000000000001E-3</v>
      </c>
      <c r="F50" s="78">
        <f t="shared" si="9"/>
        <v>710842.28</v>
      </c>
      <c r="L50" s="109">
        <f t="shared" si="10"/>
        <v>829315.99</v>
      </c>
    </row>
    <row r="51" spans="1:12" x14ac:dyDescent="0.25">
      <c r="A51" s="64" t="str">
        <f t="shared" si="8"/>
        <v>GS&gt;50 kW</v>
      </c>
      <c r="B51" s="65"/>
      <c r="C51" s="77" t="s">
        <v>82</v>
      </c>
      <c r="D51" s="65">
        <f>+D18</f>
        <v>804342872.05040002</v>
      </c>
      <c r="E51" s="89">
        <f>+E49</f>
        <v>3.0000000000000001E-3</v>
      </c>
      <c r="F51" s="78">
        <f t="shared" si="9"/>
        <v>2413028.62</v>
      </c>
      <c r="H51" s="48" t="s">
        <v>107</v>
      </c>
      <c r="L51" s="109">
        <f t="shared" si="10"/>
        <v>2815200.06</v>
      </c>
    </row>
    <row r="52" spans="1:12" x14ac:dyDescent="0.25">
      <c r="A52" s="64" t="str">
        <f t="shared" si="8"/>
        <v>Large User</v>
      </c>
      <c r="B52" s="65"/>
      <c r="C52" s="77" t="s">
        <v>82</v>
      </c>
      <c r="D52" s="65">
        <f>D19</f>
        <v>35278537.473999999</v>
      </c>
      <c r="E52" s="89">
        <f>+E49</f>
        <v>3.0000000000000001E-3</v>
      </c>
      <c r="F52" s="78">
        <f t="shared" si="9"/>
        <v>105835.61</v>
      </c>
      <c r="L52" s="109">
        <f t="shared" si="10"/>
        <v>123474.88</v>
      </c>
    </row>
    <row r="53" spans="1:12" x14ac:dyDescent="0.25">
      <c r="A53" s="64" t="str">
        <f t="shared" si="8"/>
        <v xml:space="preserve">Streetlights </v>
      </c>
      <c r="B53" s="65"/>
      <c r="C53" s="77" t="s">
        <v>82</v>
      </c>
      <c r="D53" s="65">
        <f>D20</f>
        <v>7563243.4494000003</v>
      </c>
      <c r="E53" s="89">
        <f>+E49</f>
        <v>3.0000000000000001E-3</v>
      </c>
      <c r="F53" s="78">
        <f t="shared" si="9"/>
        <v>22689.73</v>
      </c>
      <c r="L53" s="109">
        <f t="shared" si="10"/>
        <v>26471.35</v>
      </c>
    </row>
    <row r="54" spans="1:12" x14ac:dyDescent="0.25">
      <c r="A54" s="64" t="str">
        <f t="shared" si="8"/>
        <v>USL</v>
      </c>
      <c r="B54" s="65"/>
      <c r="C54" s="77" t="s">
        <v>82</v>
      </c>
      <c r="D54" s="65">
        <f>D21</f>
        <v>4319662.3794</v>
      </c>
      <c r="E54" s="89">
        <f>+E49</f>
        <v>3.0000000000000001E-3</v>
      </c>
      <c r="F54" s="78">
        <f t="shared" si="9"/>
        <v>12958.99</v>
      </c>
      <c r="L54" s="109">
        <f t="shared" si="10"/>
        <v>15118.82</v>
      </c>
    </row>
    <row r="55" spans="1:12" x14ac:dyDescent="0.25">
      <c r="A55" s="70" t="str">
        <f t="shared" si="8"/>
        <v>Embedded Distributor</v>
      </c>
      <c r="B55" s="65"/>
      <c r="C55" s="77" t="s">
        <v>82</v>
      </c>
      <c r="D55" s="65">
        <f>D22</f>
        <v>0</v>
      </c>
      <c r="E55" s="89">
        <f>+E49</f>
        <v>3.0000000000000001E-3</v>
      </c>
      <c r="F55" s="78">
        <f t="shared" si="9"/>
        <v>0</v>
      </c>
    </row>
    <row r="56" spans="1:12" ht="13" x14ac:dyDescent="0.3">
      <c r="A56" s="357" t="s">
        <v>102</v>
      </c>
      <c r="B56" s="71"/>
      <c r="C56" s="76"/>
      <c r="D56" s="71">
        <f>SUM(D49:D55)</f>
        <v>1772347961.1684</v>
      </c>
      <c r="E56" s="79"/>
      <c r="F56" s="80">
        <f>SUM(F49:F55)</f>
        <v>5317043.8900000015</v>
      </c>
    </row>
    <row r="58" spans="1:12" ht="13" x14ac:dyDescent="0.3">
      <c r="A58" s="85" t="s">
        <v>115</v>
      </c>
      <c r="B58" s="86"/>
      <c r="C58" s="429" t="s">
        <v>109</v>
      </c>
      <c r="D58" s="87"/>
      <c r="E58" s="88"/>
      <c r="F58" s="86"/>
    </row>
    <row r="59" spans="1:12" ht="13" x14ac:dyDescent="0.3">
      <c r="A59" s="76" t="s">
        <v>110</v>
      </c>
      <c r="B59" s="428"/>
      <c r="C59" s="427" t="s">
        <v>111</v>
      </c>
      <c r="D59" s="453">
        <f>$D$15</f>
        <v>2020</v>
      </c>
      <c r="E59" s="454"/>
      <c r="F59" s="455"/>
    </row>
    <row r="60" spans="1:12" x14ac:dyDescent="0.25">
      <c r="A60" s="64" t="str">
        <f t="shared" ref="A60:A66" si="11">+A16</f>
        <v xml:space="preserve">Residential </v>
      </c>
      <c r="B60" s="65"/>
      <c r="C60" s="77" t="s">
        <v>82</v>
      </c>
      <c r="D60" s="65">
        <f>+D49</f>
        <v>683896219.51489997</v>
      </c>
      <c r="E60" s="89">
        <v>4.0000000000000002E-4</v>
      </c>
      <c r="F60" s="78">
        <f t="shared" ref="F60:F66" si="12">ROUND((D60*E60),2)</f>
        <v>273558.49</v>
      </c>
    </row>
    <row r="61" spans="1:12" x14ac:dyDescent="0.25">
      <c r="A61" s="64" t="str">
        <f t="shared" si="11"/>
        <v>GS&lt;50 kW</v>
      </c>
      <c r="B61" s="65"/>
      <c r="C61" s="77" t="s">
        <v>82</v>
      </c>
      <c r="D61" s="65">
        <f>+D50</f>
        <v>236947426.3003</v>
      </c>
      <c r="E61" s="89">
        <f>+E60</f>
        <v>4.0000000000000002E-4</v>
      </c>
      <c r="F61" s="78">
        <f t="shared" si="12"/>
        <v>94778.97</v>
      </c>
    </row>
    <row r="62" spans="1:12" x14ac:dyDescent="0.25">
      <c r="A62" s="64" t="str">
        <f t="shared" si="11"/>
        <v>GS&gt;50 kW</v>
      </c>
      <c r="B62" s="65"/>
      <c r="C62" s="77" t="s">
        <v>82</v>
      </c>
      <c r="D62" s="65">
        <f>+D51-F6</f>
        <v>585702450.73650002</v>
      </c>
      <c r="E62" s="89">
        <f>+E60</f>
        <v>4.0000000000000002E-4</v>
      </c>
      <c r="F62" s="78">
        <f t="shared" si="12"/>
        <v>234280.98</v>
      </c>
      <c r="H62" s="48" t="s">
        <v>107</v>
      </c>
    </row>
    <row r="63" spans="1:12" x14ac:dyDescent="0.25">
      <c r="A63" s="64" t="str">
        <f t="shared" si="11"/>
        <v>Large User</v>
      </c>
      <c r="B63" s="65"/>
      <c r="C63" s="77" t="s">
        <v>82</v>
      </c>
      <c r="D63" s="65">
        <v>0</v>
      </c>
      <c r="E63" s="89">
        <f>+E60</f>
        <v>4.0000000000000002E-4</v>
      </c>
      <c r="F63" s="78">
        <f t="shared" si="12"/>
        <v>0</v>
      </c>
      <c r="H63" t="s">
        <v>116</v>
      </c>
    </row>
    <row r="64" spans="1:12" x14ac:dyDescent="0.25">
      <c r="A64" s="64" t="str">
        <f t="shared" si="11"/>
        <v xml:space="preserve">Streetlights </v>
      </c>
      <c r="B64" s="65"/>
      <c r="C64" s="77" t="s">
        <v>82</v>
      </c>
      <c r="D64" s="65">
        <f>+D53</f>
        <v>7563243.4494000003</v>
      </c>
      <c r="E64" s="89">
        <f>+E60</f>
        <v>4.0000000000000002E-4</v>
      </c>
      <c r="F64" s="78">
        <f t="shared" si="12"/>
        <v>3025.3</v>
      </c>
    </row>
    <row r="65" spans="1:8" x14ac:dyDescent="0.25">
      <c r="A65" s="64" t="str">
        <f t="shared" si="11"/>
        <v>USL</v>
      </c>
      <c r="B65" s="65"/>
      <c r="C65" s="77" t="s">
        <v>82</v>
      </c>
      <c r="D65" s="65">
        <f>+D54</f>
        <v>4319662.3794</v>
      </c>
      <c r="E65" s="89">
        <f>+E60</f>
        <v>4.0000000000000002E-4</v>
      </c>
      <c r="F65" s="78">
        <f t="shared" si="12"/>
        <v>1727.86</v>
      </c>
    </row>
    <row r="66" spans="1:8" x14ac:dyDescent="0.25">
      <c r="A66" s="70" t="str">
        <f t="shared" si="11"/>
        <v>Embedded Distributor</v>
      </c>
      <c r="B66" s="65"/>
      <c r="C66" s="77" t="s">
        <v>82</v>
      </c>
      <c r="D66" s="65">
        <f>+D55</f>
        <v>0</v>
      </c>
      <c r="E66" s="89">
        <f>+E60</f>
        <v>4.0000000000000002E-4</v>
      </c>
      <c r="F66" s="78">
        <f t="shared" si="12"/>
        <v>0</v>
      </c>
    </row>
    <row r="67" spans="1:8" ht="13" x14ac:dyDescent="0.3">
      <c r="A67" s="357" t="s">
        <v>102</v>
      </c>
      <c r="B67" s="71"/>
      <c r="C67" s="76"/>
      <c r="D67" s="71">
        <f>SUM(D60:D66)</f>
        <v>1518429002.3805001</v>
      </c>
      <c r="E67" s="79"/>
      <c r="F67" s="80">
        <f>SUM(F60:F66)</f>
        <v>607371.6</v>
      </c>
    </row>
    <row r="69" spans="1:8" ht="13" x14ac:dyDescent="0.3">
      <c r="A69" s="85" t="s">
        <v>117</v>
      </c>
      <c r="B69" s="86"/>
      <c r="C69" s="429" t="s">
        <v>109</v>
      </c>
      <c r="D69" s="87"/>
      <c r="E69" s="88"/>
      <c r="F69" s="86"/>
    </row>
    <row r="70" spans="1:8" ht="13" x14ac:dyDescent="0.3">
      <c r="A70" s="76" t="s">
        <v>110</v>
      </c>
      <c r="B70" s="428"/>
      <c r="C70" s="427" t="s">
        <v>111</v>
      </c>
      <c r="D70" s="456">
        <f>$D$15</f>
        <v>2020</v>
      </c>
      <c r="E70" s="454"/>
      <c r="F70" s="457"/>
    </row>
    <row r="71" spans="1:8" x14ac:dyDescent="0.25">
      <c r="A71" s="64" t="str">
        <f t="shared" ref="A71:A77" si="13">+A16</f>
        <v xml:space="preserve">Residential </v>
      </c>
      <c r="B71" s="65"/>
      <c r="C71" s="77" t="s">
        <v>82</v>
      </c>
      <c r="D71" s="65">
        <f t="shared" ref="D71:D77" si="14">D49</f>
        <v>683896219.51489997</v>
      </c>
      <c r="E71" s="89">
        <v>5.0000000000000001E-4</v>
      </c>
      <c r="F71" s="78">
        <f t="shared" ref="F71:F77" si="15">ROUND((D71*E71),2)</f>
        <v>341948.11</v>
      </c>
    </row>
    <row r="72" spans="1:8" x14ac:dyDescent="0.25">
      <c r="A72" s="64" t="str">
        <f t="shared" si="13"/>
        <v>GS&lt;50 kW</v>
      </c>
      <c r="B72" s="65"/>
      <c r="C72" s="77" t="s">
        <v>82</v>
      </c>
      <c r="D72" s="65">
        <f t="shared" si="14"/>
        <v>236947426.3003</v>
      </c>
      <c r="E72" s="89">
        <f>+E71</f>
        <v>5.0000000000000001E-4</v>
      </c>
      <c r="F72" s="78">
        <f t="shared" si="15"/>
        <v>118473.71</v>
      </c>
      <c r="H72" s="48"/>
    </row>
    <row r="73" spans="1:8" x14ac:dyDescent="0.25">
      <c r="A73" s="64" t="str">
        <f t="shared" si="13"/>
        <v>GS&gt;50 kW</v>
      </c>
      <c r="B73" s="65"/>
      <c r="C73" s="77" t="s">
        <v>82</v>
      </c>
      <c r="D73" s="65">
        <f t="shared" si="14"/>
        <v>804342872.05040002</v>
      </c>
      <c r="E73" s="89">
        <f>+E71</f>
        <v>5.0000000000000001E-4</v>
      </c>
      <c r="F73" s="78">
        <f t="shared" si="15"/>
        <v>402171.44</v>
      </c>
      <c r="H73" s="48" t="s">
        <v>107</v>
      </c>
    </row>
    <row r="74" spans="1:8" x14ac:dyDescent="0.25">
      <c r="A74" s="64" t="str">
        <f t="shared" si="13"/>
        <v>Large User</v>
      </c>
      <c r="B74" s="65"/>
      <c r="C74" s="77" t="s">
        <v>82</v>
      </c>
      <c r="D74" s="65">
        <f t="shared" si="14"/>
        <v>35278537.473999999</v>
      </c>
      <c r="E74" s="89">
        <f>+E71</f>
        <v>5.0000000000000001E-4</v>
      </c>
      <c r="F74" s="78">
        <f t="shared" si="15"/>
        <v>17639.27</v>
      </c>
    </row>
    <row r="75" spans="1:8" x14ac:dyDescent="0.25">
      <c r="A75" s="64" t="str">
        <f t="shared" si="13"/>
        <v xml:space="preserve">Streetlights </v>
      </c>
      <c r="B75" s="65"/>
      <c r="C75" s="77" t="s">
        <v>82</v>
      </c>
      <c r="D75" s="65">
        <f t="shared" si="14"/>
        <v>7563243.4494000003</v>
      </c>
      <c r="E75" s="89">
        <f>+E71</f>
        <v>5.0000000000000001E-4</v>
      </c>
      <c r="F75" s="78">
        <f t="shared" si="15"/>
        <v>3781.62</v>
      </c>
    </row>
    <row r="76" spans="1:8" x14ac:dyDescent="0.25">
      <c r="A76" s="64" t="str">
        <f t="shared" si="13"/>
        <v>USL</v>
      </c>
      <c r="B76" s="65"/>
      <c r="C76" s="77" t="s">
        <v>82</v>
      </c>
      <c r="D76" s="65">
        <f t="shared" si="14"/>
        <v>4319662.3794</v>
      </c>
      <c r="E76" s="89">
        <f>+E71</f>
        <v>5.0000000000000001E-4</v>
      </c>
      <c r="F76" s="78">
        <f t="shared" si="15"/>
        <v>2159.83</v>
      </c>
    </row>
    <row r="77" spans="1:8" x14ac:dyDescent="0.25">
      <c r="A77" s="70" t="str">
        <f t="shared" si="13"/>
        <v>Embedded Distributor</v>
      </c>
      <c r="B77" s="65"/>
      <c r="C77" s="77" t="s">
        <v>82</v>
      </c>
      <c r="D77" s="65">
        <f t="shared" si="14"/>
        <v>0</v>
      </c>
      <c r="E77" s="89">
        <f>+E71</f>
        <v>5.0000000000000001E-4</v>
      </c>
      <c r="F77" s="78">
        <f t="shared" si="15"/>
        <v>0</v>
      </c>
    </row>
    <row r="78" spans="1:8" ht="13" x14ac:dyDescent="0.3">
      <c r="A78" s="357" t="s">
        <v>102</v>
      </c>
      <c r="B78" s="71"/>
      <c r="C78" s="76"/>
      <c r="D78" s="71">
        <f>SUM(D71:D77)</f>
        <v>1772347961.1684</v>
      </c>
      <c r="E78" s="79"/>
      <c r="F78" s="80">
        <f>SUM(F71:F77)</f>
        <v>886173.98</v>
      </c>
    </row>
    <row r="80" spans="1:8" ht="13" x14ac:dyDescent="0.3">
      <c r="A80" s="85" t="s">
        <v>118</v>
      </c>
      <c r="B80" s="86"/>
      <c r="C80" s="95"/>
      <c r="D80" s="87"/>
      <c r="E80" s="88"/>
      <c r="F80" s="86"/>
    </row>
    <row r="81" spans="1:6" ht="13" x14ac:dyDescent="0.3">
      <c r="A81" s="76" t="s">
        <v>110</v>
      </c>
      <c r="B81" s="428"/>
      <c r="C81" s="96"/>
      <c r="D81" s="456">
        <f>$D$15</f>
        <v>2020</v>
      </c>
      <c r="E81" s="454"/>
      <c r="F81" s="457"/>
    </row>
    <row r="82" spans="1:6" x14ac:dyDescent="0.25">
      <c r="A82" s="64" t="str">
        <f>+A16</f>
        <v xml:space="preserve">Residential </v>
      </c>
      <c r="B82" s="65"/>
      <c r="C82" s="77"/>
      <c r="D82" s="65">
        <f>ROUND((Customer!B15*12),0)</f>
        <v>1078320</v>
      </c>
      <c r="E82" s="89">
        <v>0.56999999999999995</v>
      </c>
      <c r="F82" s="78">
        <f>ROUND((D82*E82),2)</f>
        <v>614642.4</v>
      </c>
    </row>
    <row r="83" spans="1:6" x14ac:dyDescent="0.25">
      <c r="A83" s="64" t="str">
        <f>+A17</f>
        <v>GS&lt;50 kW</v>
      </c>
      <c r="B83" s="65"/>
      <c r="C83" s="77"/>
      <c r="D83" s="65">
        <f>ROUND((Customer!C15*12),0)</f>
        <v>97632</v>
      </c>
      <c r="E83" s="89">
        <f>+E82</f>
        <v>0.56999999999999995</v>
      </c>
      <c r="F83" s="78">
        <f>ROUND((D83*E83),2)</f>
        <v>55650.239999999998</v>
      </c>
    </row>
    <row r="84" spans="1:6" ht="13" x14ac:dyDescent="0.3">
      <c r="A84" s="357" t="s">
        <v>102</v>
      </c>
      <c r="B84" s="71"/>
      <c r="C84" s="76"/>
      <c r="D84" s="71">
        <f>SUM(D82:D83)</f>
        <v>1175952</v>
      </c>
      <c r="E84" s="79"/>
      <c r="F84" s="80">
        <f>SUM(F82:F83)</f>
        <v>670292.64</v>
      </c>
    </row>
    <row r="85" spans="1:6" ht="13" x14ac:dyDescent="0.3">
      <c r="A85" s="97"/>
      <c r="B85" s="430">
        <f>$D$15</f>
        <v>2020</v>
      </c>
    </row>
    <row r="86" spans="1:6" x14ac:dyDescent="0.25">
      <c r="A86" s="98" t="s">
        <v>119</v>
      </c>
      <c r="B86" s="99">
        <f>F23</f>
        <v>162060681.38999999</v>
      </c>
      <c r="E86" s="109"/>
    </row>
    <row r="87" spans="1:6" x14ac:dyDescent="0.25">
      <c r="A87" s="98" t="s">
        <v>120</v>
      </c>
      <c r="B87" s="99">
        <f>F56+F67</f>
        <v>5924415.4900000012</v>
      </c>
      <c r="E87" s="323"/>
    </row>
    <row r="88" spans="1:6" x14ac:dyDescent="0.25">
      <c r="A88" s="98" t="s">
        <v>121</v>
      </c>
      <c r="B88" s="99">
        <f>F34</f>
        <v>11948525.390000001</v>
      </c>
    </row>
    <row r="89" spans="1:6" x14ac:dyDescent="0.25">
      <c r="A89" s="98" t="s">
        <v>122</v>
      </c>
      <c r="B89" s="99">
        <f>F45</f>
        <v>3389738.88</v>
      </c>
    </row>
    <row r="90" spans="1:6" x14ac:dyDescent="0.25">
      <c r="A90" s="98" t="s">
        <v>123</v>
      </c>
      <c r="B90" s="99">
        <f>F78</f>
        <v>886173.98</v>
      </c>
      <c r="C90" s="109">
        <f>+B87+B90</f>
        <v>6810589.4700000007</v>
      </c>
    </row>
    <row r="91" spans="1:6" x14ac:dyDescent="0.25">
      <c r="A91" s="100" t="s">
        <v>124</v>
      </c>
      <c r="B91" s="99">
        <f>+F84</f>
        <v>670292.64</v>
      </c>
    </row>
    <row r="92" spans="1:6" ht="13" x14ac:dyDescent="0.3">
      <c r="A92" s="73" t="s">
        <v>102</v>
      </c>
      <c r="B92" s="80">
        <f>SUM(B86:B91)</f>
        <v>184879827.76999995</v>
      </c>
    </row>
    <row r="93" spans="1:6" ht="13" x14ac:dyDescent="0.3">
      <c r="A93" s="424"/>
      <c r="B93" s="425"/>
    </row>
    <row r="94" spans="1:6" ht="13" x14ac:dyDescent="0.3">
      <c r="A94" s="424"/>
      <c r="B94" s="425"/>
    </row>
    <row r="95" spans="1:6" ht="13" x14ac:dyDescent="0.3">
      <c r="A95" s="424"/>
      <c r="B95" s="425"/>
    </row>
    <row r="96" spans="1:6" ht="13" x14ac:dyDescent="0.3">
      <c r="A96" s="424"/>
      <c r="B96" s="425"/>
    </row>
    <row r="97" spans="1:2" ht="13" x14ac:dyDescent="0.3">
      <c r="A97" s="424"/>
      <c r="B97" s="425"/>
    </row>
    <row r="98" spans="1:2" ht="13" x14ac:dyDescent="0.3">
      <c r="A98" s="424"/>
      <c r="B98" s="425"/>
    </row>
    <row r="99" spans="1:2" ht="13" x14ac:dyDescent="0.3">
      <c r="A99" s="424"/>
      <c r="B99" s="425"/>
    </row>
    <row r="100" spans="1:2" ht="13" x14ac:dyDescent="0.3">
      <c r="A100" s="424"/>
      <c r="B100" s="425"/>
    </row>
    <row r="101" spans="1:2" ht="13" x14ac:dyDescent="0.3">
      <c r="A101" s="424"/>
      <c r="B101" s="425"/>
    </row>
    <row r="102" spans="1:2" ht="13" x14ac:dyDescent="0.3">
      <c r="A102" s="424"/>
      <c r="B102" s="425"/>
    </row>
    <row r="103" spans="1:2" ht="13" x14ac:dyDescent="0.3">
      <c r="A103" s="424"/>
      <c r="B103" s="425"/>
    </row>
    <row r="104" spans="1:2" ht="13" x14ac:dyDescent="0.3">
      <c r="A104" s="424"/>
      <c r="B104" s="425"/>
    </row>
    <row r="105" spans="1:2" ht="13" x14ac:dyDescent="0.3">
      <c r="A105" s="424"/>
      <c r="B105" s="425"/>
    </row>
    <row r="106" spans="1:2" ht="13" x14ac:dyDescent="0.3">
      <c r="A106" s="424"/>
      <c r="B106" s="425"/>
    </row>
    <row r="107" spans="1:2" ht="13" x14ac:dyDescent="0.3">
      <c r="A107" s="424"/>
      <c r="B107" s="425"/>
    </row>
    <row r="108" spans="1:2" ht="13" x14ac:dyDescent="0.3">
      <c r="A108" s="424"/>
      <c r="B108" s="425"/>
    </row>
    <row r="109" spans="1:2" ht="13" x14ac:dyDescent="0.3">
      <c r="A109" s="424"/>
      <c r="B109" s="425"/>
    </row>
    <row r="110" spans="1:2" ht="13" x14ac:dyDescent="0.3">
      <c r="A110" s="424"/>
      <c r="B110" s="425"/>
    </row>
    <row r="111" spans="1:2" ht="13" x14ac:dyDescent="0.3">
      <c r="A111" s="424"/>
      <c r="B111" s="425"/>
    </row>
    <row r="112" spans="1:2" ht="13" x14ac:dyDescent="0.3">
      <c r="A112" s="424"/>
      <c r="B112" s="425"/>
    </row>
    <row r="113" spans="1:2" ht="13" x14ac:dyDescent="0.3">
      <c r="A113" s="424"/>
      <c r="B113" s="425"/>
    </row>
    <row r="114" spans="1:2" ht="13" x14ac:dyDescent="0.3">
      <c r="A114" s="424"/>
      <c r="B114" s="425"/>
    </row>
    <row r="115" spans="1:2" ht="13" x14ac:dyDescent="0.3">
      <c r="A115" s="424"/>
      <c r="B115" s="425"/>
    </row>
    <row r="116" spans="1:2" ht="13" x14ac:dyDescent="0.3">
      <c r="A116" s="424"/>
      <c r="B116" s="425"/>
    </row>
    <row r="117" spans="1:2" ht="13" x14ac:dyDescent="0.3">
      <c r="A117" s="424"/>
      <c r="B117" s="425"/>
    </row>
    <row r="118" spans="1:2" ht="13" x14ac:dyDescent="0.3">
      <c r="A118" s="424"/>
      <c r="B118" s="425"/>
    </row>
    <row r="119" spans="1:2" ht="13" x14ac:dyDescent="0.3">
      <c r="A119" s="424"/>
      <c r="B119" s="425"/>
    </row>
    <row r="120" spans="1:2" ht="13" x14ac:dyDescent="0.3">
      <c r="A120" s="424"/>
      <c r="B120" s="425"/>
    </row>
    <row r="121" spans="1:2" ht="13" x14ac:dyDescent="0.3">
      <c r="A121" s="424"/>
      <c r="B121" s="425"/>
    </row>
    <row r="122" spans="1:2" ht="13" x14ac:dyDescent="0.3">
      <c r="A122" s="424"/>
      <c r="B122" s="425"/>
    </row>
    <row r="123" spans="1:2" ht="13" x14ac:dyDescent="0.3">
      <c r="A123" s="424"/>
      <c r="B123" s="425"/>
    </row>
    <row r="124" spans="1:2" ht="13" x14ac:dyDescent="0.3">
      <c r="A124" s="424"/>
      <c r="B124" s="425"/>
    </row>
    <row r="125" spans="1:2" ht="13" x14ac:dyDescent="0.3">
      <c r="A125" s="424"/>
      <c r="B125" s="425"/>
    </row>
    <row r="126" spans="1:2" ht="13" x14ac:dyDescent="0.3">
      <c r="A126" s="424"/>
      <c r="B126" s="425"/>
    </row>
    <row r="127" spans="1:2" ht="13" x14ac:dyDescent="0.3">
      <c r="A127" s="424"/>
      <c r="B127" s="425"/>
    </row>
    <row r="128" spans="1:2" ht="13" x14ac:dyDescent="0.3">
      <c r="A128" s="424"/>
      <c r="B128" s="425"/>
    </row>
    <row r="129" spans="1:11" ht="13" x14ac:dyDescent="0.3">
      <c r="A129" s="424"/>
      <c r="B129" s="425"/>
    </row>
    <row r="130" spans="1:11" ht="13" x14ac:dyDescent="0.3">
      <c r="A130" s="424"/>
      <c r="B130" s="425"/>
    </row>
    <row r="135" spans="1:11" x14ac:dyDescent="0.25">
      <c r="I135" s="390"/>
      <c r="J135" s="390"/>
      <c r="K135" s="390"/>
    </row>
    <row r="136" spans="1:11" x14ac:dyDescent="0.25">
      <c r="I136" s="390"/>
      <c r="J136" s="390"/>
      <c r="K136" s="390"/>
    </row>
    <row r="137" spans="1:11" x14ac:dyDescent="0.25">
      <c r="I137" s="390"/>
      <c r="J137" s="390"/>
      <c r="K137" s="390"/>
    </row>
    <row r="138" spans="1:11" x14ac:dyDescent="0.25">
      <c r="I138" s="390"/>
      <c r="J138" s="390"/>
      <c r="K138" s="390"/>
    </row>
    <row r="139" spans="1:11" x14ac:dyDescent="0.25">
      <c r="I139" s="390"/>
      <c r="J139" s="390"/>
      <c r="K139" s="390"/>
    </row>
    <row r="140" spans="1:11" x14ac:dyDescent="0.25">
      <c r="I140" s="390"/>
      <c r="J140" s="390"/>
      <c r="K140" s="390"/>
    </row>
    <row r="141" spans="1:11" x14ac:dyDescent="0.25">
      <c r="I141" s="390"/>
      <c r="J141" s="390"/>
      <c r="K141" s="390"/>
    </row>
    <row r="142" spans="1:11" x14ac:dyDescent="0.25">
      <c r="K142" s="264"/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51" bottom="0.43" header="0.3" footer="0.18"/>
  <pageSetup scale="46" orientation="portrait" r:id="rId1"/>
  <ignoredErrors>
    <ignoredError sqref="D51" 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80"/>
  <sheetViews>
    <sheetView topLeftCell="A19" workbookViewId="0">
      <selection activeCell="I74" sqref="I74"/>
    </sheetView>
  </sheetViews>
  <sheetFormatPr defaultRowHeight="12.5" x14ac:dyDescent="0.25"/>
  <cols>
    <col min="1" max="1" width="32.81640625" customWidth="1"/>
    <col min="2" max="2" width="13.54296875" style="11" bestFit="1" customWidth="1"/>
    <col min="3" max="9" width="12.7265625" style="11" bestFit="1" customWidth="1"/>
    <col min="10" max="10" width="13.54296875" style="11" bestFit="1" customWidth="1"/>
    <col min="11" max="13" width="12.7265625" style="11" bestFit="1" customWidth="1"/>
    <col min="15" max="16" width="12.7265625" bestFit="1" customWidth="1"/>
  </cols>
  <sheetData>
    <row r="1" spans="1:16" ht="15.5" x14ac:dyDescent="0.35">
      <c r="A1" s="464" t="s">
        <v>130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</row>
    <row r="3" spans="1:16" ht="26" x14ac:dyDescent="0.3">
      <c r="B3" s="235" t="s">
        <v>131</v>
      </c>
      <c r="C3" s="235" t="s">
        <v>132</v>
      </c>
      <c r="D3" s="235" t="s">
        <v>133</v>
      </c>
      <c r="E3" s="235" t="s">
        <v>134</v>
      </c>
      <c r="F3" s="235" t="s">
        <v>135</v>
      </c>
      <c r="G3" s="235" t="s">
        <v>136</v>
      </c>
      <c r="H3" s="235" t="s">
        <v>137</v>
      </c>
      <c r="I3" s="235" t="s">
        <v>138</v>
      </c>
      <c r="J3" s="235" t="s">
        <v>139</v>
      </c>
      <c r="K3" s="235" t="s">
        <v>140</v>
      </c>
      <c r="L3" s="228" t="s">
        <v>141</v>
      </c>
      <c r="M3" s="228" t="s">
        <v>142</v>
      </c>
    </row>
    <row r="4" spans="1:16" ht="13" x14ac:dyDescent="0.3">
      <c r="A4" s="41" t="s">
        <v>143</v>
      </c>
      <c r="B4" s="229">
        <f>+Power!F149</f>
        <v>1783525545.6735001</v>
      </c>
      <c r="C4" s="229">
        <f>+Power!F150</f>
        <v>1847282693.8638999</v>
      </c>
      <c r="D4" s="229">
        <f>+Power!F151</f>
        <v>1851601106.1615</v>
      </c>
      <c r="E4" s="229">
        <f>+Power!F152</f>
        <v>1841751486.6217</v>
      </c>
      <c r="F4" s="229">
        <f>+Power!F153</f>
        <v>1826077452.0487001</v>
      </c>
      <c r="G4" s="229">
        <f>+Power!F154</f>
        <v>1813646737.4347999</v>
      </c>
      <c r="H4" s="229">
        <f>+Power!F155</f>
        <v>1801989952.4038</v>
      </c>
      <c r="I4" s="229">
        <f>+Power!F156</f>
        <v>1811690675.5150001</v>
      </c>
      <c r="J4" s="229">
        <f>+Power!F157</f>
        <v>1757808741.7091</v>
      </c>
      <c r="K4" s="229">
        <f>+Power!F158</f>
        <v>1857049843.3989</v>
      </c>
      <c r="L4" s="447"/>
      <c r="M4" s="447"/>
    </row>
    <row r="5" spans="1:16" ht="13" x14ac:dyDescent="0.3">
      <c r="A5" s="41" t="s">
        <v>144</v>
      </c>
      <c r="B5" s="229">
        <f>+Power!N149</f>
        <v>1803793046.908</v>
      </c>
      <c r="C5" s="229">
        <f>+Power!N150</f>
        <v>1840735382.2096</v>
      </c>
      <c r="D5" s="229">
        <f>+Power!N151</f>
        <v>1833864910.6591001</v>
      </c>
      <c r="E5" s="229">
        <f>+Power!N152</f>
        <v>1829625336.9437001</v>
      </c>
      <c r="F5" s="229">
        <f>+Power!N153</f>
        <v>1825921159.9988999</v>
      </c>
      <c r="G5" s="229">
        <f>+Power!N154</f>
        <v>1806274832.6217</v>
      </c>
      <c r="H5" s="229">
        <f>+Power!N155</f>
        <v>1809377410.0093999</v>
      </c>
      <c r="I5" s="229">
        <f>+Power!N156</f>
        <v>1829635952.0555999</v>
      </c>
      <c r="J5" s="229">
        <f>+Power!N157</f>
        <v>1777413215.0747001</v>
      </c>
      <c r="K5" s="229">
        <f>+Power!N158</f>
        <v>1835782988.3504</v>
      </c>
      <c r="L5" s="229">
        <f>+Power!N159</f>
        <v>1796143016.2227001</v>
      </c>
      <c r="M5" s="229">
        <f>+Power!N160</f>
        <v>1798633194.0739</v>
      </c>
    </row>
    <row r="6" spans="1:16" ht="13" x14ac:dyDescent="0.3">
      <c r="A6" s="41" t="s">
        <v>145</v>
      </c>
      <c r="B6" s="236">
        <f>ROUND(((B5-B4)/B4),4)</f>
        <v>1.14E-2</v>
      </c>
      <c r="C6" s="236">
        <f t="shared" ref="C6:K6" si="0">ROUND(((C5-C4)/C4),4)</f>
        <v>-3.5000000000000001E-3</v>
      </c>
      <c r="D6" s="236">
        <f t="shared" si="0"/>
        <v>-9.5999999999999992E-3</v>
      </c>
      <c r="E6" s="236">
        <f t="shared" si="0"/>
        <v>-6.6E-3</v>
      </c>
      <c r="F6" s="236">
        <f t="shared" si="0"/>
        <v>-1E-4</v>
      </c>
      <c r="G6" s="236">
        <f t="shared" si="0"/>
        <v>-4.1000000000000003E-3</v>
      </c>
      <c r="H6" s="236">
        <f t="shared" si="0"/>
        <v>4.1000000000000003E-3</v>
      </c>
      <c r="I6" s="236">
        <f t="shared" si="0"/>
        <v>9.9000000000000008E-3</v>
      </c>
      <c r="J6" s="236">
        <f t="shared" si="0"/>
        <v>1.12E-2</v>
      </c>
      <c r="K6" s="236">
        <f t="shared" si="0"/>
        <v>-1.15E-2</v>
      </c>
      <c r="L6" s="230"/>
      <c r="M6" s="230"/>
      <c r="N6" s="231"/>
    </row>
    <row r="7" spans="1:16" x14ac:dyDescent="0.25">
      <c r="B7"/>
      <c r="C7"/>
      <c r="D7"/>
      <c r="E7"/>
      <c r="F7"/>
      <c r="G7"/>
      <c r="H7"/>
      <c r="I7"/>
      <c r="J7"/>
      <c r="K7" s="447"/>
      <c r="L7"/>
      <c r="M7"/>
    </row>
    <row r="8" spans="1:16" ht="13" x14ac:dyDescent="0.3">
      <c r="A8" s="41" t="s">
        <v>146</v>
      </c>
      <c r="B8" s="229">
        <f>+Energy!$N6</f>
        <v>1777401233</v>
      </c>
      <c r="C8" s="229">
        <f>+Energy!$N7</f>
        <v>1829500492</v>
      </c>
      <c r="D8" s="229">
        <f>+Energy!$N8</f>
        <v>1833881352</v>
      </c>
      <c r="E8" s="229">
        <f>+Energy!$N9</f>
        <v>1822695030.9368</v>
      </c>
      <c r="F8" s="229">
        <f>+Energy!$N10</f>
        <v>1795450583.2362001</v>
      </c>
      <c r="G8" s="229">
        <f>+Energy!$N11</f>
        <v>1786456376.8139</v>
      </c>
      <c r="H8" s="229">
        <f>+Energy!$N12</f>
        <v>1745797914.1856999</v>
      </c>
      <c r="I8" s="229">
        <f>+Energy!$N13</f>
        <v>1748948123.9888</v>
      </c>
      <c r="J8" s="229">
        <f>+Energy!$N14</f>
        <v>1693373238.7546</v>
      </c>
      <c r="K8" s="229">
        <f>+Energy!$N15</f>
        <v>1791168422.8854001</v>
      </c>
      <c r="L8" s="229">
        <f>+Energy!E16</f>
        <v>1735344291.7491</v>
      </c>
      <c r="M8" s="229">
        <f>+Energy!E17</f>
        <v>1737750178.0734999</v>
      </c>
      <c r="N8" s="231"/>
      <c r="O8" s="72"/>
      <c r="P8" s="72"/>
    </row>
    <row r="9" spans="1:16" ht="13" x14ac:dyDescent="0.3">
      <c r="A9" s="41"/>
      <c r="B9" s="447"/>
      <c r="C9" s="447"/>
      <c r="D9" s="447"/>
      <c r="E9" s="447"/>
      <c r="F9" s="232"/>
      <c r="G9" s="232"/>
      <c r="H9" s="232"/>
      <c r="I9" s="232"/>
      <c r="J9" s="447"/>
      <c r="K9" s="447"/>
      <c r="L9" s="447"/>
      <c r="M9" s="447"/>
    </row>
    <row r="10" spans="1:16" ht="15.5" x14ac:dyDescent="0.35">
      <c r="A10" s="233" t="s">
        <v>147</v>
      </c>
      <c r="B10" s="447"/>
      <c r="C10" s="447"/>
      <c r="D10" s="447"/>
      <c r="E10" s="447"/>
      <c r="F10" s="447"/>
      <c r="G10" s="447"/>
      <c r="H10" s="447"/>
      <c r="I10" s="447"/>
      <c r="J10" s="447"/>
      <c r="K10" s="447"/>
      <c r="L10" s="447"/>
      <c r="M10" s="447"/>
    </row>
    <row r="11" spans="1:16" ht="13" x14ac:dyDescent="0.3">
      <c r="A11" s="234" t="s">
        <v>45</v>
      </c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</row>
    <row r="12" spans="1:16" x14ac:dyDescent="0.25">
      <c r="A12" t="s">
        <v>148</v>
      </c>
      <c r="B12" s="1">
        <f>+Customer!B4</f>
        <v>76255</v>
      </c>
      <c r="C12" s="1">
        <f>+Customer!B5</f>
        <v>77506</v>
      </c>
      <c r="D12" s="1">
        <f>+Customer!B6</f>
        <v>78761</v>
      </c>
      <c r="E12" s="1">
        <f>+Customer!B7</f>
        <v>79997</v>
      </c>
      <c r="F12" s="1">
        <f>+Customer!B8</f>
        <v>80893</v>
      </c>
      <c r="G12" s="1">
        <f>+Customer!B9</f>
        <v>81868</v>
      </c>
      <c r="H12" s="1">
        <f>+Customer!B10</f>
        <v>83106</v>
      </c>
      <c r="I12" s="1">
        <f>+Customer!B11</f>
        <v>84530</v>
      </c>
      <c r="J12" s="1">
        <f>+Customer!B12</f>
        <v>86064</v>
      </c>
      <c r="K12" s="1">
        <f>+Customer!B13</f>
        <v>87395</v>
      </c>
      <c r="L12" s="1">
        <f>+Customer!B14</f>
        <v>88619</v>
      </c>
      <c r="M12" s="1">
        <f>+Customer!B15</f>
        <v>89860</v>
      </c>
    </row>
    <row r="13" spans="1:16" x14ac:dyDescent="0.25">
      <c r="A13" t="s">
        <v>149</v>
      </c>
      <c r="B13" s="1">
        <f>+Energy!G6</f>
        <v>626869704</v>
      </c>
      <c r="C13" s="1">
        <f>+Energy!G7</f>
        <v>650651967</v>
      </c>
      <c r="D13" s="1">
        <f>+Energy!G8</f>
        <v>647280211</v>
      </c>
      <c r="E13" s="1">
        <f>+Energy!G9</f>
        <v>644467300</v>
      </c>
      <c r="F13" s="1">
        <f>+Energy!G10</f>
        <v>640344406.68604648</v>
      </c>
      <c r="G13" s="1">
        <f>+Energy!G11</f>
        <v>637186639.75172198</v>
      </c>
      <c r="H13" s="1">
        <f>+Energy!G12</f>
        <v>635723826.94000006</v>
      </c>
      <c r="I13" s="1">
        <f>+Energy!G13</f>
        <v>650672519.71179998</v>
      </c>
      <c r="J13" s="1">
        <f>+Energy!G14</f>
        <v>621996671.49440002</v>
      </c>
      <c r="K13" s="1">
        <f>+Energy!G15</f>
        <v>680846102.83019996</v>
      </c>
      <c r="L13" s="1">
        <f>+Energy!H83</f>
        <v>656678745.44620001</v>
      </c>
      <c r="M13" s="1">
        <f>+Energy!H84</f>
        <v>660769294.21730006</v>
      </c>
      <c r="O13" s="48"/>
    </row>
    <row r="14" spans="1:16" ht="13" x14ac:dyDescent="0.3">
      <c r="B14" s="447"/>
      <c r="C14" s="447"/>
      <c r="D14" s="447"/>
      <c r="E14" s="447"/>
      <c r="F14" s="447"/>
      <c r="G14" s="447"/>
      <c r="H14" s="447"/>
      <c r="I14" s="447"/>
      <c r="J14" s="231"/>
      <c r="K14" s="447"/>
      <c r="L14" s="230"/>
      <c r="M14" s="230"/>
    </row>
    <row r="15" spans="1:16" ht="13" x14ac:dyDescent="0.3">
      <c r="A15" s="234" t="s">
        <v>46</v>
      </c>
      <c r="B15" s="447"/>
      <c r="C15" s="447"/>
      <c r="D15" s="447"/>
      <c r="E15" s="447"/>
      <c r="F15" s="447"/>
      <c r="G15" s="447"/>
      <c r="H15" s="447"/>
      <c r="I15" s="447"/>
      <c r="J15" s="447"/>
      <c r="K15" s="447"/>
      <c r="L15" s="447"/>
      <c r="M15" s="447"/>
    </row>
    <row r="16" spans="1:16" x14ac:dyDescent="0.25">
      <c r="A16" t="s">
        <v>148</v>
      </c>
      <c r="B16" s="1">
        <f>+Customer!C4</f>
        <v>7370</v>
      </c>
      <c r="C16" s="1">
        <f>+Customer!C5</f>
        <v>7448</v>
      </c>
      <c r="D16" s="1">
        <f>+Customer!C6</f>
        <v>7538</v>
      </c>
      <c r="E16" s="1">
        <f>+Customer!C7</f>
        <v>7645</v>
      </c>
      <c r="F16" s="1">
        <f>+Customer!C8</f>
        <v>7687</v>
      </c>
      <c r="G16" s="1">
        <f>+Customer!C9</f>
        <v>7744</v>
      </c>
      <c r="H16" s="1">
        <f>+Customer!C10</f>
        <v>7796</v>
      </c>
      <c r="I16" s="1">
        <f>+Customer!C11</f>
        <v>7845</v>
      </c>
      <c r="J16" s="1">
        <f>+Customer!C12</f>
        <v>7936</v>
      </c>
      <c r="K16" s="1">
        <f>+Customer!C13</f>
        <v>7983</v>
      </c>
      <c r="L16" s="1">
        <f>+Customer!C14</f>
        <v>8059</v>
      </c>
      <c r="M16" s="1">
        <f>+Customer!C15</f>
        <v>8136</v>
      </c>
    </row>
    <row r="17" spans="1:13" x14ac:dyDescent="0.25">
      <c r="A17" t="s">
        <v>149</v>
      </c>
      <c r="B17" s="1">
        <f>+Energy!H6</f>
        <v>230572826</v>
      </c>
      <c r="C17" s="1">
        <f>+Energy!H7</f>
        <v>236095929</v>
      </c>
      <c r="D17" s="1">
        <f>+Energy!H8</f>
        <v>240155523</v>
      </c>
      <c r="E17" s="1">
        <f>+Energy!H9</f>
        <v>240981970</v>
      </c>
      <c r="F17" s="1">
        <f>+Energy!H10</f>
        <v>241162381.78294572</v>
      </c>
      <c r="G17" s="1">
        <f>+Energy!H11</f>
        <v>242185854.43488768</v>
      </c>
      <c r="H17" s="1">
        <f>+Energy!H12</f>
        <v>237964967.00999999</v>
      </c>
      <c r="I17" s="1">
        <f>+Energy!H13</f>
        <v>239091360.5415</v>
      </c>
      <c r="J17" s="1">
        <f>+Energy!H14</f>
        <v>232588463.34630001</v>
      </c>
      <c r="K17" s="1">
        <f>+Energy!H15</f>
        <v>240602996.91260001</v>
      </c>
      <c r="L17" s="1">
        <f>+Energy!I83</f>
        <v>229938143.0535</v>
      </c>
      <c r="M17" s="1">
        <f>+Energy!I84</f>
        <v>228934711.40130001</v>
      </c>
    </row>
    <row r="18" spans="1:13" ht="13" x14ac:dyDescent="0.3">
      <c r="B18" s="447"/>
      <c r="C18" s="447"/>
      <c r="D18" s="447"/>
      <c r="E18" s="447"/>
      <c r="F18" s="447"/>
      <c r="G18" s="447"/>
      <c r="H18" s="447"/>
      <c r="I18" s="447"/>
      <c r="J18" s="231"/>
      <c r="K18" s="447"/>
      <c r="L18" s="230"/>
      <c r="M18" s="230"/>
    </row>
    <row r="19" spans="1:13" ht="13" x14ac:dyDescent="0.3">
      <c r="A19" s="234" t="s">
        <v>47</v>
      </c>
      <c r="B19" s="447"/>
      <c r="C19" s="447"/>
      <c r="D19" s="447"/>
      <c r="E19" s="447"/>
      <c r="F19" s="447"/>
      <c r="G19" s="447"/>
      <c r="H19" s="447"/>
      <c r="I19" s="447"/>
      <c r="J19" s="447"/>
      <c r="K19" s="447"/>
      <c r="L19" s="1"/>
      <c r="M19" s="1"/>
    </row>
    <row r="20" spans="1:13" x14ac:dyDescent="0.25">
      <c r="A20" t="s">
        <v>148</v>
      </c>
      <c r="B20" s="1">
        <f>+Customer!D4+Customer!E4</f>
        <v>1005</v>
      </c>
      <c r="C20" s="1">
        <f>+Customer!D5+Customer!E5</f>
        <v>989</v>
      </c>
      <c r="D20" s="1">
        <f>+Customer!D6+Customer!E6</f>
        <v>975</v>
      </c>
      <c r="E20" s="1">
        <f>+Customer!D7+Customer!E7</f>
        <v>948</v>
      </c>
      <c r="F20" s="1">
        <f>+Customer!D8+Customer!E8</f>
        <v>946</v>
      </c>
      <c r="G20" s="1">
        <f>+Customer!D9+Customer!E9</f>
        <v>940</v>
      </c>
      <c r="H20" s="1">
        <f>+Customer!D10+Customer!E10</f>
        <v>935</v>
      </c>
      <c r="I20" s="1">
        <f>+Customer!D11+Customer!E11</f>
        <v>936</v>
      </c>
      <c r="J20" s="1">
        <f>+Customer!D12+Customer!E12</f>
        <v>932</v>
      </c>
      <c r="K20" s="1">
        <f>+Customer!D13+Customer!E13</f>
        <v>945</v>
      </c>
      <c r="L20" s="1">
        <f>+Customer!D14+Customer!E14</f>
        <v>939</v>
      </c>
      <c r="M20" s="1">
        <f>+Customer!D15+Customer!E15</f>
        <v>933</v>
      </c>
    </row>
    <row r="21" spans="1:13" x14ac:dyDescent="0.25">
      <c r="A21" t="s">
        <v>149</v>
      </c>
      <c r="B21" s="1">
        <f>+Energy!$I6+Energy!$J6</f>
        <v>820920003</v>
      </c>
      <c r="C21" s="1">
        <f>+Energy!$I7+Energy!$J7</f>
        <v>876884814</v>
      </c>
      <c r="D21" s="1">
        <f>+Energy!$I8+Energy!$J8</f>
        <v>871254048</v>
      </c>
      <c r="E21" s="1">
        <f>+Energy!$I9+Energy!$J9</f>
        <v>848249423.9368</v>
      </c>
      <c r="F21" s="1">
        <f>+Energy!$I10+Energy!$J10</f>
        <v>805751047.75919998</v>
      </c>
      <c r="G21" s="1">
        <f>+Energy!I11+Energy!J11</f>
        <v>823561780.329</v>
      </c>
      <c r="H21" s="1">
        <f>+Energy!I12+Energy!J12</f>
        <v>816193206.68570006</v>
      </c>
      <c r="I21" s="1">
        <f>+Energy!I13+Energy!J13</f>
        <v>810098907.94169998</v>
      </c>
      <c r="J21" s="1">
        <f>+Energy!I14+Energy!J14</f>
        <v>788587617.07539999</v>
      </c>
      <c r="K21" s="1">
        <f>+Energy!I15+Energy!J15</f>
        <v>824873773.5</v>
      </c>
      <c r="L21" s="1">
        <f>+Energy!J83+Energy!K83</f>
        <v>792032481.36360002</v>
      </c>
      <c r="M21" s="1">
        <f>+Energy!J84+Energy!K84</f>
        <v>777142871.54629993</v>
      </c>
    </row>
    <row r="22" spans="1:13" x14ac:dyDescent="0.25">
      <c r="A22" t="s">
        <v>150</v>
      </c>
      <c r="B22" s="1">
        <f>+Load!B3+Load!C3</f>
        <v>2169096</v>
      </c>
      <c r="C22" s="1">
        <f>+Load!B4+Load!C4</f>
        <v>2260312</v>
      </c>
      <c r="D22" s="1">
        <f>+Load!B5+Load!C5</f>
        <v>2244883</v>
      </c>
      <c r="E22" s="1">
        <f>+Load!B6+Load!C6</f>
        <v>2223040.2319999998</v>
      </c>
      <c r="F22" s="1">
        <f>+Load!B7+Load!C7</f>
        <v>2189279.7896000003</v>
      </c>
      <c r="G22" s="1">
        <f>+Load!B8+Load!C8</f>
        <v>2128264.6203999999</v>
      </c>
      <c r="H22" s="1">
        <f>+Load!B9+Load!C9</f>
        <v>2116518.1828000001</v>
      </c>
      <c r="I22" s="1">
        <f>+Load!B10+Load!C10</f>
        <v>2139609.1894999999</v>
      </c>
      <c r="J22" s="1">
        <f>+Load!B11+Load!C11</f>
        <v>2078947.6181999999</v>
      </c>
      <c r="K22" s="1">
        <f>+Load!B12+Load!C12</f>
        <v>2168682.9785000002</v>
      </c>
      <c r="L22" s="1">
        <f>+Load!B13+Load!C13</f>
        <v>2048332.9765000001</v>
      </c>
      <c r="M22" s="1">
        <f>+Load!B14+Load!C14</f>
        <v>2008537.4202000001</v>
      </c>
    </row>
    <row r="23" spans="1:13" ht="13" x14ac:dyDescent="0.3">
      <c r="B23" s="447"/>
      <c r="C23" s="447"/>
      <c r="D23" s="447"/>
      <c r="E23" s="447"/>
      <c r="F23" s="447"/>
      <c r="G23" s="447"/>
      <c r="H23" s="447"/>
      <c r="I23" s="447"/>
      <c r="J23" s="231"/>
      <c r="K23" s="447"/>
      <c r="L23" s="230"/>
      <c r="M23" s="230"/>
    </row>
    <row r="24" spans="1:13" ht="13" x14ac:dyDescent="0.3">
      <c r="A24" s="234" t="s">
        <v>49</v>
      </c>
      <c r="B24" s="447"/>
      <c r="C24" s="447"/>
      <c r="D24" s="447"/>
      <c r="E24" s="447"/>
      <c r="F24" s="447"/>
      <c r="G24" s="447"/>
      <c r="H24" s="447"/>
      <c r="I24" s="447"/>
      <c r="J24" s="447"/>
      <c r="K24" s="447"/>
      <c r="L24" s="1"/>
      <c r="M24" s="1"/>
    </row>
    <row r="25" spans="1:13" x14ac:dyDescent="0.25">
      <c r="A25" t="s">
        <v>148</v>
      </c>
      <c r="B25" s="1">
        <f>+Customer!F4</f>
        <v>3</v>
      </c>
      <c r="C25" s="1">
        <f>+Customer!F5</f>
        <v>1</v>
      </c>
      <c r="D25" s="1">
        <f>+Customer!F6</f>
        <v>2</v>
      </c>
      <c r="E25" s="1">
        <f>+Customer!F7</f>
        <v>2</v>
      </c>
      <c r="F25" s="1">
        <f>+Customer!F8</f>
        <v>3</v>
      </c>
      <c r="G25" s="1">
        <f>+Customer!F9</f>
        <v>2</v>
      </c>
      <c r="H25" s="1">
        <f>+Customer!F10</f>
        <v>1</v>
      </c>
      <c r="I25" s="1">
        <f>+Customer!F11</f>
        <v>1</v>
      </c>
      <c r="J25" s="1">
        <f>+Customer!F12</f>
        <v>1</v>
      </c>
      <c r="K25" s="1">
        <f>+Customer!F13</f>
        <v>1</v>
      </c>
      <c r="L25" s="1">
        <f>+Customer!F14</f>
        <v>1</v>
      </c>
      <c r="M25" s="1">
        <f>+Customer!F15</f>
        <v>1</v>
      </c>
    </row>
    <row r="26" spans="1:13" x14ac:dyDescent="0.25">
      <c r="A26" t="s">
        <v>149</v>
      </c>
      <c r="B26" s="1">
        <f>+Energy!K6</f>
        <v>79822385</v>
      </c>
      <c r="C26" s="1">
        <f>+Energy!K7</f>
        <v>46563626</v>
      </c>
      <c r="D26" s="1">
        <f>+Energy!K8</f>
        <v>56015269</v>
      </c>
      <c r="E26" s="1">
        <f>+Energy!K9</f>
        <v>69356376</v>
      </c>
      <c r="F26" s="1">
        <f>+Energy!K10</f>
        <v>88505648.025465026</v>
      </c>
      <c r="G26" s="1">
        <f>+Energy!K11</f>
        <v>63442910.469046049</v>
      </c>
      <c r="H26" s="1">
        <f>+Energy!K12</f>
        <v>35769405.710000001</v>
      </c>
      <c r="I26" s="1">
        <f>+Energy!K13</f>
        <v>28906567.2128</v>
      </c>
      <c r="J26" s="1">
        <f>+Energy!K14</f>
        <v>31425633.769499999</v>
      </c>
      <c r="K26" s="1">
        <f>+Energy!K15</f>
        <v>33369028.32</v>
      </c>
      <c r="L26" s="37">
        <f>+Energy!L83</f>
        <v>34219938.542199999</v>
      </c>
      <c r="M26" s="37">
        <f>+Energy!L84</f>
        <v>35092546.975000001</v>
      </c>
    </row>
    <row r="27" spans="1:13" x14ac:dyDescent="0.25">
      <c r="A27" t="s">
        <v>150</v>
      </c>
      <c r="B27" s="1">
        <f>+Load!$D3</f>
        <v>171311</v>
      </c>
      <c r="C27" s="1">
        <f>+Load!$D4</f>
        <v>95621</v>
      </c>
      <c r="D27" s="1">
        <f>+Load!$D5</f>
        <v>105771</v>
      </c>
      <c r="E27" s="1">
        <f>+Load!$D6</f>
        <v>136790</v>
      </c>
      <c r="F27" s="1">
        <f>+Load!$D7</f>
        <v>181960.6</v>
      </c>
      <c r="G27" s="1">
        <f>+Load!$D8</f>
        <v>126219.41</v>
      </c>
      <c r="H27" s="1">
        <f>+Load!$D9</f>
        <v>62997.91</v>
      </c>
      <c r="I27" s="1">
        <f>+Load!$D10</f>
        <v>62931.33</v>
      </c>
      <c r="J27" s="1">
        <f>+Load!$D11</f>
        <v>58806.46</v>
      </c>
      <c r="K27" s="1">
        <f>+Load!$D12</f>
        <v>69010.508700000006</v>
      </c>
      <c r="L27" s="1">
        <f>+Load!$D13</f>
        <v>68382.8269</v>
      </c>
      <c r="M27" s="1">
        <f>+Load!$D14</f>
        <v>70126.589000000007</v>
      </c>
    </row>
    <row r="28" spans="1:13" ht="13" x14ac:dyDescent="0.3">
      <c r="B28" s="447"/>
      <c r="C28" s="447"/>
      <c r="D28" s="447"/>
      <c r="E28" s="447"/>
      <c r="F28" s="447"/>
      <c r="G28" s="447"/>
      <c r="H28" s="447"/>
      <c r="I28" s="447"/>
      <c r="J28" s="231"/>
      <c r="K28" s="447"/>
      <c r="L28" s="230"/>
      <c r="M28" s="230"/>
    </row>
    <row r="29" spans="1:13" ht="13" x14ac:dyDescent="0.3">
      <c r="A29" s="234" t="s">
        <v>50</v>
      </c>
      <c r="B29" s="447"/>
      <c r="C29" s="447"/>
      <c r="D29" s="447"/>
      <c r="E29" s="447"/>
      <c r="F29" s="447"/>
      <c r="G29" s="447"/>
      <c r="H29" s="447"/>
      <c r="I29" s="447"/>
      <c r="J29" s="447"/>
      <c r="K29" s="447"/>
      <c r="L29" s="1"/>
      <c r="M29" s="1"/>
    </row>
    <row r="30" spans="1:13" x14ac:dyDescent="0.25">
      <c r="A30" t="s">
        <v>151</v>
      </c>
      <c r="B30" s="1">
        <f>+Customer!G4</f>
        <v>1551</v>
      </c>
      <c r="C30" s="1">
        <f>+Customer!G5</f>
        <v>1574</v>
      </c>
      <c r="D30" s="1">
        <f>+Customer!G6</f>
        <v>1568</v>
      </c>
      <c r="E30" s="1">
        <f>+Customer!G7</f>
        <v>1573</v>
      </c>
      <c r="F30" s="1">
        <f>+Customer!G8</f>
        <v>1551</v>
      </c>
      <c r="G30" s="1">
        <f>+Customer!G9</f>
        <v>1616</v>
      </c>
      <c r="H30" s="1">
        <f>+Customer!G10</f>
        <v>1637</v>
      </c>
      <c r="I30" s="1">
        <f>+Customer!G11</f>
        <v>1653</v>
      </c>
      <c r="J30" s="1">
        <f>+Customer!G12</f>
        <v>1696</v>
      </c>
      <c r="K30" s="1">
        <f>+Customer!G13</f>
        <v>1666</v>
      </c>
      <c r="L30" s="1">
        <f>+Customer!G14</f>
        <v>1681</v>
      </c>
      <c r="M30" s="1">
        <f>+Customer!G15</f>
        <v>1696</v>
      </c>
    </row>
    <row r="31" spans="1:13" x14ac:dyDescent="0.25">
      <c r="A31" t="s">
        <v>149</v>
      </c>
      <c r="B31" s="1">
        <f>+Energy!L6</f>
        <v>15920914</v>
      </c>
      <c r="C31" s="1">
        <f>+Energy!L7</f>
        <v>16035117</v>
      </c>
      <c r="D31" s="1">
        <f>+Energy!L8</f>
        <v>15857518</v>
      </c>
      <c r="E31" s="1">
        <f>+Energy!L9</f>
        <v>15943501</v>
      </c>
      <c r="F31" s="1">
        <f>+Energy!L10</f>
        <v>15982944.980620153</v>
      </c>
      <c r="G31" s="1">
        <f>+Energy!L11</f>
        <v>16039251.399241911</v>
      </c>
      <c r="H31" s="1">
        <f>+Energy!L12</f>
        <v>16203415.84</v>
      </c>
      <c r="I31" s="1">
        <f>+Energy!L13</f>
        <v>16260856.581</v>
      </c>
      <c r="J31" s="1">
        <f>+Energy!L14</f>
        <v>14867141.069</v>
      </c>
      <c r="K31" s="1">
        <f>+Energy!L15</f>
        <v>7466579.3225999996</v>
      </c>
      <c r="L31" s="253">
        <f>+Energy!M83</f>
        <v>7386896.2983999997</v>
      </c>
      <c r="M31" s="253">
        <f>+Energy!M84</f>
        <v>7307481.5936000003</v>
      </c>
    </row>
    <row r="32" spans="1:13" x14ac:dyDescent="0.25">
      <c r="A32" t="s">
        <v>150</v>
      </c>
      <c r="B32" s="1">
        <f>+Load!$E3</f>
        <v>44226</v>
      </c>
      <c r="C32" s="1">
        <f>+Load!$E4</f>
        <v>44895</v>
      </c>
      <c r="D32" s="1">
        <f>+Load!$E5</f>
        <v>44252</v>
      </c>
      <c r="E32" s="1">
        <f>+Load!$E6</f>
        <v>44229</v>
      </c>
      <c r="F32" s="1">
        <f>+Load!$E7</f>
        <v>44582.02</v>
      </c>
      <c r="G32" s="1">
        <f>+Load!$E8</f>
        <v>44711.85</v>
      </c>
      <c r="H32" s="1">
        <f>+Load!$E9</f>
        <v>45213.11</v>
      </c>
      <c r="I32" s="1">
        <f>+Load!$E10</f>
        <v>45218.23</v>
      </c>
      <c r="J32" s="1">
        <f>+Load!$E11</f>
        <v>42035.72</v>
      </c>
      <c r="K32" s="1">
        <f>+Load!$E12</f>
        <v>20808.9388</v>
      </c>
      <c r="L32" s="1">
        <f>+Load!$E13</f>
        <v>20613.041099999999</v>
      </c>
      <c r="M32" s="1">
        <f>+Load!$E14</f>
        <v>20391.435300000001</v>
      </c>
    </row>
    <row r="34" spans="1:13" ht="13" x14ac:dyDescent="0.3">
      <c r="A34" s="234" t="s">
        <v>51</v>
      </c>
      <c r="B34" s="447"/>
      <c r="C34" s="447"/>
      <c r="D34" s="447"/>
      <c r="E34" s="447"/>
      <c r="F34" s="447"/>
      <c r="G34" s="447"/>
      <c r="H34" s="447"/>
      <c r="I34" s="447"/>
      <c r="J34" s="447"/>
      <c r="K34" s="447"/>
      <c r="L34" s="1"/>
      <c r="M34" s="1"/>
    </row>
    <row r="35" spans="1:13" x14ac:dyDescent="0.25">
      <c r="A35" t="s">
        <v>151</v>
      </c>
      <c r="B35" s="1">
        <f>+Customer!H4</f>
        <v>817</v>
      </c>
      <c r="C35" s="1">
        <f>+Customer!H5</f>
        <v>811</v>
      </c>
      <c r="D35" s="1">
        <f>+Customer!H6</f>
        <v>841</v>
      </c>
      <c r="E35" s="1">
        <f>+Customer!H7</f>
        <v>868.75</v>
      </c>
      <c r="F35" s="1">
        <f>+Customer!H8</f>
        <v>843.5</v>
      </c>
      <c r="G35" s="1">
        <f>+Customer!H9</f>
        <v>876.75</v>
      </c>
      <c r="H35" s="1">
        <f>+Customer!H10</f>
        <v>891</v>
      </c>
      <c r="I35" s="1">
        <f>+Customer!H11</f>
        <v>866.33333333333337</v>
      </c>
      <c r="J35" s="1">
        <f>+Customer!H12</f>
        <v>886.08333333333337</v>
      </c>
      <c r="K35" s="1">
        <f>+Customer!H13</f>
        <v>931</v>
      </c>
      <c r="L35" s="1">
        <f>+Customer!H14</f>
        <v>943</v>
      </c>
      <c r="M35" s="1">
        <f>+Customer!H15</f>
        <v>955</v>
      </c>
    </row>
    <row r="36" spans="1:13" x14ac:dyDescent="0.25">
      <c r="A36" t="s">
        <v>149</v>
      </c>
      <c r="B36" s="1">
        <f>+Energy!M6</f>
        <v>3295401</v>
      </c>
      <c r="C36" s="1">
        <f>+Energy!M7</f>
        <v>3269039</v>
      </c>
      <c r="D36" s="1">
        <f>+Energy!M8</f>
        <v>3318783</v>
      </c>
      <c r="E36" s="1">
        <f>+Energy!M9</f>
        <v>3696460</v>
      </c>
      <c r="F36" s="1">
        <f>+Energy!M10</f>
        <v>3704154.0019379845</v>
      </c>
      <c r="G36" s="1">
        <f>+Energy!M11</f>
        <v>4039940.43</v>
      </c>
      <c r="H36" s="1">
        <f>+Energy!M12</f>
        <v>3943092</v>
      </c>
      <c r="I36" s="1">
        <f>+Energy!M13</f>
        <v>3917912</v>
      </c>
      <c r="J36" s="1">
        <f>+Energy!M14</f>
        <v>3907712</v>
      </c>
      <c r="K36" s="1">
        <f>+Energy!M15</f>
        <v>4009942</v>
      </c>
      <c r="L36" s="1">
        <f>+Energy!N83</f>
        <v>4091277.5452000001</v>
      </c>
      <c r="M36" s="1">
        <f>+Energy!N84</f>
        <v>4173586.84</v>
      </c>
    </row>
    <row r="37" spans="1:13" x14ac:dyDescent="0.25">
      <c r="B37" s="447"/>
      <c r="C37" s="447"/>
      <c r="D37" s="447"/>
      <c r="E37" s="447"/>
      <c r="F37" s="447"/>
      <c r="G37" s="447"/>
      <c r="H37" s="447"/>
      <c r="I37" s="447"/>
      <c r="J37" s="447"/>
      <c r="K37" s="447"/>
      <c r="L37" s="1"/>
      <c r="M37" s="1"/>
    </row>
    <row r="38" spans="1:13" ht="13" x14ac:dyDescent="0.3">
      <c r="A38" s="234" t="s">
        <v>152</v>
      </c>
      <c r="B38" s="447"/>
      <c r="C38" s="447"/>
      <c r="D38" s="447"/>
      <c r="E38" s="447"/>
      <c r="F38" s="447"/>
      <c r="G38" s="447"/>
      <c r="H38" s="447"/>
      <c r="I38" s="447"/>
      <c r="J38" s="447"/>
      <c r="K38"/>
      <c r="L38" s="1"/>
      <c r="M38" s="1"/>
    </row>
    <row r="39" spans="1:13" x14ac:dyDescent="0.25">
      <c r="A39" t="s">
        <v>148</v>
      </c>
      <c r="B39" s="29">
        <f>+Customer!$K4</f>
        <v>0</v>
      </c>
      <c r="C39" s="29">
        <f>+Customer!$K5</f>
        <v>0</v>
      </c>
      <c r="D39" s="29">
        <f>+Customer!$K6</f>
        <v>0</v>
      </c>
      <c r="E39" s="1">
        <f>+Customer!$K7</f>
        <v>4</v>
      </c>
      <c r="F39" s="1">
        <f>+Customer!$K8</f>
        <v>4</v>
      </c>
      <c r="G39" s="1">
        <f>+Customer!$K9</f>
        <v>4</v>
      </c>
      <c r="H39" s="1">
        <f>+Customer!$K10</f>
        <v>4</v>
      </c>
      <c r="I39" s="1">
        <f>+Customer!$K11</f>
        <v>4</v>
      </c>
      <c r="J39" s="1">
        <f>+Customer!$K12</f>
        <v>4</v>
      </c>
      <c r="K39" s="1">
        <f>+Customer!$K13</f>
        <v>5</v>
      </c>
      <c r="L39" s="1">
        <f>+Customer!$K14</f>
        <v>5</v>
      </c>
      <c r="M39" s="1">
        <f>+Customer!$K15</f>
        <v>5</v>
      </c>
    </row>
    <row r="40" spans="1:13" x14ac:dyDescent="0.25">
      <c r="A40" t="s">
        <v>149</v>
      </c>
      <c r="B40" s="29">
        <f>+Energy!$P6</f>
        <v>0</v>
      </c>
      <c r="C40" s="29">
        <f>+Energy!$P7</f>
        <v>0</v>
      </c>
      <c r="D40" s="29">
        <f>+Energy!$P8</f>
        <v>0</v>
      </c>
      <c r="E40" s="1">
        <f>+Energy!$P9</f>
        <v>2539059.0631999997</v>
      </c>
      <c r="F40" s="1">
        <f>+Energy!$P10</f>
        <v>17811733.360799998</v>
      </c>
      <c r="G40" s="1">
        <f>+Energy!$P11</f>
        <v>17075273.870999999</v>
      </c>
      <c r="H40" s="1">
        <f>+Energy!$P12</f>
        <v>16690369.684300002</v>
      </c>
      <c r="I40" s="1">
        <f>+Energy!$P13</f>
        <v>16842071.168299999</v>
      </c>
      <c r="J40" s="1">
        <f>+Energy!$P14</f>
        <v>15631701.144599998</v>
      </c>
      <c r="K40" s="1">
        <f>+Energy!$P15</f>
        <v>14788959.359999998</v>
      </c>
      <c r="L40" s="1">
        <f>+Energy!P83</f>
        <v>16407482.74074783</v>
      </c>
      <c r="M40" s="1">
        <f>+Energy!P84</f>
        <v>15157323.935377596</v>
      </c>
    </row>
    <row r="41" spans="1:13" x14ac:dyDescent="0.25">
      <c r="A41" t="s">
        <v>150</v>
      </c>
      <c r="B41" s="29">
        <f>+Load!$J3</f>
        <v>0</v>
      </c>
      <c r="C41" s="29">
        <f>+Load!$J4</f>
        <v>0</v>
      </c>
      <c r="D41" s="29">
        <f>+Load!$J5</f>
        <v>0</v>
      </c>
      <c r="E41" s="29">
        <f>+Load!$J6</f>
        <v>4890.768</v>
      </c>
      <c r="F41" s="29">
        <f>+Load!$J7</f>
        <v>36056.200400000002</v>
      </c>
      <c r="G41" s="29">
        <f>+Load!$J8</f>
        <v>31006.339600000003</v>
      </c>
      <c r="H41" s="29">
        <f>+Load!$J9</f>
        <v>30561.897200000003</v>
      </c>
      <c r="I41" s="29">
        <f>+Load!$J10</f>
        <v>31132.920500000004</v>
      </c>
      <c r="J41" s="29">
        <f>+Load!$J11</f>
        <v>30205.531800000008</v>
      </c>
      <c r="K41" s="29">
        <f>+Load!$J12</f>
        <v>34080.072999999997</v>
      </c>
      <c r="L41" s="29">
        <f>+Load!$J13</f>
        <v>34080.072999999997</v>
      </c>
      <c r="M41" s="29">
        <f>+Load!$J14</f>
        <v>34080.072999999997</v>
      </c>
    </row>
    <row r="42" spans="1:13" x14ac:dyDescent="0.25">
      <c r="B42" s="1"/>
      <c r="C42" s="1"/>
      <c r="D42" s="1"/>
      <c r="E42" s="1"/>
      <c r="F42" s="1"/>
      <c r="G42" s="1"/>
      <c r="H42" s="1"/>
      <c r="I42" s="1"/>
      <c r="J42" s="1"/>
      <c r="K42"/>
      <c r="L42" s="1"/>
      <c r="M42" s="1"/>
    </row>
    <row r="43" spans="1:13" ht="13" x14ac:dyDescent="0.3">
      <c r="A43" s="234" t="s">
        <v>76</v>
      </c>
      <c r="B43" s="447"/>
      <c r="C43" s="447"/>
      <c r="D43" s="447"/>
      <c r="E43" s="447"/>
      <c r="F43" s="447"/>
      <c r="G43" s="447"/>
      <c r="H43" s="447"/>
      <c r="I43" s="447"/>
      <c r="J43" s="447"/>
      <c r="K43"/>
      <c r="L43" s="1"/>
      <c r="M43" s="1"/>
    </row>
    <row r="44" spans="1:13" x14ac:dyDescent="0.25">
      <c r="A44" t="s">
        <v>148</v>
      </c>
      <c r="B44" s="1">
        <v>1</v>
      </c>
      <c r="C44" s="1">
        <v>1</v>
      </c>
      <c r="D44" s="1">
        <v>1</v>
      </c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">
        <v>1</v>
      </c>
      <c r="M44" s="1">
        <v>1</v>
      </c>
    </row>
    <row r="45" spans="1:13" x14ac:dyDescent="0.25">
      <c r="A45" t="s">
        <v>149</v>
      </c>
      <c r="B45" s="1">
        <f>+ED!C3</f>
        <v>22622441.550000001</v>
      </c>
      <c r="C45" s="1">
        <f>+ED!C4</f>
        <v>24190281.489999998</v>
      </c>
      <c r="D45" s="1">
        <f>+ED!C5</f>
        <v>21309995.489999998</v>
      </c>
      <c r="E45" s="1">
        <f>+ED!C6</f>
        <v>17590423.550000001</v>
      </c>
      <c r="F45" s="1">
        <f>+ED!C7</f>
        <v>15021820.6</v>
      </c>
      <c r="G45" s="1">
        <f>+ED!C8</f>
        <v>14039293.18</v>
      </c>
      <c r="H45" s="1">
        <f>+ED!C9</f>
        <v>23075916.899999999</v>
      </c>
      <c r="I45" s="1">
        <f>+ED!C10</f>
        <v>19564437.330000002</v>
      </c>
      <c r="J45" s="1">
        <f>+ED!C11</f>
        <v>20383811.499999996</v>
      </c>
      <c r="K45" s="1">
        <f>+ED!C12</f>
        <v>12731868.73</v>
      </c>
      <c r="L45" s="1">
        <f>+ED!C13</f>
        <v>19053029.030000001</v>
      </c>
      <c r="M45" s="1">
        <f>+ED!C14</f>
        <v>19053029.030000001</v>
      </c>
    </row>
    <row r="46" spans="1:13" x14ac:dyDescent="0.25">
      <c r="A46" t="s">
        <v>150</v>
      </c>
      <c r="B46" s="1">
        <f>+ED!B3</f>
        <v>49918.169999999991</v>
      </c>
      <c r="C46" s="1">
        <f>+ED!B4</f>
        <v>53143.520000000004</v>
      </c>
      <c r="D46" s="1">
        <f>+ED!B5</f>
        <v>49138.899999999994</v>
      </c>
      <c r="E46" s="1">
        <f>+ED!B6</f>
        <v>37866.879999999997</v>
      </c>
      <c r="F46" s="1">
        <f>+ED!B7</f>
        <v>32780.5</v>
      </c>
      <c r="G46" s="1">
        <f>+ED!B8</f>
        <v>32611.380000000005</v>
      </c>
      <c r="H46" s="1">
        <f>+ED!B9</f>
        <v>49708.520000000004</v>
      </c>
      <c r="I46" s="1">
        <f>+ED!B10</f>
        <v>49930.489999999991</v>
      </c>
      <c r="J46" s="1">
        <f>+ED!B11</f>
        <v>44998.2</v>
      </c>
      <c r="K46" s="1">
        <f>+ED!B12</f>
        <v>33065.300000000003</v>
      </c>
      <c r="L46" s="1">
        <f>+ED!B13</f>
        <v>43316.19</v>
      </c>
      <c r="M46" s="1">
        <f>+ED!B14</f>
        <v>43316.19</v>
      </c>
    </row>
    <row r="47" spans="1:13" x14ac:dyDescent="0.25">
      <c r="B47" s="1"/>
      <c r="C47" s="1"/>
      <c r="D47" s="1"/>
      <c r="E47" s="1"/>
      <c r="F47" s="1"/>
      <c r="G47" s="1"/>
      <c r="H47" s="1"/>
      <c r="I47" s="1"/>
      <c r="J47" s="1"/>
      <c r="K47"/>
      <c r="L47" s="1"/>
      <c r="M47" s="1"/>
    </row>
    <row r="48" spans="1:13" ht="13" x14ac:dyDescent="0.3">
      <c r="A48" s="234" t="s">
        <v>153</v>
      </c>
      <c r="B48" s="1"/>
      <c r="C48" s="1"/>
      <c r="D48" s="1"/>
      <c r="E48" s="1"/>
      <c r="F48" s="1"/>
      <c r="G48" s="1"/>
      <c r="H48" s="1"/>
      <c r="I48" s="447"/>
      <c r="J48" s="1"/>
      <c r="K48" s="447"/>
      <c r="L48" s="447"/>
      <c r="M48" s="447"/>
    </row>
    <row r="49" spans="1:13" x14ac:dyDescent="0.25">
      <c r="A49" t="s">
        <v>154</v>
      </c>
      <c r="B49" s="1">
        <f t="shared" ref="B49:M49" si="1">ROUND((SUM(B12+B16+B20+B25+B30+B35)),0)</f>
        <v>87001</v>
      </c>
      <c r="C49" s="1">
        <f t="shared" si="1"/>
        <v>88329</v>
      </c>
      <c r="D49" s="1">
        <f t="shared" si="1"/>
        <v>89685</v>
      </c>
      <c r="E49" s="1">
        <f t="shared" si="1"/>
        <v>91034</v>
      </c>
      <c r="F49" s="1">
        <f t="shared" si="1"/>
        <v>91924</v>
      </c>
      <c r="G49" s="1">
        <f t="shared" si="1"/>
        <v>93047</v>
      </c>
      <c r="H49" s="1">
        <f t="shared" si="1"/>
        <v>94366</v>
      </c>
      <c r="I49" s="1">
        <f t="shared" si="1"/>
        <v>95831</v>
      </c>
      <c r="J49" s="1">
        <f t="shared" si="1"/>
        <v>97515</v>
      </c>
      <c r="K49" s="1">
        <f t="shared" si="1"/>
        <v>98921</v>
      </c>
      <c r="L49" s="1">
        <f t="shared" si="1"/>
        <v>100242</v>
      </c>
      <c r="M49" s="1">
        <f t="shared" si="1"/>
        <v>101581</v>
      </c>
    </row>
    <row r="50" spans="1:13" x14ac:dyDescent="0.25">
      <c r="A50" t="s">
        <v>149</v>
      </c>
      <c r="B50" s="1">
        <f t="shared" ref="B50:M50" si="2">ROUND((SUM(B13+B17+B21+B26+B31+B36)),4)</f>
        <v>1777401233</v>
      </c>
      <c r="C50" s="1">
        <f t="shared" si="2"/>
        <v>1829500492</v>
      </c>
      <c r="D50" s="1">
        <f t="shared" si="2"/>
        <v>1833881352</v>
      </c>
      <c r="E50" s="1">
        <f t="shared" si="2"/>
        <v>1822695030.9368</v>
      </c>
      <c r="F50" s="1">
        <f t="shared" si="2"/>
        <v>1795450583.2362001</v>
      </c>
      <c r="G50" s="1">
        <f t="shared" si="2"/>
        <v>1786456376.8139</v>
      </c>
      <c r="H50" s="1">
        <f t="shared" si="2"/>
        <v>1745797914.1856999</v>
      </c>
      <c r="I50" s="1">
        <f t="shared" si="2"/>
        <v>1748948123.9888</v>
      </c>
      <c r="J50" s="1">
        <f t="shared" si="2"/>
        <v>1693373238.7546</v>
      </c>
      <c r="K50" s="1">
        <f t="shared" si="2"/>
        <v>1791168422.8854001</v>
      </c>
      <c r="L50" s="1">
        <f t="shared" si="2"/>
        <v>1724347482.2491</v>
      </c>
      <c r="M50" s="1">
        <f t="shared" si="2"/>
        <v>1713420492.5734999</v>
      </c>
    </row>
    <row r="51" spans="1:13" x14ac:dyDescent="0.25">
      <c r="A51" t="s">
        <v>155</v>
      </c>
      <c r="B51" s="1">
        <f t="shared" ref="B51:M51" si="3">ROUND((SUM(B22+B27+B32)),2)</f>
        <v>2384633</v>
      </c>
      <c r="C51" s="1">
        <f t="shared" si="3"/>
        <v>2400828</v>
      </c>
      <c r="D51" s="1">
        <f t="shared" si="3"/>
        <v>2394906</v>
      </c>
      <c r="E51" s="1">
        <f t="shared" si="3"/>
        <v>2404059.23</v>
      </c>
      <c r="F51" s="1">
        <f t="shared" si="3"/>
        <v>2415822.41</v>
      </c>
      <c r="G51" s="1">
        <f t="shared" si="3"/>
        <v>2299195.88</v>
      </c>
      <c r="H51" s="1">
        <f t="shared" si="3"/>
        <v>2224729.2000000002</v>
      </c>
      <c r="I51" s="1">
        <f t="shared" si="3"/>
        <v>2247758.75</v>
      </c>
      <c r="J51" s="1">
        <f t="shared" si="3"/>
        <v>2179789.7999999998</v>
      </c>
      <c r="K51" s="1">
        <f t="shared" si="3"/>
        <v>2258502.4300000002</v>
      </c>
      <c r="L51" s="1">
        <f t="shared" si="3"/>
        <v>2137328.84</v>
      </c>
      <c r="M51" s="1">
        <f t="shared" si="3"/>
        <v>2099055.44</v>
      </c>
    </row>
    <row r="52" spans="1:13" x14ac:dyDescent="0.25">
      <c r="B52" s="1"/>
      <c r="C52" s="1"/>
      <c r="D52" s="1"/>
      <c r="E52" s="1"/>
      <c r="F52" s="1"/>
      <c r="G52" s="1"/>
      <c r="H52" s="1"/>
      <c r="I52" s="1"/>
      <c r="J52" s="1"/>
      <c r="K52"/>
      <c r="L52" s="1"/>
      <c r="M52" s="1"/>
    </row>
    <row r="53" spans="1:13" ht="13" x14ac:dyDescent="0.3">
      <c r="A53" s="234" t="s">
        <v>156</v>
      </c>
      <c r="B53" s="1"/>
      <c r="C53" s="1"/>
      <c r="D53" s="1"/>
      <c r="E53" s="1"/>
      <c r="F53" s="1"/>
      <c r="G53" s="1"/>
      <c r="H53" s="1"/>
      <c r="I53" s="447"/>
      <c r="J53" s="1"/>
      <c r="K53" s="447"/>
      <c r="L53" s="447"/>
      <c r="M53" s="447"/>
    </row>
    <row r="54" spans="1:13" x14ac:dyDescent="0.25">
      <c r="A54" t="s">
        <v>154</v>
      </c>
      <c r="B54" s="1">
        <f>ROUND((SUM(B12+B16+B20+B25+B30+B35+B39+B44)),0)</f>
        <v>87002</v>
      </c>
      <c r="C54" s="1">
        <f t="shared" ref="C54:M54" si="4">ROUND((SUM(C12+C16+C20+C25+C30+C35+C39+C44)),0)</f>
        <v>88330</v>
      </c>
      <c r="D54" s="1">
        <f t="shared" si="4"/>
        <v>89686</v>
      </c>
      <c r="E54" s="1">
        <f t="shared" si="4"/>
        <v>91039</v>
      </c>
      <c r="F54" s="1">
        <f t="shared" si="4"/>
        <v>91929</v>
      </c>
      <c r="G54" s="1">
        <f t="shared" si="4"/>
        <v>93052</v>
      </c>
      <c r="H54" s="1">
        <f t="shared" si="4"/>
        <v>94371</v>
      </c>
      <c r="I54" s="1">
        <f t="shared" si="4"/>
        <v>95836</v>
      </c>
      <c r="J54" s="1">
        <f t="shared" si="4"/>
        <v>97520</v>
      </c>
      <c r="K54" s="1">
        <f t="shared" si="4"/>
        <v>98927</v>
      </c>
      <c r="L54" s="1">
        <f t="shared" si="4"/>
        <v>100248</v>
      </c>
      <c r="M54" s="1">
        <f t="shared" si="4"/>
        <v>101587</v>
      </c>
    </row>
    <row r="55" spans="1:13" x14ac:dyDescent="0.25">
      <c r="A55" t="s">
        <v>149</v>
      </c>
      <c r="B55" s="1">
        <f t="shared" ref="B55:M56" si="5">ROUND((SUM(B13+B17+B21+B26+B31+B36+B40+B45)),0)</f>
        <v>1800023675</v>
      </c>
      <c r="C55" s="1">
        <f t="shared" si="5"/>
        <v>1853690773</v>
      </c>
      <c r="D55" s="1">
        <f t="shared" si="5"/>
        <v>1855191347</v>
      </c>
      <c r="E55" s="1">
        <f t="shared" si="5"/>
        <v>1842824514</v>
      </c>
      <c r="F55" s="1">
        <f t="shared" si="5"/>
        <v>1828284137</v>
      </c>
      <c r="G55" s="1">
        <f t="shared" si="5"/>
        <v>1817570944</v>
      </c>
      <c r="H55" s="1">
        <f t="shared" si="5"/>
        <v>1785564201</v>
      </c>
      <c r="I55" s="1">
        <f t="shared" si="5"/>
        <v>1785354632</v>
      </c>
      <c r="J55" s="1">
        <f t="shared" si="5"/>
        <v>1729388751</v>
      </c>
      <c r="K55" s="1">
        <f t="shared" si="5"/>
        <v>1818689251</v>
      </c>
      <c r="L55" s="1">
        <f t="shared" si="5"/>
        <v>1759807994</v>
      </c>
      <c r="M55" s="1">
        <f t="shared" si="5"/>
        <v>1747630846</v>
      </c>
    </row>
    <row r="56" spans="1:13" x14ac:dyDescent="0.25">
      <c r="A56" t="s">
        <v>155</v>
      </c>
      <c r="B56" s="1">
        <f t="shared" si="5"/>
        <v>2434551</v>
      </c>
      <c r="C56" s="1">
        <f t="shared" si="5"/>
        <v>2453972</v>
      </c>
      <c r="D56" s="1">
        <f t="shared" si="5"/>
        <v>2444045</v>
      </c>
      <c r="E56" s="1">
        <f t="shared" si="5"/>
        <v>2446817</v>
      </c>
      <c r="F56" s="1">
        <f t="shared" si="5"/>
        <v>2484659</v>
      </c>
      <c r="G56" s="1">
        <f t="shared" si="5"/>
        <v>2362814</v>
      </c>
      <c r="H56" s="1">
        <f t="shared" si="5"/>
        <v>2305000</v>
      </c>
      <c r="I56" s="1">
        <f t="shared" si="5"/>
        <v>2328822</v>
      </c>
      <c r="J56" s="1">
        <f t="shared" si="5"/>
        <v>2254994</v>
      </c>
      <c r="K56" s="1">
        <f t="shared" si="5"/>
        <v>2325648</v>
      </c>
      <c r="L56" s="1">
        <f t="shared" si="5"/>
        <v>2214725</v>
      </c>
      <c r="M56" s="1">
        <f t="shared" si="5"/>
        <v>2176452</v>
      </c>
    </row>
    <row r="58" spans="1:13" ht="13" x14ac:dyDescent="0.3">
      <c r="A58" s="234" t="s">
        <v>157</v>
      </c>
      <c r="B58" s="447"/>
      <c r="C58" s="447"/>
      <c r="D58" s="447"/>
      <c r="E58" s="447"/>
      <c r="F58" s="447"/>
      <c r="G58" s="447"/>
      <c r="H58" s="447"/>
      <c r="I58" s="447"/>
      <c r="J58" s="447"/>
      <c r="K58" s="447"/>
      <c r="L58" s="1"/>
      <c r="M58" s="1"/>
    </row>
    <row r="59" spans="1:13" x14ac:dyDescent="0.25">
      <c r="A59" t="s">
        <v>154</v>
      </c>
      <c r="B59" s="1">
        <f>ROUND((Customer!$I4),0)</f>
        <v>87001</v>
      </c>
      <c r="C59" s="1">
        <f>ROUND((Customer!I5),0)</f>
        <v>88329</v>
      </c>
      <c r="D59" s="1">
        <f>ROUND((Customer!I6),0)</f>
        <v>89685</v>
      </c>
      <c r="E59" s="1">
        <f>ROUND((Customer!I7),0)</f>
        <v>91034</v>
      </c>
      <c r="F59" s="1">
        <f>ROUND((Customer!I8),0)</f>
        <v>91924</v>
      </c>
      <c r="G59" s="1">
        <f>ROUND((Customer!I9),0)</f>
        <v>93047</v>
      </c>
      <c r="H59" s="1">
        <f>ROUND((Customer!I10),0)</f>
        <v>94366</v>
      </c>
      <c r="I59" s="1">
        <f>ROUND((Customer!I11),0)</f>
        <v>95831</v>
      </c>
      <c r="J59" s="1">
        <f>ROUND((Customer!I12),0)</f>
        <v>97515</v>
      </c>
      <c r="K59" s="1">
        <f>ROUND((Customer!I13),0)</f>
        <v>98921</v>
      </c>
      <c r="L59" s="1">
        <f>ROUND((Customer!I14),0)</f>
        <v>100242</v>
      </c>
      <c r="M59" s="1">
        <f>ROUND((Customer!I15),0)</f>
        <v>101581</v>
      </c>
    </row>
    <row r="60" spans="1:13" x14ac:dyDescent="0.25">
      <c r="A60" t="s">
        <v>149</v>
      </c>
      <c r="B60" s="1">
        <f>ROUND((Energy!N6),4)</f>
        <v>1777401233</v>
      </c>
      <c r="C60" s="1">
        <f>ROUND((Energy!N7),4)</f>
        <v>1829500492</v>
      </c>
      <c r="D60" s="1">
        <f>ROUND((Energy!N8),4)</f>
        <v>1833881352</v>
      </c>
      <c r="E60" s="1">
        <f>ROUND((Energy!N9),4)</f>
        <v>1822695030.9368</v>
      </c>
      <c r="F60" s="1">
        <f>ROUND((Energy!N10),4)</f>
        <v>1795450583.2362001</v>
      </c>
      <c r="G60" s="1">
        <f>ROUND((Energy!N11),4)</f>
        <v>1786456376.8139</v>
      </c>
      <c r="H60" s="1">
        <f>ROUND((Energy!N12),4)</f>
        <v>1745797914.1856999</v>
      </c>
      <c r="I60" s="1">
        <f>ROUND((Energy!N13),4)</f>
        <v>1748948123.9888</v>
      </c>
      <c r="J60" s="1">
        <f>ROUND((Energy!N14),4)</f>
        <v>1693373238.7546</v>
      </c>
      <c r="K60" s="1">
        <f>ROUND((Energy!N15),4)</f>
        <v>1791168422.8854001</v>
      </c>
      <c r="L60" s="1">
        <f>ROUND((Energy!N82),4)</f>
        <v>0</v>
      </c>
      <c r="M60" s="1">
        <f>ROUND((Energy!N83),0)</f>
        <v>4091278</v>
      </c>
    </row>
    <row r="61" spans="1:13" x14ac:dyDescent="0.25">
      <c r="A61" t="s">
        <v>155</v>
      </c>
      <c r="B61" s="1">
        <f>ROUND((Load!F3),2)</f>
        <v>2384633</v>
      </c>
      <c r="C61" s="1">
        <f>ROUND((Load!F4),2)</f>
        <v>2400828</v>
      </c>
      <c r="D61" s="1">
        <f>ROUND((Load!F5),2)</f>
        <v>2394906</v>
      </c>
      <c r="E61" s="1">
        <f>ROUND((Load!F6),2)</f>
        <v>2404059.23</v>
      </c>
      <c r="F61" s="1">
        <f>ROUND((Load!F7),2)</f>
        <v>2415822.41</v>
      </c>
      <c r="G61" s="1">
        <f>ROUND((Load!F8),2)</f>
        <v>2299195.88</v>
      </c>
      <c r="H61" s="1">
        <f>ROUND((Load!F9),2)</f>
        <v>2224729.2000000002</v>
      </c>
      <c r="I61" s="1">
        <f>ROUND((Load!F10),2)</f>
        <v>2247758.75</v>
      </c>
      <c r="J61" s="1">
        <f>ROUND((Load!F11),2)</f>
        <v>2179789.7999999998</v>
      </c>
      <c r="K61" s="1">
        <f>ROUND((Load!F12),2)</f>
        <v>2258502.4300000002</v>
      </c>
      <c r="L61" s="1">
        <f>ROUND((Load!F13),2)</f>
        <v>2137328.84</v>
      </c>
      <c r="M61" s="1">
        <f>ROUND((Load!F14),2)</f>
        <v>2099055.44</v>
      </c>
    </row>
    <row r="63" spans="1:13" ht="13" x14ac:dyDescent="0.3">
      <c r="A63" s="234" t="s">
        <v>158</v>
      </c>
      <c r="B63" s="447"/>
      <c r="C63" s="447"/>
      <c r="D63" s="447"/>
      <c r="E63" s="447"/>
      <c r="F63" s="447"/>
      <c r="G63" s="447"/>
      <c r="H63" s="447"/>
      <c r="I63" s="447"/>
      <c r="J63" s="447"/>
      <c r="K63" s="447"/>
      <c r="L63" s="1"/>
      <c r="M63" s="1"/>
    </row>
    <row r="64" spans="1:13" x14ac:dyDescent="0.25">
      <c r="A64" t="s">
        <v>154</v>
      </c>
      <c r="B64" s="1">
        <f>+Customer!$L4</f>
        <v>87002</v>
      </c>
      <c r="C64" s="1">
        <f>+Customer!$L5</f>
        <v>88330</v>
      </c>
      <c r="D64" s="1">
        <f>+Customer!$L6</f>
        <v>89686</v>
      </c>
      <c r="E64" s="1">
        <f>+Customer!$L7</f>
        <v>91039</v>
      </c>
      <c r="F64" s="1">
        <f>+Customer!$L8</f>
        <v>91929</v>
      </c>
      <c r="G64" s="1">
        <f>+Customer!$L9</f>
        <v>93052</v>
      </c>
      <c r="H64" s="1">
        <f>+Customer!$L10</f>
        <v>94371</v>
      </c>
      <c r="I64" s="1">
        <f>+Customer!$L11</f>
        <v>95836</v>
      </c>
      <c r="J64" s="1">
        <f>+Customer!$L12</f>
        <v>97520</v>
      </c>
      <c r="K64" s="1">
        <f>+Customer!$L13</f>
        <v>98927</v>
      </c>
      <c r="L64" s="1">
        <f>+Customer!$L14</f>
        <v>100248</v>
      </c>
      <c r="M64" s="1">
        <f>+Customer!$L15</f>
        <v>101587</v>
      </c>
    </row>
    <row r="65" spans="1:16" x14ac:dyDescent="0.25">
      <c r="A65" t="s">
        <v>149</v>
      </c>
      <c r="B65" s="1">
        <f>ROUND((Energy!$N6+Energy!$P6+ED!$C3),4)</f>
        <v>1800023674.55</v>
      </c>
      <c r="C65" s="1">
        <f>ROUND((Energy!$N7+Energy!$P7+ED!$C4),4)</f>
        <v>1853690773.49</v>
      </c>
      <c r="D65" s="1">
        <f>ROUND((Energy!$N8+Energy!$P8+ED!$C5),4)</f>
        <v>1855191347.49</v>
      </c>
      <c r="E65" s="1">
        <f>ROUND((Energy!$N9+Energy!$P9+ED!$C6),4)</f>
        <v>1842824513.55</v>
      </c>
      <c r="F65" s="1">
        <f>ROUND((Energy!$N10+Energy!$P10+ED!$C7),4)</f>
        <v>1828284137.197</v>
      </c>
      <c r="G65" s="1">
        <f>ROUND((Energy!$N11+Energy!$P11+ED!$C8),4)</f>
        <v>1817570943.8649001</v>
      </c>
      <c r="H65" s="1">
        <f>ROUND((Energy!$N12+Energy!$P12+ED!$C9),4)</f>
        <v>1785564200.77</v>
      </c>
      <c r="I65" s="1">
        <f>ROUND((Energy!$N13+Energy!$P13+ED!$C10),4)</f>
        <v>1785354632.4870999</v>
      </c>
      <c r="J65" s="1">
        <f>ROUND((Energy!$N14+Energy!$P14+ED!$C11),4)</f>
        <v>1729388751.3992</v>
      </c>
      <c r="K65" s="1">
        <f>ROUND((Energy!$N15+Energy!$P15+ED!$C12),4)</f>
        <v>1818689250.9754</v>
      </c>
      <c r="L65" s="1">
        <f>ROUND((Energy!O83+Energy!P83+ED!C13),4)</f>
        <v>1759807994.0199001</v>
      </c>
      <c r="M65" s="1">
        <f>ROUND((Energy!O84+Energy!P84+ED!C13),4)</f>
        <v>1747630845.5388999</v>
      </c>
    </row>
    <row r="66" spans="1:16" x14ac:dyDescent="0.25">
      <c r="A66" t="s">
        <v>155</v>
      </c>
      <c r="B66" s="1">
        <f>ROUND((Load!F3+Load!J3+ED!B3),2)</f>
        <v>2434551.17</v>
      </c>
      <c r="C66" s="1">
        <f>ROUND((Load!F4+Load!J4+ED!B4),2)</f>
        <v>2453971.52</v>
      </c>
      <c r="D66" s="1">
        <f>ROUND((Load!F5+Load!J5+ED!B5),2)</f>
        <v>2444044.9</v>
      </c>
      <c r="E66" s="1">
        <f>ROUND((Load!F6+Load!J6+ED!B6),2)</f>
        <v>2446816.88</v>
      </c>
      <c r="F66" s="1">
        <f>ROUND((Load!F7+Load!J7+ED!B7),2)</f>
        <v>2484659.11</v>
      </c>
      <c r="G66" s="1">
        <f>ROUND((Load!F8+Load!J8+ED!B8),2)</f>
        <v>2362813.6</v>
      </c>
      <c r="H66" s="1">
        <f>ROUND((Load!F9+Load!J9+ED!B9),2)</f>
        <v>2304999.62</v>
      </c>
      <c r="I66" s="1">
        <f>ROUND((Load!F10+Load!J10+ED!B10),2)</f>
        <v>2328822.16</v>
      </c>
      <c r="J66" s="1">
        <f>ROUND((Load!F11+Load!J11+ED!B11),2)</f>
        <v>2254993.5299999998</v>
      </c>
      <c r="K66" s="1">
        <f>ROUND((Load!F12+Load!J12+ED!B12),2)</f>
        <v>2325647.7999999998</v>
      </c>
      <c r="L66" s="1">
        <f>ROUND((Load!F13+Load!J13+ED!B13),2)</f>
        <v>2214725.11</v>
      </c>
      <c r="M66" s="1">
        <f>ROUND((Load!F14+Load!J14+ED!B14),2)</f>
        <v>2176451.71</v>
      </c>
    </row>
    <row r="68" spans="1:16" ht="13" x14ac:dyDescent="0.3">
      <c r="A68" s="234" t="s">
        <v>159</v>
      </c>
      <c r="B68" s="1"/>
      <c r="C68" s="1"/>
      <c r="D68" s="1"/>
      <c r="E68" s="1"/>
      <c r="F68" s="1"/>
      <c r="G68" s="1"/>
      <c r="H68" s="1"/>
      <c r="I68" s="1"/>
      <c r="J68" s="1"/>
      <c r="K68" s="447"/>
      <c r="L68" s="1"/>
      <c r="M68" s="1"/>
    </row>
    <row r="69" spans="1:16" x14ac:dyDescent="0.25">
      <c r="A69" t="s">
        <v>154</v>
      </c>
      <c r="B69" s="29">
        <f>ROUND((B54-B64),0)</f>
        <v>0</v>
      </c>
      <c r="C69" s="29">
        <f t="shared" ref="C69:M69" si="6">ROUND((C54-C64),0)</f>
        <v>0</v>
      </c>
      <c r="D69" s="29">
        <f t="shared" si="6"/>
        <v>0</v>
      </c>
      <c r="E69" s="29">
        <f t="shared" si="6"/>
        <v>0</v>
      </c>
      <c r="F69" s="29">
        <f t="shared" si="6"/>
        <v>0</v>
      </c>
      <c r="G69" s="29">
        <f t="shared" si="6"/>
        <v>0</v>
      </c>
      <c r="H69" s="29">
        <f t="shared" si="6"/>
        <v>0</v>
      </c>
      <c r="I69" s="29">
        <f t="shared" si="6"/>
        <v>0</v>
      </c>
      <c r="J69" s="29">
        <f t="shared" si="6"/>
        <v>0</v>
      </c>
      <c r="K69" s="29">
        <f t="shared" si="6"/>
        <v>0</v>
      </c>
      <c r="L69" s="29">
        <f t="shared" si="6"/>
        <v>0</v>
      </c>
      <c r="M69" s="29">
        <f t="shared" si="6"/>
        <v>0</v>
      </c>
    </row>
    <row r="70" spans="1:16" x14ac:dyDescent="0.25">
      <c r="A70" t="s">
        <v>149</v>
      </c>
      <c r="B70" s="29">
        <f>ROUND((B55-B65),0)</f>
        <v>0</v>
      </c>
      <c r="C70" s="29">
        <f t="shared" ref="C70:M70" si="7">ROUND((C55-C65),0)</f>
        <v>0</v>
      </c>
      <c r="D70" s="29">
        <f t="shared" si="7"/>
        <v>0</v>
      </c>
      <c r="E70" s="29">
        <f t="shared" si="7"/>
        <v>0</v>
      </c>
      <c r="F70" s="29">
        <f t="shared" si="7"/>
        <v>0</v>
      </c>
      <c r="G70" s="29">
        <f t="shared" si="7"/>
        <v>0</v>
      </c>
      <c r="H70" s="29">
        <f t="shared" si="7"/>
        <v>0</v>
      </c>
      <c r="I70" s="29">
        <f t="shared" si="7"/>
        <v>0</v>
      </c>
      <c r="J70" s="29">
        <f t="shared" si="7"/>
        <v>0</v>
      </c>
      <c r="K70" s="29">
        <f t="shared" si="7"/>
        <v>0</v>
      </c>
      <c r="L70" s="29">
        <f t="shared" si="7"/>
        <v>0</v>
      </c>
      <c r="M70" s="29">
        <f t="shared" si="7"/>
        <v>0</v>
      </c>
    </row>
    <row r="71" spans="1:16" x14ac:dyDescent="0.25">
      <c r="A71" t="s">
        <v>155</v>
      </c>
      <c r="B71" s="29">
        <f>ROUND((B56-B66),0)</f>
        <v>0</v>
      </c>
      <c r="C71" s="29">
        <f t="shared" ref="C71:M71" si="8">ROUND((C56-C66),0)</f>
        <v>0</v>
      </c>
      <c r="D71" s="29">
        <f t="shared" si="8"/>
        <v>0</v>
      </c>
      <c r="E71" s="29">
        <f t="shared" si="8"/>
        <v>0</v>
      </c>
      <c r="F71" s="29">
        <f t="shared" si="8"/>
        <v>0</v>
      </c>
      <c r="G71" s="29">
        <f t="shared" si="8"/>
        <v>0</v>
      </c>
      <c r="H71" s="29">
        <f t="shared" si="8"/>
        <v>0</v>
      </c>
      <c r="I71" s="29">
        <f t="shared" si="8"/>
        <v>0</v>
      </c>
      <c r="J71" s="29">
        <f t="shared" si="8"/>
        <v>0</v>
      </c>
      <c r="K71" s="29">
        <f t="shared" si="8"/>
        <v>0</v>
      </c>
      <c r="L71" s="29">
        <f t="shared" si="8"/>
        <v>0</v>
      </c>
      <c r="M71" s="29">
        <f t="shared" si="8"/>
        <v>0</v>
      </c>
    </row>
    <row r="74" spans="1:16" ht="13" x14ac:dyDescent="0.3">
      <c r="B74" s="228">
        <v>2009</v>
      </c>
      <c r="C74" s="228">
        <v>2010</v>
      </c>
      <c r="D74" s="228">
        <v>2011</v>
      </c>
      <c r="E74" s="63">
        <v>2012</v>
      </c>
      <c r="F74" s="228">
        <v>2013</v>
      </c>
      <c r="G74" s="228">
        <v>2014</v>
      </c>
      <c r="H74" s="228">
        <v>2015</v>
      </c>
      <c r="I74" s="63">
        <v>2016</v>
      </c>
      <c r="J74" s="228">
        <v>2017</v>
      </c>
      <c r="K74" s="228">
        <v>2018</v>
      </c>
      <c r="L74" s="228">
        <v>2019</v>
      </c>
      <c r="M74" s="63">
        <v>2020</v>
      </c>
      <c r="P74" s="447"/>
    </row>
    <row r="75" spans="1:16" x14ac:dyDescent="0.25">
      <c r="A75" t="s">
        <v>160</v>
      </c>
      <c r="B75" s="54">
        <f t="shared" ref="B75:E76" si="9">B4/1000000</f>
        <v>1783.5255456735001</v>
      </c>
      <c r="C75" s="54">
        <f t="shared" si="9"/>
        <v>1847.2826938639</v>
      </c>
      <c r="D75" s="54">
        <f t="shared" si="9"/>
        <v>1851.6011061615</v>
      </c>
      <c r="E75" s="54">
        <f t="shared" si="9"/>
        <v>1841.7514866217</v>
      </c>
      <c r="F75" s="54">
        <f t="shared" ref="F75:J76" si="10">F4/1000000</f>
        <v>1826.0774520487</v>
      </c>
      <c r="G75" s="54">
        <f t="shared" si="10"/>
        <v>1813.6467374347999</v>
      </c>
      <c r="H75" s="54">
        <f t="shared" si="10"/>
        <v>1801.9899524038001</v>
      </c>
      <c r="I75" s="54">
        <f t="shared" si="10"/>
        <v>1811.6906755150001</v>
      </c>
      <c r="J75" s="54">
        <f t="shared" si="10"/>
        <v>1757.8087417091001</v>
      </c>
      <c r="K75" s="54">
        <f>K4/1000000</f>
        <v>1857.0498433989001</v>
      </c>
      <c r="L75" s="54"/>
      <c r="M75" s="54"/>
      <c r="P75" s="447"/>
    </row>
    <row r="76" spans="1:16" x14ac:dyDescent="0.25">
      <c r="A76" t="s">
        <v>161</v>
      </c>
      <c r="B76" s="54">
        <f t="shared" si="9"/>
        <v>1803.793046908</v>
      </c>
      <c r="C76" s="54">
        <f t="shared" si="9"/>
        <v>1840.7353822095999</v>
      </c>
      <c r="D76" s="54">
        <f t="shared" si="9"/>
        <v>1833.8649106591001</v>
      </c>
      <c r="E76" s="54">
        <f t="shared" si="9"/>
        <v>1829.6253369437002</v>
      </c>
      <c r="F76" s="54">
        <f t="shared" si="10"/>
        <v>1825.9211599988998</v>
      </c>
      <c r="G76" s="54">
        <f t="shared" si="10"/>
        <v>1806.2748326216999</v>
      </c>
      <c r="H76" s="54">
        <f t="shared" si="10"/>
        <v>1809.3774100093999</v>
      </c>
      <c r="I76" s="54">
        <f t="shared" si="10"/>
        <v>1829.6359520556</v>
      </c>
      <c r="J76" s="54">
        <f t="shared" si="10"/>
        <v>1777.4132150747</v>
      </c>
      <c r="K76" s="54">
        <f>K5/1000000</f>
        <v>1835.7829883504</v>
      </c>
      <c r="L76" s="54">
        <f>L5/1000000</f>
        <v>1796.1430162227002</v>
      </c>
      <c r="M76" s="54">
        <f>M5/1000000</f>
        <v>1798.6331940739001</v>
      </c>
      <c r="P76" s="447"/>
    </row>
    <row r="80" spans="1:16" x14ac:dyDescent="0.25">
      <c r="B80"/>
      <c r="C80" s="447"/>
      <c r="D80" s="447"/>
      <c r="E80" s="447"/>
      <c r="F80" s="447"/>
      <c r="G80" s="447"/>
      <c r="H80" s="447"/>
      <c r="I80" s="447"/>
      <c r="J80" s="447"/>
      <c r="K80" s="447"/>
      <c r="L80" s="447"/>
      <c r="M80" s="447"/>
    </row>
  </sheetData>
  <mergeCells count="1">
    <mergeCell ref="A1:M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732"/>
  <sheetViews>
    <sheetView topLeftCell="A403" workbookViewId="0">
      <selection activeCell="I414" sqref="I414"/>
    </sheetView>
  </sheetViews>
  <sheetFormatPr defaultColWidth="9.1796875" defaultRowHeight="14" x14ac:dyDescent="0.3"/>
  <cols>
    <col min="1" max="1" width="12.81640625" style="115" customWidth="1"/>
    <col min="2" max="2" width="17.7265625" style="115" customWidth="1"/>
    <col min="3" max="3" width="21" style="115" customWidth="1"/>
    <col min="4" max="9" width="16" style="115" bestFit="1" customWidth="1"/>
    <col min="10" max="10" width="16" style="115" customWidth="1"/>
    <col min="11" max="11" width="13.1796875" style="115" customWidth="1"/>
    <col min="12" max="22" width="15.7265625" style="115" bestFit="1" customWidth="1"/>
    <col min="23" max="16384" width="9.1796875" style="115"/>
  </cols>
  <sheetData>
    <row r="2" spans="1:16" x14ac:dyDescent="0.3">
      <c r="A2" s="472" t="s">
        <v>162</v>
      </c>
      <c r="B2" s="473"/>
      <c r="C2" s="473"/>
      <c r="D2" s="473"/>
      <c r="E2" s="473"/>
      <c r="F2" s="473"/>
      <c r="G2" s="473"/>
      <c r="H2" s="474"/>
      <c r="I2" s="114"/>
    </row>
    <row r="3" spans="1:16" ht="42" x14ac:dyDescent="0.3">
      <c r="A3" s="470" t="s">
        <v>163</v>
      </c>
      <c r="B3" s="506"/>
      <c r="C3" s="224" t="s">
        <v>164</v>
      </c>
      <c r="D3" s="224" t="s">
        <v>165</v>
      </c>
      <c r="E3" s="224" t="s">
        <v>166</v>
      </c>
      <c r="F3" s="224" t="s">
        <v>167</v>
      </c>
      <c r="G3" s="224" t="s">
        <v>168</v>
      </c>
      <c r="H3" s="224" t="s">
        <v>169</v>
      </c>
      <c r="I3" s="116"/>
    </row>
    <row r="4" spans="1:16" x14ac:dyDescent="0.3">
      <c r="A4" s="472" t="s">
        <v>170</v>
      </c>
      <c r="B4" s="473"/>
      <c r="C4" s="473"/>
      <c r="D4" s="473"/>
      <c r="E4" s="473"/>
      <c r="F4" s="473"/>
      <c r="G4" s="473"/>
      <c r="H4" s="474"/>
      <c r="I4" s="114"/>
    </row>
    <row r="5" spans="1:16" ht="7.5" customHeight="1" x14ac:dyDescent="0.3">
      <c r="A5" s="517"/>
      <c r="B5" s="518"/>
      <c r="C5" s="439"/>
      <c r="D5" s="439"/>
      <c r="E5" s="439"/>
      <c r="F5" s="439"/>
      <c r="G5" s="439"/>
      <c r="H5" s="439"/>
      <c r="I5" s="114"/>
      <c r="N5"/>
      <c r="O5"/>
      <c r="P5"/>
    </row>
    <row r="6" spans="1:16" x14ac:dyDescent="0.3">
      <c r="A6" s="117" t="s">
        <v>171</v>
      </c>
      <c r="B6" s="118"/>
      <c r="C6" s="119">
        <v>1790.04198109395</v>
      </c>
      <c r="D6" s="120"/>
      <c r="E6" s="120"/>
      <c r="F6" s="121">
        <v>93835</v>
      </c>
      <c r="G6" s="120"/>
      <c r="H6" s="120"/>
      <c r="I6" s="114"/>
      <c r="N6"/>
      <c r="O6"/>
      <c r="P6"/>
    </row>
    <row r="7" spans="1:16" ht="7.5" customHeight="1" x14ac:dyDescent="0.3">
      <c r="A7" s="519"/>
      <c r="B7" s="520"/>
      <c r="C7" s="439"/>
      <c r="D7" s="439"/>
      <c r="E7" s="439"/>
      <c r="F7" s="439"/>
      <c r="G7" s="439"/>
      <c r="H7" s="439"/>
      <c r="I7" s="114"/>
      <c r="N7"/>
      <c r="O7"/>
      <c r="P7"/>
    </row>
    <row r="8" spans="1:16" ht="15" customHeight="1" x14ac:dyDescent="0.3">
      <c r="A8" s="431" t="s">
        <v>172</v>
      </c>
      <c r="B8" s="442"/>
      <c r="C8" s="122">
        <v>1877.4</v>
      </c>
      <c r="D8" s="124"/>
      <c r="E8" s="126"/>
      <c r="F8" s="123">
        <f>ROUND((Customer!I3),0)</f>
        <v>85779</v>
      </c>
      <c r="G8" s="127"/>
      <c r="H8" s="126"/>
      <c r="I8" s="125"/>
    </row>
    <row r="9" spans="1:16" ht="15" customHeight="1" x14ac:dyDescent="0.3">
      <c r="A9" s="431" t="s">
        <v>173</v>
      </c>
      <c r="B9" s="442"/>
      <c r="C9" s="122">
        <f>ROUND((Energy!N6/1000000),1)</f>
        <v>1777.4</v>
      </c>
      <c r="D9" s="124">
        <f>ROUND((C9-C8),1)</f>
        <v>-100</v>
      </c>
      <c r="E9" s="126">
        <f>ROUND((D9/C8),3)</f>
        <v>-5.2999999999999999E-2</v>
      </c>
      <c r="F9" s="123">
        <f>ROUND((Customer!I4),0)</f>
        <v>87001</v>
      </c>
      <c r="G9" s="127">
        <f>F9-F8</f>
        <v>1222</v>
      </c>
      <c r="H9" s="126">
        <f>ROUND((G9/F8),3)</f>
        <v>1.4E-2</v>
      </c>
      <c r="I9" s="125"/>
    </row>
    <row r="10" spans="1:16" ht="15" customHeight="1" x14ac:dyDescent="0.3">
      <c r="A10" s="431" t="s">
        <v>174</v>
      </c>
      <c r="B10" s="442"/>
      <c r="C10" s="122">
        <f>ROUND((Energy!N7/1000000),1)</f>
        <v>1829.5</v>
      </c>
      <c r="D10" s="124">
        <f t="shared" ref="D10:D20" si="0">ROUND((C10-C9),1)</f>
        <v>52.1</v>
      </c>
      <c r="E10" s="126">
        <f t="shared" ref="E10:E20" si="1">ROUND((D10/C9),3)</f>
        <v>2.9000000000000001E-2</v>
      </c>
      <c r="F10" s="123">
        <f>ROUND((Customer!I5),0)</f>
        <v>88329</v>
      </c>
      <c r="G10" s="127">
        <f t="shared" ref="G10:G20" si="2">F10-F9</f>
        <v>1328</v>
      </c>
      <c r="H10" s="126">
        <f t="shared" ref="H10:H20" si="3">ROUND((G10/F9),3)</f>
        <v>1.4999999999999999E-2</v>
      </c>
      <c r="I10" s="125"/>
    </row>
    <row r="11" spans="1:16" s="129" customFormat="1" ht="15" customHeight="1" x14ac:dyDescent="0.3">
      <c r="A11" s="431" t="s">
        <v>175</v>
      </c>
      <c r="B11" s="128"/>
      <c r="C11" s="122">
        <f>ROUND((Energy!N8/1000000),1)</f>
        <v>1833.9</v>
      </c>
      <c r="D11" s="124">
        <f t="shared" si="0"/>
        <v>4.4000000000000004</v>
      </c>
      <c r="E11" s="126">
        <f t="shared" si="1"/>
        <v>2E-3</v>
      </c>
      <c r="F11" s="123">
        <f>ROUND((Customer!I6),0)</f>
        <v>89685</v>
      </c>
      <c r="G11" s="127">
        <f t="shared" si="2"/>
        <v>1356</v>
      </c>
      <c r="H11" s="126">
        <f t="shared" si="3"/>
        <v>1.4999999999999999E-2</v>
      </c>
      <c r="I11" s="125"/>
    </row>
    <row r="12" spans="1:16" s="129" customFormat="1" ht="15" customHeight="1" x14ac:dyDescent="0.3">
      <c r="A12" s="431" t="s">
        <v>176</v>
      </c>
      <c r="B12" s="128"/>
      <c r="C12" s="122">
        <f>ROUND((Energy!N9/1000000),1)</f>
        <v>1822.7</v>
      </c>
      <c r="D12" s="124">
        <f t="shared" si="0"/>
        <v>-11.2</v>
      </c>
      <c r="E12" s="126">
        <f t="shared" si="1"/>
        <v>-6.0000000000000001E-3</v>
      </c>
      <c r="F12" s="123">
        <f>ROUND((Customer!I7),0)</f>
        <v>91034</v>
      </c>
      <c r="G12" s="127">
        <f t="shared" si="2"/>
        <v>1349</v>
      </c>
      <c r="H12" s="126">
        <f t="shared" si="3"/>
        <v>1.4999999999999999E-2</v>
      </c>
      <c r="I12" s="125"/>
    </row>
    <row r="13" spans="1:16" s="129" customFormat="1" ht="15" customHeight="1" x14ac:dyDescent="0.3">
      <c r="A13" s="431" t="s">
        <v>177</v>
      </c>
      <c r="B13" s="128"/>
      <c r="C13" s="122">
        <f>ROUND((Energy!N10/1000000),1)</f>
        <v>1795.5</v>
      </c>
      <c r="D13" s="124">
        <f t="shared" si="0"/>
        <v>-27.2</v>
      </c>
      <c r="E13" s="126">
        <f t="shared" si="1"/>
        <v>-1.4999999999999999E-2</v>
      </c>
      <c r="F13" s="123">
        <f>ROUND((Customer!I8),0)</f>
        <v>91924</v>
      </c>
      <c r="G13" s="127">
        <f t="shared" si="2"/>
        <v>890</v>
      </c>
      <c r="H13" s="126">
        <f t="shared" si="3"/>
        <v>0.01</v>
      </c>
      <c r="I13" s="125"/>
    </row>
    <row r="14" spans="1:16" s="129" customFormat="1" ht="15" customHeight="1" x14ac:dyDescent="0.3">
      <c r="A14" s="431" t="s">
        <v>178</v>
      </c>
      <c r="B14" s="128"/>
      <c r="C14" s="122">
        <f>ROUND((Energy!N11/1000000),1)</f>
        <v>1786.5</v>
      </c>
      <c r="D14" s="124">
        <f t="shared" si="0"/>
        <v>-9</v>
      </c>
      <c r="E14" s="126">
        <f t="shared" si="1"/>
        <v>-5.0000000000000001E-3</v>
      </c>
      <c r="F14" s="123">
        <f>ROUND((Customer!I9),0)</f>
        <v>93047</v>
      </c>
      <c r="G14" s="127">
        <f t="shared" si="2"/>
        <v>1123</v>
      </c>
      <c r="H14" s="126">
        <f t="shared" si="3"/>
        <v>1.2E-2</v>
      </c>
      <c r="I14" s="125"/>
    </row>
    <row r="15" spans="1:16" s="129" customFormat="1" ht="15" customHeight="1" x14ac:dyDescent="0.3">
      <c r="A15" s="431" t="s">
        <v>179</v>
      </c>
      <c r="B15" s="128"/>
      <c r="C15" s="122">
        <f>ROUND((Energy!N12/1000000),1)</f>
        <v>1745.8</v>
      </c>
      <c r="D15" s="124">
        <f t="shared" si="0"/>
        <v>-40.700000000000003</v>
      </c>
      <c r="E15" s="126">
        <f t="shared" si="1"/>
        <v>-2.3E-2</v>
      </c>
      <c r="F15" s="123">
        <f>ROUND((Customer!I10),0)</f>
        <v>94366</v>
      </c>
      <c r="G15" s="127">
        <f t="shared" si="2"/>
        <v>1319</v>
      </c>
      <c r="H15" s="126">
        <f t="shared" si="3"/>
        <v>1.4E-2</v>
      </c>
      <c r="I15" s="125"/>
    </row>
    <row r="16" spans="1:16" s="129" customFormat="1" ht="15" customHeight="1" x14ac:dyDescent="0.3">
      <c r="A16" s="431" t="s">
        <v>180</v>
      </c>
      <c r="B16" s="128"/>
      <c r="C16" s="122">
        <f>ROUND((Energy!N13/1000000),1)</f>
        <v>1748.9</v>
      </c>
      <c r="D16" s="124">
        <f t="shared" si="0"/>
        <v>3.1</v>
      </c>
      <c r="E16" s="126">
        <f t="shared" si="1"/>
        <v>2E-3</v>
      </c>
      <c r="F16" s="123">
        <f>ROUND((Customer!I11),0)</f>
        <v>95831</v>
      </c>
      <c r="G16" s="127">
        <f t="shared" si="2"/>
        <v>1465</v>
      </c>
      <c r="H16" s="126">
        <f t="shared" si="3"/>
        <v>1.6E-2</v>
      </c>
      <c r="I16" s="125"/>
    </row>
    <row r="17" spans="1:13" s="129" customFormat="1" ht="15" customHeight="1" x14ac:dyDescent="0.3">
      <c r="A17" s="431" t="s">
        <v>181</v>
      </c>
      <c r="B17" s="128"/>
      <c r="C17" s="122">
        <f>ROUND((Energy!N14/1000000),1)</f>
        <v>1693.4</v>
      </c>
      <c r="D17" s="124">
        <f t="shared" si="0"/>
        <v>-55.5</v>
      </c>
      <c r="E17" s="126">
        <f t="shared" si="1"/>
        <v>-3.2000000000000001E-2</v>
      </c>
      <c r="F17" s="123">
        <f>ROUND((Customer!I12),0)</f>
        <v>97515</v>
      </c>
      <c r="G17" s="127">
        <f t="shared" si="2"/>
        <v>1684</v>
      </c>
      <c r="H17" s="126">
        <f t="shared" si="3"/>
        <v>1.7999999999999999E-2</v>
      </c>
      <c r="I17" s="125"/>
    </row>
    <row r="18" spans="1:13" s="129" customFormat="1" ht="15" customHeight="1" x14ac:dyDescent="0.3">
      <c r="A18" s="431" t="s">
        <v>182</v>
      </c>
      <c r="B18" s="128"/>
      <c r="C18" s="122">
        <f>ROUND((Energy!N15/1000000),1)</f>
        <v>1791.2</v>
      </c>
      <c r="D18" s="124">
        <f t="shared" si="0"/>
        <v>97.8</v>
      </c>
      <c r="E18" s="126">
        <f t="shared" si="1"/>
        <v>5.8000000000000003E-2</v>
      </c>
      <c r="F18" s="123">
        <f>ROUND((Customer!I13),0)</f>
        <v>98921</v>
      </c>
      <c r="G18" s="127">
        <f t="shared" si="2"/>
        <v>1406</v>
      </c>
      <c r="H18" s="126">
        <f t="shared" si="3"/>
        <v>1.4E-2</v>
      </c>
      <c r="I18" s="125"/>
    </row>
    <row r="19" spans="1:13" s="129" customFormat="1" ht="15" customHeight="1" x14ac:dyDescent="0.3">
      <c r="A19" s="519" t="s">
        <v>183</v>
      </c>
      <c r="B19" s="520"/>
      <c r="C19" s="130">
        <f>+Energy!O63/1000000</f>
        <v>1735.3442917491</v>
      </c>
      <c r="D19" s="131">
        <f t="shared" si="0"/>
        <v>-55.9</v>
      </c>
      <c r="E19" s="132">
        <f t="shared" si="1"/>
        <v>-3.1E-2</v>
      </c>
      <c r="F19" s="133">
        <f>ROUND((Customer!I14),0)</f>
        <v>100242</v>
      </c>
      <c r="G19" s="134">
        <f t="shared" si="2"/>
        <v>1321</v>
      </c>
      <c r="H19" s="132">
        <f t="shared" si="3"/>
        <v>1.2999999999999999E-2</v>
      </c>
      <c r="I19" s="135"/>
      <c r="K19" s="136"/>
    </row>
    <row r="20" spans="1:13" s="129" customFormat="1" ht="15" customHeight="1" x14ac:dyDescent="0.3">
      <c r="A20" s="519" t="s">
        <v>184</v>
      </c>
      <c r="B20" s="520"/>
      <c r="C20" s="130">
        <f>ROUND((Energy!O64/1000000),1)</f>
        <v>1737.8</v>
      </c>
      <c r="D20" s="131">
        <f t="shared" si="0"/>
        <v>2.5</v>
      </c>
      <c r="E20" s="132">
        <f t="shared" si="1"/>
        <v>1E-3</v>
      </c>
      <c r="F20" s="133">
        <f>ROUND((Customer!I15),0)</f>
        <v>101581</v>
      </c>
      <c r="G20" s="134">
        <f t="shared" si="2"/>
        <v>1339</v>
      </c>
      <c r="H20" s="132">
        <f t="shared" si="3"/>
        <v>1.2999999999999999E-2</v>
      </c>
      <c r="I20" s="135"/>
      <c r="K20" s="136"/>
    </row>
    <row r="21" spans="1:13" s="129" customFormat="1" x14ac:dyDescent="0.3">
      <c r="A21" s="445"/>
      <c r="B21" s="446"/>
      <c r="C21" s="137"/>
      <c r="D21" s="138"/>
      <c r="E21" s="139"/>
      <c r="F21" s="140"/>
      <c r="G21" s="141"/>
      <c r="H21" s="139"/>
      <c r="I21" s="135"/>
    </row>
    <row r="22" spans="1:13" x14ac:dyDescent="0.3">
      <c r="A22" s="472" t="s">
        <v>185</v>
      </c>
      <c r="B22" s="473"/>
      <c r="C22" s="473"/>
      <c r="D22" s="473"/>
      <c r="E22" s="473"/>
      <c r="F22" s="473"/>
      <c r="G22" s="473"/>
      <c r="H22" s="473"/>
      <c r="I22" s="474"/>
      <c r="J22" s="142"/>
      <c r="K22" s="142"/>
      <c r="L22" s="143"/>
    </row>
    <row r="23" spans="1:13" ht="28" x14ac:dyDescent="0.3">
      <c r="A23" s="470" t="s">
        <v>163</v>
      </c>
      <c r="B23" s="471"/>
      <c r="C23" s="225" t="s">
        <v>45</v>
      </c>
      <c r="D23" s="225" t="s">
        <v>46</v>
      </c>
      <c r="E23" s="225" t="s">
        <v>47</v>
      </c>
      <c r="F23" s="225" t="s">
        <v>186</v>
      </c>
      <c r="G23" s="225" t="s">
        <v>187</v>
      </c>
      <c r="H23" s="225" t="s">
        <v>51</v>
      </c>
      <c r="I23" s="225" t="s">
        <v>29</v>
      </c>
    </row>
    <row r="24" spans="1:13" ht="14.25" customHeight="1" x14ac:dyDescent="0.3">
      <c r="A24" s="144" t="s">
        <v>188</v>
      </c>
      <c r="B24" s="144"/>
      <c r="C24" s="144"/>
      <c r="D24" s="144"/>
      <c r="E24" s="144"/>
      <c r="F24" s="144"/>
      <c r="G24" s="144"/>
      <c r="H24" s="144"/>
      <c r="I24" s="144"/>
      <c r="L24"/>
    </row>
    <row r="25" spans="1:13" ht="7.5" customHeight="1" x14ac:dyDescent="0.3">
      <c r="A25" s="524"/>
      <c r="B25" s="524"/>
      <c r="C25" s="439"/>
      <c r="D25" s="439"/>
      <c r="E25" s="439"/>
      <c r="F25" s="439"/>
      <c r="G25" s="439"/>
      <c r="H25" s="439"/>
      <c r="I25" s="145"/>
    </row>
    <row r="26" spans="1:13" ht="15" customHeight="1" x14ac:dyDescent="0.3">
      <c r="A26" s="146" t="str">
        <f>A6</f>
        <v>2014 Board Approved</v>
      </c>
      <c r="B26" s="147"/>
      <c r="C26" s="119">
        <v>651.72815469921295</v>
      </c>
      <c r="D26" s="119">
        <v>241.68320623983101</v>
      </c>
      <c r="E26" s="119">
        <v>845.28597670757495</v>
      </c>
      <c r="F26" s="148">
        <v>31.798990292463198</v>
      </c>
      <c r="G26" s="119">
        <v>16.128464711878198</v>
      </c>
      <c r="H26" s="149">
        <v>3.4171884429939499</v>
      </c>
      <c r="I26" s="150">
        <f>ROUND((SUM(C26:H26)),1)</f>
        <v>1790</v>
      </c>
    </row>
    <row r="27" spans="1:13" ht="7.5" customHeight="1" x14ac:dyDescent="0.3">
      <c r="A27" s="525"/>
      <c r="B27" s="525"/>
      <c r="C27" s="439"/>
      <c r="D27" s="439"/>
      <c r="E27" s="439"/>
      <c r="F27" s="151"/>
      <c r="G27" s="439"/>
      <c r="H27" s="122"/>
      <c r="I27" s="439"/>
    </row>
    <row r="28" spans="1:13" ht="15" customHeight="1" x14ac:dyDescent="0.3">
      <c r="A28" s="432" t="str">
        <f t="shared" ref="A28:A39" si="4">A9</f>
        <v>2009 Actual</v>
      </c>
      <c r="B28" s="432"/>
      <c r="C28" s="122">
        <f>ROUND((Energy!G6/1000000),1)</f>
        <v>626.9</v>
      </c>
      <c r="D28" s="122">
        <f>ROUND((Energy!H6/1000000),1)</f>
        <v>230.6</v>
      </c>
      <c r="E28" s="122">
        <f>ROUND(((Energy!I6+Energy!P6+Energy!J6)/1000000),1)</f>
        <v>820.9</v>
      </c>
      <c r="F28" s="152">
        <f>ROUND((Energy!K6/1000000),1)</f>
        <v>79.8</v>
      </c>
      <c r="G28" s="122">
        <f>ROUND((Energy!L6/1000000),1)</f>
        <v>15.9</v>
      </c>
      <c r="H28" s="122">
        <f>ROUND((Energy!M6/1000000),1)</f>
        <v>3.3</v>
      </c>
      <c r="I28" s="122">
        <f>ROUND((SUM(C28:H28)),1)</f>
        <v>1777.4</v>
      </c>
      <c r="L28"/>
      <c r="M28"/>
    </row>
    <row r="29" spans="1:13" ht="15" customHeight="1" x14ac:dyDescent="0.3">
      <c r="A29" s="432" t="str">
        <f t="shared" si="4"/>
        <v xml:space="preserve">2010 Actual </v>
      </c>
      <c r="B29" s="432"/>
      <c r="C29" s="122">
        <f>ROUND((Energy!G7/1000000),1)</f>
        <v>650.70000000000005</v>
      </c>
      <c r="D29" s="122">
        <f>ROUND((Energy!H7/1000000),1)</f>
        <v>236.1</v>
      </c>
      <c r="E29" s="122">
        <f>ROUND(((Energy!I7+Energy!P7+Energy!J7)/1000000),1)</f>
        <v>876.9</v>
      </c>
      <c r="F29" s="152">
        <f>ROUND((Energy!K7/1000000),1)</f>
        <v>46.6</v>
      </c>
      <c r="G29" s="122">
        <f>ROUND((Energy!L7/1000000),1)</f>
        <v>16</v>
      </c>
      <c r="H29" s="122">
        <f>ROUND((Energy!M7/1000000),1)</f>
        <v>3.3</v>
      </c>
      <c r="I29" s="122">
        <f t="shared" ref="I29:I37" si="5">ROUND((SUM(C29:H29)),1)</f>
        <v>1829.6</v>
      </c>
      <c r="L29"/>
      <c r="M29"/>
    </row>
    <row r="30" spans="1:13" s="129" customFormat="1" ht="15" customHeight="1" x14ac:dyDescent="0.3">
      <c r="A30" s="432" t="str">
        <f t="shared" si="4"/>
        <v xml:space="preserve">2011 Actual </v>
      </c>
      <c r="B30" s="432"/>
      <c r="C30" s="122">
        <f>ROUND((Energy!G8/1000000),1)</f>
        <v>647.29999999999995</v>
      </c>
      <c r="D30" s="122">
        <f>ROUND((Energy!H8/1000000),1)</f>
        <v>240.2</v>
      </c>
      <c r="E30" s="122">
        <f>ROUND(((Energy!I8+Energy!P8+Energy!J8)/1000000),1)</f>
        <v>871.3</v>
      </c>
      <c r="F30" s="152">
        <f>ROUND((Energy!K8/1000000),1)</f>
        <v>56</v>
      </c>
      <c r="G30" s="122">
        <f>ROUND((Energy!L8/1000000),1)</f>
        <v>15.9</v>
      </c>
      <c r="H30" s="122">
        <f>ROUND((Energy!M8/1000000),1)</f>
        <v>3.3</v>
      </c>
      <c r="I30" s="122">
        <f t="shared" si="5"/>
        <v>1834</v>
      </c>
      <c r="L30"/>
      <c r="M30"/>
    </row>
    <row r="31" spans="1:13" s="129" customFormat="1" ht="15" customHeight="1" x14ac:dyDescent="0.3">
      <c r="A31" s="432" t="str">
        <f t="shared" si="4"/>
        <v>2012 Actual</v>
      </c>
      <c r="B31" s="432"/>
      <c r="C31" s="122">
        <f>ROUND((Energy!G9/1000000),1)</f>
        <v>644.5</v>
      </c>
      <c r="D31" s="122">
        <f>ROUND((Energy!H9/1000000),1)</f>
        <v>241</v>
      </c>
      <c r="E31" s="122">
        <f>ROUND(((Energy!I9+Energy!P9+Energy!J9)/1000000),1)</f>
        <v>850.8</v>
      </c>
      <c r="F31" s="152">
        <f>ROUND((Energy!K9/1000000),1)</f>
        <v>69.400000000000006</v>
      </c>
      <c r="G31" s="122">
        <f>ROUND((Energy!L9/1000000),1)</f>
        <v>15.9</v>
      </c>
      <c r="H31" s="122">
        <f>ROUND((Energy!M9/1000000),1)</f>
        <v>3.7</v>
      </c>
      <c r="I31" s="122">
        <f t="shared" si="5"/>
        <v>1825.3</v>
      </c>
      <c r="L31"/>
      <c r="M31"/>
    </row>
    <row r="32" spans="1:13" s="129" customFormat="1" ht="15" customHeight="1" x14ac:dyDescent="0.3">
      <c r="A32" s="432" t="str">
        <f t="shared" si="4"/>
        <v xml:space="preserve">2013 Actual </v>
      </c>
      <c r="B32" s="432"/>
      <c r="C32" s="122">
        <f>ROUND((Energy!G10/1000000),1)</f>
        <v>640.29999999999995</v>
      </c>
      <c r="D32" s="122">
        <f>ROUND((Energy!H10/1000000),1)</f>
        <v>241.2</v>
      </c>
      <c r="E32" s="122">
        <f>ROUND(((Energy!I10+Energy!P10+Energy!J10)/1000000),1)</f>
        <v>823.6</v>
      </c>
      <c r="F32" s="152">
        <f>ROUND((Energy!K10/1000000),1)</f>
        <v>88.5</v>
      </c>
      <c r="G32" s="122">
        <f>ROUND((Energy!L10/1000000),1)</f>
        <v>16</v>
      </c>
      <c r="H32" s="122">
        <f>ROUND((Energy!M10/1000000),1)</f>
        <v>3.7</v>
      </c>
      <c r="I32" s="122">
        <f t="shared" si="5"/>
        <v>1813.3</v>
      </c>
      <c r="L32"/>
      <c r="M32"/>
    </row>
    <row r="33" spans="1:18" s="129" customFormat="1" ht="15" customHeight="1" x14ac:dyDescent="0.3">
      <c r="A33" s="432" t="str">
        <f t="shared" si="4"/>
        <v xml:space="preserve">2014 Actual </v>
      </c>
      <c r="B33" s="432"/>
      <c r="C33" s="122">
        <f>ROUND((Energy!G11/1000000),1)</f>
        <v>637.20000000000005</v>
      </c>
      <c r="D33" s="122">
        <f>ROUND((Energy!H11/1000000),1)</f>
        <v>242.2</v>
      </c>
      <c r="E33" s="122">
        <f>ROUND(((Energy!I11+Energy!P11+Energy!J11)/1000000),1)</f>
        <v>840.6</v>
      </c>
      <c r="F33" s="152">
        <f>ROUND((Energy!K11/1000000),1)</f>
        <v>63.4</v>
      </c>
      <c r="G33" s="122">
        <f>ROUND((Energy!L11/1000000),1)</f>
        <v>16</v>
      </c>
      <c r="H33" s="122">
        <f>ROUND((Energy!M11/1000000),1)</f>
        <v>4</v>
      </c>
      <c r="I33" s="122">
        <f t="shared" si="5"/>
        <v>1803.4</v>
      </c>
      <c r="L33"/>
      <c r="M33"/>
    </row>
    <row r="34" spans="1:18" s="129" customFormat="1" ht="15" customHeight="1" x14ac:dyDescent="0.3">
      <c r="A34" s="432" t="str">
        <f t="shared" si="4"/>
        <v xml:space="preserve">2015 Actual </v>
      </c>
      <c r="B34" s="432"/>
      <c r="C34" s="122">
        <f>ROUND((Energy!G12/1000000),1)</f>
        <v>635.70000000000005</v>
      </c>
      <c r="D34" s="122">
        <f>ROUND((Energy!H12/1000000),1)</f>
        <v>238</v>
      </c>
      <c r="E34" s="122">
        <f>ROUND(((Energy!I12+Energy!P12+Energy!J12)/1000000),1)</f>
        <v>832.9</v>
      </c>
      <c r="F34" s="152">
        <f>ROUND((Energy!K12/1000000),1)</f>
        <v>35.799999999999997</v>
      </c>
      <c r="G34" s="122">
        <f>ROUND((Energy!L12/1000000),1)</f>
        <v>16.2</v>
      </c>
      <c r="H34" s="122">
        <f>ROUND((Energy!M12/1000000),1)</f>
        <v>3.9</v>
      </c>
      <c r="I34" s="122">
        <f t="shared" si="5"/>
        <v>1762.5</v>
      </c>
      <c r="L34"/>
      <c r="M34"/>
    </row>
    <row r="35" spans="1:18" s="129" customFormat="1" ht="15" customHeight="1" x14ac:dyDescent="0.3">
      <c r="A35" s="432" t="str">
        <f t="shared" si="4"/>
        <v xml:space="preserve">2016 Actual </v>
      </c>
      <c r="B35" s="432"/>
      <c r="C35" s="122">
        <f>ROUND((Energy!G13/1000000),1)</f>
        <v>650.70000000000005</v>
      </c>
      <c r="D35" s="122">
        <f>ROUND((Energy!H13/1000000),1)</f>
        <v>239.1</v>
      </c>
      <c r="E35" s="122">
        <f>ROUND(((Energy!I13+Energy!P13+Energy!J13)/1000000),1)</f>
        <v>826.9</v>
      </c>
      <c r="F35" s="152">
        <f>ROUND((Energy!K13/1000000),1)</f>
        <v>28.9</v>
      </c>
      <c r="G35" s="122">
        <f>ROUND((Energy!L13/1000000),1)</f>
        <v>16.3</v>
      </c>
      <c r="H35" s="122">
        <f>ROUND((Energy!M13/1000000),1)</f>
        <v>3.9</v>
      </c>
      <c r="I35" s="122">
        <f t="shared" si="5"/>
        <v>1765.8</v>
      </c>
      <c r="L35"/>
      <c r="M35"/>
    </row>
    <row r="36" spans="1:18" s="129" customFormat="1" ht="15" customHeight="1" x14ac:dyDescent="0.3">
      <c r="A36" s="432" t="str">
        <f t="shared" si="4"/>
        <v xml:space="preserve">2017 Actual </v>
      </c>
      <c r="B36" s="432"/>
      <c r="C36" s="122">
        <f>ROUND((Energy!G14/1000000),1)</f>
        <v>622</v>
      </c>
      <c r="D36" s="122">
        <f>ROUND((Energy!H14/1000000),1)</f>
        <v>232.6</v>
      </c>
      <c r="E36" s="122">
        <f>ROUND(((Energy!I14+Energy!P14+Energy!J14)/1000000),1)</f>
        <v>804.2</v>
      </c>
      <c r="F36" s="152">
        <f>ROUND((Energy!K14/1000000),1)</f>
        <v>31.4</v>
      </c>
      <c r="G36" s="122">
        <f>ROUND((Energy!L14/1000000),1)</f>
        <v>14.9</v>
      </c>
      <c r="H36" s="122">
        <f>ROUND((Energy!M14/1000000),1)</f>
        <v>3.9</v>
      </c>
      <c r="I36" s="122">
        <f t="shared" si="5"/>
        <v>1709</v>
      </c>
      <c r="L36"/>
      <c r="M36"/>
    </row>
    <row r="37" spans="1:18" s="129" customFormat="1" ht="15" customHeight="1" x14ac:dyDescent="0.3">
      <c r="A37" s="432" t="str">
        <f t="shared" si="4"/>
        <v xml:space="preserve">2018 Actual </v>
      </c>
      <c r="B37" s="432"/>
      <c r="C37" s="122">
        <f>ROUND((Energy!G15/1000000),1)</f>
        <v>680.8</v>
      </c>
      <c r="D37" s="122">
        <f>ROUND((Energy!H15/1000000),1)</f>
        <v>240.6</v>
      </c>
      <c r="E37" s="122">
        <f>ROUND(((Energy!I15+Energy!P15+Energy!J15)/1000000),1)</f>
        <v>839.7</v>
      </c>
      <c r="F37" s="152">
        <f>ROUND((Energy!K15/1000000),1)</f>
        <v>33.4</v>
      </c>
      <c r="G37" s="122">
        <f>ROUND((Energy!L15/1000000),1)</f>
        <v>7.5</v>
      </c>
      <c r="H37" s="122">
        <f>ROUND((Energy!M15/1000000),1)</f>
        <v>4</v>
      </c>
      <c r="I37" s="122">
        <f t="shared" si="5"/>
        <v>1806</v>
      </c>
      <c r="L37"/>
      <c r="M37"/>
    </row>
    <row r="38" spans="1:18" s="129" customFormat="1" ht="15" customHeight="1" x14ac:dyDescent="0.3">
      <c r="A38" s="519" t="str">
        <f t="shared" si="4"/>
        <v>2019 Bridge</v>
      </c>
      <c r="B38" s="520"/>
      <c r="C38" s="130">
        <f>ROUND((Energy!H83/1000000),1)</f>
        <v>656.7</v>
      </c>
      <c r="D38" s="130">
        <f>ROUND((Energy!I83/1000000),1)</f>
        <v>229.9</v>
      </c>
      <c r="E38" s="130">
        <f>ROUND(((Energy!J83+Energy!P83+Energy!K83)/1000000),1)</f>
        <v>808.4</v>
      </c>
      <c r="F38" s="254">
        <f>ROUND((Energy!L83/1000000),1)</f>
        <v>34.200000000000003</v>
      </c>
      <c r="G38" s="130">
        <f>ROUND((Energy!M83/1000000),1)</f>
        <v>7.4</v>
      </c>
      <c r="H38" s="130">
        <f>ROUND((Energy!N83/1000000),1)</f>
        <v>4.0999999999999996</v>
      </c>
      <c r="I38" s="130">
        <f>ROUND((SUM(C38:H38)),1)</f>
        <v>1740.7</v>
      </c>
      <c r="L38" s="41"/>
      <c r="M38" s="41"/>
    </row>
    <row r="39" spans="1:18" s="129" customFormat="1" ht="15" customHeight="1" x14ac:dyDescent="0.3">
      <c r="A39" s="519" t="str">
        <f t="shared" si="4"/>
        <v>2020 Test</v>
      </c>
      <c r="B39" s="520"/>
      <c r="C39" s="130">
        <f>ROUND((Energy!H84/1000000),1)</f>
        <v>660.8</v>
      </c>
      <c r="D39" s="130">
        <f>ROUND((Energy!I84/1000000),1)</f>
        <v>228.9</v>
      </c>
      <c r="E39" s="130">
        <f>ROUND(((Energy!J84+Energy!P84+Energy!K84)/1000000),1)</f>
        <v>792.3</v>
      </c>
      <c r="F39" s="254">
        <f>ROUND((Energy!L84/1000000),1)</f>
        <v>35.1</v>
      </c>
      <c r="G39" s="130">
        <f>ROUND((Energy!M84/1000000),1)</f>
        <v>7.3</v>
      </c>
      <c r="H39" s="130">
        <f>ROUND((Energy!N84/1000000),1)</f>
        <v>4.2</v>
      </c>
      <c r="I39" s="130">
        <f>ROUND((SUM(C39:H39)),1)</f>
        <v>1728.6</v>
      </c>
      <c r="L39" s="41"/>
      <c r="M39" s="41"/>
    </row>
    <row r="40" spans="1:18" x14ac:dyDescent="0.3">
      <c r="A40" s="154"/>
      <c r="B40" s="154"/>
      <c r="C40" s="154"/>
      <c r="D40" s="154"/>
      <c r="E40" s="154"/>
      <c r="F40" s="154"/>
      <c r="G40" s="154"/>
      <c r="H40" s="154"/>
      <c r="I40" s="154"/>
      <c r="J40" s="154"/>
      <c r="K40" s="154"/>
    </row>
    <row r="41" spans="1:18" x14ac:dyDescent="0.3">
      <c r="A41" s="472" t="s">
        <v>189</v>
      </c>
      <c r="B41" s="473"/>
      <c r="C41" s="473"/>
      <c r="D41" s="473"/>
      <c r="E41" s="473"/>
      <c r="F41" s="473"/>
      <c r="G41" s="473"/>
      <c r="H41" s="473"/>
      <c r="I41" s="474"/>
      <c r="J41" s="142"/>
      <c r="K41" s="142"/>
    </row>
    <row r="42" spans="1:18" ht="7.5" customHeight="1" x14ac:dyDescent="0.3">
      <c r="A42" s="435"/>
      <c r="B42" s="436"/>
      <c r="C42" s="436"/>
      <c r="D42" s="436"/>
      <c r="E42" s="436"/>
      <c r="F42" s="436"/>
      <c r="G42" s="436"/>
      <c r="H42" s="436"/>
      <c r="I42" s="437"/>
      <c r="J42" s="142"/>
      <c r="K42" s="142"/>
    </row>
    <row r="43" spans="1:18" ht="15" customHeight="1" x14ac:dyDescent="0.3">
      <c r="A43" s="146" t="str">
        <f>A26</f>
        <v>2014 Board Approved</v>
      </c>
      <c r="B43" s="146"/>
      <c r="C43" s="155">
        <v>82577.383232000007</v>
      </c>
      <c r="D43" s="155">
        <v>7829.7588696123348</v>
      </c>
      <c r="E43" s="155">
        <v>944.62411347022476</v>
      </c>
      <c r="F43" s="155">
        <v>1</v>
      </c>
      <c r="G43" s="155">
        <v>1591.6757998109217</v>
      </c>
      <c r="H43" s="155">
        <v>890.29460838102727</v>
      </c>
      <c r="I43" s="155">
        <f>ROUND((SUM(C43:H43)),0)</f>
        <v>93835</v>
      </c>
    </row>
    <row r="44" spans="1:18" ht="7.5" customHeight="1" x14ac:dyDescent="0.3">
      <c r="A44" s="467"/>
      <c r="B44" s="467"/>
      <c r="C44" s="156"/>
      <c r="D44" s="156"/>
      <c r="E44" s="156"/>
      <c r="F44" s="156"/>
      <c r="G44" s="145"/>
      <c r="H44" s="145"/>
      <c r="I44" s="156"/>
    </row>
    <row r="45" spans="1:18" ht="15" customHeight="1" x14ac:dyDescent="0.3">
      <c r="A45" s="432" t="str">
        <f t="shared" ref="A45:A56" si="6">A28</f>
        <v>2009 Actual</v>
      </c>
      <c r="B45" s="432"/>
      <c r="C45" s="156">
        <f>ROUND((Customer!B4),0)</f>
        <v>76255</v>
      </c>
      <c r="D45" s="156">
        <f>ROUND((Customer!C4),0)</f>
        <v>7370</v>
      </c>
      <c r="E45" s="157">
        <f>ROUND((Customer!D4+Customer!K4+Customer!E4),0)</f>
        <v>1005</v>
      </c>
      <c r="F45" s="156">
        <f>ROUND((Customer!F4),0)</f>
        <v>3</v>
      </c>
      <c r="G45" s="156">
        <f>ROUND((Customer!G4),0)</f>
        <v>1551</v>
      </c>
      <c r="H45" s="156">
        <f>ROUND((Customer!H4),0)</f>
        <v>817</v>
      </c>
      <c r="I45" s="156">
        <f>ROUND((SUM(C45:H45)),0)</f>
        <v>87001</v>
      </c>
      <c r="L45" s="158"/>
      <c r="M45" s="158"/>
      <c r="O45"/>
      <c r="P45"/>
      <c r="Q45"/>
      <c r="R45"/>
    </row>
    <row r="46" spans="1:18" ht="15" customHeight="1" x14ac:dyDescent="0.3">
      <c r="A46" s="432" t="str">
        <f t="shared" si="6"/>
        <v xml:space="preserve">2010 Actual </v>
      </c>
      <c r="B46" s="432"/>
      <c r="C46" s="156">
        <f>ROUND((Customer!B5),0)</f>
        <v>77506</v>
      </c>
      <c r="D46" s="156">
        <f>ROUND((Customer!C5),0)</f>
        <v>7448</v>
      </c>
      <c r="E46" s="157">
        <f>ROUND((Customer!D5+Customer!K5+Customer!E5),0)</f>
        <v>989</v>
      </c>
      <c r="F46" s="156">
        <f>ROUND((Customer!F5),0)</f>
        <v>1</v>
      </c>
      <c r="G46" s="156">
        <f>ROUND((Customer!G5),0)</f>
        <v>1574</v>
      </c>
      <c r="H46" s="156">
        <f>ROUND((Customer!H5),0)</f>
        <v>811</v>
      </c>
      <c r="I46" s="156">
        <f t="shared" ref="I46:I56" si="7">ROUND((SUM(C46:H46)),0)</f>
        <v>88329</v>
      </c>
      <c r="L46" s="158"/>
      <c r="M46" s="158"/>
    </row>
    <row r="47" spans="1:18" ht="15" customHeight="1" x14ac:dyDescent="0.3">
      <c r="A47" s="432" t="str">
        <f t="shared" si="6"/>
        <v xml:space="preserve">2011 Actual </v>
      </c>
      <c r="B47" s="440"/>
      <c r="C47" s="156">
        <f>ROUND((Customer!B6),0)</f>
        <v>78761</v>
      </c>
      <c r="D47" s="156">
        <f>ROUND((Customer!C6),0)</f>
        <v>7538</v>
      </c>
      <c r="E47" s="157">
        <f>ROUND((Customer!D6+Customer!K6+Customer!E6),0)</f>
        <v>975</v>
      </c>
      <c r="F47" s="156">
        <f>ROUND((Customer!F6),0)</f>
        <v>2</v>
      </c>
      <c r="G47" s="156">
        <f>ROUND((Customer!G6),0)</f>
        <v>1568</v>
      </c>
      <c r="H47" s="156">
        <f>ROUND((Customer!H6),0)</f>
        <v>841</v>
      </c>
      <c r="I47" s="156">
        <f t="shared" si="7"/>
        <v>89685</v>
      </c>
      <c r="L47" s="158"/>
      <c r="M47" s="158"/>
    </row>
    <row r="48" spans="1:18" ht="15" customHeight="1" x14ac:dyDescent="0.3">
      <c r="A48" s="432" t="str">
        <f t="shared" si="6"/>
        <v>2012 Actual</v>
      </c>
      <c r="B48" s="440"/>
      <c r="C48" s="156">
        <f>ROUND((Customer!B7),0)</f>
        <v>79997</v>
      </c>
      <c r="D48" s="156">
        <f>ROUND((Customer!C7),0)</f>
        <v>7645</v>
      </c>
      <c r="E48" s="157">
        <f>ROUND((Customer!D7+Customer!K7+Customer!E7),0)</f>
        <v>952</v>
      </c>
      <c r="F48" s="156">
        <f>ROUND((Customer!F7),0)</f>
        <v>2</v>
      </c>
      <c r="G48" s="156">
        <f>ROUND((Customer!G7),0)</f>
        <v>1573</v>
      </c>
      <c r="H48" s="156">
        <f>ROUND((Customer!H7),0)</f>
        <v>869</v>
      </c>
      <c r="I48" s="156">
        <f t="shared" si="7"/>
        <v>91038</v>
      </c>
      <c r="L48" s="158"/>
      <c r="M48" s="158"/>
    </row>
    <row r="49" spans="1:13" ht="15" customHeight="1" x14ac:dyDescent="0.3">
      <c r="A49" s="432" t="str">
        <f t="shared" si="6"/>
        <v xml:space="preserve">2013 Actual </v>
      </c>
      <c r="B49" s="440"/>
      <c r="C49" s="156">
        <f>ROUND((Customer!B8),0)</f>
        <v>80893</v>
      </c>
      <c r="D49" s="156">
        <f>ROUND((Customer!C8),0)</f>
        <v>7687</v>
      </c>
      <c r="E49" s="157">
        <f>ROUND((Customer!D8+Customer!K8+Customer!E8),0)</f>
        <v>950</v>
      </c>
      <c r="F49" s="156">
        <f>ROUND((Customer!F8),0)</f>
        <v>3</v>
      </c>
      <c r="G49" s="156">
        <f>ROUND((Customer!G8),0)</f>
        <v>1551</v>
      </c>
      <c r="H49" s="156">
        <f>ROUND((Customer!H8),0)</f>
        <v>844</v>
      </c>
      <c r="I49" s="156">
        <f t="shared" si="7"/>
        <v>91928</v>
      </c>
      <c r="L49" s="158"/>
      <c r="M49" s="158"/>
    </row>
    <row r="50" spans="1:13" ht="15" customHeight="1" x14ac:dyDescent="0.3">
      <c r="A50" s="432" t="str">
        <f t="shared" si="6"/>
        <v xml:space="preserve">2014 Actual </v>
      </c>
      <c r="B50" s="440"/>
      <c r="C50" s="156">
        <f>ROUND((Customer!B9),0)</f>
        <v>81868</v>
      </c>
      <c r="D50" s="156">
        <f>ROUND((Customer!C9),0)</f>
        <v>7744</v>
      </c>
      <c r="E50" s="157">
        <f>ROUND((Customer!D9+Customer!K9+Customer!E9),0)</f>
        <v>944</v>
      </c>
      <c r="F50" s="156">
        <f>ROUND((Customer!F9),0)</f>
        <v>2</v>
      </c>
      <c r="G50" s="156">
        <f>ROUND((Customer!G9),0)</f>
        <v>1616</v>
      </c>
      <c r="H50" s="156">
        <f>ROUND((Customer!H9),0)</f>
        <v>877</v>
      </c>
      <c r="I50" s="156">
        <f t="shared" si="7"/>
        <v>93051</v>
      </c>
      <c r="L50" s="158"/>
      <c r="M50" s="158"/>
    </row>
    <row r="51" spans="1:13" ht="15" customHeight="1" x14ac:dyDescent="0.3">
      <c r="A51" s="432" t="str">
        <f t="shared" si="6"/>
        <v xml:space="preserve">2015 Actual </v>
      </c>
      <c r="B51" s="440"/>
      <c r="C51" s="156">
        <f>ROUND((Customer!B10),0)</f>
        <v>83106</v>
      </c>
      <c r="D51" s="156">
        <f>ROUND((Customer!C10),0)</f>
        <v>7796</v>
      </c>
      <c r="E51" s="157">
        <f>ROUND((Customer!D10+Customer!K10+Customer!E10),0)</f>
        <v>939</v>
      </c>
      <c r="F51" s="156">
        <f>ROUND((Customer!F10),0)</f>
        <v>1</v>
      </c>
      <c r="G51" s="156">
        <f>ROUND((Customer!G10),0)</f>
        <v>1637</v>
      </c>
      <c r="H51" s="156">
        <f>ROUND((Customer!H10),0)</f>
        <v>891</v>
      </c>
      <c r="I51" s="156">
        <f t="shared" si="7"/>
        <v>94370</v>
      </c>
      <c r="L51" s="158"/>
      <c r="M51" s="158"/>
    </row>
    <row r="52" spans="1:13" ht="15" customHeight="1" x14ac:dyDescent="0.3">
      <c r="A52" s="432" t="str">
        <f t="shared" si="6"/>
        <v xml:space="preserve">2016 Actual </v>
      </c>
      <c r="B52" s="440"/>
      <c r="C52" s="156">
        <f>ROUND((Customer!B11),0)</f>
        <v>84530</v>
      </c>
      <c r="D52" s="156">
        <f>ROUND((Customer!C11),0)</f>
        <v>7845</v>
      </c>
      <c r="E52" s="157">
        <f>ROUND((Customer!D11+Customer!K11+Customer!E11),0)</f>
        <v>940</v>
      </c>
      <c r="F52" s="156">
        <f>ROUND((Customer!F11),0)</f>
        <v>1</v>
      </c>
      <c r="G52" s="156">
        <f>ROUND((Customer!G11),0)</f>
        <v>1653</v>
      </c>
      <c r="H52" s="156">
        <f>ROUND((Customer!H11),0)</f>
        <v>866</v>
      </c>
      <c r="I52" s="156">
        <f t="shared" si="7"/>
        <v>95835</v>
      </c>
      <c r="L52" s="158"/>
      <c r="M52" s="158"/>
    </row>
    <row r="53" spans="1:13" ht="15" customHeight="1" x14ac:dyDescent="0.3">
      <c r="A53" s="432" t="str">
        <f t="shared" si="6"/>
        <v xml:space="preserve">2017 Actual </v>
      </c>
      <c r="B53" s="440"/>
      <c r="C53" s="156">
        <f>ROUND((Customer!B12),0)</f>
        <v>86064</v>
      </c>
      <c r="D53" s="156">
        <f>ROUND((Customer!C12),0)</f>
        <v>7936</v>
      </c>
      <c r="E53" s="157">
        <f>ROUND((Customer!D12+Customer!K12+Customer!E12),0)</f>
        <v>936</v>
      </c>
      <c r="F53" s="156">
        <f>ROUND((Customer!F12),0)</f>
        <v>1</v>
      </c>
      <c r="G53" s="156">
        <f>ROUND((Customer!G12),0)</f>
        <v>1696</v>
      </c>
      <c r="H53" s="156">
        <f>ROUND((Customer!H12),0)</f>
        <v>886</v>
      </c>
      <c r="I53" s="156">
        <f t="shared" si="7"/>
        <v>97519</v>
      </c>
      <c r="L53" s="158"/>
      <c r="M53" s="158"/>
    </row>
    <row r="54" spans="1:13" ht="15" customHeight="1" x14ac:dyDescent="0.3">
      <c r="A54" s="432" t="str">
        <f t="shared" si="6"/>
        <v xml:space="preserve">2018 Actual </v>
      </c>
      <c r="B54" s="440"/>
      <c r="C54" s="156">
        <f>ROUND((Customer!B13),0)</f>
        <v>87395</v>
      </c>
      <c r="D54" s="156">
        <f>ROUND((Customer!C13),0)</f>
        <v>7983</v>
      </c>
      <c r="E54" s="157">
        <f>ROUND((Customer!D13+Customer!K13+Customer!E13),0)</f>
        <v>950</v>
      </c>
      <c r="F54" s="156">
        <f>ROUND((Customer!F13),0)</f>
        <v>1</v>
      </c>
      <c r="G54" s="156">
        <f>ROUND((Customer!G13),0)</f>
        <v>1666</v>
      </c>
      <c r="H54" s="156">
        <f>ROUND((Customer!H13),0)</f>
        <v>931</v>
      </c>
      <c r="I54" s="156">
        <f t="shared" si="7"/>
        <v>98926</v>
      </c>
      <c r="L54" s="158"/>
      <c r="M54" s="158"/>
    </row>
    <row r="55" spans="1:13" s="129" customFormat="1" ht="15" customHeight="1" x14ac:dyDescent="0.3">
      <c r="A55" s="519" t="str">
        <f t="shared" si="6"/>
        <v>2019 Bridge</v>
      </c>
      <c r="B55" s="520"/>
      <c r="C55" s="159">
        <f>ROUND((Customer!B14),0)</f>
        <v>88619</v>
      </c>
      <c r="D55" s="159">
        <f>ROUND((Customer!C14),0)</f>
        <v>8059</v>
      </c>
      <c r="E55" s="160">
        <f>ROUND((Customer!D14+Customer!K14+Customer!E14),0)</f>
        <v>944</v>
      </c>
      <c r="F55" s="159">
        <f>ROUND((Customer!F14),0)</f>
        <v>1</v>
      </c>
      <c r="G55" s="159">
        <f>ROUND((Customer!G14),0)</f>
        <v>1681</v>
      </c>
      <c r="H55" s="159">
        <f>ROUND((Customer!H14),0)</f>
        <v>943</v>
      </c>
      <c r="I55" s="159">
        <f t="shared" si="7"/>
        <v>100247</v>
      </c>
      <c r="L55" s="161"/>
      <c r="M55" s="161"/>
    </row>
    <row r="56" spans="1:13" s="129" customFormat="1" ht="15" customHeight="1" x14ac:dyDescent="0.3">
      <c r="A56" s="519" t="str">
        <f t="shared" si="6"/>
        <v>2020 Test</v>
      </c>
      <c r="B56" s="520"/>
      <c r="C56" s="159">
        <f>ROUND((Customer!B15),0)</f>
        <v>89860</v>
      </c>
      <c r="D56" s="159">
        <f>ROUND((Customer!C15),0)</f>
        <v>8136</v>
      </c>
      <c r="E56" s="160">
        <f>ROUND((Customer!D15+Customer!K15+Customer!E15),0)</f>
        <v>938</v>
      </c>
      <c r="F56" s="159">
        <f>ROUND((Customer!F15),0)</f>
        <v>1</v>
      </c>
      <c r="G56" s="159">
        <f>ROUND((Customer!G15),0)</f>
        <v>1696</v>
      </c>
      <c r="H56" s="159">
        <f>ROUND((Customer!H15),0)</f>
        <v>955</v>
      </c>
      <c r="I56" s="159">
        <f t="shared" si="7"/>
        <v>101586</v>
      </c>
      <c r="L56" s="161"/>
      <c r="M56" s="161"/>
    </row>
    <row r="58" spans="1:13" x14ac:dyDescent="0.3">
      <c r="A58" s="472" t="s">
        <v>190</v>
      </c>
      <c r="B58" s="473"/>
      <c r="C58" s="473"/>
      <c r="D58" s="473"/>
      <c r="E58" s="473"/>
      <c r="F58" s="473"/>
      <c r="G58" s="473"/>
      <c r="H58" s="474"/>
      <c r="I58" s="142"/>
      <c r="J58" s="142"/>
      <c r="K58" s="142"/>
    </row>
    <row r="59" spans="1:13" ht="28" x14ac:dyDescent="0.3">
      <c r="A59" s="470" t="s">
        <v>163</v>
      </c>
      <c r="B59" s="471"/>
      <c r="C59" s="225" t="str">
        <f t="shared" ref="C59:H59" si="8">C23</f>
        <v xml:space="preserve">Residential </v>
      </c>
      <c r="D59" s="225" t="str">
        <f t="shared" si="8"/>
        <v>GS&lt;50 kW</v>
      </c>
      <c r="E59" s="225" t="str">
        <f t="shared" si="8"/>
        <v>GS&gt;50 kW</v>
      </c>
      <c r="F59" s="225" t="str">
        <f t="shared" si="8"/>
        <v>Large
User</v>
      </c>
      <c r="G59" s="225" t="str">
        <f t="shared" si="8"/>
        <v>Street
Lighting</v>
      </c>
      <c r="H59" s="225" t="str">
        <f t="shared" si="8"/>
        <v>USL</v>
      </c>
      <c r="I59" s="162"/>
      <c r="K59"/>
    </row>
    <row r="60" spans="1:13" x14ac:dyDescent="0.3">
      <c r="A60" s="526" t="s">
        <v>191</v>
      </c>
      <c r="B60" s="527"/>
      <c r="C60" s="527"/>
      <c r="D60" s="527"/>
      <c r="E60" s="527"/>
      <c r="F60" s="527"/>
      <c r="G60" s="527"/>
      <c r="H60" s="527"/>
      <c r="I60" s="142"/>
    </row>
    <row r="61" spans="1:13" ht="7.5" customHeight="1" x14ac:dyDescent="0.3">
      <c r="A61" s="528"/>
      <c r="B61" s="529"/>
      <c r="C61" s="529"/>
      <c r="D61" s="529"/>
      <c r="E61" s="529"/>
      <c r="F61" s="529"/>
      <c r="G61" s="529"/>
      <c r="H61" s="529"/>
      <c r="I61" s="142"/>
    </row>
    <row r="62" spans="1:13" x14ac:dyDescent="0.3">
      <c r="A62" s="146" t="str">
        <f>A43</f>
        <v>2014 Board Approved</v>
      </c>
      <c r="B62" s="147"/>
      <c r="C62" s="165">
        <f t="shared" ref="C62:H62" si="9">ROUND((C26/C43*1000000),0)</f>
        <v>7892</v>
      </c>
      <c r="D62" s="165">
        <f t="shared" si="9"/>
        <v>30867</v>
      </c>
      <c r="E62" s="165">
        <f t="shared" si="9"/>
        <v>894838</v>
      </c>
      <c r="F62" s="165">
        <f t="shared" si="9"/>
        <v>31798990</v>
      </c>
      <c r="G62" s="165">
        <f t="shared" si="9"/>
        <v>10133</v>
      </c>
      <c r="H62" s="165">
        <f t="shared" si="9"/>
        <v>3838</v>
      </c>
      <c r="I62" s="166"/>
    </row>
    <row r="63" spans="1:13" ht="7.5" customHeight="1" x14ac:dyDescent="0.3">
      <c r="A63" s="517"/>
      <c r="B63" s="518"/>
      <c r="C63" s="518"/>
      <c r="D63" s="518"/>
      <c r="E63" s="518"/>
      <c r="F63" s="518"/>
      <c r="G63" s="518"/>
      <c r="H63" s="518"/>
      <c r="I63" s="142"/>
    </row>
    <row r="64" spans="1:13" x14ac:dyDescent="0.3">
      <c r="A64" s="432" t="str">
        <f t="shared" ref="A64:A75" si="10">A9</f>
        <v>2009 Actual</v>
      </c>
      <c r="B64" s="432"/>
      <c r="C64" s="123">
        <f t="shared" ref="C64:H64" si="11">ROUND((C28/C45*1000000),0)</f>
        <v>8221</v>
      </c>
      <c r="D64" s="123">
        <f t="shared" si="11"/>
        <v>31289</v>
      </c>
      <c r="E64" s="123">
        <f t="shared" si="11"/>
        <v>816816</v>
      </c>
      <c r="F64" s="123">
        <f t="shared" si="11"/>
        <v>26600000</v>
      </c>
      <c r="G64" s="123">
        <f t="shared" si="11"/>
        <v>10251</v>
      </c>
      <c r="H64" s="123">
        <f t="shared" si="11"/>
        <v>4039</v>
      </c>
      <c r="I64" s="166"/>
    </row>
    <row r="65" spans="1:10" x14ac:dyDescent="0.3">
      <c r="A65" s="432" t="str">
        <f t="shared" si="10"/>
        <v xml:space="preserve">2010 Actual </v>
      </c>
      <c r="B65" s="432"/>
      <c r="C65" s="123">
        <f t="shared" ref="C65:H65" si="12">ROUND((C29/C46*1000000),0)</f>
        <v>8395</v>
      </c>
      <c r="D65" s="123">
        <f t="shared" si="12"/>
        <v>31700</v>
      </c>
      <c r="E65" s="123">
        <f t="shared" si="12"/>
        <v>886653</v>
      </c>
      <c r="F65" s="123">
        <f>ROUND((F29/F46*1000000),0)</f>
        <v>46600000</v>
      </c>
      <c r="G65" s="123">
        <f t="shared" si="12"/>
        <v>10165</v>
      </c>
      <c r="H65" s="123">
        <f t="shared" si="12"/>
        <v>4069</v>
      </c>
      <c r="I65" s="166"/>
    </row>
    <row r="66" spans="1:10" s="129" customFormat="1" x14ac:dyDescent="0.3">
      <c r="A66" s="432" t="str">
        <f t="shared" si="10"/>
        <v xml:space="preserve">2011 Actual </v>
      </c>
      <c r="B66" s="432"/>
      <c r="C66" s="123">
        <f t="shared" ref="C66:H66" si="13">ROUND((C30/C47*1000000),0)</f>
        <v>8219</v>
      </c>
      <c r="D66" s="123">
        <f t="shared" si="13"/>
        <v>31865</v>
      </c>
      <c r="E66" s="123">
        <f t="shared" si="13"/>
        <v>893641</v>
      </c>
      <c r="F66" s="123">
        <f t="shared" si="13"/>
        <v>28000000</v>
      </c>
      <c r="G66" s="123">
        <f t="shared" si="13"/>
        <v>10140</v>
      </c>
      <c r="H66" s="123">
        <f t="shared" si="13"/>
        <v>3924</v>
      </c>
      <c r="I66" s="166"/>
    </row>
    <row r="67" spans="1:10" s="129" customFormat="1" x14ac:dyDescent="0.3">
      <c r="A67" s="432" t="str">
        <f t="shared" si="10"/>
        <v>2012 Actual</v>
      </c>
      <c r="B67" s="432"/>
      <c r="C67" s="123">
        <f t="shared" ref="C67:H67" si="14">ROUND((C31/C48*1000000),0)</f>
        <v>8057</v>
      </c>
      <c r="D67" s="123">
        <f t="shared" si="14"/>
        <v>31524</v>
      </c>
      <c r="E67" s="123">
        <f t="shared" si="14"/>
        <v>893697</v>
      </c>
      <c r="F67" s="123">
        <f t="shared" si="14"/>
        <v>34700000</v>
      </c>
      <c r="G67" s="123">
        <f t="shared" si="14"/>
        <v>10108</v>
      </c>
      <c r="H67" s="123">
        <f t="shared" si="14"/>
        <v>4258</v>
      </c>
      <c r="I67" s="166"/>
    </row>
    <row r="68" spans="1:10" s="129" customFormat="1" x14ac:dyDescent="0.3">
      <c r="A68" s="432" t="str">
        <f t="shared" si="10"/>
        <v xml:space="preserve">2013 Actual </v>
      </c>
      <c r="B68" s="432"/>
      <c r="C68" s="123">
        <f t="shared" ref="C68:H68" si="15">ROUND((C32/C49*1000000),0)</f>
        <v>7915</v>
      </c>
      <c r="D68" s="123">
        <f t="shared" si="15"/>
        <v>31378</v>
      </c>
      <c r="E68" s="123">
        <f t="shared" si="15"/>
        <v>866947</v>
      </c>
      <c r="F68" s="123">
        <f t="shared" si="15"/>
        <v>29500000</v>
      </c>
      <c r="G68" s="123">
        <f t="shared" si="15"/>
        <v>10316</v>
      </c>
      <c r="H68" s="123">
        <f t="shared" si="15"/>
        <v>4384</v>
      </c>
      <c r="I68" s="166"/>
    </row>
    <row r="69" spans="1:10" s="129" customFormat="1" x14ac:dyDescent="0.3">
      <c r="A69" s="432" t="str">
        <f t="shared" si="10"/>
        <v xml:space="preserve">2014 Actual </v>
      </c>
      <c r="B69" s="432"/>
      <c r="C69" s="123">
        <f t="shared" ref="C69:H69" si="16">ROUND((C33/C50*1000000),0)</f>
        <v>7783</v>
      </c>
      <c r="D69" s="123">
        <f t="shared" si="16"/>
        <v>31276</v>
      </c>
      <c r="E69" s="123">
        <f t="shared" si="16"/>
        <v>890466</v>
      </c>
      <c r="F69" s="123">
        <f t="shared" si="16"/>
        <v>31700000</v>
      </c>
      <c r="G69" s="123">
        <f t="shared" si="16"/>
        <v>9901</v>
      </c>
      <c r="H69" s="123">
        <f t="shared" si="16"/>
        <v>4561</v>
      </c>
      <c r="I69" s="166"/>
    </row>
    <row r="70" spans="1:10" s="129" customFormat="1" x14ac:dyDescent="0.3">
      <c r="A70" s="432" t="str">
        <f t="shared" si="10"/>
        <v xml:space="preserve">2015 Actual </v>
      </c>
      <c r="B70" s="432"/>
      <c r="C70" s="123">
        <f t="shared" ref="C70:H70" si="17">ROUND((C34/C51*1000000),0)</f>
        <v>7649</v>
      </c>
      <c r="D70" s="123">
        <f t="shared" si="17"/>
        <v>30528</v>
      </c>
      <c r="E70" s="123">
        <f t="shared" si="17"/>
        <v>887007</v>
      </c>
      <c r="F70" s="123">
        <f t="shared" si="17"/>
        <v>35800000</v>
      </c>
      <c r="G70" s="123">
        <f t="shared" si="17"/>
        <v>9896</v>
      </c>
      <c r="H70" s="123">
        <f t="shared" si="17"/>
        <v>4377</v>
      </c>
      <c r="I70" s="166"/>
    </row>
    <row r="71" spans="1:10" s="129" customFormat="1" x14ac:dyDescent="0.3">
      <c r="A71" s="432" t="str">
        <f t="shared" si="10"/>
        <v xml:space="preserve">2016 Actual </v>
      </c>
      <c r="B71" s="432"/>
      <c r="C71" s="123">
        <f t="shared" ref="C71:H71" si="18">ROUND((C35/C52*1000000),0)</f>
        <v>7698</v>
      </c>
      <c r="D71" s="123">
        <f t="shared" si="18"/>
        <v>30478</v>
      </c>
      <c r="E71" s="123">
        <f t="shared" si="18"/>
        <v>879681</v>
      </c>
      <c r="F71" s="123">
        <f t="shared" si="18"/>
        <v>28900000</v>
      </c>
      <c r="G71" s="123">
        <f t="shared" si="18"/>
        <v>9861</v>
      </c>
      <c r="H71" s="123">
        <f t="shared" si="18"/>
        <v>4503</v>
      </c>
      <c r="I71" s="166"/>
    </row>
    <row r="72" spans="1:10" s="129" customFormat="1" x14ac:dyDescent="0.3">
      <c r="A72" s="432" t="str">
        <f t="shared" si="10"/>
        <v xml:space="preserve">2017 Actual </v>
      </c>
      <c r="B72" s="432"/>
      <c r="C72" s="123">
        <f t="shared" ref="C72:H72" si="19">ROUND((C36/C53*1000000),0)</f>
        <v>7227</v>
      </c>
      <c r="D72" s="123">
        <f t="shared" si="19"/>
        <v>29309</v>
      </c>
      <c r="E72" s="123">
        <f t="shared" si="19"/>
        <v>859188</v>
      </c>
      <c r="F72" s="123">
        <f t="shared" si="19"/>
        <v>31400000</v>
      </c>
      <c r="G72" s="123">
        <f t="shared" si="19"/>
        <v>8785</v>
      </c>
      <c r="H72" s="123">
        <f t="shared" si="19"/>
        <v>4402</v>
      </c>
      <c r="I72" s="166"/>
    </row>
    <row r="73" spans="1:10" s="129" customFormat="1" x14ac:dyDescent="0.3">
      <c r="A73" s="432" t="str">
        <f t="shared" si="10"/>
        <v xml:space="preserve">2018 Actual </v>
      </c>
      <c r="B73" s="432"/>
      <c r="C73" s="123">
        <f t="shared" ref="C73:H73" si="20">ROUND((C37/C54*1000000),0)</f>
        <v>7790</v>
      </c>
      <c r="D73" s="123">
        <f t="shared" si="20"/>
        <v>30139</v>
      </c>
      <c r="E73" s="123">
        <f t="shared" si="20"/>
        <v>883895</v>
      </c>
      <c r="F73" s="123">
        <f t="shared" si="20"/>
        <v>33400000</v>
      </c>
      <c r="G73" s="123">
        <f t="shared" si="20"/>
        <v>4502</v>
      </c>
      <c r="H73" s="123">
        <f t="shared" si="20"/>
        <v>4296</v>
      </c>
      <c r="I73" s="166"/>
    </row>
    <row r="74" spans="1:10" s="129" customFormat="1" x14ac:dyDescent="0.3">
      <c r="A74" s="444" t="str">
        <f t="shared" si="10"/>
        <v>2019 Bridge</v>
      </c>
      <c r="B74" s="444"/>
      <c r="C74" s="133">
        <f>ROUND((C38/C55*1000000),0)</f>
        <v>7410</v>
      </c>
      <c r="D74" s="133">
        <f t="shared" ref="D74:H74" si="21">ROUND((D38/D55*1000000),0)</f>
        <v>28527</v>
      </c>
      <c r="E74" s="133">
        <f t="shared" si="21"/>
        <v>856356</v>
      </c>
      <c r="F74" s="133">
        <f t="shared" si="21"/>
        <v>34200000</v>
      </c>
      <c r="G74" s="133">
        <f t="shared" si="21"/>
        <v>4402</v>
      </c>
      <c r="H74" s="133">
        <f t="shared" si="21"/>
        <v>4348</v>
      </c>
      <c r="I74" s="167"/>
    </row>
    <row r="75" spans="1:10" s="129" customFormat="1" x14ac:dyDescent="0.3">
      <c r="A75" s="519" t="str">
        <f t="shared" si="10"/>
        <v>2020 Test</v>
      </c>
      <c r="B75" s="520"/>
      <c r="C75" s="133">
        <f t="shared" ref="C75:H75" si="22">ROUND((C39/C56*1000000),0)</f>
        <v>7354</v>
      </c>
      <c r="D75" s="133">
        <f t="shared" si="22"/>
        <v>28134</v>
      </c>
      <c r="E75" s="133">
        <f t="shared" si="22"/>
        <v>844670</v>
      </c>
      <c r="F75" s="133">
        <f t="shared" si="22"/>
        <v>35100000</v>
      </c>
      <c r="G75" s="133">
        <f t="shared" si="22"/>
        <v>4304</v>
      </c>
      <c r="H75" s="133">
        <f t="shared" si="22"/>
        <v>4398</v>
      </c>
      <c r="I75" s="167"/>
    </row>
    <row r="76" spans="1:10" x14ac:dyDescent="0.3">
      <c r="A76" s="143"/>
      <c r="B76" s="143"/>
      <c r="C76" s="143"/>
      <c r="D76" s="143"/>
      <c r="E76" s="143"/>
      <c r="F76" s="143"/>
      <c r="G76" s="143"/>
      <c r="H76" s="143"/>
      <c r="I76" s="143"/>
      <c r="J76" s="143"/>
    </row>
    <row r="77" spans="1:10" x14ac:dyDescent="0.3">
      <c r="A77" s="168" t="s">
        <v>192</v>
      </c>
      <c r="B77" s="168"/>
      <c r="C77" s="168"/>
      <c r="D77" s="168"/>
      <c r="E77" s="168"/>
      <c r="F77" s="168"/>
      <c r="G77" s="168"/>
      <c r="H77" s="168"/>
      <c r="I77" s="168"/>
      <c r="J77" s="168"/>
    </row>
    <row r="78" spans="1:10" ht="7.5" customHeight="1" x14ac:dyDescent="0.3">
      <c r="A78" s="168"/>
      <c r="B78" s="168"/>
      <c r="C78" s="168"/>
      <c r="D78" s="168"/>
      <c r="E78" s="168"/>
      <c r="F78" s="168"/>
      <c r="G78" s="168"/>
      <c r="H78" s="168"/>
      <c r="I78" s="168"/>
      <c r="J78" s="168"/>
    </row>
    <row r="79" spans="1:10" x14ac:dyDescent="0.3">
      <c r="A79" s="240" t="s">
        <v>193</v>
      </c>
      <c r="B79" s="241"/>
      <c r="C79" s="242">
        <f t="shared" ref="C79:H79" si="23">ROUND((C69/C62-1),3)</f>
        <v>-1.4E-2</v>
      </c>
      <c r="D79" s="242">
        <f t="shared" si="23"/>
        <v>1.2999999999999999E-2</v>
      </c>
      <c r="E79" s="242">
        <f t="shared" si="23"/>
        <v>-5.0000000000000001E-3</v>
      </c>
      <c r="F79" s="242">
        <f t="shared" si="23"/>
        <v>-3.0000000000000001E-3</v>
      </c>
      <c r="G79" s="242">
        <f t="shared" si="23"/>
        <v>-2.3E-2</v>
      </c>
      <c r="H79" s="243">
        <f t="shared" si="23"/>
        <v>0.188</v>
      </c>
      <c r="I79" s="125"/>
    </row>
    <row r="80" spans="1:10" ht="7.5" customHeight="1" x14ac:dyDescent="0.3">
      <c r="A80" s="172"/>
      <c r="B80" s="172"/>
      <c r="C80" s="173"/>
      <c r="D80" s="173"/>
      <c r="E80" s="173"/>
      <c r="F80" s="173"/>
      <c r="G80" s="173"/>
      <c r="H80" s="173"/>
      <c r="I80" s="168"/>
    </row>
    <row r="81" spans="1:16" s="129" customFormat="1" x14ac:dyDescent="0.3">
      <c r="A81" s="169" t="str">
        <f t="shared" ref="A81:A92" si="24">A64</f>
        <v>2009 Actual</v>
      </c>
      <c r="B81" s="169"/>
      <c r="C81" s="126">
        <v>-3.1890328157016978E-2</v>
      </c>
      <c r="D81" s="126">
        <v>-2.6510064931456689E-2</v>
      </c>
      <c r="E81" s="126">
        <v>-1.1380909225220504E-2</v>
      </c>
      <c r="F81" s="126">
        <v>-0.27563647612294051</v>
      </c>
      <c r="G81" s="126">
        <v>-0.1092599885967126</v>
      </c>
      <c r="H81" s="171">
        <v>5.9978476879167797E-3</v>
      </c>
      <c r="I81" s="125"/>
    </row>
    <row r="82" spans="1:16" s="129" customFormat="1" x14ac:dyDescent="0.3">
      <c r="A82" s="169" t="str">
        <f t="shared" si="24"/>
        <v xml:space="preserve">2010 Actual </v>
      </c>
      <c r="B82" s="170"/>
      <c r="C82" s="126">
        <f t="shared" ref="C82:H82" si="25">ROUND((C65/C64-1),3)</f>
        <v>2.1000000000000001E-2</v>
      </c>
      <c r="D82" s="126">
        <f t="shared" si="25"/>
        <v>1.2999999999999999E-2</v>
      </c>
      <c r="E82" s="126">
        <f t="shared" si="25"/>
        <v>8.5000000000000006E-2</v>
      </c>
      <c r="F82" s="126">
        <f t="shared" si="25"/>
        <v>0.752</v>
      </c>
      <c r="G82" s="126">
        <f t="shared" si="25"/>
        <v>-8.0000000000000002E-3</v>
      </c>
      <c r="H82" s="126">
        <f t="shared" si="25"/>
        <v>7.0000000000000001E-3</v>
      </c>
      <c r="I82" s="125"/>
      <c r="K82" s="174"/>
      <c r="L82" s="174"/>
      <c r="M82" s="174"/>
      <c r="N82" s="174"/>
      <c r="O82" s="174"/>
      <c r="P82" s="174"/>
    </row>
    <row r="83" spans="1:16" s="129" customFormat="1" x14ac:dyDescent="0.3">
      <c r="A83" s="169" t="str">
        <f t="shared" si="24"/>
        <v xml:space="preserve">2011 Actual </v>
      </c>
      <c r="B83" s="170"/>
      <c r="C83" s="126">
        <f t="shared" ref="C83:H83" si="26">ROUND((C66/C65-1),3)</f>
        <v>-2.1000000000000001E-2</v>
      </c>
      <c r="D83" s="126">
        <f t="shared" si="26"/>
        <v>5.0000000000000001E-3</v>
      </c>
      <c r="E83" s="126">
        <f t="shared" si="26"/>
        <v>8.0000000000000002E-3</v>
      </c>
      <c r="F83" s="126">
        <f t="shared" si="26"/>
        <v>-0.39900000000000002</v>
      </c>
      <c r="G83" s="126">
        <f t="shared" si="26"/>
        <v>-2E-3</v>
      </c>
      <c r="H83" s="171">
        <f t="shared" si="26"/>
        <v>-3.5999999999999997E-2</v>
      </c>
      <c r="I83" s="125"/>
      <c r="K83" s="175"/>
      <c r="L83" s="175"/>
      <c r="M83" s="175"/>
      <c r="N83" s="175"/>
      <c r="O83" s="175"/>
      <c r="P83" s="175"/>
    </row>
    <row r="84" spans="1:16" s="129" customFormat="1" x14ac:dyDescent="0.3">
      <c r="A84" s="169" t="str">
        <f t="shared" si="24"/>
        <v>2012 Actual</v>
      </c>
      <c r="B84" s="170"/>
      <c r="C84" s="126">
        <f t="shared" ref="C84:H84" si="27">ROUND((C67/C66-1),3)</f>
        <v>-0.02</v>
      </c>
      <c r="D84" s="126">
        <f t="shared" si="27"/>
        <v>-1.0999999999999999E-2</v>
      </c>
      <c r="E84" s="126">
        <f t="shared" si="27"/>
        <v>0</v>
      </c>
      <c r="F84" s="126">
        <f t="shared" si="27"/>
        <v>0.23899999999999999</v>
      </c>
      <c r="G84" s="126">
        <f t="shared" si="27"/>
        <v>-3.0000000000000001E-3</v>
      </c>
      <c r="H84" s="171">
        <f t="shared" si="27"/>
        <v>8.5000000000000006E-2</v>
      </c>
      <c r="I84" s="125"/>
      <c r="K84" s="175"/>
      <c r="L84" s="175"/>
      <c r="M84" s="175"/>
      <c r="N84" s="175"/>
      <c r="O84" s="175"/>
      <c r="P84" s="175"/>
    </row>
    <row r="85" spans="1:16" s="129" customFormat="1" x14ac:dyDescent="0.3">
      <c r="A85" s="169" t="str">
        <f t="shared" si="24"/>
        <v xml:space="preserve">2013 Actual </v>
      </c>
      <c r="B85" s="170"/>
      <c r="C85" s="126">
        <f t="shared" ref="C85:H85" si="28">ROUND((C68/C67-1),3)</f>
        <v>-1.7999999999999999E-2</v>
      </c>
      <c r="D85" s="126">
        <f t="shared" si="28"/>
        <v>-5.0000000000000001E-3</v>
      </c>
      <c r="E85" s="126">
        <f t="shared" si="28"/>
        <v>-0.03</v>
      </c>
      <c r="F85" s="126">
        <f t="shared" si="28"/>
        <v>-0.15</v>
      </c>
      <c r="G85" s="126">
        <f t="shared" si="28"/>
        <v>2.1000000000000001E-2</v>
      </c>
      <c r="H85" s="171">
        <f t="shared" si="28"/>
        <v>0.03</v>
      </c>
      <c r="I85" s="125"/>
      <c r="K85" s="175"/>
      <c r="L85" s="175"/>
      <c r="M85" s="175"/>
      <c r="N85" s="175"/>
      <c r="O85" s="175"/>
      <c r="P85" s="175"/>
    </row>
    <row r="86" spans="1:16" s="129" customFormat="1" x14ac:dyDescent="0.3">
      <c r="A86" s="169" t="str">
        <f t="shared" si="24"/>
        <v xml:space="preserve">2014 Actual </v>
      </c>
      <c r="B86" s="170"/>
      <c r="C86" s="126">
        <f t="shared" ref="C86:H86" si="29">ROUND((C69/C68-1),3)</f>
        <v>-1.7000000000000001E-2</v>
      </c>
      <c r="D86" s="126">
        <f t="shared" si="29"/>
        <v>-3.0000000000000001E-3</v>
      </c>
      <c r="E86" s="126">
        <f t="shared" si="29"/>
        <v>2.7E-2</v>
      </c>
      <c r="F86" s="126">
        <f t="shared" si="29"/>
        <v>7.4999999999999997E-2</v>
      </c>
      <c r="G86" s="126">
        <f t="shared" si="29"/>
        <v>-0.04</v>
      </c>
      <c r="H86" s="171">
        <f t="shared" si="29"/>
        <v>0.04</v>
      </c>
      <c r="I86" s="125"/>
      <c r="K86" s="175"/>
      <c r="L86" s="175"/>
      <c r="M86" s="175"/>
      <c r="N86" s="175"/>
      <c r="O86" s="175"/>
      <c r="P86" s="175"/>
    </row>
    <row r="87" spans="1:16" s="129" customFormat="1" x14ac:dyDescent="0.3">
      <c r="A87" s="169" t="str">
        <f t="shared" si="24"/>
        <v xml:space="preserve">2015 Actual </v>
      </c>
      <c r="B87" s="170"/>
      <c r="C87" s="126">
        <f t="shared" ref="C87:H87" si="30">ROUND((C70/C69-1),3)</f>
        <v>-1.7000000000000001E-2</v>
      </c>
      <c r="D87" s="126">
        <f t="shared" si="30"/>
        <v>-2.4E-2</v>
      </c>
      <c r="E87" s="126">
        <f t="shared" si="30"/>
        <v>-4.0000000000000001E-3</v>
      </c>
      <c r="F87" s="126">
        <f t="shared" si="30"/>
        <v>0.129</v>
      </c>
      <c r="G87" s="126">
        <f t="shared" si="30"/>
        <v>-1E-3</v>
      </c>
      <c r="H87" s="171">
        <f t="shared" si="30"/>
        <v>-0.04</v>
      </c>
      <c r="I87" s="125"/>
      <c r="K87" s="175"/>
      <c r="L87" s="175"/>
      <c r="M87" s="175"/>
      <c r="N87" s="175"/>
      <c r="O87" s="175"/>
      <c r="P87" s="175"/>
    </row>
    <row r="88" spans="1:16" s="129" customFormat="1" x14ac:dyDescent="0.3">
      <c r="A88" s="169" t="str">
        <f t="shared" si="24"/>
        <v xml:space="preserve">2016 Actual </v>
      </c>
      <c r="B88" s="170"/>
      <c r="C88" s="126">
        <f t="shared" ref="C88:H88" si="31">ROUND((C71/C70-1),3)</f>
        <v>6.0000000000000001E-3</v>
      </c>
      <c r="D88" s="126">
        <f t="shared" si="31"/>
        <v>-2E-3</v>
      </c>
      <c r="E88" s="126">
        <f t="shared" si="31"/>
        <v>-8.0000000000000002E-3</v>
      </c>
      <c r="F88" s="126">
        <f t="shared" si="31"/>
        <v>-0.193</v>
      </c>
      <c r="G88" s="126">
        <f t="shared" si="31"/>
        <v>-4.0000000000000001E-3</v>
      </c>
      <c r="H88" s="171">
        <f t="shared" si="31"/>
        <v>2.9000000000000001E-2</v>
      </c>
      <c r="I88" s="125"/>
      <c r="K88" s="175"/>
      <c r="L88" s="175"/>
      <c r="M88" s="175"/>
      <c r="N88" s="175"/>
      <c r="O88" s="175"/>
      <c r="P88" s="175"/>
    </row>
    <row r="89" spans="1:16" s="129" customFormat="1" x14ac:dyDescent="0.3">
      <c r="A89" s="169" t="str">
        <f t="shared" si="24"/>
        <v xml:space="preserve">2017 Actual </v>
      </c>
      <c r="B89" s="170"/>
      <c r="C89" s="126">
        <f t="shared" ref="C89:H89" si="32">ROUND((C72/C71-1),3)</f>
        <v>-6.0999999999999999E-2</v>
      </c>
      <c r="D89" s="126">
        <f t="shared" si="32"/>
        <v>-3.7999999999999999E-2</v>
      </c>
      <c r="E89" s="126">
        <f t="shared" si="32"/>
        <v>-2.3E-2</v>
      </c>
      <c r="F89" s="126">
        <f t="shared" si="32"/>
        <v>8.6999999999999994E-2</v>
      </c>
      <c r="G89" s="126">
        <f t="shared" si="32"/>
        <v>-0.109</v>
      </c>
      <c r="H89" s="171">
        <f t="shared" si="32"/>
        <v>-2.1999999999999999E-2</v>
      </c>
      <c r="I89" s="125"/>
      <c r="K89" s="175"/>
      <c r="L89" s="175"/>
      <c r="M89" s="175"/>
      <c r="N89" s="175"/>
      <c r="O89" s="175"/>
      <c r="P89" s="175"/>
    </row>
    <row r="90" spans="1:16" s="129" customFormat="1" x14ac:dyDescent="0.3">
      <c r="A90" s="169" t="str">
        <f t="shared" si="24"/>
        <v xml:space="preserve">2018 Actual </v>
      </c>
      <c r="B90" s="170"/>
      <c r="C90" s="126">
        <f t="shared" ref="C90:H90" si="33">ROUND((C73/C72-1),3)</f>
        <v>7.8E-2</v>
      </c>
      <c r="D90" s="126">
        <f t="shared" si="33"/>
        <v>2.8000000000000001E-2</v>
      </c>
      <c r="E90" s="126">
        <f t="shared" si="33"/>
        <v>2.9000000000000001E-2</v>
      </c>
      <c r="F90" s="126">
        <f t="shared" si="33"/>
        <v>6.4000000000000001E-2</v>
      </c>
      <c r="G90" s="126">
        <f t="shared" si="33"/>
        <v>-0.48799999999999999</v>
      </c>
      <c r="H90" s="171">
        <f t="shared" si="33"/>
        <v>-2.4E-2</v>
      </c>
      <c r="I90" s="125"/>
      <c r="K90" s="175"/>
      <c r="L90" s="175"/>
      <c r="M90" s="175"/>
      <c r="N90" s="175"/>
      <c r="O90" s="175"/>
      <c r="P90" s="175"/>
    </row>
    <row r="91" spans="1:16" s="129" customFormat="1" x14ac:dyDescent="0.3">
      <c r="A91" s="170" t="str">
        <f t="shared" si="24"/>
        <v>2019 Bridge</v>
      </c>
      <c r="B91" s="170"/>
      <c r="C91" s="132">
        <f t="shared" ref="C91:H91" si="34">ROUND((C74/C73-1),3)</f>
        <v>-4.9000000000000002E-2</v>
      </c>
      <c r="D91" s="132">
        <f t="shared" si="34"/>
        <v>-5.2999999999999999E-2</v>
      </c>
      <c r="E91" s="132">
        <f t="shared" si="34"/>
        <v>-3.1E-2</v>
      </c>
      <c r="F91" s="132">
        <f t="shared" si="34"/>
        <v>2.4E-2</v>
      </c>
      <c r="G91" s="132">
        <f t="shared" si="34"/>
        <v>-2.1999999999999999E-2</v>
      </c>
      <c r="H91" s="176">
        <f t="shared" si="34"/>
        <v>1.2E-2</v>
      </c>
      <c r="I91" s="135"/>
    </row>
    <row r="92" spans="1:16" s="129" customFormat="1" x14ac:dyDescent="0.3">
      <c r="A92" s="519" t="str">
        <f t="shared" si="24"/>
        <v>2020 Test</v>
      </c>
      <c r="B92" s="520"/>
      <c r="C92" s="132">
        <f t="shared" ref="C92:H92" si="35">ROUND((C75/C74-1),3)</f>
        <v>-8.0000000000000002E-3</v>
      </c>
      <c r="D92" s="132">
        <f t="shared" si="35"/>
        <v>-1.4E-2</v>
      </c>
      <c r="E92" s="132">
        <f t="shared" si="35"/>
        <v>-1.4E-2</v>
      </c>
      <c r="F92" s="132">
        <f t="shared" si="35"/>
        <v>2.5999999999999999E-2</v>
      </c>
      <c r="G92" s="132">
        <f t="shared" si="35"/>
        <v>-2.1999999999999999E-2</v>
      </c>
      <c r="H92" s="176">
        <f t="shared" si="35"/>
        <v>1.0999999999999999E-2</v>
      </c>
      <c r="I92" s="135"/>
    </row>
    <row r="93" spans="1:16" s="129" customFormat="1" x14ac:dyDescent="0.3">
      <c r="A93" s="177"/>
      <c r="B93" s="178"/>
      <c r="C93" s="125"/>
      <c r="D93" s="125"/>
      <c r="E93" s="125"/>
      <c r="F93" s="125"/>
      <c r="G93" s="125"/>
      <c r="H93" s="125"/>
      <c r="I93" s="125"/>
      <c r="J93" s="115"/>
    </row>
    <row r="94" spans="1:16" ht="30.75" customHeight="1" x14ac:dyDescent="0.3">
      <c r="C94" s="521" t="s">
        <v>194</v>
      </c>
      <c r="D94" s="522"/>
      <c r="E94" s="522"/>
      <c r="F94" s="522"/>
      <c r="G94" s="523"/>
    </row>
    <row r="95" spans="1:16" x14ac:dyDescent="0.3">
      <c r="C95" s="511" t="s">
        <v>195</v>
      </c>
      <c r="D95" s="512"/>
      <c r="E95" s="512"/>
      <c r="F95" s="512"/>
      <c r="G95" s="513"/>
      <c r="K95"/>
    </row>
    <row r="96" spans="1:16" x14ac:dyDescent="0.3">
      <c r="C96" s="297">
        <v>2014</v>
      </c>
      <c r="D96" s="96">
        <v>2015</v>
      </c>
      <c r="E96" s="96">
        <v>2016</v>
      </c>
      <c r="F96" s="96">
        <v>2017</v>
      </c>
      <c r="G96" s="96">
        <v>2018</v>
      </c>
      <c r="K96"/>
    </row>
    <row r="97" spans="1:11" x14ac:dyDescent="0.3">
      <c r="C97" s="179"/>
      <c r="D97" s="179"/>
      <c r="E97" s="179"/>
      <c r="F97" s="179"/>
      <c r="G97" s="179"/>
      <c r="K97"/>
    </row>
    <row r="98" spans="1:11" x14ac:dyDescent="0.3">
      <c r="C98" s="511" t="s">
        <v>196</v>
      </c>
      <c r="D98" s="514"/>
      <c r="E98" s="514"/>
      <c r="F98" s="514"/>
      <c r="G98" s="515"/>
      <c r="K98"/>
    </row>
    <row r="99" spans="1:11" x14ac:dyDescent="0.3">
      <c r="C99" s="443"/>
      <c r="D99" s="180">
        <v>2015</v>
      </c>
      <c r="E99" s="180">
        <v>2016</v>
      </c>
      <c r="F99" s="180">
        <v>2017</v>
      </c>
      <c r="G99" s="180">
        <v>2018</v>
      </c>
      <c r="K99"/>
    </row>
    <row r="100" spans="1:11" x14ac:dyDescent="0.3">
      <c r="C100" s="145"/>
      <c r="D100" s="179"/>
      <c r="E100" s="179"/>
      <c r="F100" s="179"/>
      <c r="G100" s="179"/>
      <c r="K100"/>
    </row>
    <row r="101" spans="1:11" x14ac:dyDescent="0.3">
      <c r="K101"/>
    </row>
    <row r="102" spans="1:11" x14ac:dyDescent="0.3">
      <c r="C102" s="1"/>
      <c r="D102" s="1"/>
      <c r="E102" s="1"/>
      <c r="F102" s="1"/>
      <c r="G102" s="1"/>
      <c r="K102"/>
    </row>
    <row r="103" spans="1:11" x14ac:dyDescent="0.3">
      <c r="A103" s="477" t="s">
        <v>197</v>
      </c>
      <c r="B103" s="477"/>
      <c r="C103" s="477"/>
      <c r="D103" s="477"/>
      <c r="K103"/>
    </row>
    <row r="104" spans="1:11" x14ac:dyDescent="0.3">
      <c r="A104" s="516" t="s">
        <v>198</v>
      </c>
      <c r="B104" s="516"/>
      <c r="C104" s="516"/>
      <c r="D104" s="181" t="s">
        <v>199</v>
      </c>
      <c r="J104" s="143"/>
    </row>
    <row r="105" spans="1:11" x14ac:dyDescent="0.3">
      <c r="A105" s="476" t="s">
        <v>17</v>
      </c>
      <c r="B105" s="476"/>
      <c r="C105" s="476"/>
      <c r="D105" s="182">
        <f>+Power!Q5</f>
        <v>0.92263001819595936</v>
      </c>
      <c r="J105"/>
    </row>
    <row r="106" spans="1:11" x14ac:dyDescent="0.3">
      <c r="A106" s="476" t="s">
        <v>18</v>
      </c>
      <c r="B106" s="476"/>
      <c r="C106" s="476"/>
      <c r="D106" s="182">
        <f>+Power!Q6</f>
        <v>0.91779439433320675</v>
      </c>
      <c r="J106"/>
    </row>
    <row r="107" spans="1:11" x14ac:dyDescent="0.3">
      <c r="A107" s="476" t="s">
        <v>200</v>
      </c>
      <c r="B107" s="476"/>
      <c r="C107" s="476"/>
      <c r="D107" s="183">
        <f>+Power!T12</f>
        <v>208.99934235620105</v>
      </c>
      <c r="J107"/>
    </row>
    <row r="108" spans="1:11" x14ac:dyDescent="0.3">
      <c r="A108" s="476" t="s">
        <v>201</v>
      </c>
      <c r="B108" s="476"/>
      <c r="C108" s="476"/>
      <c r="D108" s="183"/>
      <c r="J108"/>
    </row>
    <row r="109" spans="1:11" x14ac:dyDescent="0.3">
      <c r="A109" s="507" t="s">
        <v>5</v>
      </c>
      <c r="B109" s="508"/>
      <c r="C109" s="509"/>
      <c r="D109" s="184">
        <f>+Power!S18</f>
        <v>22.755291517315879</v>
      </c>
      <c r="J109"/>
    </row>
    <row r="110" spans="1:11" x14ac:dyDescent="0.3">
      <c r="A110" s="507" t="s">
        <v>6</v>
      </c>
      <c r="B110" s="508"/>
      <c r="C110" s="509"/>
      <c r="D110" s="184">
        <f>+Power!S19</f>
        <v>21.63337879666291</v>
      </c>
      <c r="J110"/>
    </row>
    <row r="111" spans="1:11" x14ac:dyDescent="0.3">
      <c r="A111" s="507" t="s">
        <v>7</v>
      </c>
      <c r="B111" s="508"/>
      <c r="C111" s="509"/>
      <c r="D111" s="184">
        <f>+Power!T20</f>
        <v>2.6180047514787573E-13</v>
      </c>
      <c r="J111"/>
    </row>
    <row r="112" spans="1:11" ht="14.25" customHeight="1" x14ac:dyDescent="0.3">
      <c r="A112" s="507" t="s">
        <v>8</v>
      </c>
      <c r="B112" s="508"/>
      <c r="C112" s="509"/>
      <c r="D112" s="184">
        <f>+Power!S21</f>
        <v>-7.4869816584641127</v>
      </c>
    </row>
    <row r="113" spans="1:22" x14ac:dyDescent="0.3">
      <c r="A113" s="507" t="s">
        <v>9</v>
      </c>
      <c r="B113" s="508"/>
      <c r="C113" s="509"/>
      <c r="D113" s="184">
        <f>+Power!T22</f>
        <v>3.5370700087769183E-4</v>
      </c>
    </row>
    <row r="114" spans="1:22" x14ac:dyDescent="0.3">
      <c r="A114" s="507" t="s">
        <v>202</v>
      </c>
      <c r="B114" s="508"/>
      <c r="C114" s="509"/>
      <c r="D114" s="184">
        <f>+Power!S23</f>
        <v>-0.21343080597735212</v>
      </c>
    </row>
    <row r="115" spans="1:22" x14ac:dyDescent="0.3">
      <c r="A115" s="507" t="s">
        <v>11</v>
      </c>
      <c r="B115" s="508"/>
      <c r="C115" s="509"/>
      <c r="D115" s="184">
        <f>+Power!S24</f>
        <v>-0.51946083250660269</v>
      </c>
    </row>
    <row r="116" spans="1:22" x14ac:dyDescent="0.3">
      <c r="A116" s="510" t="s">
        <v>37</v>
      </c>
      <c r="B116" s="510"/>
      <c r="C116" s="510"/>
      <c r="D116" s="184">
        <f>+Power!S17</f>
        <v>0.5177075741925774</v>
      </c>
    </row>
    <row r="117" spans="1:22" x14ac:dyDescent="0.3">
      <c r="J117" s="143"/>
    </row>
    <row r="118" spans="1:22" x14ac:dyDescent="0.3">
      <c r="A118" s="472" t="s">
        <v>203</v>
      </c>
      <c r="B118" s="473"/>
      <c r="C118" s="473"/>
      <c r="D118" s="473"/>
      <c r="E118" s="474"/>
    </row>
    <row r="119" spans="1:22" x14ac:dyDescent="0.3">
      <c r="A119" s="470" t="s">
        <v>163</v>
      </c>
      <c r="B119" s="506"/>
      <c r="C119" s="224" t="s">
        <v>204</v>
      </c>
      <c r="D119" s="224" t="s">
        <v>205</v>
      </c>
      <c r="E119" s="224" t="s">
        <v>145</v>
      </c>
      <c r="L119" s="268" t="s">
        <v>206</v>
      </c>
      <c r="M119" s="268" t="s">
        <v>207</v>
      </c>
      <c r="N119" s="268" t="s">
        <v>208</v>
      </c>
      <c r="O119" s="268" t="s">
        <v>209</v>
      </c>
      <c r="P119" s="268" t="s">
        <v>210</v>
      </c>
      <c r="Q119" s="268" t="s">
        <v>211</v>
      </c>
      <c r="R119" s="268" t="s">
        <v>212</v>
      </c>
      <c r="S119" s="268" t="s">
        <v>213</v>
      </c>
      <c r="T119" s="268" t="s">
        <v>214</v>
      </c>
      <c r="U119" s="268" t="s">
        <v>215</v>
      </c>
      <c r="V119" s="268"/>
    </row>
    <row r="120" spans="1:22" x14ac:dyDescent="0.3">
      <c r="A120" s="472" t="s">
        <v>216</v>
      </c>
      <c r="B120" s="473"/>
      <c r="C120" s="473"/>
      <c r="D120" s="473"/>
      <c r="E120" s="474"/>
      <c r="K120" s="267" t="s">
        <v>0</v>
      </c>
      <c r="L120" s="269">
        <f>+Power!B149</f>
        <v>1799117218</v>
      </c>
      <c r="M120" s="269">
        <f>+Power!B150</f>
        <v>1856139934</v>
      </c>
      <c r="N120" s="269">
        <f>+Power!B151</f>
        <v>1858126221</v>
      </c>
      <c r="O120" s="269">
        <f>+Power!B152</f>
        <v>1850077497</v>
      </c>
      <c r="P120" s="269">
        <f>+Power!B153</f>
        <v>1830430672</v>
      </c>
      <c r="Q120" s="269">
        <f>+Power!B154</f>
        <v>1814223822.6538999</v>
      </c>
      <c r="R120" s="269">
        <f>+Power!B155</f>
        <v>1771969142</v>
      </c>
      <c r="S120" s="269">
        <f>+Power!B156</f>
        <v>1771980296</v>
      </c>
      <c r="T120" s="269">
        <f>+Power!B157</f>
        <v>1717303925</v>
      </c>
      <c r="U120" s="269">
        <f>+Power!B158</f>
        <v>1810386694.8640001</v>
      </c>
      <c r="V120" s="269"/>
    </row>
    <row r="121" spans="1:22" ht="15" customHeight="1" x14ac:dyDescent="0.3">
      <c r="A121" s="465">
        <v>2009</v>
      </c>
      <c r="B121" s="504"/>
      <c r="C121" s="122">
        <f>ROUND((Power!F149/1000000),1)</f>
        <v>1783.5</v>
      </c>
      <c r="D121" s="122">
        <f>ROUND((Power!N149/1000000),1)</f>
        <v>1803.8</v>
      </c>
      <c r="E121" s="185">
        <f t="shared" ref="E121:E130" si="36">D121/C121-1</f>
        <v>1.1382113821138296E-2</v>
      </c>
      <c r="F121"/>
      <c r="K121" s="267" t="s">
        <v>217</v>
      </c>
      <c r="L121" s="269">
        <v>40185654.629499987</v>
      </c>
      <c r="M121" s="269">
        <v>39950943.589599997</v>
      </c>
      <c r="N121" s="269">
        <v>37235754.365099996</v>
      </c>
      <c r="O121" s="269">
        <v>33622427.887999997</v>
      </c>
      <c r="P121" s="269">
        <v>35921364.079999998</v>
      </c>
      <c r="Q121" s="269">
        <v>31751349.728</v>
      </c>
      <c r="R121" s="269">
        <v>30524476.863999996</v>
      </c>
      <c r="S121" s="269">
        <v>33401872.559999999</v>
      </c>
      <c r="T121" s="269">
        <v>34092925.552000001</v>
      </c>
      <c r="U121" s="269">
        <v>30399212.873399999</v>
      </c>
      <c r="V121" s="269"/>
    </row>
    <row r="122" spans="1:22" ht="15" customHeight="1" x14ac:dyDescent="0.3">
      <c r="A122" s="465">
        <v>2010</v>
      </c>
      <c r="B122" s="504"/>
      <c r="C122" s="122">
        <f>ROUND((Power!F150/1000000),1)</f>
        <v>1847.3</v>
      </c>
      <c r="D122" s="122">
        <f>ROUND((Power!N150/1000000),1)</f>
        <v>1840.7</v>
      </c>
      <c r="E122" s="185">
        <f t="shared" si="36"/>
        <v>-3.5727818979049975E-3</v>
      </c>
      <c r="F122"/>
      <c r="K122" s="267" t="s">
        <v>218</v>
      </c>
      <c r="L122" s="269"/>
      <c r="N122" s="269">
        <v>941795.07869999995</v>
      </c>
      <c r="O122" s="269">
        <v>1511672.5163</v>
      </c>
      <c r="P122" s="269">
        <v>2449357.2965000002</v>
      </c>
      <c r="Q122" s="269">
        <v>4053770.4807000002</v>
      </c>
      <c r="R122" s="269">
        <v>6977995.4546999997</v>
      </c>
      <c r="S122" s="269">
        <f>9116950.7659+1</f>
        <v>9116951.7659000009</v>
      </c>
      <c r="T122" s="269">
        <v>8339316.7083000001</v>
      </c>
      <c r="U122" s="269">
        <v>9066605.6609000005</v>
      </c>
      <c r="V122" s="269"/>
    </row>
    <row r="123" spans="1:22" ht="15" customHeight="1" x14ac:dyDescent="0.3">
      <c r="A123" s="465">
        <v>2011</v>
      </c>
      <c r="B123" s="504"/>
      <c r="C123" s="122">
        <f>ROUND((Power!F151/1000000),1)</f>
        <v>1851.6</v>
      </c>
      <c r="D123" s="122">
        <f>ROUND((Power!N151/1000000),1)</f>
        <v>1833.9</v>
      </c>
      <c r="E123" s="185">
        <f t="shared" si="36"/>
        <v>-9.5593000648087623E-3</v>
      </c>
      <c r="F123"/>
      <c r="K123" s="267" t="s">
        <v>219</v>
      </c>
      <c r="M123" s="269">
        <v>81602.386499999993</v>
      </c>
      <c r="N123" s="269">
        <v>970799.94079999998</v>
      </c>
      <c r="O123" s="269">
        <v>2218655.1139000002</v>
      </c>
      <c r="P123" s="269">
        <v>2763779.9728999999</v>
      </c>
      <c r="Q123" s="269">
        <v>3803852.9506999995</v>
      </c>
      <c r="R123" s="269">
        <v>4595135.8616500003</v>
      </c>
      <c r="S123" s="269">
        <f>5607361.0859</f>
        <v>5607361.0859000003</v>
      </c>
      <c r="T123" s="269">
        <v>5779301.9038000004</v>
      </c>
      <c r="U123" s="269">
        <v>7197330.0194999995</v>
      </c>
      <c r="V123" s="269"/>
    </row>
    <row r="124" spans="1:22" ht="15" customHeight="1" thickBot="1" x14ac:dyDescent="0.35">
      <c r="A124" s="465">
        <v>2012</v>
      </c>
      <c r="B124" s="504"/>
      <c r="C124" s="122">
        <f>ROUND((Power!F152/1000000),1)</f>
        <v>1841.8</v>
      </c>
      <c r="D124" s="122">
        <f>ROUND((Power!N152/1000000),1)</f>
        <v>1829.6</v>
      </c>
      <c r="E124" s="185">
        <f t="shared" si="36"/>
        <v>-6.6239548267998938E-3</v>
      </c>
      <c r="F124"/>
      <c r="L124" s="270">
        <f t="shared" ref="L124:U124" si="37">SUM(L120:L123)</f>
        <v>1839302872.6294999</v>
      </c>
      <c r="M124" s="270">
        <f t="shared" si="37"/>
        <v>1896172479.9761</v>
      </c>
      <c r="N124" s="270">
        <f t="shared" si="37"/>
        <v>1897274570.3845999</v>
      </c>
      <c r="O124" s="270">
        <f t="shared" si="37"/>
        <v>1887430252.5181999</v>
      </c>
      <c r="P124" s="270">
        <f t="shared" si="37"/>
        <v>1871565173.3493998</v>
      </c>
      <c r="Q124" s="270">
        <f t="shared" si="37"/>
        <v>1853832795.8132999</v>
      </c>
      <c r="R124" s="270">
        <f t="shared" si="37"/>
        <v>1814066750.1803501</v>
      </c>
      <c r="S124" s="270">
        <f t="shared" si="37"/>
        <v>1820106481.4117999</v>
      </c>
      <c r="T124" s="270">
        <f t="shared" si="37"/>
        <v>1765515469.1641002</v>
      </c>
      <c r="U124" s="270">
        <f t="shared" si="37"/>
        <v>1857049843.4178002</v>
      </c>
      <c r="V124" s="270"/>
    </row>
    <row r="125" spans="1:22" ht="15" customHeight="1" x14ac:dyDescent="0.3">
      <c r="A125" s="465">
        <v>2013</v>
      </c>
      <c r="B125" s="504"/>
      <c r="C125" s="122">
        <f>ROUND((Power!F153/1000000),1)</f>
        <v>1826.1</v>
      </c>
      <c r="D125" s="122">
        <f>ROUND((Power!N153/1000000),1)</f>
        <v>1825.9</v>
      </c>
      <c r="E125" s="185">
        <f t="shared" si="36"/>
        <v>-1.0952302721634055E-4</v>
      </c>
      <c r="F125"/>
      <c r="L125" s="269">
        <f>SUM(Power!C2:C13)</f>
        <v>40185654.629499987</v>
      </c>
      <c r="M125" s="269">
        <f>SUM(Power!C14:C25)</f>
        <v>40032545.976100005</v>
      </c>
      <c r="N125" s="269">
        <f>SUM(Power!C26:C37)</f>
        <v>39148349.384600006</v>
      </c>
      <c r="O125" s="269">
        <f>SUM(Power!C38:C49)</f>
        <v>37352755.518100001</v>
      </c>
      <c r="P125" s="269">
        <f>SUM(Power!C50:C61)</f>
        <v>41134501.34920001</v>
      </c>
      <c r="Q125" s="269">
        <f>SUM(Power!C62:C73)</f>
        <v>39608973.159199998</v>
      </c>
      <c r="R125" s="269">
        <f>SUM(Power!C74:C85)</f>
        <v>42097608.40275</v>
      </c>
      <c r="S125" s="269">
        <f>SUM(Power!C86:C97)</f>
        <v>48126185.670100003</v>
      </c>
      <c r="T125" s="269">
        <f>SUM(Power!C98:C109)</f>
        <v>48211544.164199993</v>
      </c>
      <c r="U125" s="269">
        <f>SUM(Power!C110:C121)</f>
        <v>46663148.534899995</v>
      </c>
      <c r="V125" s="269"/>
    </row>
    <row r="126" spans="1:22" ht="15" customHeight="1" x14ac:dyDescent="0.3">
      <c r="A126" s="465">
        <v>2014</v>
      </c>
      <c r="B126" s="504"/>
      <c r="C126" s="122">
        <f>ROUND((Power!F154/1000000),1)</f>
        <v>1813.6</v>
      </c>
      <c r="D126" s="122">
        <f>ROUND((Power!N154/1000000),1)</f>
        <v>1806.3</v>
      </c>
      <c r="E126" s="185">
        <f t="shared" si="36"/>
        <v>-4.0251433612703558E-3</v>
      </c>
      <c r="F126"/>
      <c r="L126" s="269">
        <f>ROUND((L125-SUM(L121:L123)),0)</f>
        <v>0</v>
      </c>
      <c r="M126" s="269">
        <f>ROUND((M125-SUM(M121:M123)),0)</f>
        <v>0</v>
      </c>
      <c r="N126" s="269">
        <f>ROUND((N125-SUM(N121:N123)),0)</f>
        <v>0</v>
      </c>
      <c r="O126" s="269">
        <f>ROUND((O125-SUM(O121:O123)),0)</f>
        <v>0</v>
      </c>
      <c r="P126" s="269">
        <f t="shared" ref="P126:R126" si="38">ROUND((P125-SUM(P121:P123)),0)</f>
        <v>0</v>
      </c>
      <c r="Q126" s="269">
        <f t="shared" si="38"/>
        <v>0</v>
      </c>
      <c r="R126" s="269">
        <f t="shared" si="38"/>
        <v>0</v>
      </c>
      <c r="S126" s="269">
        <f t="shared" ref="S126:U126" si="39">ROUND((S125-SUM(S121:S123)),0)</f>
        <v>0</v>
      </c>
      <c r="T126" s="269">
        <f t="shared" si="39"/>
        <v>0</v>
      </c>
      <c r="U126" s="269">
        <f t="shared" si="39"/>
        <v>0</v>
      </c>
      <c r="V126" s="269"/>
    </row>
    <row r="127" spans="1:22" ht="15" customHeight="1" x14ac:dyDescent="0.3">
      <c r="A127" s="465">
        <v>2015</v>
      </c>
      <c r="B127" s="504"/>
      <c r="C127" s="122">
        <f>ROUND((Power!F155/1000000),1)</f>
        <v>1802</v>
      </c>
      <c r="D127" s="122">
        <f>ROUND((Power!N155/1000000),1)</f>
        <v>1809.4</v>
      </c>
      <c r="E127" s="185">
        <f t="shared" si="36"/>
        <v>4.1065482796893704E-3</v>
      </c>
      <c r="F127"/>
      <c r="L127" s="269"/>
      <c r="M127" s="269"/>
      <c r="N127" s="269"/>
      <c r="O127" s="269"/>
      <c r="P127" s="269"/>
      <c r="Q127" s="269"/>
      <c r="R127" s="269"/>
      <c r="S127" s="269"/>
      <c r="T127" s="269"/>
      <c r="U127" s="269"/>
      <c r="V127" s="269"/>
    </row>
    <row r="128" spans="1:22" ht="15" customHeight="1" x14ac:dyDescent="0.3">
      <c r="A128" s="465">
        <v>2016</v>
      </c>
      <c r="B128" s="504"/>
      <c r="C128" s="122">
        <f>ROUND((Power!F156/1000000),1)</f>
        <v>1811.7</v>
      </c>
      <c r="D128" s="122">
        <f>ROUND((Power!N156/1000000),1)</f>
        <v>1829.6</v>
      </c>
      <c r="E128" s="185">
        <f t="shared" si="36"/>
        <v>9.8802229949770393E-3</v>
      </c>
      <c r="F128"/>
    </row>
    <row r="129" spans="1:15" ht="15" customHeight="1" x14ac:dyDescent="0.3">
      <c r="A129" s="465">
        <v>2017</v>
      </c>
      <c r="B129" s="504"/>
      <c r="C129" s="122">
        <f>ROUND((Power!F157/1000000),1)</f>
        <v>1757.8</v>
      </c>
      <c r="D129" s="122">
        <f>ROUND((Power!N157/1000000),1)</f>
        <v>1777.4</v>
      </c>
      <c r="E129" s="185">
        <f t="shared" si="36"/>
        <v>1.1150301513255245E-2</v>
      </c>
      <c r="F129"/>
    </row>
    <row r="130" spans="1:15" ht="15" customHeight="1" x14ac:dyDescent="0.3">
      <c r="A130" s="465">
        <v>2018</v>
      </c>
      <c r="B130" s="504"/>
      <c r="C130" s="122">
        <f>ROUND((Power!F158/1000000),1)</f>
        <v>1857</v>
      </c>
      <c r="D130" s="122">
        <f>ROUND((Power!N158/1000000),1)</f>
        <v>1835.8</v>
      </c>
      <c r="E130" s="185">
        <f t="shared" si="36"/>
        <v>-1.1416262789445408E-2</v>
      </c>
      <c r="F130"/>
    </row>
    <row r="131" spans="1:15" s="129" customFormat="1" ht="15" customHeight="1" x14ac:dyDescent="0.3">
      <c r="A131" s="472" t="s">
        <v>141</v>
      </c>
      <c r="B131" s="473"/>
      <c r="C131" s="474"/>
      <c r="D131" s="130">
        <f>ROUND((Power!N159/1000000),1)</f>
        <v>1796.1</v>
      </c>
      <c r="E131" s="186"/>
      <c r="J131" s="142"/>
    </row>
    <row r="132" spans="1:15" s="129" customFormat="1" ht="15" customHeight="1" x14ac:dyDescent="0.3">
      <c r="A132" s="472" t="s">
        <v>142</v>
      </c>
      <c r="B132" s="473"/>
      <c r="C132" s="474"/>
      <c r="D132" s="130">
        <f>ROUND((Power!N160/1000000),1)</f>
        <v>1798.6</v>
      </c>
      <c r="E132" s="186"/>
      <c r="J132" s="142"/>
    </row>
    <row r="133" spans="1:15" x14ac:dyDescent="0.3">
      <c r="J133"/>
    </row>
    <row r="134" spans="1:15" x14ac:dyDescent="0.3">
      <c r="A134" s="472" t="s">
        <v>220</v>
      </c>
      <c r="B134" s="473"/>
      <c r="C134" s="473"/>
      <c r="D134" s="473"/>
      <c r="E134" s="473"/>
      <c r="F134" s="473"/>
      <c r="G134" s="473"/>
      <c r="H134" s="473"/>
      <c r="I134" s="474"/>
      <c r="J134" s="142"/>
      <c r="K134" s="142"/>
    </row>
    <row r="135" spans="1:15" ht="28" x14ac:dyDescent="0.3">
      <c r="A135" s="478" t="s">
        <v>163</v>
      </c>
      <c r="B135" s="480"/>
      <c r="C135" s="225" t="str">
        <f t="shared" ref="C135:H135" si="40">C23</f>
        <v xml:space="preserve">Residential </v>
      </c>
      <c r="D135" s="225" t="str">
        <f t="shared" si="40"/>
        <v>GS&lt;50 kW</v>
      </c>
      <c r="E135" s="225" t="str">
        <f t="shared" si="40"/>
        <v>GS&gt;50 kW</v>
      </c>
      <c r="F135" s="225" t="str">
        <f t="shared" si="40"/>
        <v>Large
User</v>
      </c>
      <c r="G135" s="225" t="str">
        <f t="shared" si="40"/>
        <v>Street
Lighting</v>
      </c>
      <c r="H135" s="225" t="str">
        <f t="shared" si="40"/>
        <v>USL</v>
      </c>
      <c r="I135" s="225" t="s">
        <v>29</v>
      </c>
    </row>
    <row r="136" spans="1:15" x14ac:dyDescent="0.3">
      <c r="A136" s="163" t="s">
        <v>221</v>
      </c>
      <c r="B136" s="164"/>
      <c r="C136" s="164"/>
      <c r="D136" s="164"/>
      <c r="E136" s="164"/>
      <c r="F136" s="164"/>
      <c r="G136" s="164"/>
      <c r="H136" s="164"/>
      <c r="I136" s="187"/>
    </row>
    <row r="137" spans="1:15" x14ac:dyDescent="0.3">
      <c r="A137" s="468">
        <f t="shared" ref="A137:A146" si="41">+A121</f>
        <v>2009</v>
      </c>
      <c r="B137" s="469"/>
      <c r="C137" s="188">
        <f>ROUND((Customer!B4),0)</f>
        <v>76255</v>
      </c>
      <c r="D137" s="188">
        <f>ROUND((Customer!C4),0)</f>
        <v>7370</v>
      </c>
      <c r="E137" s="189">
        <f>ROUND((Customer!D4+Customer!K4+Customer!E4),0)</f>
        <v>1005</v>
      </c>
      <c r="F137" s="188">
        <f>ROUND((Customer!F4),0)</f>
        <v>3</v>
      </c>
      <c r="G137" s="188">
        <f>ROUND((Customer!G4),0)</f>
        <v>1551</v>
      </c>
      <c r="H137" s="188">
        <f>ROUND((Customer!H4),0)</f>
        <v>817</v>
      </c>
      <c r="I137" s="188">
        <f>ROUND((SUM(C137:H137)),0)</f>
        <v>87001</v>
      </c>
      <c r="M137"/>
      <c r="N137"/>
      <c r="O137"/>
    </row>
    <row r="138" spans="1:15" x14ac:dyDescent="0.3">
      <c r="A138" s="468">
        <f t="shared" si="41"/>
        <v>2010</v>
      </c>
      <c r="B138" s="469"/>
      <c r="C138" s="188">
        <f>ROUND((Customer!B5),0)</f>
        <v>77506</v>
      </c>
      <c r="D138" s="188">
        <f>ROUND((Customer!C5),0)</f>
        <v>7448</v>
      </c>
      <c r="E138" s="189">
        <f>ROUND((Customer!D5+Customer!K5+Customer!E5),0)</f>
        <v>989</v>
      </c>
      <c r="F138" s="188">
        <f>ROUND((Customer!F5),0)</f>
        <v>1</v>
      </c>
      <c r="G138" s="188">
        <f>ROUND((Customer!G5),0)</f>
        <v>1574</v>
      </c>
      <c r="H138" s="188">
        <f>ROUND((Customer!H5),0)</f>
        <v>811</v>
      </c>
      <c r="I138" s="188">
        <f t="shared" ref="I138:I146" si="42">ROUND((SUM(C138:H138)),0)</f>
        <v>88329</v>
      </c>
      <c r="M138"/>
      <c r="N138"/>
      <c r="O138"/>
    </row>
    <row r="139" spans="1:15" x14ac:dyDescent="0.3">
      <c r="A139" s="468">
        <f t="shared" si="41"/>
        <v>2011</v>
      </c>
      <c r="B139" s="469"/>
      <c r="C139" s="188">
        <f>ROUND((Customer!B6),0)</f>
        <v>78761</v>
      </c>
      <c r="D139" s="188">
        <f>ROUND((Customer!C6),0)</f>
        <v>7538</v>
      </c>
      <c r="E139" s="189">
        <f>ROUND((Customer!D6+Customer!K6+Customer!E6),0)</f>
        <v>975</v>
      </c>
      <c r="F139" s="188">
        <f>ROUND((Customer!F6),0)</f>
        <v>2</v>
      </c>
      <c r="G139" s="188">
        <f>ROUND((Customer!G6),0)</f>
        <v>1568</v>
      </c>
      <c r="H139" s="188">
        <f>ROUND((Customer!H6),0)</f>
        <v>841</v>
      </c>
      <c r="I139" s="188">
        <f t="shared" si="42"/>
        <v>89685</v>
      </c>
      <c r="M139"/>
      <c r="N139"/>
      <c r="O139"/>
    </row>
    <row r="140" spans="1:15" x14ac:dyDescent="0.3">
      <c r="A140" s="468">
        <f t="shared" si="41"/>
        <v>2012</v>
      </c>
      <c r="B140" s="469"/>
      <c r="C140" s="188">
        <f>ROUND((Customer!B7),0)</f>
        <v>79997</v>
      </c>
      <c r="D140" s="188">
        <f>ROUND((Customer!C7),0)</f>
        <v>7645</v>
      </c>
      <c r="E140" s="189">
        <f>ROUND((Customer!D7+Customer!K7+Customer!E7),0)</f>
        <v>952</v>
      </c>
      <c r="F140" s="188">
        <f>ROUND((Customer!F7),0)</f>
        <v>2</v>
      </c>
      <c r="G140" s="188">
        <f>ROUND((Customer!G7),0)</f>
        <v>1573</v>
      </c>
      <c r="H140" s="188">
        <f>ROUND((Customer!H7),0)</f>
        <v>869</v>
      </c>
      <c r="I140" s="188">
        <f t="shared" si="42"/>
        <v>91038</v>
      </c>
      <c r="M140"/>
      <c r="N140"/>
      <c r="O140"/>
    </row>
    <row r="141" spans="1:15" x14ac:dyDescent="0.3">
      <c r="A141" s="468">
        <f t="shared" si="41"/>
        <v>2013</v>
      </c>
      <c r="B141" s="469"/>
      <c r="C141" s="188">
        <f>ROUND((Customer!B8),0)</f>
        <v>80893</v>
      </c>
      <c r="D141" s="188">
        <f>ROUND((Customer!C8),0)</f>
        <v>7687</v>
      </c>
      <c r="E141" s="189">
        <f>ROUND((Customer!D8+Customer!K8+Customer!E8),0)</f>
        <v>950</v>
      </c>
      <c r="F141" s="188">
        <f>ROUND((Customer!F8),0)</f>
        <v>3</v>
      </c>
      <c r="G141" s="188">
        <f>ROUND((Customer!G8),0)</f>
        <v>1551</v>
      </c>
      <c r="H141" s="188">
        <f>ROUND((Customer!H8),0)</f>
        <v>844</v>
      </c>
      <c r="I141" s="188">
        <f t="shared" si="42"/>
        <v>91928</v>
      </c>
      <c r="M141"/>
      <c r="N141"/>
      <c r="O141"/>
    </row>
    <row r="142" spans="1:15" x14ac:dyDescent="0.3">
      <c r="A142" s="468">
        <f t="shared" si="41"/>
        <v>2014</v>
      </c>
      <c r="B142" s="469"/>
      <c r="C142" s="188">
        <f>ROUND((Customer!B9),0)</f>
        <v>81868</v>
      </c>
      <c r="D142" s="188">
        <f>ROUND((Customer!C9),0)</f>
        <v>7744</v>
      </c>
      <c r="E142" s="189">
        <f>ROUND((Customer!D9+Customer!K9+Customer!E9),0)</f>
        <v>944</v>
      </c>
      <c r="F142" s="188">
        <f>ROUND((Customer!F9),0)</f>
        <v>2</v>
      </c>
      <c r="G142" s="188">
        <f>ROUND((Customer!G9),0)</f>
        <v>1616</v>
      </c>
      <c r="H142" s="188">
        <f>ROUND((Customer!H9),0)</f>
        <v>877</v>
      </c>
      <c r="I142" s="188">
        <f t="shared" si="42"/>
        <v>93051</v>
      </c>
      <c r="M142"/>
      <c r="N142"/>
      <c r="O142"/>
    </row>
    <row r="143" spans="1:15" x14ac:dyDescent="0.3">
      <c r="A143" s="468">
        <f t="shared" si="41"/>
        <v>2015</v>
      </c>
      <c r="B143" s="469"/>
      <c r="C143" s="188">
        <f>ROUND((Customer!B10),0)</f>
        <v>83106</v>
      </c>
      <c r="D143" s="188">
        <f>ROUND((Customer!C10),0)</f>
        <v>7796</v>
      </c>
      <c r="E143" s="189">
        <f>ROUND((Customer!D10+Customer!K10+Customer!E10),0)</f>
        <v>939</v>
      </c>
      <c r="F143" s="188">
        <f>ROUND((Customer!F10),0)</f>
        <v>1</v>
      </c>
      <c r="G143" s="188">
        <f>ROUND((Customer!G10),0)</f>
        <v>1637</v>
      </c>
      <c r="H143" s="188">
        <f>ROUND((Customer!H10),0)</f>
        <v>891</v>
      </c>
      <c r="I143" s="188">
        <f t="shared" si="42"/>
        <v>94370</v>
      </c>
      <c r="M143"/>
      <c r="N143"/>
      <c r="O143"/>
    </row>
    <row r="144" spans="1:15" x14ac:dyDescent="0.3">
      <c r="A144" s="468">
        <f t="shared" si="41"/>
        <v>2016</v>
      </c>
      <c r="B144" s="469"/>
      <c r="C144" s="188">
        <f>ROUND((Customer!B11),0)</f>
        <v>84530</v>
      </c>
      <c r="D144" s="188">
        <f>ROUND((Customer!C11),0)</f>
        <v>7845</v>
      </c>
      <c r="E144" s="189">
        <f>ROUND((Customer!D11+Customer!K11+Customer!E11),0)</f>
        <v>940</v>
      </c>
      <c r="F144" s="188">
        <f>ROUND((Customer!F11),0)</f>
        <v>1</v>
      </c>
      <c r="G144" s="188">
        <f>ROUND((Customer!G11),0)</f>
        <v>1653</v>
      </c>
      <c r="H144" s="188">
        <f>ROUND((Customer!H11),0)</f>
        <v>866</v>
      </c>
      <c r="I144" s="188">
        <f t="shared" si="42"/>
        <v>95835</v>
      </c>
      <c r="M144"/>
      <c r="N144"/>
      <c r="O144"/>
    </row>
    <row r="145" spans="1:15" x14ac:dyDescent="0.3">
      <c r="A145" s="468">
        <f t="shared" si="41"/>
        <v>2017</v>
      </c>
      <c r="B145" s="469"/>
      <c r="C145" s="188">
        <f>ROUND((Customer!B12),0)</f>
        <v>86064</v>
      </c>
      <c r="D145" s="188">
        <f>ROUND((Customer!C12),0)</f>
        <v>7936</v>
      </c>
      <c r="E145" s="189">
        <f>ROUND((Customer!D12+Customer!K12+Customer!E12),0)</f>
        <v>936</v>
      </c>
      <c r="F145" s="188">
        <f>ROUND((Customer!F12),0)</f>
        <v>1</v>
      </c>
      <c r="G145" s="188">
        <f>ROUND((Customer!G12),0)</f>
        <v>1696</v>
      </c>
      <c r="H145" s="188">
        <f>ROUND((Customer!H12),0)</f>
        <v>886</v>
      </c>
      <c r="I145" s="188">
        <f t="shared" si="42"/>
        <v>97519</v>
      </c>
      <c r="M145"/>
      <c r="N145"/>
      <c r="O145"/>
    </row>
    <row r="146" spans="1:15" x14ac:dyDescent="0.3">
      <c r="A146" s="468">
        <f t="shared" si="41"/>
        <v>2018</v>
      </c>
      <c r="B146" s="469"/>
      <c r="C146" s="188">
        <f>ROUND((Customer!B13),0)</f>
        <v>87395</v>
      </c>
      <c r="D146" s="188">
        <f>ROUND((Customer!C13),0)</f>
        <v>7983</v>
      </c>
      <c r="E146" s="189">
        <f>ROUND((Customer!D13+Customer!K13+Customer!E13),0)</f>
        <v>950</v>
      </c>
      <c r="F146" s="188">
        <f>ROUND((Customer!F13),0)</f>
        <v>1</v>
      </c>
      <c r="G146" s="188">
        <f>ROUND((Customer!G13),0)</f>
        <v>1666</v>
      </c>
      <c r="H146" s="188">
        <f>ROUND((Customer!H13),0)</f>
        <v>931</v>
      </c>
      <c r="I146" s="188">
        <f t="shared" si="42"/>
        <v>98926</v>
      </c>
      <c r="M146"/>
      <c r="N146"/>
      <c r="O146"/>
    </row>
    <row r="148" spans="1:15" x14ac:dyDescent="0.3">
      <c r="A148" s="472" t="s">
        <v>222</v>
      </c>
      <c r="B148" s="473"/>
      <c r="C148" s="473"/>
      <c r="D148" s="473"/>
      <c r="E148" s="473"/>
      <c r="F148" s="473"/>
      <c r="G148" s="473"/>
      <c r="H148" s="474"/>
      <c r="I148" s="142"/>
      <c r="J148" s="142"/>
    </row>
    <row r="149" spans="1:15" ht="28" x14ac:dyDescent="0.3">
      <c r="A149" s="505" t="s">
        <v>163</v>
      </c>
      <c r="B149" s="505"/>
      <c r="C149" s="225" t="str">
        <f t="shared" ref="C149:H149" si="43">C23</f>
        <v xml:space="preserve">Residential </v>
      </c>
      <c r="D149" s="225" t="str">
        <f t="shared" si="43"/>
        <v>GS&lt;50 kW</v>
      </c>
      <c r="E149" s="225" t="str">
        <f t="shared" si="43"/>
        <v>GS&gt;50 kW</v>
      </c>
      <c r="F149" s="225" t="str">
        <f t="shared" si="43"/>
        <v>Large
User</v>
      </c>
      <c r="G149" s="225" t="str">
        <f t="shared" si="43"/>
        <v>Street
Lighting</v>
      </c>
      <c r="H149" s="225" t="str">
        <f t="shared" si="43"/>
        <v>USL</v>
      </c>
    </row>
    <row r="150" spans="1:15" ht="15" customHeight="1" x14ac:dyDescent="0.3">
      <c r="A150" s="163" t="s">
        <v>223</v>
      </c>
      <c r="B150" s="164"/>
      <c r="C150" s="164"/>
      <c r="D150" s="164"/>
      <c r="E150" s="164"/>
      <c r="F150" s="164"/>
      <c r="G150" s="164"/>
      <c r="H150" s="187"/>
    </row>
    <row r="151" spans="1:15" ht="15" customHeight="1" x14ac:dyDescent="0.3">
      <c r="A151" s="475">
        <f t="shared" ref="A151:A160" si="44">A137</f>
        <v>2009</v>
      </c>
      <c r="B151" s="475"/>
      <c r="C151" s="190">
        <v>1.0240796501415961E-2</v>
      </c>
      <c r="D151" s="190">
        <v>9.2965638603315082E-3</v>
      </c>
      <c r="E151" s="190">
        <v>9.121061359867344E-3</v>
      </c>
      <c r="F151" s="190">
        <v>0</v>
      </c>
      <c r="G151" s="190">
        <v>-4.9742334706226465E-4</v>
      </c>
      <c r="H151" s="190">
        <v>2.4449877750611915E-3</v>
      </c>
      <c r="K151" s="191"/>
      <c r="L151" s="192"/>
      <c r="M151" s="192"/>
    </row>
    <row r="152" spans="1:15" ht="15" customHeight="1" x14ac:dyDescent="0.3">
      <c r="A152" s="475">
        <f t="shared" si="44"/>
        <v>2010</v>
      </c>
      <c r="B152" s="475"/>
      <c r="C152" s="190">
        <f t="shared" ref="C152:H152" si="45">ROUND((C138/C137-1),3)</f>
        <v>1.6E-2</v>
      </c>
      <c r="D152" s="190">
        <f t="shared" si="45"/>
        <v>1.0999999999999999E-2</v>
      </c>
      <c r="E152" s="190">
        <f t="shared" si="45"/>
        <v>-1.6E-2</v>
      </c>
      <c r="F152" s="190">
        <f t="shared" si="45"/>
        <v>-0.66700000000000004</v>
      </c>
      <c r="G152" s="190">
        <f t="shared" si="45"/>
        <v>1.4999999999999999E-2</v>
      </c>
      <c r="H152" s="190">
        <f t="shared" si="45"/>
        <v>-7.0000000000000001E-3</v>
      </c>
      <c r="K152" s="191"/>
      <c r="L152" s="192"/>
      <c r="M152" s="192"/>
    </row>
    <row r="153" spans="1:15" ht="15" customHeight="1" x14ac:dyDescent="0.3">
      <c r="A153" s="475">
        <f t="shared" si="44"/>
        <v>2011</v>
      </c>
      <c r="B153" s="475"/>
      <c r="C153" s="190">
        <f t="shared" ref="C153:H153" si="46">ROUND((C139/C138-1),3)</f>
        <v>1.6E-2</v>
      </c>
      <c r="D153" s="190">
        <f t="shared" si="46"/>
        <v>1.2E-2</v>
      </c>
      <c r="E153" s="190">
        <f t="shared" si="46"/>
        <v>-1.4E-2</v>
      </c>
      <c r="F153" s="190">
        <f t="shared" si="46"/>
        <v>1</v>
      </c>
      <c r="G153" s="190">
        <f t="shared" si="46"/>
        <v>-4.0000000000000001E-3</v>
      </c>
      <c r="H153" s="190">
        <f t="shared" si="46"/>
        <v>3.6999999999999998E-2</v>
      </c>
      <c r="K153" s="191"/>
      <c r="L153" s="192"/>
      <c r="M153" s="192"/>
    </row>
    <row r="154" spans="1:15" ht="15" customHeight="1" x14ac:dyDescent="0.3">
      <c r="A154" s="475">
        <f t="shared" si="44"/>
        <v>2012</v>
      </c>
      <c r="B154" s="475"/>
      <c r="C154" s="190">
        <f t="shared" ref="C154:H154" si="47">ROUND((C140/C139-1),3)</f>
        <v>1.6E-2</v>
      </c>
      <c r="D154" s="190">
        <f t="shared" si="47"/>
        <v>1.4E-2</v>
      </c>
      <c r="E154" s="190">
        <f t="shared" si="47"/>
        <v>-2.4E-2</v>
      </c>
      <c r="F154" s="190">
        <f t="shared" si="47"/>
        <v>0</v>
      </c>
      <c r="G154" s="190">
        <f t="shared" si="47"/>
        <v>3.0000000000000001E-3</v>
      </c>
      <c r="H154" s="190">
        <f t="shared" si="47"/>
        <v>3.3000000000000002E-2</v>
      </c>
      <c r="K154" s="191"/>
      <c r="L154" s="192"/>
      <c r="M154" s="192"/>
    </row>
    <row r="155" spans="1:15" ht="15" customHeight="1" x14ac:dyDescent="0.3">
      <c r="A155" s="475">
        <f t="shared" si="44"/>
        <v>2013</v>
      </c>
      <c r="B155" s="475"/>
      <c r="C155" s="190">
        <f t="shared" ref="C155:H155" si="48">ROUND((C141/C140-1),3)</f>
        <v>1.0999999999999999E-2</v>
      </c>
      <c r="D155" s="190">
        <f t="shared" si="48"/>
        <v>5.0000000000000001E-3</v>
      </c>
      <c r="E155" s="190">
        <f t="shared" si="48"/>
        <v>-2E-3</v>
      </c>
      <c r="F155" s="190">
        <f t="shared" si="48"/>
        <v>0.5</v>
      </c>
      <c r="G155" s="190">
        <f t="shared" si="48"/>
        <v>-1.4E-2</v>
      </c>
      <c r="H155" s="190">
        <f t="shared" si="48"/>
        <v>-2.9000000000000001E-2</v>
      </c>
      <c r="K155" s="191"/>
      <c r="L155" s="192"/>
      <c r="M155" s="192"/>
    </row>
    <row r="156" spans="1:15" ht="15" customHeight="1" x14ac:dyDescent="0.3">
      <c r="A156" s="475">
        <f t="shared" si="44"/>
        <v>2014</v>
      </c>
      <c r="B156" s="475"/>
      <c r="C156" s="190">
        <f t="shared" ref="C156:H156" si="49">ROUND((C142/C141-1),3)</f>
        <v>1.2E-2</v>
      </c>
      <c r="D156" s="190">
        <f t="shared" si="49"/>
        <v>7.0000000000000001E-3</v>
      </c>
      <c r="E156" s="190">
        <f t="shared" si="49"/>
        <v>-6.0000000000000001E-3</v>
      </c>
      <c r="F156" s="190">
        <f t="shared" si="49"/>
        <v>-0.33300000000000002</v>
      </c>
      <c r="G156" s="190">
        <f t="shared" si="49"/>
        <v>4.2000000000000003E-2</v>
      </c>
      <c r="H156" s="190">
        <f t="shared" si="49"/>
        <v>3.9E-2</v>
      </c>
      <c r="K156" s="191"/>
      <c r="L156" s="192"/>
      <c r="M156" s="192"/>
    </row>
    <row r="157" spans="1:15" ht="15" customHeight="1" x14ac:dyDescent="0.3">
      <c r="A157" s="475">
        <f t="shared" si="44"/>
        <v>2015</v>
      </c>
      <c r="B157" s="475"/>
      <c r="C157" s="190">
        <f t="shared" ref="C157:H157" si="50">ROUND((C143/C142-1),3)</f>
        <v>1.4999999999999999E-2</v>
      </c>
      <c r="D157" s="190">
        <f t="shared" si="50"/>
        <v>7.0000000000000001E-3</v>
      </c>
      <c r="E157" s="190">
        <f t="shared" si="50"/>
        <v>-5.0000000000000001E-3</v>
      </c>
      <c r="F157" s="190">
        <f t="shared" si="50"/>
        <v>-0.5</v>
      </c>
      <c r="G157" s="190">
        <f t="shared" si="50"/>
        <v>1.2999999999999999E-2</v>
      </c>
      <c r="H157" s="190">
        <f t="shared" si="50"/>
        <v>1.6E-2</v>
      </c>
      <c r="K157" s="191"/>
      <c r="L157" s="192"/>
      <c r="M157" s="192"/>
    </row>
    <row r="158" spans="1:15" ht="15" customHeight="1" x14ac:dyDescent="0.3">
      <c r="A158" s="475">
        <f t="shared" si="44"/>
        <v>2016</v>
      </c>
      <c r="B158" s="475"/>
      <c r="C158" s="190">
        <f t="shared" ref="C158:H158" si="51">ROUND((C144/C143-1),3)</f>
        <v>1.7000000000000001E-2</v>
      </c>
      <c r="D158" s="190">
        <f t="shared" si="51"/>
        <v>6.0000000000000001E-3</v>
      </c>
      <c r="E158" s="190">
        <f t="shared" si="51"/>
        <v>1E-3</v>
      </c>
      <c r="F158" s="190">
        <f t="shared" si="51"/>
        <v>0</v>
      </c>
      <c r="G158" s="190">
        <f t="shared" si="51"/>
        <v>0.01</v>
      </c>
      <c r="H158" s="190">
        <f t="shared" si="51"/>
        <v>-2.8000000000000001E-2</v>
      </c>
      <c r="K158" s="191"/>
      <c r="L158" s="192"/>
      <c r="M158" s="192"/>
    </row>
    <row r="159" spans="1:15" ht="15" customHeight="1" x14ac:dyDescent="0.3">
      <c r="A159" s="475">
        <f t="shared" si="44"/>
        <v>2017</v>
      </c>
      <c r="B159" s="475"/>
      <c r="C159" s="190">
        <f t="shared" ref="C159:H159" si="52">ROUND((C145/C144-1),3)</f>
        <v>1.7999999999999999E-2</v>
      </c>
      <c r="D159" s="190">
        <f t="shared" si="52"/>
        <v>1.2E-2</v>
      </c>
      <c r="E159" s="190">
        <f t="shared" si="52"/>
        <v>-4.0000000000000001E-3</v>
      </c>
      <c r="F159" s="190">
        <f t="shared" si="52"/>
        <v>0</v>
      </c>
      <c r="G159" s="190">
        <f t="shared" si="52"/>
        <v>2.5999999999999999E-2</v>
      </c>
      <c r="H159" s="190">
        <f t="shared" si="52"/>
        <v>2.3E-2</v>
      </c>
      <c r="K159" s="191"/>
      <c r="L159" s="192"/>
      <c r="M159" s="192"/>
    </row>
    <row r="160" spans="1:15" ht="15" customHeight="1" x14ac:dyDescent="0.3">
      <c r="A160" s="475">
        <f t="shared" si="44"/>
        <v>2018</v>
      </c>
      <c r="B160" s="475"/>
      <c r="C160" s="190">
        <f t="shared" ref="C160:H160" si="53">ROUND((C146/C145-1),3)</f>
        <v>1.4999999999999999E-2</v>
      </c>
      <c r="D160" s="190">
        <f t="shared" si="53"/>
        <v>6.0000000000000001E-3</v>
      </c>
      <c r="E160" s="190">
        <f t="shared" si="53"/>
        <v>1.4999999999999999E-2</v>
      </c>
      <c r="F160" s="190">
        <f t="shared" si="53"/>
        <v>0</v>
      </c>
      <c r="G160" s="190">
        <f t="shared" si="53"/>
        <v>-1.7999999999999999E-2</v>
      </c>
      <c r="H160" s="190">
        <f t="shared" si="53"/>
        <v>5.0999999999999997E-2</v>
      </c>
      <c r="K160" s="191"/>
      <c r="L160" s="192"/>
      <c r="M160" s="192"/>
    </row>
    <row r="161" spans="1:22" x14ac:dyDescent="0.3">
      <c r="H161"/>
      <c r="I161"/>
    </row>
    <row r="162" spans="1:22" x14ac:dyDescent="0.3">
      <c r="A162" s="472" t="s">
        <v>224</v>
      </c>
      <c r="B162" s="473"/>
      <c r="C162" s="473"/>
      <c r="D162" s="473"/>
      <c r="E162" s="473"/>
      <c r="F162" s="473"/>
      <c r="G162" s="473"/>
      <c r="H162" s="473"/>
      <c r="I162" s="474"/>
      <c r="J162" s="142"/>
      <c r="K162" s="142"/>
    </row>
    <row r="163" spans="1:22" ht="28" x14ac:dyDescent="0.3">
      <c r="A163" s="470" t="s">
        <v>163</v>
      </c>
      <c r="B163" s="471"/>
      <c r="C163" s="225" t="str">
        <f t="shared" ref="C163:H163" si="54">C23</f>
        <v xml:space="preserve">Residential </v>
      </c>
      <c r="D163" s="225" t="str">
        <f t="shared" si="54"/>
        <v>GS&lt;50 kW</v>
      </c>
      <c r="E163" s="225" t="str">
        <f t="shared" si="54"/>
        <v>GS&gt;50 kW</v>
      </c>
      <c r="F163" s="225" t="str">
        <f t="shared" si="54"/>
        <v>Large
User</v>
      </c>
      <c r="G163" s="225" t="str">
        <f t="shared" si="54"/>
        <v>Street
Lighting</v>
      </c>
      <c r="H163" s="225" t="str">
        <f t="shared" si="54"/>
        <v>USL</v>
      </c>
      <c r="I163" s="225" t="s">
        <v>29</v>
      </c>
    </row>
    <row r="164" spans="1:22" ht="15" customHeight="1" x14ac:dyDescent="0.3">
      <c r="A164" s="472" t="s">
        <v>225</v>
      </c>
      <c r="B164" s="473"/>
      <c r="C164" s="473"/>
      <c r="D164" s="473"/>
      <c r="E164" s="473"/>
      <c r="F164" s="473"/>
      <c r="G164" s="473"/>
      <c r="H164" s="473"/>
      <c r="I164" s="474"/>
    </row>
    <row r="165" spans="1:22" ht="15" customHeight="1" x14ac:dyDescent="0.3">
      <c r="A165" s="467" t="s">
        <v>183</v>
      </c>
      <c r="B165" s="467"/>
      <c r="C165" s="188">
        <f t="shared" ref="C165:H166" si="55">+C55</f>
        <v>88619</v>
      </c>
      <c r="D165" s="188">
        <f t="shared" si="55"/>
        <v>8059</v>
      </c>
      <c r="E165" s="188">
        <f t="shared" si="55"/>
        <v>944</v>
      </c>
      <c r="F165" s="188">
        <f t="shared" si="55"/>
        <v>1</v>
      </c>
      <c r="G165" s="188">
        <f t="shared" si="55"/>
        <v>1681</v>
      </c>
      <c r="H165" s="188">
        <f t="shared" si="55"/>
        <v>943</v>
      </c>
      <c r="I165" s="188">
        <f>SUM(C165:H165)</f>
        <v>100247</v>
      </c>
      <c r="L165"/>
      <c r="M165"/>
    </row>
    <row r="166" spans="1:22" ht="15" customHeight="1" x14ac:dyDescent="0.3">
      <c r="A166" s="467" t="s">
        <v>184</v>
      </c>
      <c r="B166" s="467"/>
      <c r="C166" s="188">
        <f t="shared" si="55"/>
        <v>89860</v>
      </c>
      <c r="D166" s="188">
        <f t="shared" si="55"/>
        <v>8136</v>
      </c>
      <c r="E166" s="188">
        <f t="shared" si="55"/>
        <v>938</v>
      </c>
      <c r="F166" s="188">
        <f t="shared" si="55"/>
        <v>1</v>
      </c>
      <c r="G166" s="188">
        <f t="shared" si="55"/>
        <v>1696</v>
      </c>
      <c r="H166" s="188">
        <f t="shared" si="55"/>
        <v>955</v>
      </c>
      <c r="I166" s="188">
        <f>SUM(C166:H166)</f>
        <v>101586</v>
      </c>
      <c r="L166"/>
      <c r="M166"/>
    </row>
    <row r="167" spans="1:22" x14ac:dyDescent="0.3">
      <c r="J167"/>
    </row>
    <row r="168" spans="1:22" x14ac:dyDescent="0.3">
      <c r="A168" s="472" t="s">
        <v>226</v>
      </c>
      <c r="B168" s="473"/>
      <c r="C168" s="473"/>
      <c r="D168" s="473"/>
      <c r="E168" s="473"/>
      <c r="F168" s="473"/>
      <c r="G168" s="473"/>
      <c r="H168" s="473"/>
      <c r="I168" s="474"/>
      <c r="J168" s="142"/>
    </row>
    <row r="169" spans="1:22" ht="28" x14ac:dyDescent="0.3">
      <c r="A169" s="470" t="s">
        <v>163</v>
      </c>
      <c r="B169" s="471"/>
      <c r="C169" s="227" t="str">
        <f t="shared" ref="C169:H169" si="56">C23</f>
        <v xml:space="preserve">Residential </v>
      </c>
      <c r="D169" s="227" t="str">
        <f t="shared" si="56"/>
        <v>GS&lt;50 kW</v>
      </c>
      <c r="E169" s="227" t="str">
        <f t="shared" si="56"/>
        <v>GS&gt;50 kW</v>
      </c>
      <c r="F169" s="227" t="str">
        <f t="shared" si="56"/>
        <v>Large
User</v>
      </c>
      <c r="G169" s="227" t="str">
        <f t="shared" si="56"/>
        <v>Street
Lighting</v>
      </c>
      <c r="H169" s="227" t="str">
        <f t="shared" si="56"/>
        <v>USL</v>
      </c>
      <c r="I169" s="224" t="s">
        <v>227</v>
      </c>
    </row>
    <row r="170" spans="1:22" x14ac:dyDescent="0.3">
      <c r="A170" s="472" t="s">
        <v>228</v>
      </c>
      <c r="B170" s="473"/>
      <c r="C170" s="473"/>
      <c r="D170" s="473"/>
      <c r="E170" s="473"/>
      <c r="F170" s="473"/>
      <c r="G170" s="473"/>
      <c r="H170" s="473"/>
      <c r="I170" s="474"/>
    </row>
    <row r="171" spans="1:22" ht="15" customHeight="1" x14ac:dyDescent="0.3">
      <c r="A171" s="465">
        <f t="shared" ref="A171:A180" si="57">A151</f>
        <v>2009</v>
      </c>
      <c r="B171" s="466"/>
      <c r="C171" s="188">
        <f t="shared" ref="C171:H180" si="58">C64</f>
        <v>8221</v>
      </c>
      <c r="D171" s="188">
        <f t="shared" si="58"/>
        <v>31289</v>
      </c>
      <c r="E171" s="188">
        <f t="shared" si="58"/>
        <v>816816</v>
      </c>
      <c r="F171" s="188">
        <f t="shared" si="58"/>
        <v>26600000</v>
      </c>
      <c r="G171" s="189">
        <f t="shared" si="58"/>
        <v>10251</v>
      </c>
      <c r="H171" s="188">
        <f t="shared" si="58"/>
        <v>4039</v>
      </c>
      <c r="I171" s="188">
        <f>ROUND((ED!C3),0)</f>
        <v>22622442</v>
      </c>
    </row>
    <row r="172" spans="1:22" ht="15" customHeight="1" x14ac:dyDescent="0.3">
      <c r="A172" s="465">
        <f t="shared" si="57"/>
        <v>2010</v>
      </c>
      <c r="B172" s="466"/>
      <c r="C172" s="188">
        <f t="shared" si="58"/>
        <v>8395</v>
      </c>
      <c r="D172" s="188">
        <f t="shared" si="58"/>
        <v>31700</v>
      </c>
      <c r="E172" s="188">
        <f t="shared" si="58"/>
        <v>886653</v>
      </c>
      <c r="F172" s="188">
        <f t="shared" si="58"/>
        <v>46600000</v>
      </c>
      <c r="G172" s="189">
        <f t="shared" si="58"/>
        <v>10165</v>
      </c>
      <c r="H172" s="188">
        <f t="shared" si="58"/>
        <v>4069</v>
      </c>
      <c r="I172" s="188">
        <f>ROUND((ED!C4),0)</f>
        <v>24190281</v>
      </c>
    </row>
    <row r="173" spans="1:22" ht="15" customHeight="1" x14ac:dyDescent="0.3">
      <c r="A173" s="465">
        <f t="shared" si="57"/>
        <v>2011</v>
      </c>
      <c r="B173" s="466"/>
      <c r="C173" s="188">
        <f t="shared" si="58"/>
        <v>8219</v>
      </c>
      <c r="D173" s="188">
        <f t="shared" si="58"/>
        <v>31865</v>
      </c>
      <c r="E173" s="188">
        <f t="shared" si="58"/>
        <v>893641</v>
      </c>
      <c r="F173" s="188">
        <f t="shared" si="58"/>
        <v>28000000</v>
      </c>
      <c r="G173" s="189">
        <f t="shared" si="58"/>
        <v>10140</v>
      </c>
      <c r="H173" s="188">
        <f t="shared" si="58"/>
        <v>3924</v>
      </c>
      <c r="I173" s="188">
        <f>ROUND((ED!C5),0)</f>
        <v>21309995</v>
      </c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</row>
    <row r="174" spans="1:22" ht="15" customHeight="1" x14ac:dyDescent="0.3">
      <c r="A174" s="465">
        <f t="shared" si="57"/>
        <v>2012</v>
      </c>
      <c r="B174" s="466"/>
      <c r="C174" s="188">
        <f t="shared" si="58"/>
        <v>8057</v>
      </c>
      <c r="D174" s="188">
        <f t="shared" si="58"/>
        <v>31524</v>
      </c>
      <c r="E174" s="188">
        <f t="shared" si="58"/>
        <v>893697</v>
      </c>
      <c r="F174" s="188">
        <f t="shared" si="58"/>
        <v>34700000</v>
      </c>
      <c r="G174" s="189">
        <f t="shared" si="58"/>
        <v>10108</v>
      </c>
      <c r="H174" s="188">
        <f t="shared" si="58"/>
        <v>4258</v>
      </c>
      <c r="I174" s="188">
        <f>ROUND((ED!C6),0)</f>
        <v>17590424</v>
      </c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</row>
    <row r="175" spans="1:22" ht="15" customHeight="1" x14ac:dyDescent="0.3">
      <c r="A175" s="465">
        <f t="shared" si="57"/>
        <v>2013</v>
      </c>
      <c r="B175" s="466"/>
      <c r="C175" s="188">
        <f t="shared" si="58"/>
        <v>7915</v>
      </c>
      <c r="D175" s="188">
        <f t="shared" si="58"/>
        <v>31378</v>
      </c>
      <c r="E175" s="188">
        <f t="shared" si="58"/>
        <v>866947</v>
      </c>
      <c r="F175" s="188">
        <f t="shared" si="58"/>
        <v>29500000</v>
      </c>
      <c r="G175" s="189">
        <f t="shared" si="58"/>
        <v>10316</v>
      </c>
      <c r="H175" s="188">
        <f t="shared" si="58"/>
        <v>4384</v>
      </c>
      <c r="I175" s="188">
        <f>ROUND((ED!C7),0)</f>
        <v>15021821</v>
      </c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</row>
    <row r="176" spans="1:22" ht="15" customHeight="1" x14ac:dyDescent="0.3">
      <c r="A176" s="465">
        <f t="shared" si="57"/>
        <v>2014</v>
      </c>
      <c r="B176" s="466"/>
      <c r="C176" s="188">
        <f t="shared" si="58"/>
        <v>7783</v>
      </c>
      <c r="D176" s="188">
        <f t="shared" si="58"/>
        <v>31276</v>
      </c>
      <c r="E176" s="188">
        <f t="shared" si="58"/>
        <v>890466</v>
      </c>
      <c r="F176" s="188">
        <f t="shared" si="58"/>
        <v>31700000</v>
      </c>
      <c r="G176" s="189">
        <f t="shared" si="58"/>
        <v>9901</v>
      </c>
      <c r="H176" s="188">
        <f t="shared" si="58"/>
        <v>4561</v>
      </c>
      <c r="I176" s="188">
        <f>ROUND((ED!C8),0)</f>
        <v>14039293</v>
      </c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</row>
    <row r="177" spans="1:22" ht="15" customHeight="1" x14ac:dyDescent="0.3">
      <c r="A177" s="465">
        <f t="shared" si="57"/>
        <v>2015</v>
      </c>
      <c r="B177" s="466"/>
      <c r="C177" s="188">
        <f t="shared" si="58"/>
        <v>7649</v>
      </c>
      <c r="D177" s="188">
        <f t="shared" si="58"/>
        <v>30528</v>
      </c>
      <c r="E177" s="188">
        <f t="shared" si="58"/>
        <v>887007</v>
      </c>
      <c r="F177" s="188">
        <f t="shared" si="58"/>
        <v>35800000</v>
      </c>
      <c r="G177" s="189">
        <f t="shared" si="58"/>
        <v>9896</v>
      </c>
      <c r="H177" s="188">
        <f t="shared" si="58"/>
        <v>4377</v>
      </c>
      <c r="I177" s="188">
        <f>ROUND((ED!C9),0)</f>
        <v>23075917</v>
      </c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</row>
    <row r="178" spans="1:22" ht="15" customHeight="1" x14ac:dyDescent="0.3">
      <c r="A178" s="465">
        <f t="shared" si="57"/>
        <v>2016</v>
      </c>
      <c r="B178" s="466"/>
      <c r="C178" s="188">
        <f t="shared" si="58"/>
        <v>7698</v>
      </c>
      <c r="D178" s="188">
        <f t="shared" si="58"/>
        <v>30478</v>
      </c>
      <c r="E178" s="188">
        <f t="shared" si="58"/>
        <v>879681</v>
      </c>
      <c r="F178" s="188">
        <f t="shared" si="58"/>
        <v>28900000</v>
      </c>
      <c r="G178" s="189">
        <f t="shared" si="58"/>
        <v>9861</v>
      </c>
      <c r="H178" s="188">
        <f t="shared" si="58"/>
        <v>4503</v>
      </c>
      <c r="I178" s="188">
        <f>ROUND((ED!C10),0)</f>
        <v>19564437</v>
      </c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</row>
    <row r="179" spans="1:22" ht="15" customHeight="1" x14ac:dyDescent="0.3">
      <c r="A179" s="465">
        <f t="shared" si="57"/>
        <v>2017</v>
      </c>
      <c r="B179" s="466"/>
      <c r="C179" s="188">
        <f t="shared" si="58"/>
        <v>7227</v>
      </c>
      <c r="D179" s="188">
        <f t="shared" si="58"/>
        <v>29309</v>
      </c>
      <c r="E179" s="188">
        <f t="shared" si="58"/>
        <v>859188</v>
      </c>
      <c r="F179" s="188">
        <f t="shared" si="58"/>
        <v>31400000</v>
      </c>
      <c r="G179" s="189">
        <f t="shared" si="58"/>
        <v>8785</v>
      </c>
      <c r="H179" s="188">
        <f t="shared" si="58"/>
        <v>4402</v>
      </c>
      <c r="I179" s="188">
        <f>ROUND((ED!C11),0)</f>
        <v>20383812</v>
      </c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</row>
    <row r="180" spans="1:22" ht="15" customHeight="1" x14ac:dyDescent="0.3">
      <c r="A180" s="465">
        <f t="shared" si="57"/>
        <v>2018</v>
      </c>
      <c r="B180" s="466"/>
      <c r="C180" s="188">
        <f t="shared" si="58"/>
        <v>7790</v>
      </c>
      <c r="D180" s="188">
        <f t="shared" si="58"/>
        <v>30139</v>
      </c>
      <c r="E180" s="188">
        <f t="shared" si="58"/>
        <v>883895</v>
      </c>
      <c r="F180" s="188">
        <f t="shared" si="58"/>
        <v>33400000</v>
      </c>
      <c r="G180" s="189">
        <f t="shared" si="58"/>
        <v>4502</v>
      </c>
      <c r="H180" s="188">
        <f t="shared" si="58"/>
        <v>4296</v>
      </c>
      <c r="I180" s="188">
        <f>ROUND((ED!C12),0)</f>
        <v>12731869</v>
      </c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</row>
    <row r="181" spans="1:22" x14ac:dyDescent="0.3">
      <c r="L181" s="158"/>
      <c r="M181" s="158"/>
      <c r="N181" s="158"/>
      <c r="O181" s="158"/>
      <c r="P181" s="158"/>
      <c r="Q181" s="158"/>
      <c r="R181" s="158"/>
      <c r="S181" s="158"/>
    </row>
    <row r="182" spans="1:22" x14ac:dyDescent="0.3">
      <c r="A182" s="472" t="s">
        <v>229</v>
      </c>
      <c r="B182" s="473"/>
      <c r="C182" s="473"/>
      <c r="D182" s="473"/>
      <c r="E182" s="473"/>
      <c r="F182" s="473"/>
      <c r="G182" s="473"/>
      <c r="H182" s="474"/>
      <c r="I182" s="142"/>
      <c r="J182" s="142"/>
      <c r="L182" s="158"/>
      <c r="M182" s="158"/>
      <c r="N182" s="158"/>
      <c r="O182" s="158"/>
      <c r="P182" s="158"/>
      <c r="Q182" s="158"/>
      <c r="R182" s="158"/>
      <c r="S182" s="158"/>
    </row>
    <row r="183" spans="1:22" ht="28" x14ac:dyDescent="0.3">
      <c r="A183" s="470" t="s">
        <v>163</v>
      </c>
      <c r="B183" s="471"/>
      <c r="C183" s="225" t="str">
        <f t="shared" ref="C183:H183" si="59">C23</f>
        <v xml:space="preserve">Residential </v>
      </c>
      <c r="D183" s="225" t="str">
        <f t="shared" si="59"/>
        <v>GS&lt;50 kW</v>
      </c>
      <c r="E183" s="225" t="str">
        <f t="shared" si="59"/>
        <v>GS&gt;50 kW</v>
      </c>
      <c r="F183" s="225" t="str">
        <f t="shared" si="59"/>
        <v>Large
User</v>
      </c>
      <c r="G183" s="225" t="str">
        <f t="shared" si="59"/>
        <v>Street
Lighting</v>
      </c>
      <c r="H183" s="225" t="str">
        <f t="shared" si="59"/>
        <v>USL</v>
      </c>
    </row>
    <row r="184" spans="1:22" ht="15" customHeight="1" x14ac:dyDescent="0.3">
      <c r="A184" s="163" t="s">
        <v>230</v>
      </c>
      <c r="B184" s="164"/>
      <c r="C184" s="164"/>
      <c r="D184" s="164"/>
      <c r="E184" s="164"/>
      <c r="F184" s="164"/>
      <c r="G184" s="164"/>
      <c r="H184" s="187"/>
    </row>
    <row r="185" spans="1:22" ht="15" customHeight="1" x14ac:dyDescent="0.3">
      <c r="A185" s="467">
        <f t="shared" ref="A185:A194" si="60">A171</f>
        <v>2009</v>
      </c>
      <c r="B185" s="467"/>
      <c r="C185" s="193">
        <v>-3.1890328157016978E-2</v>
      </c>
      <c r="D185" s="193">
        <v>-2.6510064931456689E-2</v>
      </c>
      <c r="E185" s="193">
        <v>-1.1380909225220504E-2</v>
      </c>
      <c r="F185" s="193">
        <v>-0.27563647612294051</v>
      </c>
      <c r="G185" s="193">
        <v>-0.1092599885967126</v>
      </c>
      <c r="H185" s="193">
        <v>5.9978476879167797E-3</v>
      </c>
      <c r="L185" s="191"/>
      <c r="M185" s="192"/>
      <c r="N185" s="194"/>
    </row>
    <row r="186" spans="1:22" ht="15" customHeight="1" x14ac:dyDescent="0.3">
      <c r="A186" s="467">
        <f t="shared" si="60"/>
        <v>2010</v>
      </c>
      <c r="B186" s="467"/>
      <c r="C186" s="193">
        <f t="shared" ref="C186:H194" si="61">ROUND((C172/C171-1),2)</f>
        <v>0.02</v>
      </c>
      <c r="D186" s="193">
        <f t="shared" si="61"/>
        <v>0.01</v>
      </c>
      <c r="E186" s="193">
        <f t="shared" si="61"/>
        <v>0.09</v>
      </c>
      <c r="F186" s="193">
        <f t="shared" si="61"/>
        <v>0.75</v>
      </c>
      <c r="G186" s="193">
        <f t="shared" si="61"/>
        <v>-0.01</v>
      </c>
      <c r="H186" s="193">
        <f t="shared" si="61"/>
        <v>0.01</v>
      </c>
      <c r="K186" s="195"/>
      <c r="L186" s="191"/>
      <c r="M186" s="192"/>
      <c r="N186" s="194"/>
      <c r="O186" s="195"/>
      <c r="P186" s="195"/>
      <c r="Q186" s="195"/>
      <c r="R186" s="195"/>
      <c r="S186" s="195"/>
    </row>
    <row r="187" spans="1:22" ht="15" customHeight="1" x14ac:dyDescent="0.3">
      <c r="A187" s="467">
        <f t="shared" si="60"/>
        <v>2011</v>
      </c>
      <c r="B187" s="467"/>
      <c r="C187" s="193">
        <f t="shared" si="61"/>
        <v>-0.02</v>
      </c>
      <c r="D187" s="193">
        <f t="shared" si="61"/>
        <v>0.01</v>
      </c>
      <c r="E187" s="193">
        <f t="shared" si="61"/>
        <v>0.01</v>
      </c>
      <c r="F187" s="193">
        <f t="shared" si="61"/>
        <v>-0.4</v>
      </c>
      <c r="G187" s="193">
        <f t="shared" si="61"/>
        <v>0</v>
      </c>
      <c r="H187" s="193">
        <f t="shared" si="61"/>
        <v>-0.04</v>
      </c>
      <c r="K187" s="195"/>
      <c r="L187" s="191"/>
      <c r="M187" s="192"/>
      <c r="N187" s="194"/>
      <c r="O187" s="195"/>
      <c r="P187" s="195"/>
      <c r="Q187" s="195"/>
      <c r="R187" s="195"/>
      <c r="S187" s="195"/>
    </row>
    <row r="188" spans="1:22" ht="15" customHeight="1" x14ac:dyDescent="0.3">
      <c r="A188" s="467">
        <f t="shared" si="60"/>
        <v>2012</v>
      </c>
      <c r="B188" s="467"/>
      <c r="C188" s="193">
        <f t="shared" si="61"/>
        <v>-0.02</v>
      </c>
      <c r="D188" s="193">
        <f t="shared" si="61"/>
        <v>-0.01</v>
      </c>
      <c r="E188" s="193">
        <f t="shared" si="61"/>
        <v>0</v>
      </c>
      <c r="F188" s="193">
        <f t="shared" si="61"/>
        <v>0.24</v>
      </c>
      <c r="G188" s="193">
        <f t="shared" si="61"/>
        <v>0</v>
      </c>
      <c r="H188" s="193">
        <f t="shared" si="61"/>
        <v>0.09</v>
      </c>
      <c r="K188" s="195"/>
      <c r="L188" s="191"/>
      <c r="M188" s="192"/>
      <c r="N188" s="194"/>
      <c r="O188" s="195"/>
      <c r="P188" s="195"/>
      <c r="Q188" s="195"/>
      <c r="R188" s="195"/>
      <c r="S188" s="195"/>
    </row>
    <row r="189" spans="1:22" ht="15" customHeight="1" x14ac:dyDescent="0.3">
      <c r="A189" s="467">
        <f t="shared" si="60"/>
        <v>2013</v>
      </c>
      <c r="B189" s="467"/>
      <c r="C189" s="193">
        <f t="shared" si="61"/>
        <v>-0.02</v>
      </c>
      <c r="D189" s="193">
        <f t="shared" si="61"/>
        <v>0</v>
      </c>
      <c r="E189" s="193">
        <f t="shared" si="61"/>
        <v>-0.03</v>
      </c>
      <c r="F189" s="193">
        <f t="shared" si="61"/>
        <v>-0.15</v>
      </c>
      <c r="G189" s="193">
        <f t="shared" si="61"/>
        <v>0.02</v>
      </c>
      <c r="H189" s="193">
        <f t="shared" si="61"/>
        <v>0.03</v>
      </c>
      <c r="K189" s="195"/>
      <c r="L189" s="191"/>
      <c r="M189" s="192"/>
      <c r="N189" s="194"/>
      <c r="O189" s="195"/>
      <c r="P189" s="195"/>
      <c r="Q189" s="195"/>
      <c r="R189" s="195"/>
      <c r="S189" s="195"/>
    </row>
    <row r="190" spans="1:22" ht="15" customHeight="1" x14ac:dyDescent="0.3">
      <c r="A190" s="467">
        <f t="shared" si="60"/>
        <v>2014</v>
      </c>
      <c r="B190" s="467"/>
      <c r="C190" s="193">
        <f t="shared" si="61"/>
        <v>-0.02</v>
      </c>
      <c r="D190" s="193">
        <f t="shared" si="61"/>
        <v>0</v>
      </c>
      <c r="E190" s="193">
        <f t="shared" si="61"/>
        <v>0.03</v>
      </c>
      <c r="F190" s="193">
        <f t="shared" si="61"/>
        <v>7.0000000000000007E-2</v>
      </c>
      <c r="G190" s="193">
        <f t="shared" si="61"/>
        <v>-0.04</v>
      </c>
      <c r="H190" s="193">
        <f t="shared" si="61"/>
        <v>0.04</v>
      </c>
      <c r="K190" s="195"/>
      <c r="L190" s="191"/>
      <c r="M190" s="192"/>
      <c r="N190" s="194"/>
      <c r="O190" s="195"/>
      <c r="P190" s="195"/>
      <c r="Q190" s="195"/>
      <c r="R190" s="195"/>
      <c r="S190" s="195"/>
    </row>
    <row r="191" spans="1:22" ht="15" customHeight="1" x14ac:dyDescent="0.3">
      <c r="A191" s="467">
        <f t="shared" si="60"/>
        <v>2015</v>
      </c>
      <c r="B191" s="467"/>
      <c r="C191" s="193">
        <f t="shared" si="61"/>
        <v>-0.02</v>
      </c>
      <c r="D191" s="193">
        <f t="shared" si="61"/>
        <v>-0.02</v>
      </c>
      <c r="E191" s="193">
        <f t="shared" si="61"/>
        <v>0</v>
      </c>
      <c r="F191" s="193">
        <f t="shared" si="61"/>
        <v>0.13</v>
      </c>
      <c r="G191" s="193">
        <f t="shared" si="61"/>
        <v>0</v>
      </c>
      <c r="H191" s="193">
        <f t="shared" si="61"/>
        <v>-0.04</v>
      </c>
      <c r="K191" s="195"/>
      <c r="L191" s="191"/>
      <c r="M191" s="192"/>
      <c r="N191" s="194"/>
      <c r="O191" s="195"/>
      <c r="P191" s="195"/>
      <c r="Q191" s="195"/>
      <c r="R191" s="195"/>
      <c r="S191" s="195"/>
    </row>
    <row r="192" spans="1:22" ht="15" customHeight="1" x14ac:dyDescent="0.3">
      <c r="A192" s="467">
        <f t="shared" si="60"/>
        <v>2016</v>
      </c>
      <c r="B192" s="467"/>
      <c r="C192" s="193">
        <f t="shared" si="61"/>
        <v>0.01</v>
      </c>
      <c r="D192" s="193">
        <f t="shared" si="61"/>
        <v>0</v>
      </c>
      <c r="E192" s="193">
        <f t="shared" si="61"/>
        <v>-0.01</v>
      </c>
      <c r="F192" s="193">
        <f t="shared" si="61"/>
        <v>-0.19</v>
      </c>
      <c r="G192" s="193">
        <f t="shared" si="61"/>
        <v>0</v>
      </c>
      <c r="H192" s="193">
        <f t="shared" si="61"/>
        <v>0.03</v>
      </c>
      <c r="K192" s="195"/>
      <c r="L192" s="191"/>
      <c r="M192" s="192"/>
      <c r="N192" s="194"/>
      <c r="O192" s="195"/>
      <c r="P192" s="195"/>
      <c r="Q192" s="195"/>
      <c r="R192" s="195"/>
      <c r="S192" s="195"/>
    </row>
    <row r="193" spans="1:19" ht="15" customHeight="1" x14ac:dyDescent="0.3">
      <c r="A193" s="467">
        <f t="shared" si="60"/>
        <v>2017</v>
      </c>
      <c r="B193" s="467"/>
      <c r="C193" s="193">
        <f t="shared" si="61"/>
        <v>-0.06</v>
      </c>
      <c r="D193" s="193">
        <f t="shared" si="61"/>
        <v>-0.04</v>
      </c>
      <c r="E193" s="193">
        <f t="shared" si="61"/>
        <v>-0.02</v>
      </c>
      <c r="F193" s="193">
        <f t="shared" si="61"/>
        <v>0.09</v>
      </c>
      <c r="G193" s="193">
        <f t="shared" si="61"/>
        <v>-0.11</v>
      </c>
      <c r="H193" s="193">
        <f t="shared" si="61"/>
        <v>-0.02</v>
      </c>
      <c r="K193" s="195"/>
      <c r="L193" s="191"/>
      <c r="M193" s="192"/>
      <c r="N193" s="194"/>
      <c r="O193" s="195"/>
      <c r="P193" s="195"/>
      <c r="Q193" s="195"/>
      <c r="R193" s="195"/>
      <c r="S193" s="195"/>
    </row>
    <row r="194" spans="1:19" ht="15" customHeight="1" x14ac:dyDescent="0.3">
      <c r="A194" s="467">
        <f t="shared" si="60"/>
        <v>2018</v>
      </c>
      <c r="B194" s="467"/>
      <c r="C194" s="193">
        <f t="shared" si="61"/>
        <v>0.08</v>
      </c>
      <c r="D194" s="193">
        <f t="shared" si="61"/>
        <v>0.03</v>
      </c>
      <c r="E194" s="193">
        <f t="shared" si="61"/>
        <v>0.03</v>
      </c>
      <c r="F194" s="193">
        <f t="shared" si="61"/>
        <v>0.06</v>
      </c>
      <c r="G194" s="193">
        <f t="shared" si="61"/>
        <v>-0.49</v>
      </c>
      <c r="H194" s="193">
        <f t="shared" si="61"/>
        <v>-0.02</v>
      </c>
      <c r="K194" s="195"/>
      <c r="L194" s="191"/>
      <c r="M194" s="192"/>
      <c r="N194" s="194"/>
      <c r="O194" s="195"/>
      <c r="P194" s="195"/>
      <c r="Q194" s="195"/>
      <c r="R194" s="195"/>
      <c r="S194" s="195"/>
    </row>
    <row r="195" spans="1:19" ht="15" customHeight="1" x14ac:dyDescent="0.3">
      <c r="A195" s="472" t="s">
        <v>231</v>
      </c>
      <c r="B195" s="474"/>
      <c r="C195" s="196">
        <f>ROUND((Energy!G50/100),3)</f>
        <v>0.01</v>
      </c>
      <c r="D195" s="196">
        <f>ROUND((Energy!H50/100),3)</f>
        <v>0.01</v>
      </c>
      <c r="E195" s="196">
        <f>ROUND((Energy!I50/100),3)</f>
        <v>0.01</v>
      </c>
      <c r="F195" s="196">
        <f>ROUND((Energy!K50/100),3)</f>
        <v>0.01</v>
      </c>
      <c r="G195" s="196">
        <f>ROUND((Energy!L50/100),3)</f>
        <v>8.9999999999999993E-3</v>
      </c>
      <c r="H195" s="196">
        <f>ROUND((Energy!M50/100),3)</f>
        <v>0.01</v>
      </c>
      <c r="L195" s="191"/>
      <c r="M195" s="192"/>
      <c r="N195" s="194"/>
    </row>
    <row r="196" spans="1:19" x14ac:dyDescent="0.3">
      <c r="J196" s="197"/>
    </row>
    <row r="197" spans="1:19" ht="15" customHeight="1" x14ac:dyDescent="0.3">
      <c r="A197" s="472" t="s">
        <v>232</v>
      </c>
      <c r="B197" s="473"/>
      <c r="C197" s="473"/>
      <c r="D197" s="473"/>
      <c r="E197" s="473"/>
      <c r="F197" s="473"/>
      <c r="G197" s="473"/>
      <c r="H197" s="474"/>
      <c r="I197" s="142"/>
      <c r="J197" s="142"/>
    </row>
    <row r="198" spans="1:19" ht="28" x14ac:dyDescent="0.3">
      <c r="A198" s="470" t="s">
        <v>163</v>
      </c>
      <c r="B198" s="471"/>
      <c r="C198" s="225" t="str">
        <f t="shared" ref="C198:H198" si="62">C23</f>
        <v xml:space="preserve">Residential </v>
      </c>
      <c r="D198" s="225" t="str">
        <f t="shared" si="62"/>
        <v>GS&lt;50 kW</v>
      </c>
      <c r="E198" s="225" t="str">
        <f t="shared" si="62"/>
        <v>GS&gt;50 kW</v>
      </c>
      <c r="F198" s="225" t="str">
        <f t="shared" si="62"/>
        <v>Large
User</v>
      </c>
      <c r="G198" s="225" t="str">
        <f t="shared" si="62"/>
        <v>Street
Lighting</v>
      </c>
      <c r="H198" s="225" t="str">
        <f t="shared" si="62"/>
        <v>USL</v>
      </c>
    </row>
    <row r="199" spans="1:19" ht="15" customHeight="1" x14ac:dyDescent="0.3">
      <c r="A199" s="163" t="s">
        <v>233</v>
      </c>
      <c r="B199" s="164"/>
      <c r="C199" s="164"/>
      <c r="D199" s="164"/>
      <c r="E199" s="164"/>
      <c r="F199" s="164"/>
      <c r="G199" s="164"/>
      <c r="H199" s="187"/>
    </row>
    <row r="200" spans="1:19" ht="15" customHeight="1" x14ac:dyDescent="0.3">
      <c r="A200" s="467" t="str">
        <f>+A$165</f>
        <v>2019 Bridge</v>
      </c>
      <c r="B200" s="467"/>
      <c r="C200" s="188">
        <f>+Energy!G32</f>
        <v>7743.7042000000001</v>
      </c>
      <c r="D200" s="188">
        <f>+Energy!H32</f>
        <v>30015.849300000002</v>
      </c>
      <c r="E200" s="188">
        <f>+Energy!I32+Energy!P32+Energy!J32</f>
        <v>9578022.3572000004</v>
      </c>
      <c r="F200" s="188">
        <f>+Energy!K32</f>
        <v>34219938.542199999</v>
      </c>
      <c r="G200" s="188">
        <f>+Energy!L32</f>
        <v>4394.3464000000004</v>
      </c>
      <c r="H200" s="188">
        <f>+Energy!M32</f>
        <v>4338.5763999999999</v>
      </c>
    </row>
    <row r="201" spans="1:19" ht="15" customHeight="1" x14ac:dyDescent="0.3">
      <c r="A201" s="467" t="str">
        <f>+A$166</f>
        <v>2020 Test</v>
      </c>
      <c r="B201" s="467"/>
      <c r="C201" s="188">
        <f>+Energy!G33</f>
        <v>7697.2420000000002</v>
      </c>
      <c r="D201" s="188">
        <f>+Energy!H33</f>
        <v>29892.784299999999</v>
      </c>
      <c r="E201" s="188">
        <f>+Energy!I33+Energy!P33+Energy!J33</f>
        <v>9401118.8533999994</v>
      </c>
      <c r="F201" s="188">
        <f>+Energy!K33</f>
        <v>35092546.975000001</v>
      </c>
      <c r="G201" s="188">
        <f>+Energy!L33</f>
        <v>4308.6566000000003</v>
      </c>
      <c r="H201" s="188">
        <f>+Energy!M33</f>
        <v>4370.2479999999996</v>
      </c>
      <c r="K201" s="158"/>
      <c r="L201" s="158"/>
      <c r="M201" s="158"/>
      <c r="N201" s="158"/>
    </row>
    <row r="202" spans="1:19" x14ac:dyDescent="0.3">
      <c r="G202"/>
      <c r="H202"/>
      <c r="I202"/>
    </row>
    <row r="203" spans="1:19" x14ac:dyDescent="0.3">
      <c r="A203" s="472" t="s">
        <v>234</v>
      </c>
      <c r="B203" s="473"/>
      <c r="C203" s="473"/>
      <c r="D203" s="473"/>
      <c r="E203" s="473"/>
      <c r="F203" s="473"/>
      <c r="G203" s="473"/>
      <c r="H203" s="473"/>
      <c r="I203" s="474"/>
      <c r="J203" s="142"/>
      <c r="K203" s="142"/>
    </row>
    <row r="204" spans="1:19" ht="28" x14ac:dyDescent="0.3">
      <c r="A204" s="470" t="s">
        <v>163</v>
      </c>
      <c r="B204" s="471"/>
      <c r="C204" s="225" t="str">
        <f t="shared" ref="C204:H204" si="63">C23</f>
        <v xml:space="preserve">Residential </v>
      </c>
      <c r="D204" s="225" t="str">
        <f t="shared" si="63"/>
        <v>GS&lt;50 kW</v>
      </c>
      <c r="E204" s="225" t="str">
        <f t="shared" si="63"/>
        <v>GS&gt;50 kW</v>
      </c>
      <c r="F204" s="225" t="str">
        <f t="shared" si="63"/>
        <v>Large
User</v>
      </c>
      <c r="G204" s="225" t="str">
        <f t="shared" si="63"/>
        <v>Street
Lighting</v>
      </c>
      <c r="H204" s="225" t="str">
        <f t="shared" si="63"/>
        <v>USL</v>
      </c>
      <c r="I204" s="226" t="s">
        <v>29</v>
      </c>
    </row>
    <row r="205" spans="1:19" ht="15" customHeight="1" x14ac:dyDescent="0.3">
      <c r="A205" s="472" t="s">
        <v>235</v>
      </c>
      <c r="B205" s="473"/>
      <c r="C205" s="473"/>
      <c r="D205" s="473"/>
      <c r="E205" s="473"/>
      <c r="F205" s="473"/>
      <c r="G205" s="473"/>
      <c r="H205" s="473"/>
      <c r="I205" s="474"/>
    </row>
    <row r="206" spans="1:19" ht="15" customHeight="1" x14ac:dyDescent="0.3">
      <c r="A206" s="432" t="s">
        <v>236</v>
      </c>
      <c r="B206" s="438"/>
      <c r="C206" s="198">
        <f>ROUND((Energy!H59/1000000),1)</f>
        <v>686.2</v>
      </c>
      <c r="D206" s="198">
        <f>ROUND((Energy!I59/1000000),1)</f>
        <v>241.9</v>
      </c>
      <c r="E206" s="198">
        <f>ROUND(((Energy!J59+Energy!P59+Energy!K59)/1000000),1)</f>
        <v>835.7</v>
      </c>
      <c r="F206" s="198">
        <f>ROUND((Energy!L59/1000000),1)</f>
        <v>34.200000000000003</v>
      </c>
      <c r="G206" s="198">
        <f>ROUND((Energy!M59/1000000),1)</f>
        <v>7.4</v>
      </c>
      <c r="H206" s="198">
        <f>ROUND((Energy!N59/1000000),1)</f>
        <v>4.0999999999999996</v>
      </c>
      <c r="I206" s="198">
        <f>ROUND((SUM(C206:H206)),1)</f>
        <v>1809.5</v>
      </c>
    </row>
    <row r="207" spans="1:19" ht="15" customHeight="1" x14ac:dyDescent="0.3">
      <c r="A207" s="432" t="s">
        <v>237</v>
      </c>
      <c r="B207" s="438"/>
      <c r="C207" s="198">
        <f>ROUND((Energy!H60/1000000),1)</f>
        <v>691.7</v>
      </c>
      <c r="D207" s="198">
        <f>ROUND((Energy!I60/1000000),1)</f>
        <v>243.2</v>
      </c>
      <c r="E207" s="198">
        <f>ROUND(((Energy!J60+Energy!P60+Energy!K60)/1000000),1)</f>
        <v>831.8</v>
      </c>
      <c r="F207" s="198">
        <f>ROUND((Energy!L60/1000000),1)</f>
        <v>35.1</v>
      </c>
      <c r="G207" s="198">
        <f>ROUND((Energy!M60/1000000),1)</f>
        <v>7.3</v>
      </c>
      <c r="H207" s="198">
        <f>ROUND((Energy!N60/1000000),1)</f>
        <v>4.2</v>
      </c>
      <c r="I207" s="198">
        <f>ROUND((SUM(C207:H207)),1)</f>
        <v>1813.3</v>
      </c>
    </row>
    <row r="208" spans="1:19" x14ac:dyDescent="0.3">
      <c r="A208" s="114"/>
      <c r="B208" s="114"/>
      <c r="C208" s="199"/>
      <c r="D208" s="199"/>
      <c r="E208" s="199"/>
      <c r="F208" s="199"/>
      <c r="G208" s="199"/>
      <c r="H208" s="199"/>
      <c r="I208" s="199"/>
      <c r="J208" s="199"/>
      <c r="K208" s="199"/>
    </row>
    <row r="209" spans="1:11" x14ac:dyDescent="0.3">
      <c r="A209" s="472" t="s">
        <v>238</v>
      </c>
      <c r="B209" s="473"/>
      <c r="C209" s="473"/>
      <c r="D209" s="473"/>
      <c r="E209" s="473"/>
      <c r="F209" s="473"/>
      <c r="G209" s="473"/>
      <c r="H209" s="473"/>
      <c r="I209" s="474"/>
      <c r="J209" s="142"/>
      <c r="K209" s="142"/>
    </row>
    <row r="210" spans="1:11" ht="28" x14ac:dyDescent="0.3">
      <c r="A210" s="470" t="s">
        <v>163</v>
      </c>
      <c r="B210" s="471"/>
      <c r="C210" s="225" t="str">
        <f t="shared" ref="C210:H210" si="64">C23</f>
        <v xml:space="preserve">Residential </v>
      </c>
      <c r="D210" s="225" t="str">
        <f t="shared" si="64"/>
        <v>GS&lt;50 kW</v>
      </c>
      <c r="E210" s="225" t="str">
        <f t="shared" si="64"/>
        <v>GS&gt;50 kW</v>
      </c>
      <c r="F210" s="225" t="str">
        <f t="shared" si="64"/>
        <v>Large
User</v>
      </c>
      <c r="G210" s="225" t="str">
        <f t="shared" si="64"/>
        <v>Street
Lighting</v>
      </c>
      <c r="H210" s="225" t="str">
        <f t="shared" si="64"/>
        <v>USL</v>
      </c>
      <c r="I210" s="226" t="s">
        <v>29</v>
      </c>
    </row>
    <row r="211" spans="1:11" ht="15" customHeight="1" x14ac:dyDescent="0.3">
      <c r="A211" s="472" t="s">
        <v>239</v>
      </c>
      <c r="B211" s="473"/>
      <c r="C211" s="473"/>
      <c r="D211" s="473"/>
      <c r="E211" s="473"/>
      <c r="F211" s="473"/>
      <c r="G211" s="473"/>
      <c r="H211" s="473"/>
      <c r="I211" s="474"/>
    </row>
    <row r="212" spans="1:11" ht="15" customHeight="1" x14ac:dyDescent="0.3">
      <c r="A212" s="432" t="s">
        <v>240</v>
      </c>
      <c r="B212" s="438"/>
      <c r="C212" s="198">
        <f>ROUND((Energy!H63/1000000),1)</f>
        <v>656.7</v>
      </c>
      <c r="D212" s="198">
        <f>ROUND((Energy!I63/1000000),1)</f>
        <v>231.5</v>
      </c>
      <c r="E212" s="198">
        <f>ROUND(((Energy!J63+Energy!P63+Energy!K63)/1000000),1)</f>
        <v>801.5</v>
      </c>
      <c r="F212" s="198">
        <f>ROUND((Energy!L63/1000000),1)</f>
        <v>34.200000000000003</v>
      </c>
      <c r="G212" s="198">
        <f>ROUND((Energy!M63/1000000),1)</f>
        <v>7.4</v>
      </c>
      <c r="H212" s="198">
        <f>ROUND((Energy!N63/1000000),1)</f>
        <v>4.0999999999999996</v>
      </c>
      <c r="I212" s="198">
        <f>ROUND((SUM(C212:H212)),1)</f>
        <v>1735.4</v>
      </c>
    </row>
    <row r="213" spans="1:11" ht="15" customHeight="1" x14ac:dyDescent="0.3">
      <c r="A213" s="432" t="s">
        <v>241</v>
      </c>
      <c r="B213" s="438"/>
      <c r="C213" s="198">
        <f>ROUND((Energy!H64/1000000),1)</f>
        <v>660.8</v>
      </c>
      <c r="D213" s="198">
        <f>ROUND((Energy!I64/1000000),1)</f>
        <v>232.3</v>
      </c>
      <c r="E213" s="198">
        <f>ROUND(((Energy!J64+Energy!P64+Energy!K64)/1000000),1)</f>
        <v>798.1</v>
      </c>
      <c r="F213" s="198">
        <f>ROUND((Energy!L64/1000000),1)</f>
        <v>35.1</v>
      </c>
      <c r="G213" s="198">
        <f>ROUND((Energy!M64/1000000),1)</f>
        <v>7.3</v>
      </c>
      <c r="H213" s="198">
        <f>ROUND((Energy!N64/1000000),1)</f>
        <v>4.2</v>
      </c>
      <c r="I213" s="198">
        <f>ROUND((SUM(C213:H213)),1)</f>
        <v>1737.8</v>
      </c>
    </row>
    <row r="215" spans="1:11" x14ac:dyDescent="0.3">
      <c r="A215" s="472" t="s">
        <v>242</v>
      </c>
      <c r="B215" s="473"/>
      <c r="C215" s="473"/>
      <c r="D215" s="473"/>
      <c r="E215" s="473"/>
      <c r="F215" s="473"/>
      <c r="G215" s="473"/>
      <c r="H215" s="473"/>
      <c r="I215" s="474"/>
      <c r="J215" s="142"/>
      <c r="K215" s="142"/>
    </row>
    <row r="216" spans="1:11" ht="28" x14ac:dyDescent="0.3">
      <c r="A216" s="470" t="s">
        <v>163</v>
      </c>
      <c r="B216" s="471"/>
      <c r="C216" s="225" t="str">
        <f t="shared" ref="C216:H216" si="65">C23</f>
        <v xml:space="preserve">Residential </v>
      </c>
      <c r="D216" s="225" t="str">
        <f t="shared" si="65"/>
        <v>GS&lt;50 kW</v>
      </c>
      <c r="E216" s="225" t="str">
        <f t="shared" si="65"/>
        <v>GS&gt;50 kW</v>
      </c>
      <c r="F216" s="225" t="str">
        <f t="shared" si="65"/>
        <v>Large
User</v>
      </c>
      <c r="G216" s="225" t="str">
        <f t="shared" si="65"/>
        <v>Street
Lighting</v>
      </c>
      <c r="H216" s="225" t="str">
        <f t="shared" si="65"/>
        <v>USL</v>
      </c>
      <c r="I216" s="226" t="s">
        <v>29</v>
      </c>
    </row>
    <row r="217" spans="1:11" ht="15" customHeight="1" x14ac:dyDescent="0.3">
      <c r="A217" s="472" t="s">
        <v>239</v>
      </c>
      <c r="B217" s="473"/>
      <c r="C217" s="473"/>
      <c r="D217" s="473"/>
      <c r="E217" s="473"/>
      <c r="F217" s="473"/>
      <c r="G217" s="473"/>
      <c r="H217" s="473"/>
      <c r="I217" s="474"/>
    </row>
    <row r="218" spans="1:11" ht="15" customHeight="1" x14ac:dyDescent="0.3">
      <c r="A218" s="432" t="s">
        <v>240</v>
      </c>
      <c r="B218" s="438"/>
      <c r="C218" s="198">
        <f>ROUND((Energy!H83/1000000),1)</f>
        <v>656.7</v>
      </c>
      <c r="D218" s="198">
        <f>ROUND((Energy!I83/1000000),1)</f>
        <v>229.9</v>
      </c>
      <c r="E218" s="198">
        <f>ROUND(((Energy!J83+Energy!P83+Energy!K83)/1000000),1)</f>
        <v>808.4</v>
      </c>
      <c r="F218" s="198">
        <f>ROUND((Energy!L83/1000000),1)</f>
        <v>34.200000000000003</v>
      </c>
      <c r="G218" s="198">
        <f>ROUND((Energy!M83/1000000),1)</f>
        <v>7.4</v>
      </c>
      <c r="H218" s="198">
        <f>ROUND((Energy!N83/1000000),1)</f>
        <v>4.0999999999999996</v>
      </c>
      <c r="I218" s="198">
        <f>ROUND((SUM(C218:H218)),1)</f>
        <v>1740.7</v>
      </c>
    </row>
    <row r="219" spans="1:11" ht="15" customHeight="1" x14ac:dyDescent="0.3">
      <c r="A219" s="432" t="s">
        <v>241</v>
      </c>
      <c r="B219" s="438"/>
      <c r="C219" s="198">
        <f>ROUND((Energy!H84/1000000),1)</f>
        <v>660.8</v>
      </c>
      <c r="D219" s="198">
        <f>ROUND((Energy!I84/1000000),1)</f>
        <v>228.9</v>
      </c>
      <c r="E219" s="198">
        <f>ROUND(((Energy!J84+Energy!P84+Energy!K84)/1000000),1)</f>
        <v>792.3</v>
      </c>
      <c r="F219" s="198">
        <f>ROUND((Energy!L84/1000000),1)</f>
        <v>35.1</v>
      </c>
      <c r="G219" s="198">
        <f>ROUND((Energy!M84/1000000),1)</f>
        <v>7.3</v>
      </c>
      <c r="H219" s="198">
        <f>ROUND((Energy!N84/1000000),1)</f>
        <v>4.2</v>
      </c>
      <c r="I219" s="198">
        <f>ROUND((SUM(C219:H219)),1)</f>
        <v>1728.6</v>
      </c>
    </row>
    <row r="220" spans="1:11" ht="15" customHeight="1" x14ac:dyDescent="0.3">
      <c r="A220" s="338"/>
      <c r="B220" s="212"/>
      <c r="C220" s="339"/>
      <c r="D220" s="340"/>
      <c r="E220" s="340"/>
      <c r="F220" s="340"/>
      <c r="G220" s="340"/>
      <c r="H220" s="341"/>
      <c r="I220" s="342"/>
    </row>
    <row r="221" spans="1:11" x14ac:dyDescent="0.3">
      <c r="C221" s="472" t="s">
        <v>243</v>
      </c>
      <c r="D221" s="473"/>
      <c r="E221" s="473"/>
      <c r="F221" s="473"/>
      <c r="G221" s="473"/>
      <c r="H221" s="474"/>
      <c r="I221" s="142"/>
      <c r="J221" s="142"/>
    </row>
    <row r="222" spans="1:11" ht="28" x14ac:dyDescent="0.3">
      <c r="C222" s="225" t="str">
        <f t="shared" ref="C222:H222" si="66">C23</f>
        <v xml:space="preserve">Residential </v>
      </c>
      <c r="D222" s="225" t="str">
        <f t="shared" si="66"/>
        <v>GS&lt;50 kW</v>
      </c>
      <c r="E222" s="225" t="str">
        <f t="shared" si="66"/>
        <v>GS&gt;50 kW</v>
      </c>
      <c r="F222" s="225" t="str">
        <f t="shared" si="66"/>
        <v>Large
User</v>
      </c>
      <c r="G222" s="225" t="str">
        <f t="shared" si="66"/>
        <v>Street
Lighting</v>
      </c>
      <c r="H222" s="225" t="str">
        <f t="shared" si="66"/>
        <v>USL</v>
      </c>
    </row>
    <row r="223" spans="1:11" x14ac:dyDescent="0.3">
      <c r="C223" s="472" t="s">
        <v>244</v>
      </c>
      <c r="D223" s="473"/>
      <c r="E223" s="473"/>
      <c r="F223" s="473"/>
      <c r="G223" s="473"/>
      <c r="H223" s="474"/>
    </row>
    <row r="224" spans="1:11" x14ac:dyDescent="0.3">
      <c r="C224" s="200">
        <v>0.82000000000000006</v>
      </c>
      <c r="D224" s="200">
        <v>0.82000000000000006</v>
      </c>
      <c r="E224" s="200">
        <v>0.64</v>
      </c>
      <c r="F224" s="200">
        <v>0</v>
      </c>
      <c r="G224" s="200">
        <v>0</v>
      </c>
      <c r="H224" s="200">
        <v>0</v>
      </c>
    </row>
    <row r="225" spans="3:9" x14ac:dyDescent="0.3">
      <c r="C225" s="201"/>
      <c r="D225" s="201"/>
      <c r="E225" s="201"/>
      <c r="F225" s="201"/>
      <c r="G225" s="201"/>
      <c r="H225"/>
      <c r="I225"/>
    </row>
    <row r="226" spans="3:9" x14ac:dyDescent="0.3">
      <c r="C226" s="477" t="s">
        <v>245</v>
      </c>
      <c r="D226" s="477"/>
      <c r="E226" s="477"/>
      <c r="F226" s="477"/>
      <c r="G226" s="477"/>
    </row>
    <row r="227" spans="3:9" ht="28" x14ac:dyDescent="0.3">
      <c r="C227" s="433" t="s">
        <v>163</v>
      </c>
      <c r="D227" s="226" t="s">
        <v>246</v>
      </c>
      <c r="E227" s="226" t="s">
        <v>247</v>
      </c>
      <c r="F227" s="226" t="s">
        <v>248</v>
      </c>
      <c r="G227" s="226" t="s">
        <v>249</v>
      </c>
    </row>
    <row r="228" spans="3:9" ht="14.25" customHeight="1" x14ac:dyDescent="0.3">
      <c r="C228" s="314">
        <v>2009</v>
      </c>
      <c r="D228" s="202">
        <f>+CDM!B6</f>
        <v>47381960.727704629</v>
      </c>
      <c r="E228" s="202">
        <f>+CDM!C6</f>
        <v>36655515.3336</v>
      </c>
      <c r="F228" s="202">
        <f t="shared" ref="F228:F236" si="67">D228-E228</f>
        <v>10726445.39410463</v>
      </c>
      <c r="G228" s="315">
        <f>F228/E228</f>
        <v>0.29262841611920581</v>
      </c>
    </row>
    <row r="229" spans="3:9" ht="14.25" customHeight="1" x14ac:dyDescent="0.3">
      <c r="C229" s="314">
        <v>2010</v>
      </c>
      <c r="D229" s="202">
        <f>+CDM!B7</f>
        <v>54664486.625004634</v>
      </c>
      <c r="E229" s="202">
        <f>+CDM!C7</f>
        <v>39643598.0973</v>
      </c>
      <c r="F229" s="202">
        <f t="shared" si="67"/>
        <v>15020888.527704634</v>
      </c>
      <c r="G229" s="315">
        <f t="shared" ref="G229:G236" si="68">F229/E229</f>
        <v>0.378898214305317</v>
      </c>
    </row>
    <row r="230" spans="3:9" ht="14.25" customHeight="1" x14ac:dyDescent="0.3">
      <c r="C230" s="314">
        <v>2011</v>
      </c>
      <c r="D230" s="202">
        <f>+CDM!B8</f>
        <v>65677230.152747899</v>
      </c>
      <c r="E230" s="202">
        <f>+CDM!C8</f>
        <v>50620379.920699999</v>
      </c>
      <c r="F230" s="202">
        <f t="shared" si="67"/>
        <v>15056850.232047901</v>
      </c>
      <c r="G230" s="315">
        <f t="shared" si="68"/>
        <v>0.29744640904780645</v>
      </c>
    </row>
    <row r="231" spans="3:9" ht="14.25" customHeight="1" x14ac:dyDescent="0.3">
      <c r="C231" s="314">
        <v>2012</v>
      </c>
      <c r="D231" s="202">
        <f>+CDM!B9</f>
        <v>71029722.032871455</v>
      </c>
      <c r="E231" s="202">
        <f>+CDM!C9</f>
        <v>56622171.722000003</v>
      </c>
      <c r="F231" s="202">
        <f t="shared" si="67"/>
        <v>14407550.310871452</v>
      </c>
      <c r="G231" s="315">
        <f t="shared" si="68"/>
        <v>0.25445068376410468</v>
      </c>
    </row>
    <row r="232" spans="3:9" ht="14.25" customHeight="1" x14ac:dyDescent="0.3">
      <c r="C232" s="314">
        <v>2013</v>
      </c>
      <c r="D232" s="202">
        <f>+CDM!B10</f>
        <v>75626820.638019115</v>
      </c>
      <c r="E232" s="202">
        <f>+CDM!C10</f>
        <v>61309444.238899998</v>
      </c>
      <c r="F232" s="202">
        <f t="shared" si="67"/>
        <v>14317376.399119116</v>
      </c>
      <c r="G232" s="315">
        <f t="shared" si="68"/>
        <v>0.23352644240795348</v>
      </c>
    </row>
    <row r="233" spans="3:9" ht="14.25" customHeight="1" x14ac:dyDescent="0.3">
      <c r="C233" s="314">
        <v>2014</v>
      </c>
      <c r="D233" s="202">
        <f>+CDM!B11</f>
        <v>83853805.558608472</v>
      </c>
      <c r="E233" s="202">
        <f>+CDM!C11</f>
        <v>70275491.078600004</v>
      </c>
      <c r="F233" s="202">
        <f t="shared" si="67"/>
        <v>13578314.480008468</v>
      </c>
      <c r="G233" s="315">
        <f t="shared" si="68"/>
        <v>0.19321550474576873</v>
      </c>
    </row>
    <row r="234" spans="3:9" ht="14.25" customHeight="1" x14ac:dyDescent="0.3">
      <c r="C234" s="314">
        <v>2015</v>
      </c>
      <c r="D234" s="202">
        <f>+CDM!B12</f>
        <v>108158336.441873</v>
      </c>
      <c r="E234" s="202">
        <f>+CDM!C12</f>
        <v>90753702.113999993</v>
      </c>
      <c r="F234" s="202">
        <f t="shared" si="67"/>
        <v>17404634.327873006</v>
      </c>
      <c r="G234" s="315">
        <f t="shared" si="68"/>
        <v>0.19177878061668743</v>
      </c>
    </row>
    <row r="235" spans="3:9" ht="14.25" customHeight="1" x14ac:dyDescent="0.3">
      <c r="C235" s="314">
        <v>2016</v>
      </c>
      <c r="D235" s="202">
        <f>+CDM!B13</f>
        <v>127637283.36652932</v>
      </c>
      <c r="E235" s="202">
        <f>+CDM!C13</f>
        <v>110125229.0936</v>
      </c>
      <c r="F235" s="202">
        <f t="shared" si="67"/>
        <v>17512054.272929311</v>
      </c>
      <c r="G235" s="315">
        <f t="shared" si="68"/>
        <v>0.15901945827549732</v>
      </c>
    </row>
    <row r="236" spans="3:9" ht="14.25" customHeight="1" x14ac:dyDescent="0.3">
      <c r="C236" s="314">
        <v>2017</v>
      </c>
      <c r="D236" s="202">
        <f>+CDM!B14</f>
        <v>164497789.12677801</v>
      </c>
      <c r="E236" s="202">
        <f>+CDM!C14</f>
        <v>147697956.01800001</v>
      </c>
      <c r="F236" s="202">
        <f t="shared" si="67"/>
        <v>16799833.108778</v>
      </c>
      <c r="G236" s="315">
        <f t="shared" si="68"/>
        <v>0.11374451997650258</v>
      </c>
    </row>
    <row r="237" spans="3:9" ht="14.25" customHeight="1" x14ac:dyDescent="0.3">
      <c r="C237" s="314">
        <v>2018</v>
      </c>
      <c r="D237" s="202">
        <f>+CDM!B15</f>
        <v>171906205.27262631</v>
      </c>
      <c r="E237" s="202">
        <f>+CDM!C15</f>
        <v>153807088.45919999</v>
      </c>
      <c r="F237" s="202">
        <f t="shared" ref="F237:F239" si="69">D237-E237</f>
        <v>18099116.813426316</v>
      </c>
      <c r="G237" s="315">
        <f t="shared" ref="G237:G239" si="70">F237/E237</f>
        <v>0.11767413969498175</v>
      </c>
    </row>
    <row r="238" spans="3:9" ht="14.25" customHeight="1" x14ac:dyDescent="0.3">
      <c r="C238" s="314">
        <v>2019</v>
      </c>
      <c r="D238" s="202">
        <f>+CDM!B16</f>
        <v>165035410.08626771</v>
      </c>
      <c r="E238" s="202">
        <f>+CDM!C16</f>
        <v>149921661.4833</v>
      </c>
      <c r="F238" s="202">
        <f t="shared" si="69"/>
        <v>15113748.602967709</v>
      </c>
      <c r="G238" s="315">
        <f t="shared" si="70"/>
        <v>0.10081097323385288</v>
      </c>
    </row>
    <row r="239" spans="3:9" ht="14.25" customHeight="1" x14ac:dyDescent="0.3">
      <c r="C239" s="314">
        <v>2020</v>
      </c>
      <c r="D239" s="202">
        <f>+CDM!B17</f>
        <v>159208655.41419277</v>
      </c>
      <c r="E239" s="202">
        <f>+CDM!C17</f>
        <v>146098907.49860001</v>
      </c>
      <c r="F239" s="202">
        <f t="shared" si="69"/>
        <v>13109747.91559276</v>
      </c>
      <c r="G239" s="315">
        <f t="shared" si="70"/>
        <v>8.9732005119329064E-2</v>
      </c>
    </row>
    <row r="240" spans="3:9" ht="14.25" customHeight="1" x14ac:dyDescent="0.3">
      <c r="C240" s="316" t="s">
        <v>29</v>
      </c>
      <c r="D240" s="317">
        <f>SUM(D228:D233)</f>
        <v>398234025.7349562</v>
      </c>
      <c r="E240" s="317">
        <f>SUM(E228:E233)</f>
        <v>315126600.39109999</v>
      </c>
      <c r="F240" s="317">
        <f>SUM(F228:F233)</f>
        <v>83107425.343856201</v>
      </c>
      <c r="G240" s="318">
        <f t="shared" ref="G240" si="71">F240/E240</f>
        <v>0.2637271028237938</v>
      </c>
    </row>
    <row r="242" spans="2:9" x14ac:dyDescent="0.3">
      <c r="B242" s="535" t="s">
        <v>250</v>
      </c>
      <c r="C242" s="536"/>
      <c r="D242" s="536"/>
      <c r="E242" s="536"/>
      <c r="F242" s="536"/>
      <c r="G242" s="536"/>
      <c r="H242" s="536"/>
      <c r="I242" s="492"/>
    </row>
    <row r="243" spans="2:9" ht="15" customHeight="1" x14ac:dyDescent="0.3">
      <c r="B243" s="478" t="s">
        <v>251</v>
      </c>
      <c r="C243" s="479"/>
      <c r="D243" s="479"/>
      <c r="E243" s="479"/>
      <c r="F243" s="479"/>
      <c r="G243" s="479"/>
      <c r="H243" s="479"/>
      <c r="I243" s="480"/>
    </row>
    <row r="244" spans="2:9" ht="15" customHeight="1" x14ac:dyDescent="0.3">
      <c r="B244" s="497">
        <f>+CDM!P26</f>
        <v>105710000</v>
      </c>
      <c r="C244" s="498"/>
      <c r="D244" s="498"/>
      <c r="E244" s="498"/>
      <c r="F244" s="498"/>
      <c r="G244" s="498"/>
      <c r="H244" s="498"/>
      <c r="I244" s="499"/>
    </row>
    <row r="245" spans="2:9" ht="15" customHeight="1" x14ac:dyDescent="0.3">
      <c r="B245" s="224"/>
      <c r="C245" s="224">
        <f>CDM!P29</f>
        <v>2015</v>
      </c>
      <c r="D245" s="224">
        <f>CDM!Q29</f>
        <v>2016</v>
      </c>
      <c r="E245" s="224">
        <f>CDM!R29</f>
        <v>2017</v>
      </c>
      <c r="F245" s="224">
        <f>CDM!S29</f>
        <v>2018</v>
      </c>
      <c r="G245" s="224">
        <f>CDM!T29</f>
        <v>2019</v>
      </c>
      <c r="H245" s="224">
        <f>CDM!U29</f>
        <v>2020</v>
      </c>
      <c r="I245" s="224" t="str">
        <f>CDM!V29</f>
        <v>Total</v>
      </c>
    </row>
    <row r="246" spans="2:9" s="143" customFormat="1" ht="14.25" customHeight="1" x14ac:dyDescent="0.25">
      <c r="B246" s="432" t="s">
        <v>252</v>
      </c>
      <c r="C246" s="320">
        <f>CDM!P30</f>
        <v>0.24711929807965188</v>
      </c>
      <c r="D246" s="320">
        <f>CDM!Q30</f>
        <v>0.24663364866143223</v>
      </c>
      <c r="E246" s="320">
        <f>CDM!R30</f>
        <v>0.24597112855926592</v>
      </c>
      <c r="F246" s="320">
        <f>CDM!S30</f>
        <v>0.24610418125059125</v>
      </c>
      <c r="G246" s="320">
        <f>CDM!T30</f>
        <v>0.24599041717907483</v>
      </c>
      <c r="H246" s="320">
        <f>CDM!U30</f>
        <v>0.24587872481316811</v>
      </c>
      <c r="I246" s="320">
        <f>CDM!V30</f>
        <v>1.4776973985431843</v>
      </c>
    </row>
    <row r="247" spans="2:9" s="143" customFormat="1" ht="14.25" customHeight="1" x14ac:dyDescent="0.25">
      <c r="B247" s="432" t="s">
        <v>253</v>
      </c>
      <c r="C247" s="320"/>
      <c r="D247" s="320">
        <f>CDM!Q31</f>
        <v>0.20460493803802857</v>
      </c>
      <c r="E247" s="320">
        <f>CDM!R31</f>
        <v>0.20460493803802857</v>
      </c>
      <c r="F247" s="320">
        <f>CDM!S31</f>
        <v>0.21185634282470911</v>
      </c>
      <c r="G247" s="320">
        <f>CDM!T31</f>
        <v>0.21185634282470911</v>
      </c>
      <c r="H247" s="320">
        <f>CDM!U31</f>
        <v>0.21185634282470911</v>
      </c>
      <c r="I247" s="320">
        <f>CDM!V31</f>
        <v>1.0447789045501845</v>
      </c>
    </row>
    <row r="248" spans="2:9" s="143" customFormat="1" ht="14.25" customHeight="1" x14ac:dyDescent="0.25">
      <c r="B248" s="432" t="s">
        <v>254</v>
      </c>
      <c r="C248" s="320"/>
      <c r="D248" s="320"/>
      <c r="E248" s="320">
        <f>CDM!R32</f>
        <v>0.4069224292876738</v>
      </c>
      <c r="F248" s="320">
        <f>CDM!S32</f>
        <v>0.37621105855642795</v>
      </c>
      <c r="G248" s="320">
        <f>CDM!T32</f>
        <v>0.37621105855642795</v>
      </c>
      <c r="H248" s="320">
        <f>CDM!U32</f>
        <v>0.37620488127897078</v>
      </c>
      <c r="I248" s="320">
        <f>CDM!V32</f>
        <v>1.5355494276795003</v>
      </c>
    </row>
    <row r="249" spans="2:9" s="143" customFormat="1" ht="14.25" customHeight="1" x14ac:dyDescent="0.25">
      <c r="B249" s="432" t="s">
        <v>255</v>
      </c>
      <c r="C249" s="320"/>
      <c r="D249" s="320"/>
      <c r="E249" s="320"/>
      <c r="F249" s="320">
        <f>CDM!S33</f>
        <v>0.13335089410949558</v>
      </c>
      <c r="G249" s="320">
        <f>CDM!T33</f>
        <v>0.13335089410949558</v>
      </c>
      <c r="H249" s="320">
        <f>CDM!U33</f>
        <v>0.13335089410949558</v>
      </c>
      <c r="I249" s="320">
        <f>CDM!V33</f>
        <v>0.40005268232848673</v>
      </c>
    </row>
    <row r="250" spans="2:9" s="143" customFormat="1" ht="14.25" customHeight="1" x14ac:dyDescent="0.25">
      <c r="B250" s="432" t="s">
        <v>256</v>
      </c>
      <c r="C250" s="320"/>
      <c r="D250" s="320"/>
      <c r="E250" s="320"/>
      <c r="F250" s="320"/>
      <c r="G250" s="320">
        <f>CDM!T34</f>
        <v>0.20805618200737869</v>
      </c>
      <c r="H250" s="320">
        <f>CDM!U34</f>
        <v>0.20805618200737869</v>
      </c>
      <c r="I250" s="320">
        <f>CDM!V34</f>
        <v>0.41611236401475737</v>
      </c>
    </row>
    <row r="251" spans="2:9" s="143" customFormat="1" ht="14.25" customHeight="1" x14ac:dyDescent="0.25">
      <c r="B251" s="432" t="s">
        <v>257</v>
      </c>
      <c r="C251" s="320"/>
      <c r="D251" s="320"/>
      <c r="E251" s="320"/>
      <c r="F251" s="320"/>
      <c r="G251" s="320"/>
      <c r="H251" s="320">
        <f>CDM!U35</f>
        <v>4.4197644499101317E-2</v>
      </c>
      <c r="I251" s="320">
        <f>CDM!V35</f>
        <v>4.4197644499101317E-2</v>
      </c>
    </row>
    <row r="252" spans="2:9" s="143" customFormat="1" ht="14.25" customHeight="1" x14ac:dyDescent="0.25">
      <c r="B252" s="468" t="s">
        <v>82</v>
      </c>
      <c r="C252" s="500"/>
      <c r="D252" s="500"/>
      <c r="E252" s="500"/>
      <c r="F252" s="500"/>
      <c r="G252" s="500"/>
      <c r="H252" s="500"/>
      <c r="I252" s="469"/>
    </row>
    <row r="253" spans="2:9" s="143" customFormat="1" ht="14.25" customHeight="1" x14ac:dyDescent="0.25">
      <c r="B253" s="432" t="s">
        <v>252</v>
      </c>
      <c r="C253" s="218">
        <f>CDM!P37</f>
        <v>26122981</v>
      </c>
      <c r="D253" s="218">
        <f>CDM!Q37</f>
        <v>26071643</v>
      </c>
      <c r="E253" s="218">
        <f>CDM!R37</f>
        <v>26001608</v>
      </c>
      <c r="F253" s="218">
        <f>CDM!S37</f>
        <v>26015673</v>
      </c>
      <c r="G253" s="218">
        <f>CDM!T37</f>
        <v>26003647</v>
      </c>
      <c r="H253" s="218">
        <f>CDM!U37</f>
        <v>25991840</v>
      </c>
      <c r="I253" s="218">
        <f>CDM!V37</f>
        <v>26122981</v>
      </c>
    </row>
    <row r="254" spans="2:9" s="143" customFormat="1" ht="14.25" customHeight="1" x14ac:dyDescent="0.25">
      <c r="B254" s="432" t="s">
        <v>253</v>
      </c>
      <c r="C254" s="218"/>
      <c r="D254" s="218">
        <f>CDM!Q38</f>
        <v>21628788</v>
      </c>
      <c r="E254" s="218">
        <f>CDM!R38</f>
        <v>21628788</v>
      </c>
      <c r="F254" s="218">
        <f>CDM!S38</f>
        <v>22395334</v>
      </c>
      <c r="G254" s="218">
        <f>CDM!T38</f>
        <v>22395334</v>
      </c>
      <c r="H254" s="218">
        <f>CDM!U38</f>
        <v>22395334</v>
      </c>
      <c r="I254" s="218">
        <f>CDM!V38</f>
        <v>21628788</v>
      </c>
    </row>
    <row r="255" spans="2:9" s="143" customFormat="1" ht="14.25" customHeight="1" x14ac:dyDescent="0.25">
      <c r="B255" s="432" t="s">
        <v>254</v>
      </c>
      <c r="C255" s="218"/>
      <c r="D255" s="218"/>
      <c r="E255" s="218">
        <f>CDM!R39</f>
        <v>43015770</v>
      </c>
      <c r="F255" s="218">
        <f>CDM!S39</f>
        <v>39769271</v>
      </c>
      <c r="G255" s="218">
        <f>CDM!T39</f>
        <v>39769271</v>
      </c>
      <c r="H255" s="218">
        <f>CDM!U39</f>
        <v>39768618</v>
      </c>
      <c r="I255" s="218">
        <f>CDM!V39</f>
        <v>43015770</v>
      </c>
    </row>
    <row r="256" spans="2:9" s="143" customFormat="1" ht="14.25" customHeight="1" x14ac:dyDescent="0.25">
      <c r="B256" s="432" t="s">
        <v>255</v>
      </c>
      <c r="C256" s="218"/>
      <c r="D256" s="218"/>
      <c r="E256" s="218"/>
      <c r="F256" s="218">
        <f>CDM!S40</f>
        <v>14096523.016314777</v>
      </c>
      <c r="G256" s="218">
        <f>CDM!T40</f>
        <v>14096523.016314777</v>
      </c>
      <c r="H256" s="218">
        <f>CDM!U40</f>
        <v>14096523.016314777</v>
      </c>
      <c r="I256" s="218">
        <f>CDM!V40</f>
        <v>14096523.016314777</v>
      </c>
    </row>
    <row r="257" spans="1:13" s="143" customFormat="1" ht="14.25" customHeight="1" x14ac:dyDescent="0.25">
      <c r="B257" s="432" t="s">
        <v>256</v>
      </c>
      <c r="C257" s="218"/>
      <c r="D257" s="218"/>
      <c r="E257" s="218"/>
      <c r="F257" s="218"/>
      <c r="G257" s="218">
        <f>CDM!T41</f>
        <v>21993619</v>
      </c>
      <c r="H257" s="218">
        <f>CDM!U41</f>
        <v>21993619</v>
      </c>
      <c r="I257" s="218">
        <f>CDM!V41</f>
        <v>21993619</v>
      </c>
    </row>
    <row r="258" spans="1:13" s="143" customFormat="1" ht="14.25" customHeight="1" x14ac:dyDescent="0.25">
      <c r="B258" s="432" t="s">
        <v>257</v>
      </c>
      <c r="C258" s="218"/>
      <c r="D258" s="218"/>
      <c r="E258" s="218"/>
      <c r="F258" s="218"/>
      <c r="G258" s="218"/>
      <c r="H258" s="218">
        <f>CDM!U42</f>
        <v>4672133</v>
      </c>
      <c r="I258" s="218">
        <f>CDM!V42</f>
        <v>4672133</v>
      </c>
      <c r="K258" s="319"/>
    </row>
    <row r="260" spans="1:13" customFormat="1" ht="12.5" x14ac:dyDescent="0.25"/>
    <row r="261" spans="1:13" customFormat="1" ht="15" customHeight="1" x14ac:dyDescent="0.35">
      <c r="A261" s="472" t="s">
        <v>258</v>
      </c>
      <c r="B261" s="473"/>
      <c r="C261" s="473"/>
      <c r="D261" s="473"/>
      <c r="E261" s="474"/>
      <c r="F261" s="298"/>
      <c r="G261" s="298"/>
      <c r="H261" s="298"/>
      <c r="I261" s="298"/>
      <c r="J261" s="298"/>
      <c r="K261" s="298"/>
      <c r="L261" s="298"/>
      <c r="M261" s="298"/>
    </row>
    <row r="262" spans="1:13" customFormat="1" ht="14.5" x14ac:dyDescent="0.35">
      <c r="A262" s="501"/>
      <c r="B262" s="502"/>
      <c r="C262" s="503"/>
      <c r="D262" s="224">
        <v>2019</v>
      </c>
      <c r="E262" s="224">
        <v>2020</v>
      </c>
      <c r="F262" s="298"/>
      <c r="G262" s="298"/>
      <c r="H262" s="298"/>
      <c r="I262" s="298"/>
      <c r="J262" s="298"/>
      <c r="K262" s="298"/>
      <c r="L262" s="298"/>
      <c r="M262" s="298"/>
    </row>
    <row r="263" spans="1:13" s="48" customFormat="1" ht="14.25" customHeight="1" x14ac:dyDescent="0.3">
      <c r="A263" s="465" t="s">
        <v>259</v>
      </c>
      <c r="B263" s="504"/>
      <c r="C263" s="466"/>
      <c r="D263" s="302">
        <f>+CDM!T47</f>
        <v>10996809.5</v>
      </c>
      <c r="E263" s="302">
        <f>+CDM!U47</f>
        <v>24329685.5</v>
      </c>
      <c r="F263" s="303"/>
      <c r="G263" s="303"/>
      <c r="H263" s="303"/>
      <c r="I263" s="303"/>
      <c r="J263" s="303"/>
      <c r="K263" s="303"/>
      <c r="L263" s="303"/>
      <c r="M263" s="303"/>
    </row>
    <row r="264" spans="1:13" s="48" customFormat="1" ht="14.25" customHeight="1" x14ac:dyDescent="0.3">
      <c r="A264" s="306"/>
      <c r="B264" s="307"/>
      <c r="C264" s="307"/>
      <c r="D264" s="308"/>
      <c r="E264" s="308"/>
      <c r="F264" s="303"/>
      <c r="G264" s="303"/>
      <c r="H264" s="303"/>
      <c r="I264" s="303"/>
      <c r="J264" s="303"/>
      <c r="K264" s="303"/>
      <c r="L264" s="303"/>
      <c r="M264" s="303"/>
    </row>
    <row r="265" spans="1:13" customFormat="1" ht="14.5" x14ac:dyDescent="0.35">
      <c r="A265" s="435" t="s">
        <v>260</v>
      </c>
      <c r="B265" s="436"/>
      <c r="C265" s="436"/>
      <c r="D265" s="436"/>
      <c r="E265" s="436"/>
      <c r="F265" s="436"/>
      <c r="G265" s="436"/>
      <c r="H265" s="436"/>
      <c r="I265" s="437"/>
      <c r="J265" s="142"/>
      <c r="K265" s="142"/>
      <c r="L265" s="298"/>
      <c r="M265" s="298"/>
    </row>
    <row r="266" spans="1:13" customFormat="1" ht="28" x14ac:dyDescent="0.25">
      <c r="A266" s="478" t="s">
        <v>163</v>
      </c>
      <c r="B266" s="480"/>
      <c r="C266" s="225" t="str">
        <f t="shared" ref="C266:H266" si="72">C23</f>
        <v xml:space="preserve">Residential </v>
      </c>
      <c r="D266" s="225" t="str">
        <f t="shared" si="72"/>
        <v>GS&lt;50 kW</v>
      </c>
      <c r="E266" s="225" t="str">
        <f t="shared" si="72"/>
        <v>GS&gt;50 kW</v>
      </c>
      <c r="F266" s="225" t="str">
        <f t="shared" si="72"/>
        <v>Large
User</v>
      </c>
      <c r="G266" s="225" t="str">
        <f t="shared" si="72"/>
        <v>Street
Lighting</v>
      </c>
      <c r="H266" s="225" t="str">
        <f t="shared" si="72"/>
        <v>USL</v>
      </c>
      <c r="I266" s="226" t="s">
        <v>29</v>
      </c>
      <c r="J266" s="304"/>
      <c r="K266" s="304"/>
      <c r="L266" s="304"/>
      <c r="M266" s="304"/>
    </row>
    <row r="267" spans="1:13" s="48" customFormat="1" x14ac:dyDescent="0.25">
      <c r="A267" s="467" t="str">
        <f>+A$165</f>
        <v>2019 Bridge</v>
      </c>
      <c r="B267" s="467"/>
      <c r="C267" s="310">
        <f>+Energy!H78</f>
        <v>0</v>
      </c>
      <c r="D267" s="310">
        <f>+Energy!I78</f>
        <v>0.14000000000000001</v>
      </c>
      <c r="E267" s="310">
        <f>+Energy!J78</f>
        <v>0.86</v>
      </c>
      <c r="F267" s="310">
        <v>0</v>
      </c>
      <c r="G267" s="310">
        <v>0</v>
      </c>
      <c r="H267" s="310">
        <v>0</v>
      </c>
      <c r="I267" s="310">
        <f>SUM(C267:H267)</f>
        <v>1</v>
      </c>
      <c r="J267" s="311"/>
      <c r="K267" s="311"/>
      <c r="L267" s="311"/>
      <c r="M267" s="311"/>
    </row>
    <row r="268" spans="1:13" s="48" customFormat="1" x14ac:dyDescent="0.25">
      <c r="A268" s="467" t="str">
        <f>+A$166</f>
        <v>2020 Test</v>
      </c>
      <c r="B268" s="467"/>
      <c r="C268" s="310">
        <f>+Energy!H78</f>
        <v>0</v>
      </c>
      <c r="D268" s="310">
        <f>+Energy!I78</f>
        <v>0.14000000000000001</v>
      </c>
      <c r="E268" s="310">
        <f>+Energy!J78</f>
        <v>0.86</v>
      </c>
      <c r="F268" s="310">
        <v>0</v>
      </c>
      <c r="G268" s="310">
        <v>0</v>
      </c>
      <c r="H268" s="310">
        <v>0</v>
      </c>
      <c r="I268" s="310">
        <f>SUM(C268:H268)</f>
        <v>1</v>
      </c>
      <c r="J268" s="311"/>
      <c r="K268" s="311"/>
      <c r="L268" s="311"/>
      <c r="M268" s="311"/>
    </row>
    <row r="269" spans="1:13" customFormat="1" ht="14.5" x14ac:dyDescent="0.35">
      <c r="A269" s="298"/>
      <c r="B269" s="298"/>
      <c r="C269" s="298"/>
      <c r="D269" s="298"/>
      <c r="E269" s="298"/>
      <c r="F269" s="298"/>
      <c r="G269" s="298"/>
      <c r="H269" s="298"/>
      <c r="I269" s="298"/>
      <c r="J269" s="298"/>
      <c r="K269" s="305"/>
      <c r="L269" s="298"/>
      <c r="M269" s="298"/>
    </row>
    <row r="270" spans="1:13" customFormat="1" ht="14.5" x14ac:dyDescent="0.35">
      <c r="A270" s="435" t="s">
        <v>261</v>
      </c>
      <c r="B270" s="436"/>
      <c r="C270" s="436"/>
      <c r="D270" s="436"/>
      <c r="E270" s="436"/>
      <c r="F270" s="436"/>
      <c r="G270" s="436"/>
      <c r="H270" s="436"/>
      <c r="I270" s="436"/>
      <c r="J270" s="142"/>
      <c r="K270" s="142"/>
      <c r="L270" s="142"/>
      <c r="M270" s="298"/>
    </row>
    <row r="271" spans="1:13" customFormat="1" ht="28" x14ac:dyDescent="0.25">
      <c r="A271" s="478" t="s">
        <v>163</v>
      </c>
      <c r="B271" s="480"/>
      <c r="C271" s="225" t="str">
        <f t="shared" ref="C271:H271" si="73">C23</f>
        <v xml:space="preserve">Residential </v>
      </c>
      <c r="D271" s="225" t="str">
        <f t="shared" si="73"/>
        <v>GS&lt;50 kW</v>
      </c>
      <c r="E271" s="225" t="str">
        <f t="shared" si="73"/>
        <v>GS&gt;50 kW</v>
      </c>
      <c r="F271" s="225" t="str">
        <f t="shared" si="73"/>
        <v>Large
User</v>
      </c>
      <c r="G271" s="225" t="str">
        <f t="shared" si="73"/>
        <v>Street
Lighting</v>
      </c>
      <c r="H271" s="225" t="str">
        <f t="shared" si="73"/>
        <v>USL</v>
      </c>
      <c r="I271" s="309" t="s">
        <v>29</v>
      </c>
      <c r="J271" s="304"/>
      <c r="K271" s="304"/>
      <c r="L271" s="304"/>
      <c r="M271" s="304"/>
    </row>
    <row r="272" spans="1:13" s="48" customFormat="1" x14ac:dyDescent="0.25">
      <c r="A272" s="467" t="str">
        <f>+A$165</f>
        <v>2019 Bridge</v>
      </c>
      <c r="B272" s="467"/>
      <c r="C272" s="313">
        <f>+Energy!H79</f>
        <v>0</v>
      </c>
      <c r="D272" s="313">
        <f>+Energy!I79</f>
        <v>-1539553.33</v>
      </c>
      <c r="E272" s="313">
        <f>+Energy!J79</f>
        <v>-9457256.1699999999</v>
      </c>
      <c r="F272" s="313">
        <v>0</v>
      </c>
      <c r="G272" s="313">
        <v>0</v>
      </c>
      <c r="H272" s="313">
        <v>0</v>
      </c>
      <c r="I272" s="313">
        <f>SUM(C272:H272)</f>
        <v>-10996809.5</v>
      </c>
      <c r="J272" s="312"/>
      <c r="K272" s="312"/>
      <c r="L272" s="312"/>
      <c r="M272" s="312"/>
    </row>
    <row r="273" spans="1:13" s="48" customFormat="1" x14ac:dyDescent="0.25">
      <c r="A273" s="467" t="str">
        <f>+A$166</f>
        <v>2020 Test</v>
      </c>
      <c r="B273" s="467"/>
      <c r="C273" s="313">
        <f>+Energy!H80</f>
        <v>0</v>
      </c>
      <c r="D273" s="313">
        <f>+Energy!I80</f>
        <v>-3406155.97</v>
      </c>
      <c r="E273" s="313">
        <f>+Energy!J80</f>
        <v>-20923529.530000001</v>
      </c>
      <c r="F273" s="313">
        <v>0</v>
      </c>
      <c r="G273" s="313">
        <v>0</v>
      </c>
      <c r="H273" s="313">
        <v>0</v>
      </c>
      <c r="I273" s="313">
        <f>SUM(C273:H273)</f>
        <v>-24329685.5</v>
      </c>
      <c r="J273" s="312"/>
      <c r="K273" s="312"/>
      <c r="L273" s="312"/>
      <c r="M273" s="312"/>
    </row>
    <row r="274" spans="1:13" customFormat="1" ht="14.5" x14ac:dyDescent="0.35">
      <c r="A274" s="298"/>
      <c r="B274" s="298"/>
      <c r="C274" s="298"/>
      <c r="D274" s="298"/>
      <c r="E274" s="298"/>
      <c r="F274" s="298"/>
      <c r="G274" s="298"/>
      <c r="H274" s="298"/>
      <c r="I274" s="298"/>
      <c r="J274" s="298"/>
      <c r="K274" s="298"/>
      <c r="L274" s="298"/>
      <c r="M274" s="298"/>
    </row>
    <row r="275" spans="1:13" x14ac:dyDescent="0.3">
      <c r="A275" s="477" t="s">
        <v>262</v>
      </c>
      <c r="B275" s="477"/>
      <c r="C275" s="477"/>
      <c r="D275" s="477"/>
      <c r="E275" s="477"/>
      <c r="F275" s="477"/>
      <c r="G275" s="477"/>
      <c r="H275" s="477"/>
      <c r="I275" s="477"/>
    </row>
    <row r="276" spans="1:13" ht="28" x14ac:dyDescent="0.3">
      <c r="A276" s="470" t="s">
        <v>163</v>
      </c>
      <c r="B276" s="471"/>
      <c r="C276" s="227" t="str">
        <f t="shared" ref="C276:H276" si="74">C23</f>
        <v xml:space="preserve">Residential </v>
      </c>
      <c r="D276" s="227" t="str">
        <f t="shared" si="74"/>
        <v>GS&lt;50 kW</v>
      </c>
      <c r="E276" s="227" t="str">
        <f t="shared" si="74"/>
        <v>GS&gt;50 kW</v>
      </c>
      <c r="F276" s="227" t="str">
        <f t="shared" si="74"/>
        <v>Large
User</v>
      </c>
      <c r="G276" s="227" t="str">
        <f t="shared" si="74"/>
        <v>Street
Lighting</v>
      </c>
      <c r="H276" s="227" t="str">
        <f t="shared" si="74"/>
        <v>USL</v>
      </c>
      <c r="I276" s="309" t="s">
        <v>29</v>
      </c>
    </row>
    <row r="277" spans="1:13" ht="15" customHeight="1" x14ac:dyDescent="0.3">
      <c r="A277" s="163" t="s">
        <v>235</v>
      </c>
      <c r="B277" s="164"/>
      <c r="C277" s="164"/>
      <c r="D277" s="164"/>
      <c r="E277" s="164"/>
      <c r="F277" s="164"/>
      <c r="G277" s="164"/>
      <c r="H277" s="164"/>
      <c r="I277" s="187"/>
    </row>
    <row r="278" spans="1:13" ht="15" customHeight="1" x14ac:dyDescent="0.3">
      <c r="A278" s="432" t="s">
        <v>263</v>
      </c>
      <c r="B278" s="438"/>
      <c r="C278" s="203">
        <f t="shared" ref="C278:H279" si="75">C206</f>
        <v>686.2</v>
      </c>
      <c r="D278" s="203">
        <f t="shared" si="75"/>
        <v>241.9</v>
      </c>
      <c r="E278" s="203">
        <f t="shared" si="75"/>
        <v>835.7</v>
      </c>
      <c r="F278" s="203">
        <f t="shared" si="75"/>
        <v>34.200000000000003</v>
      </c>
      <c r="G278" s="203">
        <f t="shared" si="75"/>
        <v>7.4</v>
      </c>
      <c r="H278" s="203">
        <f t="shared" si="75"/>
        <v>4.0999999999999996</v>
      </c>
      <c r="I278" s="203">
        <f t="shared" ref="I278:I279" si="76">ROUND((SUM(C278:H278)),1)</f>
        <v>1809.5</v>
      </c>
    </row>
    <row r="279" spans="1:13" ht="15" customHeight="1" x14ac:dyDescent="0.3">
      <c r="A279" s="432" t="s">
        <v>264</v>
      </c>
      <c r="B279" s="438"/>
      <c r="C279" s="203">
        <f t="shared" si="75"/>
        <v>691.7</v>
      </c>
      <c r="D279" s="203">
        <f t="shared" si="75"/>
        <v>243.2</v>
      </c>
      <c r="E279" s="203">
        <f t="shared" si="75"/>
        <v>831.8</v>
      </c>
      <c r="F279" s="203">
        <f t="shared" si="75"/>
        <v>35.1</v>
      </c>
      <c r="G279" s="203">
        <f t="shared" si="75"/>
        <v>7.3</v>
      </c>
      <c r="H279" s="203">
        <f t="shared" si="75"/>
        <v>4.2</v>
      </c>
      <c r="I279" s="203">
        <f t="shared" si="76"/>
        <v>1813.3</v>
      </c>
    </row>
    <row r="280" spans="1:13" ht="15" customHeight="1" x14ac:dyDescent="0.3">
      <c r="A280" s="163" t="s">
        <v>265</v>
      </c>
      <c r="B280" s="164"/>
      <c r="C280" s="204"/>
      <c r="D280" s="204"/>
      <c r="E280" s="204"/>
      <c r="F280" s="204"/>
      <c r="G280" s="204"/>
      <c r="H280" s="204"/>
      <c r="I280" s="205"/>
    </row>
    <row r="281" spans="1:13" ht="15" customHeight="1" x14ac:dyDescent="0.3">
      <c r="A281" s="481" t="str">
        <f>A200</f>
        <v>2019 Bridge</v>
      </c>
      <c r="B281" s="481"/>
      <c r="C281" s="206">
        <f>ROUND((Energy!H72/1000000),1)</f>
        <v>-29.6</v>
      </c>
      <c r="D281" s="206">
        <f>ROUND((Energy!I72/1000000),1)</f>
        <v>-10.4</v>
      </c>
      <c r="E281" s="206">
        <f>ROUND(((Energy!J72+Energy!P72)/1000000),1)</f>
        <v>-20.6</v>
      </c>
      <c r="F281" s="206">
        <v>0</v>
      </c>
      <c r="G281" s="206">
        <v>0</v>
      </c>
      <c r="H281" s="206">
        <v>0</v>
      </c>
      <c r="I281" s="206">
        <f>ROUND((SUM(C281:H281)),1)</f>
        <v>-60.6</v>
      </c>
    </row>
    <row r="282" spans="1:13" ht="15" customHeight="1" x14ac:dyDescent="0.3">
      <c r="A282" s="481" t="str">
        <f>A201</f>
        <v>2020 Test</v>
      </c>
      <c r="B282" s="481"/>
      <c r="C282" s="206">
        <f>ROUND((Energy!H73/1000000),1)</f>
        <v>-30.9</v>
      </c>
      <c r="D282" s="206">
        <f>ROUND((Energy!I73/1000000),1)</f>
        <v>-10.9</v>
      </c>
      <c r="E282" s="206">
        <f>ROUND(((Energy!J73+Energy!P73)/1000000),1)</f>
        <v>-21.2</v>
      </c>
      <c r="F282" s="206">
        <v>0</v>
      </c>
      <c r="G282" s="206">
        <v>0</v>
      </c>
      <c r="H282" s="206">
        <v>0</v>
      </c>
      <c r="I282" s="206">
        <f>ROUND((SUM(C282:H282)),1)</f>
        <v>-63</v>
      </c>
    </row>
    <row r="283" spans="1:13" ht="15" customHeight="1" x14ac:dyDescent="0.3">
      <c r="A283" s="163" t="s">
        <v>266</v>
      </c>
      <c r="B283" s="164"/>
      <c r="C283" s="204"/>
      <c r="D283" s="204"/>
      <c r="E283" s="204"/>
      <c r="F283" s="204"/>
      <c r="G283" s="204"/>
      <c r="H283" s="204"/>
      <c r="I283" s="205"/>
    </row>
    <row r="284" spans="1:13" ht="15" customHeight="1" x14ac:dyDescent="0.3">
      <c r="A284" s="481" t="str">
        <f>A281</f>
        <v>2019 Bridge</v>
      </c>
      <c r="B284" s="481"/>
      <c r="C284" s="206">
        <f>ROUND((Energy!H79/1000000),1)</f>
        <v>0</v>
      </c>
      <c r="D284" s="206">
        <f>ROUND((Energy!I79/1000000),1)</f>
        <v>-1.5</v>
      </c>
      <c r="E284" s="206">
        <f>ROUND((Energy!J79/1000000),1)</f>
        <v>-9.5</v>
      </c>
      <c r="F284" s="206">
        <v>0</v>
      </c>
      <c r="G284" s="206">
        <v>0</v>
      </c>
      <c r="H284" s="206">
        <v>0</v>
      </c>
      <c r="I284" s="206">
        <f t="shared" ref="I284:I285" si="77">ROUND((SUM(C284:H284)),1)</f>
        <v>-11</v>
      </c>
    </row>
    <row r="285" spans="1:13" ht="15" customHeight="1" x14ac:dyDescent="0.3">
      <c r="A285" s="481" t="str">
        <f>A282</f>
        <v>2020 Test</v>
      </c>
      <c r="B285" s="481"/>
      <c r="C285" s="206">
        <f>ROUND((Energy!H80/1000000),1)</f>
        <v>0</v>
      </c>
      <c r="D285" s="206">
        <f>ROUND((Energy!I80/1000000),1)</f>
        <v>-3.4</v>
      </c>
      <c r="E285" s="206">
        <f>ROUND((Energy!J80/1000000),1)</f>
        <v>-20.9</v>
      </c>
      <c r="F285" s="206">
        <v>0</v>
      </c>
      <c r="G285" s="206">
        <v>0</v>
      </c>
      <c r="H285" s="206">
        <v>0</v>
      </c>
      <c r="I285" s="206">
        <f t="shared" si="77"/>
        <v>-24.3</v>
      </c>
    </row>
    <row r="286" spans="1:13" ht="15" customHeight="1" x14ac:dyDescent="0.3">
      <c r="A286" s="163" t="s">
        <v>267</v>
      </c>
      <c r="B286" s="164"/>
      <c r="C286" s="164"/>
      <c r="D286" s="164"/>
      <c r="E286" s="164"/>
      <c r="F286" s="164"/>
      <c r="G286" s="164"/>
      <c r="H286" s="164"/>
      <c r="I286" s="187"/>
    </row>
    <row r="287" spans="1:13" ht="15" customHeight="1" x14ac:dyDescent="0.3">
      <c r="A287" s="432" t="s">
        <v>268</v>
      </c>
      <c r="B287" s="153"/>
      <c r="C287" s="207">
        <f t="shared" ref="C287:H288" si="78">ROUND((C278+C281+C284),1)</f>
        <v>656.6</v>
      </c>
      <c r="D287" s="207">
        <f t="shared" si="78"/>
        <v>230</v>
      </c>
      <c r="E287" s="207">
        <f t="shared" si="78"/>
        <v>805.6</v>
      </c>
      <c r="F287" s="207">
        <f t="shared" si="78"/>
        <v>34.200000000000003</v>
      </c>
      <c r="G287" s="207">
        <f t="shared" si="78"/>
        <v>7.4</v>
      </c>
      <c r="H287" s="207">
        <f t="shared" si="78"/>
        <v>4.0999999999999996</v>
      </c>
      <c r="I287" s="203">
        <f t="shared" ref="I287:I288" si="79">ROUND((SUM(C287:H287)),1)</f>
        <v>1737.9</v>
      </c>
    </row>
    <row r="288" spans="1:13" ht="15" customHeight="1" x14ac:dyDescent="0.3">
      <c r="A288" s="432" t="s">
        <v>269</v>
      </c>
      <c r="B288" s="438"/>
      <c r="C288" s="207">
        <f t="shared" si="78"/>
        <v>660.8</v>
      </c>
      <c r="D288" s="207">
        <f t="shared" si="78"/>
        <v>228.9</v>
      </c>
      <c r="E288" s="207">
        <f t="shared" si="78"/>
        <v>789.7</v>
      </c>
      <c r="F288" s="207">
        <f t="shared" si="78"/>
        <v>35.1</v>
      </c>
      <c r="G288" s="207">
        <f t="shared" si="78"/>
        <v>7.3</v>
      </c>
      <c r="H288" s="207">
        <f t="shared" si="78"/>
        <v>4.2</v>
      </c>
      <c r="I288" s="203">
        <f t="shared" si="79"/>
        <v>1726</v>
      </c>
    </row>
    <row r="290" spans="1:11" x14ac:dyDescent="0.3">
      <c r="A290" s="477" t="s">
        <v>270</v>
      </c>
      <c r="B290" s="477"/>
      <c r="C290" s="477"/>
      <c r="D290" s="477"/>
      <c r="E290" s="477"/>
      <c r="F290" s="477"/>
      <c r="G290" s="142"/>
      <c r="H290" s="142"/>
    </row>
    <row r="291" spans="1:11" ht="28" x14ac:dyDescent="0.3">
      <c r="A291" s="483" t="s">
        <v>163</v>
      </c>
      <c r="B291" s="483"/>
      <c r="C291" s="227" t="str">
        <f>E23</f>
        <v>GS&gt;50 kW</v>
      </c>
      <c r="D291" s="227" t="str">
        <f>F23</f>
        <v>Large
User</v>
      </c>
      <c r="E291" s="227" t="str">
        <f>G23</f>
        <v>Street
Lighting</v>
      </c>
      <c r="F291" s="224" t="str">
        <f>I276</f>
        <v>Total</v>
      </c>
      <c r="G291" s="116"/>
      <c r="H291" s="116"/>
    </row>
    <row r="292" spans="1:11" ht="15" customHeight="1" x14ac:dyDescent="0.3">
      <c r="A292" s="477" t="s">
        <v>271</v>
      </c>
      <c r="B292" s="477"/>
      <c r="C292" s="477"/>
      <c r="D292" s="477"/>
      <c r="E292" s="477"/>
      <c r="F292" s="477"/>
      <c r="G292" s="142"/>
      <c r="H292" s="142"/>
    </row>
    <row r="293" spans="1:11" ht="15" customHeight="1" x14ac:dyDescent="0.3">
      <c r="A293" s="475">
        <f t="shared" ref="A293:A302" si="80">A185</f>
        <v>2009</v>
      </c>
      <c r="B293" s="475"/>
      <c r="C293" s="202">
        <f>ROUND((Load!B3+Load!C3+Load!D3),4)</f>
        <v>2340407</v>
      </c>
      <c r="D293" s="202">
        <f>ROUND((Load!E3),4)</f>
        <v>44226</v>
      </c>
      <c r="E293" s="202">
        <f>ROUND((Load!F3),4)</f>
        <v>2384633</v>
      </c>
      <c r="F293" s="202">
        <f t="shared" ref="F293:F302" si="81">ROUND((SUM(C293:E293)),4)</f>
        <v>4769266</v>
      </c>
      <c r="G293" s="208"/>
      <c r="H293" s="208"/>
      <c r="J293" s="158"/>
      <c r="K293" s="158"/>
    </row>
    <row r="294" spans="1:11" ht="15" customHeight="1" x14ac:dyDescent="0.3">
      <c r="A294" s="475">
        <f t="shared" si="80"/>
        <v>2010</v>
      </c>
      <c r="B294" s="475"/>
      <c r="C294" s="202">
        <f>ROUND((Load!B4+Load!C4+Load!D4),4)</f>
        <v>2355933</v>
      </c>
      <c r="D294" s="202">
        <f>ROUND((Load!E4),4)</f>
        <v>44895</v>
      </c>
      <c r="E294" s="202">
        <f>ROUND((Load!F4),4)</f>
        <v>2400828</v>
      </c>
      <c r="F294" s="202">
        <f t="shared" si="81"/>
        <v>4801656</v>
      </c>
      <c r="G294" s="208"/>
      <c r="H294" s="208"/>
      <c r="J294" s="158"/>
      <c r="K294" s="158"/>
    </row>
    <row r="295" spans="1:11" ht="15" customHeight="1" x14ac:dyDescent="0.3">
      <c r="A295" s="475">
        <f t="shared" si="80"/>
        <v>2011</v>
      </c>
      <c r="B295" s="475"/>
      <c r="C295" s="202">
        <f>ROUND((Load!B5+Load!C5+Load!D5),4)</f>
        <v>2350654</v>
      </c>
      <c r="D295" s="202">
        <f>ROUND((Load!E5),4)</f>
        <v>44252</v>
      </c>
      <c r="E295" s="202">
        <f>ROUND((Load!F5),4)</f>
        <v>2394906</v>
      </c>
      <c r="F295" s="202">
        <f t="shared" si="81"/>
        <v>4789812</v>
      </c>
      <c r="G295" s="208"/>
      <c r="H295" s="208"/>
      <c r="J295" s="158"/>
      <c r="K295" s="158"/>
    </row>
    <row r="296" spans="1:11" ht="15" customHeight="1" x14ac:dyDescent="0.3">
      <c r="A296" s="475">
        <f t="shared" si="80"/>
        <v>2012</v>
      </c>
      <c r="B296" s="475"/>
      <c r="C296" s="202">
        <f>ROUND((Load!B6+Load!C6+Load!D6),4)</f>
        <v>2359830.2319999998</v>
      </c>
      <c r="D296" s="202">
        <f>ROUND((Load!E6),4)</f>
        <v>44229</v>
      </c>
      <c r="E296" s="202">
        <f>ROUND((Load!F6),4)</f>
        <v>2404059.2319999998</v>
      </c>
      <c r="F296" s="202">
        <f t="shared" si="81"/>
        <v>4808118.4639999997</v>
      </c>
      <c r="G296" s="208"/>
      <c r="H296" s="208"/>
      <c r="J296" s="158"/>
      <c r="K296" s="158"/>
    </row>
    <row r="297" spans="1:11" ht="15" customHeight="1" x14ac:dyDescent="0.3">
      <c r="A297" s="475">
        <f t="shared" si="80"/>
        <v>2013</v>
      </c>
      <c r="B297" s="475"/>
      <c r="C297" s="202">
        <f>ROUND((Load!B7+Load!C7+Load!D7),4)</f>
        <v>2371240.3895999999</v>
      </c>
      <c r="D297" s="202">
        <f>ROUND((Load!E7),4)</f>
        <v>44582.02</v>
      </c>
      <c r="E297" s="202">
        <f>ROUND((Load!F7),4)</f>
        <v>2415822.4095999999</v>
      </c>
      <c r="F297" s="202">
        <f t="shared" si="81"/>
        <v>4831644.8191999998</v>
      </c>
      <c r="G297" s="208"/>
      <c r="H297" s="208"/>
      <c r="J297" s="158"/>
      <c r="K297" s="158"/>
    </row>
    <row r="298" spans="1:11" ht="15" customHeight="1" x14ac:dyDescent="0.3">
      <c r="A298" s="475">
        <f t="shared" si="80"/>
        <v>2014</v>
      </c>
      <c r="B298" s="475"/>
      <c r="C298" s="202">
        <f>ROUND((Load!B8+Load!C8+Load!D8),4)</f>
        <v>2254484.0304</v>
      </c>
      <c r="D298" s="202">
        <f>ROUND((Load!E8),4)</f>
        <v>44711.85</v>
      </c>
      <c r="E298" s="202">
        <f>ROUND((Load!F8),4)</f>
        <v>2299195.8804000001</v>
      </c>
      <c r="F298" s="202">
        <f t="shared" si="81"/>
        <v>4598391.7608000003</v>
      </c>
      <c r="G298" s="208"/>
      <c r="H298" s="208"/>
      <c r="J298" s="158"/>
      <c r="K298" s="158"/>
    </row>
    <row r="299" spans="1:11" ht="15" customHeight="1" x14ac:dyDescent="0.3">
      <c r="A299" s="475">
        <f t="shared" si="80"/>
        <v>2015</v>
      </c>
      <c r="B299" s="475"/>
      <c r="C299" s="202">
        <f>ROUND((Load!B9+Load!C9+Load!D9),4)</f>
        <v>2179516.0928000002</v>
      </c>
      <c r="D299" s="202">
        <f>ROUND((Load!E9),4)</f>
        <v>45213.11</v>
      </c>
      <c r="E299" s="202">
        <f>ROUND((Load!F9),4)</f>
        <v>2224729.2028000001</v>
      </c>
      <c r="F299" s="202">
        <f t="shared" si="81"/>
        <v>4449458.4056000002</v>
      </c>
      <c r="G299" s="208"/>
      <c r="H299" s="208"/>
      <c r="J299" s="158"/>
      <c r="K299" s="158"/>
    </row>
    <row r="300" spans="1:11" ht="15" customHeight="1" x14ac:dyDescent="0.3">
      <c r="A300" s="475">
        <f t="shared" si="80"/>
        <v>2016</v>
      </c>
      <c r="B300" s="475"/>
      <c r="C300" s="202">
        <f>ROUND((Load!B10+Load!C10+Load!D10),4)</f>
        <v>2202540.5194999999</v>
      </c>
      <c r="D300" s="202">
        <f>ROUND((Load!E10),4)</f>
        <v>45218.23</v>
      </c>
      <c r="E300" s="202">
        <f>ROUND((Load!F10),4)</f>
        <v>2247758.7494999999</v>
      </c>
      <c r="F300" s="202">
        <f t="shared" si="81"/>
        <v>4495517.4989999998</v>
      </c>
      <c r="G300" s="208"/>
      <c r="H300" s="208"/>
      <c r="J300" s="158"/>
      <c r="K300" s="158"/>
    </row>
    <row r="301" spans="1:11" ht="15" customHeight="1" x14ac:dyDescent="0.3">
      <c r="A301" s="475">
        <f t="shared" si="80"/>
        <v>2017</v>
      </c>
      <c r="B301" s="475"/>
      <c r="C301" s="202">
        <f>ROUND((Load!B11+Load!C11+Load!D11),4)</f>
        <v>2137754.0781999999</v>
      </c>
      <c r="D301" s="202">
        <f>ROUND((Load!E11),4)</f>
        <v>42035.72</v>
      </c>
      <c r="E301" s="202">
        <f>ROUND((Load!F11),4)</f>
        <v>2179789.7982000001</v>
      </c>
      <c r="F301" s="202">
        <f t="shared" si="81"/>
        <v>4359579.5964000002</v>
      </c>
      <c r="G301" s="208"/>
      <c r="H301" s="208"/>
      <c r="J301" s="158"/>
      <c r="K301" s="158"/>
    </row>
    <row r="302" spans="1:11" ht="15" customHeight="1" x14ac:dyDescent="0.3">
      <c r="A302" s="475">
        <f t="shared" si="80"/>
        <v>2018</v>
      </c>
      <c r="B302" s="475"/>
      <c r="C302" s="202">
        <f>ROUND((Load!B12+Load!C12+Load!D12),4)</f>
        <v>2237693.4871999999</v>
      </c>
      <c r="D302" s="202">
        <f>ROUND((Load!E12),4)</f>
        <v>20808.9388</v>
      </c>
      <c r="E302" s="202">
        <f>ROUND((Load!F12),4)</f>
        <v>2258502.426</v>
      </c>
      <c r="F302" s="202">
        <f t="shared" si="81"/>
        <v>4517004.852</v>
      </c>
      <c r="G302" s="208"/>
      <c r="H302" s="208"/>
      <c r="J302" s="158"/>
      <c r="K302" s="158"/>
    </row>
    <row r="304" spans="1:11" ht="15" customHeight="1" x14ac:dyDescent="0.3">
      <c r="A304" s="532" t="s">
        <v>272</v>
      </c>
      <c r="B304" s="533"/>
      <c r="C304" s="533"/>
      <c r="D304" s="533"/>
      <c r="E304" s="534"/>
    </row>
    <row r="305" spans="1:14" ht="28" x14ac:dyDescent="0.3">
      <c r="A305" s="483" t="s">
        <v>163</v>
      </c>
      <c r="B305" s="483"/>
      <c r="C305" s="227" t="str">
        <f>E23</f>
        <v>GS&gt;50 kW</v>
      </c>
      <c r="D305" s="227" t="str">
        <f>F23</f>
        <v>Large
User</v>
      </c>
      <c r="E305" s="227" t="str">
        <f>G23</f>
        <v>Street
Lighting</v>
      </c>
    </row>
    <row r="306" spans="1:14" ht="15" customHeight="1" x14ac:dyDescent="0.3">
      <c r="A306" s="532" t="s">
        <v>273</v>
      </c>
      <c r="B306" s="533"/>
      <c r="C306" s="533"/>
      <c r="D306" s="533"/>
      <c r="E306" s="534"/>
    </row>
    <row r="307" spans="1:14" ht="15" customHeight="1" x14ac:dyDescent="0.3">
      <c r="A307" s="475">
        <f t="shared" ref="A307:A316" si="82">A293</f>
        <v>2009</v>
      </c>
      <c r="B307" s="475"/>
      <c r="C307" s="209">
        <f>ROUND((Load!B17),6)</f>
        <v>2.6419999999999998E-3</v>
      </c>
      <c r="D307" s="209">
        <f>ROUND((Load!E17),6)</f>
        <v>2.7780000000000001E-3</v>
      </c>
      <c r="E307" s="209">
        <f>ROUND((Load!F17),6)</f>
        <v>0</v>
      </c>
    </row>
    <row r="308" spans="1:14" ht="15" customHeight="1" x14ac:dyDescent="0.3">
      <c r="A308" s="475">
        <f t="shared" si="82"/>
        <v>2010</v>
      </c>
      <c r="B308" s="475"/>
      <c r="C308" s="209">
        <f>ROUND((Load!B18),6)</f>
        <v>2.578E-3</v>
      </c>
      <c r="D308" s="209">
        <f>ROUND((Load!E18),6)</f>
        <v>2.8E-3</v>
      </c>
      <c r="E308" s="209">
        <f>ROUND((Load!F18),6)</f>
        <v>0</v>
      </c>
    </row>
    <row r="309" spans="1:14" ht="15" customHeight="1" x14ac:dyDescent="0.3">
      <c r="A309" s="475">
        <f t="shared" si="82"/>
        <v>2011</v>
      </c>
      <c r="B309" s="475"/>
      <c r="C309" s="209">
        <f>ROUND((Load!B19),6)</f>
        <v>2.5769999999999999E-3</v>
      </c>
      <c r="D309" s="209">
        <f>ROUND((Load!E19),6)</f>
        <v>2.7910000000000001E-3</v>
      </c>
      <c r="E309" s="209">
        <f>ROUND((Load!F19),6)</f>
        <v>0</v>
      </c>
    </row>
    <row r="310" spans="1:14" ht="15" customHeight="1" x14ac:dyDescent="0.3">
      <c r="A310" s="475">
        <f t="shared" si="82"/>
        <v>2012</v>
      </c>
      <c r="B310" s="475"/>
      <c r="C310" s="209">
        <f>ROUND((Load!B20),6)</f>
        <v>2.6220000000000002E-3</v>
      </c>
      <c r="D310" s="209">
        <f>ROUND((Load!E20),6)</f>
        <v>2.774E-3</v>
      </c>
      <c r="E310" s="209">
        <f>ROUND((Load!F20),6)</f>
        <v>0</v>
      </c>
    </row>
    <row r="311" spans="1:14" ht="15" customHeight="1" x14ac:dyDescent="0.3">
      <c r="A311" s="475">
        <f t="shared" si="82"/>
        <v>2013</v>
      </c>
      <c r="B311" s="475"/>
      <c r="C311" s="209">
        <f>ROUND((Load!B21),6)</f>
        <v>2.7160000000000001E-3</v>
      </c>
      <c r="D311" s="209">
        <f>ROUND((Load!E21),6)</f>
        <v>2.7889999999999998E-3</v>
      </c>
      <c r="E311" s="209">
        <f>ROUND((Load!F21),6)</f>
        <v>0</v>
      </c>
    </row>
    <row r="312" spans="1:14" ht="15" customHeight="1" x14ac:dyDescent="0.3">
      <c r="A312" s="475">
        <f t="shared" si="82"/>
        <v>2014</v>
      </c>
      <c r="B312" s="475"/>
      <c r="C312" s="209">
        <f>ROUND((Load!B22),6)</f>
        <v>2.5999999999999999E-3</v>
      </c>
      <c r="D312" s="209">
        <f>ROUND((Load!E22),6)</f>
        <v>2.7880000000000001E-3</v>
      </c>
      <c r="E312" s="209">
        <f>ROUND((Load!F22),6)</f>
        <v>0</v>
      </c>
    </row>
    <row r="313" spans="1:14" ht="15" customHeight="1" x14ac:dyDescent="0.3">
      <c r="A313" s="475">
        <f t="shared" si="82"/>
        <v>2015</v>
      </c>
      <c r="B313" s="475"/>
      <c r="C313" s="209">
        <f>ROUND((Load!B23),6)</f>
        <v>2.6080000000000001E-3</v>
      </c>
      <c r="D313" s="209">
        <f>ROUND((Load!E23),6)</f>
        <v>2.7899999999999999E-3</v>
      </c>
      <c r="E313" s="209">
        <f>ROUND((Load!F23),6)</f>
        <v>0</v>
      </c>
    </row>
    <row r="314" spans="1:14" ht="15" customHeight="1" x14ac:dyDescent="0.3">
      <c r="A314" s="475">
        <f t="shared" si="82"/>
        <v>2016</v>
      </c>
      <c r="B314" s="475"/>
      <c r="C314" s="209">
        <f>ROUND((Load!B24),6)</f>
        <v>2.6480000000000002E-3</v>
      </c>
      <c r="D314" s="209">
        <f>ROUND((Load!E24),6)</f>
        <v>2.7810000000000001E-3</v>
      </c>
      <c r="E314" s="209">
        <f>ROUND((Load!F24),6)</f>
        <v>0</v>
      </c>
    </row>
    <row r="315" spans="1:14" ht="15" customHeight="1" x14ac:dyDescent="0.3">
      <c r="A315" s="475">
        <f t="shared" si="82"/>
        <v>2017</v>
      </c>
      <c r="B315" s="475"/>
      <c r="C315" s="209">
        <f>ROUND((Load!B25),6)</f>
        <v>2.6679999999999998E-3</v>
      </c>
      <c r="D315" s="209">
        <f>ROUND((Load!E25),6)</f>
        <v>2.8270000000000001E-3</v>
      </c>
      <c r="E315" s="209">
        <f>ROUND((Load!F25),6)</f>
        <v>0</v>
      </c>
    </row>
    <row r="316" spans="1:14" ht="15" customHeight="1" x14ac:dyDescent="0.3">
      <c r="A316" s="475">
        <f t="shared" si="82"/>
        <v>2018</v>
      </c>
      <c r="B316" s="475"/>
      <c r="C316" s="209">
        <f>ROUND((Load!B26),6)</f>
        <v>2.7000000000000001E-3</v>
      </c>
      <c r="D316" s="209">
        <f>ROUND((Load!E26),6)</f>
        <v>2.787E-3</v>
      </c>
      <c r="E316" s="209">
        <f>ROUND((Load!F26),6)</f>
        <v>0</v>
      </c>
    </row>
    <row r="317" spans="1:14" ht="15" customHeight="1" x14ac:dyDescent="0.3">
      <c r="A317" s="477" t="s">
        <v>274</v>
      </c>
      <c r="B317" s="477"/>
      <c r="C317" s="210">
        <f>AVERAGE(C311:C316)</f>
        <v>2.656666666666667E-3</v>
      </c>
      <c r="D317" s="210">
        <f>AVERAGE(D307:D316)</f>
        <v>2.7905E-3</v>
      </c>
      <c r="E317" s="210">
        <f>AVERAGE(E307:E316)</f>
        <v>0</v>
      </c>
    </row>
    <row r="318" spans="1:14" x14ac:dyDescent="0.3">
      <c r="J318" s="211"/>
      <c r="K318" s="211"/>
      <c r="L318" s="211"/>
      <c r="M318" s="211"/>
      <c r="N318" s="211"/>
    </row>
    <row r="319" spans="1:14" x14ac:dyDescent="0.3">
      <c r="A319" s="477" t="s">
        <v>275</v>
      </c>
      <c r="B319" s="477"/>
      <c r="C319" s="477"/>
      <c r="D319" s="477"/>
      <c r="E319" s="477"/>
      <c r="F319" s="477"/>
      <c r="G319" s="142"/>
      <c r="H319" s="142"/>
    </row>
    <row r="320" spans="1:14" ht="28" x14ac:dyDescent="0.3">
      <c r="A320" s="483" t="s">
        <v>163</v>
      </c>
      <c r="B320" s="483"/>
      <c r="C320" s="227" t="str">
        <f>E23</f>
        <v>GS&gt;50 kW</v>
      </c>
      <c r="D320" s="227" t="str">
        <f>F23</f>
        <v>Large
User</v>
      </c>
      <c r="E320" s="227" t="str">
        <f>G23</f>
        <v>Street
Lighting</v>
      </c>
      <c r="F320" s="224" t="str">
        <f>F291</f>
        <v>Total</v>
      </c>
      <c r="G320" s="116"/>
      <c r="H320" s="116"/>
    </row>
    <row r="321" spans="1:18" x14ac:dyDescent="0.3">
      <c r="A321" s="472" t="s">
        <v>276</v>
      </c>
      <c r="B321" s="473"/>
      <c r="C321" s="473"/>
      <c r="D321" s="473"/>
      <c r="E321" s="473"/>
      <c r="F321" s="474"/>
      <c r="G321" s="142"/>
      <c r="H321" s="142"/>
    </row>
    <row r="322" spans="1:18" x14ac:dyDescent="0.3">
      <c r="A322" s="432" t="s">
        <v>268</v>
      </c>
      <c r="B322" s="432"/>
      <c r="C322" s="202">
        <f>+Load!B13+Load!D13</f>
        <v>1611834.1043</v>
      </c>
      <c r="D322" s="202">
        <f>+Load!E13</f>
        <v>20613.041099999999</v>
      </c>
      <c r="E322" s="202">
        <f>+Load!F13</f>
        <v>2137328.8445000001</v>
      </c>
      <c r="F322" s="202">
        <f>SUM(C322:E322)</f>
        <v>3769775.9899000004</v>
      </c>
      <c r="G322" s="208"/>
      <c r="H322" s="208"/>
      <c r="I322" s="158"/>
      <c r="J322" s="158"/>
      <c r="L322" s="158"/>
      <c r="M322" s="158"/>
      <c r="N322" s="158"/>
      <c r="O322" s="158"/>
      <c r="P322" s="158"/>
      <c r="Q322" s="158"/>
      <c r="R322" s="158"/>
    </row>
    <row r="323" spans="1:18" x14ac:dyDescent="0.3">
      <c r="A323" s="432" t="s">
        <v>269</v>
      </c>
      <c r="B323" s="432"/>
      <c r="C323" s="202">
        <f>+Load!B14+Load!D14</f>
        <v>1570753.0199</v>
      </c>
      <c r="D323" s="202">
        <f>+Load!E14</f>
        <v>20391.435300000001</v>
      </c>
      <c r="E323" s="202">
        <f>+Load!F14</f>
        <v>2099055.4445000002</v>
      </c>
      <c r="F323" s="202">
        <f>SUM(C323:E323)</f>
        <v>3690199.8997</v>
      </c>
      <c r="G323" s="208"/>
      <c r="H323" s="208"/>
      <c r="I323" s="158"/>
      <c r="J323" s="158"/>
      <c r="L323" s="158"/>
      <c r="M323" s="158"/>
      <c r="N323" s="158"/>
      <c r="O323" s="158"/>
      <c r="P323" s="158"/>
      <c r="Q323" s="158"/>
      <c r="R323" s="158"/>
    </row>
    <row r="324" spans="1:18" x14ac:dyDescent="0.3">
      <c r="A324" s="114"/>
      <c r="B324" s="212"/>
      <c r="C324" s="213"/>
      <c r="D324" s="213"/>
      <c r="E324" s="213"/>
      <c r="F324" s="213"/>
    </row>
    <row r="325" spans="1:18" x14ac:dyDescent="0.3">
      <c r="A325" s="472" t="s">
        <v>277</v>
      </c>
      <c r="B325" s="473"/>
      <c r="C325" s="473"/>
      <c r="D325" s="473"/>
      <c r="E325" s="473"/>
      <c r="F325" s="473"/>
      <c r="G325" s="473"/>
      <c r="H325" s="473"/>
      <c r="I325" s="473"/>
      <c r="J325" s="474"/>
      <c r="K325" s="114"/>
    </row>
    <row r="326" spans="1:18" ht="47.25" customHeight="1" x14ac:dyDescent="0.3">
      <c r="A326" s="483"/>
      <c r="B326" s="483"/>
      <c r="C326" s="224" t="s">
        <v>278</v>
      </c>
      <c r="D326" s="224" t="s">
        <v>279</v>
      </c>
      <c r="E326" s="224" t="s">
        <v>280</v>
      </c>
      <c r="F326" s="224" t="s">
        <v>281</v>
      </c>
      <c r="G326" s="224" t="s">
        <v>282</v>
      </c>
      <c r="H326" s="224" t="s">
        <v>283</v>
      </c>
      <c r="I326" s="227" t="s">
        <v>284</v>
      </c>
      <c r="J326" s="227" t="s">
        <v>285</v>
      </c>
    </row>
    <row r="327" spans="1:18" x14ac:dyDescent="0.3">
      <c r="A327" s="484"/>
      <c r="B327" s="485"/>
      <c r="C327" s="485"/>
      <c r="D327" s="485"/>
      <c r="E327" s="485"/>
      <c r="F327" s="485"/>
      <c r="G327" s="485"/>
      <c r="H327" s="485"/>
      <c r="I327" s="485"/>
      <c r="J327" s="486"/>
    </row>
    <row r="328" spans="1:18" x14ac:dyDescent="0.3">
      <c r="A328" s="144" t="s">
        <v>286</v>
      </c>
      <c r="B328" s="144"/>
      <c r="C328" s="144"/>
      <c r="D328" s="144"/>
      <c r="E328" s="144"/>
      <c r="F328" s="144"/>
      <c r="G328" s="144"/>
      <c r="H328" s="144"/>
      <c r="I328" s="144"/>
      <c r="J328" s="144"/>
      <c r="K328" s="114"/>
    </row>
    <row r="329" spans="1:18" x14ac:dyDescent="0.3">
      <c r="A329" s="438" t="s">
        <v>143</v>
      </c>
      <c r="B329" s="438"/>
      <c r="C329" s="156"/>
      <c r="D329" s="156">
        <f>ROUND((Power!F154),4)</f>
        <v>1813646737.4347999</v>
      </c>
      <c r="E329" s="156">
        <f>ROUND((Power!F155),4)</f>
        <v>1801989952.4038</v>
      </c>
      <c r="F329" s="156">
        <f>ROUND((Power!F156),4)</f>
        <v>1811690675.5150001</v>
      </c>
      <c r="G329" s="156">
        <f>ROUND((Power!F157),4)</f>
        <v>1757808741.7091</v>
      </c>
      <c r="H329" s="156">
        <f>ROUND((Power!F158),4)</f>
        <v>1857049843.3989</v>
      </c>
      <c r="I329" s="156"/>
      <c r="J329" s="145"/>
      <c r="K329" s="214"/>
    </row>
    <row r="330" spans="1:18" x14ac:dyDescent="0.3">
      <c r="A330" s="438" t="s">
        <v>144</v>
      </c>
      <c r="B330" s="438"/>
      <c r="C330" s="156"/>
      <c r="D330" s="156">
        <f>ROUND((Power!N154),4)</f>
        <v>1806274832.6217</v>
      </c>
      <c r="E330" s="156">
        <f>ROUND((Power!N155),4)</f>
        <v>1809377410.0093999</v>
      </c>
      <c r="F330" s="156">
        <f>ROUND((Power!N156),4)</f>
        <v>1829635952.0555999</v>
      </c>
      <c r="G330" s="156">
        <f>ROUND((Power!N157),4)</f>
        <v>1777413215.0747001</v>
      </c>
      <c r="H330" s="156">
        <f>ROUND((Power!N158),4)</f>
        <v>1835782988.3504</v>
      </c>
      <c r="I330" s="156">
        <f>ROUND((Power!N159),4)</f>
        <v>1796143016.2227001</v>
      </c>
      <c r="J330" s="156">
        <f>ROUND((Power!N160),4)</f>
        <v>1798633194.0739</v>
      </c>
      <c r="K330" s="214"/>
    </row>
    <row r="331" spans="1:18" x14ac:dyDescent="0.3">
      <c r="A331" s="145" t="s">
        <v>287</v>
      </c>
      <c r="B331" s="145"/>
      <c r="C331" s="215"/>
      <c r="D331" s="216">
        <f>D330/D329-1</f>
        <v>-4.0646861712037019E-3</v>
      </c>
      <c r="E331" s="216">
        <f>E330/E329-1</f>
        <v>4.0996108750468441E-3</v>
      </c>
      <c r="F331" s="216">
        <f>F330/F329-1</f>
        <v>9.9052651664714997E-3</v>
      </c>
      <c r="G331" s="216">
        <f>G330/G329-1</f>
        <v>1.1152790915431865E-2</v>
      </c>
      <c r="H331" s="216">
        <f>H330/H329-1</f>
        <v>-1.1451957051177519E-2</v>
      </c>
      <c r="I331" s="324"/>
      <c r="J331" s="324"/>
    </row>
    <row r="332" spans="1:18" ht="12.75" customHeight="1" x14ac:dyDescent="0.3">
      <c r="A332" s="475"/>
      <c r="B332" s="475"/>
      <c r="C332" s="183"/>
      <c r="D332" s="216"/>
      <c r="E332" s="217"/>
      <c r="F332" s="217"/>
      <c r="G332" s="217"/>
      <c r="H332" s="217"/>
      <c r="I332" s="325"/>
      <c r="J332" s="325"/>
    </row>
    <row r="333" spans="1:18" x14ac:dyDescent="0.3">
      <c r="A333" s="144" t="s">
        <v>288</v>
      </c>
      <c r="B333" s="144"/>
      <c r="C333" s="144"/>
      <c r="D333" s="144"/>
      <c r="E333" s="144"/>
      <c r="F333" s="144"/>
      <c r="G333" s="144"/>
      <c r="H333" s="144"/>
      <c r="I333" s="144"/>
      <c r="J333" s="144"/>
      <c r="K333" s="114"/>
    </row>
    <row r="334" spans="1:18" x14ac:dyDescent="0.3">
      <c r="A334" s="476" t="s">
        <v>289</v>
      </c>
      <c r="B334" s="476"/>
      <c r="C334" s="156"/>
      <c r="D334" s="156"/>
      <c r="E334" s="218"/>
      <c r="F334" s="218"/>
      <c r="G334" s="218"/>
      <c r="H334" s="218"/>
      <c r="I334" s="218"/>
      <c r="J334" s="145"/>
    </row>
    <row r="335" spans="1:18" x14ac:dyDescent="0.3">
      <c r="A335" s="476" t="s">
        <v>148</v>
      </c>
      <c r="B335" s="476"/>
      <c r="C335" s="156">
        <f>ROUND((C43),0)</f>
        <v>82577</v>
      </c>
      <c r="D335" s="156">
        <f>+C50</f>
        <v>81868</v>
      </c>
      <c r="E335" s="156">
        <f>+C51</f>
        <v>83106</v>
      </c>
      <c r="F335" s="156">
        <f>+C52</f>
        <v>84530</v>
      </c>
      <c r="G335" s="156">
        <f>+C53</f>
        <v>86064</v>
      </c>
      <c r="H335" s="156">
        <f>+C54</f>
        <v>87395</v>
      </c>
      <c r="I335" s="156">
        <f>+C55</f>
        <v>88619</v>
      </c>
      <c r="J335" s="156">
        <f>+C56</f>
        <v>89860</v>
      </c>
      <c r="K335" s="214"/>
    </row>
    <row r="336" spans="1:18" x14ac:dyDescent="0.3">
      <c r="A336" s="476" t="s">
        <v>149</v>
      </c>
      <c r="B336" s="476"/>
      <c r="C336" s="156">
        <f>ROUND((C26*1000000),4)</f>
        <v>651728154.69920003</v>
      </c>
      <c r="D336" s="156">
        <f>+Energy!G11</f>
        <v>637186639.75172198</v>
      </c>
      <c r="E336" s="156">
        <f>+Energy!G12</f>
        <v>635723826.94000006</v>
      </c>
      <c r="F336" s="156">
        <f>+Energy!G13</f>
        <v>650672519.71179998</v>
      </c>
      <c r="G336" s="156">
        <f>+Energy!G14</f>
        <v>621996671.49440002</v>
      </c>
      <c r="H336" s="156">
        <f>+Energy!G15</f>
        <v>680846102.83019996</v>
      </c>
      <c r="I336" s="156">
        <f>+Energy!H83</f>
        <v>656678745.44620001</v>
      </c>
      <c r="J336" s="156">
        <f>+Energy!H84</f>
        <v>660769294.21730006</v>
      </c>
      <c r="K336" s="214"/>
    </row>
    <row r="337" spans="1:11" x14ac:dyDescent="0.3">
      <c r="A337" s="475"/>
      <c r="B337" s="475"/>
      <c r="C337" s="156"/>
      <c r="D337" s="156"/>
      <c r="E337" s="218"/>
      <c r="F337" s="218"/>
      <c r="G337" s="218"/>
      <c r="H337" s="218"/>
      <c r="I337" s="218"/>
      <c r="J337" s="145"/>
    </row>
    <row r="338" spans="1:11" x14ac:dyDescent="0.3">
      <c r="A338" s="482" t="str">
        <f>D276</f>
        <v>GS&lt;50 kW</v>
      </c>
      <c r="B338" s="482"/>
      <c r="C338" s="156"/>
      <c r="D338" s="156"/>
      <c r="E338" s="218"/>
      <c r="F338" s="218"/>
      <c r="G338" s="218"/>
      <c r="H338" s="218"/>
      <c r="I338" s="218"/>
      <c r="J338" s="145"/>
    </row>
    <row r="339" spans="1:11" x14ac:dyDescent="0.3">
      <c r="A339" s="476" t="s">
        <v>148</v>
      </c>
      <c r="B339" s="476"/>
      <c r="C339" s="156">
        <f>ROUND((D43),0)</f>
        <v>7830</v>
      </c>
      <c r="D339" s="156">
        <f>+D50</f>
        <v>7744</v>
      </c>
      <c r="E339" s="156">
        <f>+D51</f>
        <v>7796</v>
      </c>
      <c r="F339" s="156">
        <f>+D52</f>
        <v>7845</v>
      </c>
      <c r="G339" s="156">
        <f>+D53</f>
        <v>7936</v>
      </c>
      <c r="H339" s="156">
        <f>+D54</f>
        <v>7983</v>
      </c>
      <c r="I339" s="156">
        <f>+D55</f>
        <v>8059</v>
      </c>
      <c r="J339" s="156">
        <f>+D56</f>
        <v>8136</v>
      </c>
      <c r="K339" s="214"/>
    </row>
    <row r="340" spans="1:11" x14ac:dyDescent="0.3">
      <c r="A340" s="476" t="s">
        <v>149</v>
      </c>
      <c r="B340" s="476"/>
      <c r="C340" s="156">
        <f>ROUND((D26*1000000),4)</f>
        <v>241683206.23980001</v>
      </c>
      <c r="D340" s="156">
        <f>+Energy!H11</f>
        <v>242185854.43488768</v>
      </c>
      <c r="E340" s="156">
        <f>+Energy!H12</f>
        <v>237964967.00999999</v>
      </c>
      <c r="F340" s="156">
        <f>+Energy!H13</f>
        <v>239091360.5415</v>
      </c>
      <c r="G340" s="156">
        <f>+Energy!H14</f>
        <v>232588463.34630001</v>
      </c>
      <c r="H340" s="156">
        <f>+Energy!H15</f>
        <v>240602996.91260001</v>
      </c>
      <c r="I340" s="156">
        <f>+Energy!I83</f>
        <v>229938143.0535</v>
      </c>
      <c r="J340" s="156">
        <f>+Energy!I84</f>
        <v>228934711.40130001</v>
      </c>
      <c r="K340" s="214"/>
    </row>
    <row r="341" spans="1:11" x14ac:dyDescent="0.3">
      <c r="A341" s="475"/>
      <c r="B341" s="475"/>
      <c r="C341" s="156"/>
      <c r="D341" s="156"/>
      <c r="E341" s="218"/>
      <c r="F341" s="218"/>
      <c r="G341" s="218"/>
      <c r="H341" s="218"/>
      <c r="I341" s="218"/>
      <c r="J341" s="145"/>
    </row>
    <row r="342" spans="1:11" x14ac:dyDescent="0.3">
      <c r="A342" s="482" t="s">
        <v>47</v>
      </c>
      <c r="B342" s="482"/>
      <c r="C342" s="156"/>
      <c r="D342" s="156"/>
      <c r="E342" s="218"/>
      <c r="F342" s="218"/>
      <c r="G342" s="218"/>
      <c r="H342" s="218"/>
      <c r="I342" s="218"/>
      <c r="J342" s="145"/>
    </row>
    <row r="343" spans="1:11" x14ac:dyDescent="0.3">
      <c r="A343" s="476" t="s">
        <v>148</v>
      </c>
      <c r="B343" s="476"/>
      <c r="C343" s="156">
        <f>ROUND((E43),0)</f>
        <v>945</v>
      </c>
      <c r="D343" s="156">
        <f>+E50</f>
        <v>944</v>
      </c>
      <c r="E343" s="156">
        <f>+E51</f>
        <v>939</v>
      </c>
      <c r="F343" s="156">
        <f>+E52</f>
        <v>940</v>
      </c>
      <c r="G343" s="156">
        <f>+E53</f>
        <v>936</v>
      </c>
      <c r="H343" s="156">
        <f>+E54</f>
        <v>950</v>
      </c>
      <c r="I343" s="156">
        <f>+E55</f>
        <v>944</v>
      </c>
      <c r="J343" s="156">
        <f>+E56</f>
        <v>938</v>
      </c>
      <c r="K343" s="214"/>
    </row>
    <row r="344" spans="1:11" x14ac:dyDescent="0.3">
      <c r="A344" s="476" t="s">
        <v>149</v>
      </c>
      <c r="B344" s="476"/>
      <c r="C344" s="156">
        <f>ROUND((E26*1000000),4)</f>
        <v>845285976.7076</v>
      </c>
      <c r="D344" s="156">
        <f>+Energy!I11+Energy!P11+Energy!J11</f>
        <v>840637054.20000005</v>
      </c>
      <c r="E344" s="156">
        <f>+Energy!I12+Energy!P12+Energy!J12</f>
        <v>832883576.37</v>
      </c>
      <c r="F344" s="156">
        <f>+Energy!I13+Energy!P12+Energy!J13</f>
        <v>826789277.62599993</v>
      </c>
      <c r="G344" s="156">
        <f>+Energy!I14+Energy!P14+Energy!J14</f>
        <v>804219318.22000003</v>
      </c>
      <c r="H344" s="156">
        <f>+Energy!I15+Energy!P15+Energy!J15</f>
        <v>839662732.86000001</v>
      </c>
      <c r="I344" s="156">
        <f>+Energy!J83+Energy!P83+Energy!K83</f>
        <v>808439964.10434783</v>
      </c>
      <c r="J344" s="156">
        <f>+Energy!J84+Energy!P84+Energy!K84</f>
        <v>792300195.48167753</v>
      </c>
      <c r="K344" s="214"/>
    </row>
    <row r="345" spans="1:11" x14ac:dyDescent="0.3">
      <c r="A345" s="476" t="s">
        <v>150</v>
      </c>
      <c r="B345" s="476"/>
      <c r="C345" s="156">
        <v>2236471.5</v>
      </c>
      <c r="D345" s="156">
        <f>+Load!B8+Load!C8+Load!D8</f>
        <v>2254484.0304</v>
      </c>
      <c r="E345" s="156">
        <f>+Load!B9+Load!C9+Load!D9</f>
        <v>2179516.0928000002</v>
      </c>
      <c r="F345" s="156">
        <f>+Load!B10+Load!C10+Load!D10</f>
        <v>2202540.5194999999</v>
      </c>
      <c r="G345" s="156">
        <f>+Load!B11+Load!C11+Load!D11</f>
        <v>2137754.0781999999</v>
      </c>
      <c r="H345" s="156">
        <f>+Load!B12+Load!C12+Load!D12</f>
        <v>2237693.4872000003</v>
      </c>
      <c r="I345" s="156">
        <f>+Load!B13+Load!C13+Load!D13</f>
        <v>2116715.8034000001</v>
      </c>
      <c r="J345" s="156">
        <f>+Load!B14+Load!C14+Load!D14</f>
        <v>2078664.0092</v>
      </c>
      <c r="K345" s="214"/>
    </row>
    <row r="346" spans="1:11" x14ac:dyDescent="0.3">
      <c r="A346" s="475"/>
      <c r="B346" s="475"/>
      <c r="C346" s="156"/>
      <c r="D346" s="156"/>
      <c r="E346" s="156"/>
      <c r="F346" s="156"/>
      <c r="G346" s="156"/>
      <c r="H346" s="156"/>
      <c r="I346" s="156"/>
      <c r="J346" s="145"/>
    </row>
    <row r="347" spans="1:11" x14ac:dyDescent="0.3">
      <c r="A347" s="482" t="s">
        <v>49</v>
      </c>
      <c r="B347" s="482"/>
      <c r="C347" s="156"/>
      <c r="D347" s="156"/>
      <c r="E347" s="156"/>
      <c r="F347" s="156"/>
      <c r="G347" s="156"/>
      <c r="H347" s="156"/>
      <c r="I347" s="156"/>
      <c r="J347" s="145"/>
    </row>
    <row r="348" spans="1:11" x14ac:dyDescent="0.3">
      <c r="A348" s="476" t="s">
        <v>148</v>
      </c>
      <c r="B348" s="476"/>
      <c r="C348" s="156">
        <f>F43</f>
        <v>1</v>
      </c>
      <c r="D348" s="156">
        <f>+F50</f>
        <v>2</v>
      </c>
      <c r="E348" s="156">
        <f>+F51</f>
        <v>1</v>
      </c>
      <c r="F348" s="156">
        <f>+F52</f>
        <v>1</v>
      </c>
      <c r="G348" s="156">
        <f>+F53</f>
        <v>1</v>
      </c>
      <c r="H348" s="156">
        <f>+F54</f>
        <v>1</v>
      </c>
      <c r="I348" s="156">
        <f>+F55</f>
        <v>1</v>
      </c>
      <c r="J348" s="156">
        <f>+F56</f>
        <v>1</v>
      </c>
    </row>
    <row r="349" spans="1:11" x14ac:dyDescent="0.3">
      <c r="A349" s="476" t="s">
        <v>149</v>
      </c>
      <c r="B349" s="476"/>
      <c r="C349" s="156">
        <f>ROUND((F26*1000000),4)</f>
        <v>31798990.2925</v>
      </c>
      <c r="D349" s="156">
        <f>+Energy!K11</f>
        <v>63442910.469046049</v>
      </c>
      <c r="E349" s="156">
        <f>+Energy!K12</f>
        <v>35769405.710000001</v>
      </c>
      <c r="F349" s="156">
        <f>+Energy!K13</f>
        <v>28906567.2128</v>
      </c>
      <c r="G349" s="156">
        <f>+Energy!K14</f>
        <v>31425633.769499999</v>
      </c>
      <c r="H349" s="156">
        <f>+Energy!K15</f>
        <v>33369028.32</v>
      </c>
      <c r="I349" s="156">
        <f>+Energy!L63</f>
        <v>34219938.542199999</v>
      </c>
      <c r="J349" s="156">
        <f>+Energy!L64</f>
        <v>35092546.975000001</v>
      </c>
    </row>
    <row r="350" spans="1:11" x14ac:dyDescent="0.3">
      <c r="A350" s="476" t="s">
        <v>150</v>
      </c>
      <c r="B350" s="476"/>
      <c r="C350" s="156">
        <v>63001.72</v>
      </c>
      <c r="D350" s="156">
        <f>+Load!E8</f>
        <v>44711.85</v>
      </c>
      <c r="E350" s="156">
        <f>+Load!E9</f>
        <v>45213.11</v>
      </c>
      <c r="F350" s="156">
        <f>+Load!E10</f>
        <v>45218.23</v>
      </c>
      <c r="G350" s="156">
        <f>+Load!E11</f>
        <v>42035.72</v>
      </c>
      <c r="H350" s="156">
        <f>+Load!E12</f>
        <v>20808.9388</v>
      </c>
      <c r="I350" s="156">
        <f>+Load!E13</f>
        <v>20613.041099999999</v>
      </c>
      <c r="J350" s="156">
        <f>+Load!E14</f>
        <v>20391.435300000001</v>
      </c>
    </row>
    <row r="351" spans="1:11" x14ac:dyDescent="0.3">
      <c r="A351" s="468"/>
      <c r="B351" s="469"/>
      <c r="C351" s="156"/>
      <c r="D351" s="156"/>
      <c r="E351" s="156"/>
      <c r="F351" s="156"/>
      <c r="G351" s="156"/>
      <c r="H351" s="156"/>
      <c r="I351" s="156"/>
      <c r="J351" s="145"/>
    </row>
    <row r="352" spans="1:11" x14ac:dyDescent="0.3">
      <c r="A352" s="441" t="s">
        <v>3</v>
      </c>
      <c r="B352" s="438"/>
      <c r="C352" s="156"/>
      <c r="D352" s="156"/>
      <c r="E352" s="218"/>
      <c r="F352" s="218"/>
      <c r="G352" s="218"/>
      <c r="H352" s="218"/>
      <c r="I352" s="218"/>
      <c r="J352" s="145"/>
    </row>
    <row r="353" spans="1:11" x14ac:dyDescent="0.3">
      <c r="A353" s="465" t="s">
        <v>290</v>
      </c>
      <c r="B353" s="466"/>
      <c r="C353" s="156">
        <f>ROUND((G43),0)</f>
        <v>1592</v>
      </c>
      <c r="D353" s="156">
        <f>+G50</f>
        <v>1616</v>
      </c>
      <c r="E353" s="156">
        <f>+G51</f>
        <v>1637</v>
      </c>
      <c r="F353" s="156">
        <f>+G52</f>
        <v>1653</v>
      </c>
      <c r="G353" s="156">
        <f>+G53</f>
        <v>1696</v>
      </c>
      <c r="H353" s="156">
        <f>+G54</f>
        <v>1666</v>
      </c>
      <c r="I353" s="156">
        <f>+G55</f>
        <v>1681</v>
      </c>
      <c r="J353" s="156">
        <f>+G56</f>
        <v>1696</v>
      </c>
    </row>
    <row r="354" spans="1:11" x14ac:dyDescent="0.3">
      <c r="A354" s="465" t="s">
        <v>82</v>
      </c>
      <c r="B354" s="466"/>
      <c r="C354" s="156">
        <f>ROUND((G26*1000000),4)</f>
        <v>16128464.7119</v>
      </c>
      <c r="D354" s="156">
        <f>+Energy!L11</f>
        <v>16039251.399241911</v>
      </c>
      <c r="E354" s="156">
        <f>+Energy!L12</f>
        <v>16203415.84</v>
      </c>
      <c r="F354" s="156">
        <f>+Energy!L13</f>
        <v>16260856.581</v>
      </c>
      <c r="G354" s="156">
        <f>+Energy!L14</f>
        <v>14867141.069</v>
      </c>
      <c r="H354" s="156">
        <f>+Energy!L15</f>
        <v>7466579.3225999996</v>
      </c>
      <c r="I354" s="156">
        <f>+Energy!M63</f>
        <v>7386896.2983999997</v>
      </c>
      <c r="J354" s="156">
        <f>+Energy!M64</f>
        <v>7307481.5936000003</v>
      </c>
    </row>
    <row r="355" spans="1:11" x14ac:dyDescent="0.3">
      <c r="A355" s="465" t="s">
        <v>81</v>
      </c>
      <c r="B355" s="466"/>
      <c r="C355" s="156">
        <v>45145.29</v>
      </c>
      <c r="D355" s="156">
        <f>+Load!F8</f>
        <v>2299195.8804000001</v>
      </c>
      <c r="E355" s="156">
        <f>+Load!F9</f>
        <v>2224729.2028000001</v>
      </c>
      <c r="F355" s="156">
        <f>+Load!F10</f>
        <v>2247758.7494999999</v>
      </c>
      <c r="G355" s="156">
        <f>+Load!F11</f>
        <v>2179789.7982000001</v>
      </c>
      <c r="H355" s="156">
        <f>+Load!F12</f>
        <v>2258502.4260000004</v>
      </c>
      <c r="I355" s="156">
        <f>+Load!F13</f>
        <v>2137328.8445000001</v>
      </c>
      <c r="J355" s="156">
        <f>+Load!F14</f>
        <v>2099055.4445000002</v>
      </c>
    </row>
    <row r="356" spans="1:11" x14ac:dyDescent="0.3">
      <c r="A356" s="468"/>
      <c r="B356" s="469"/>
      <c r="C356" s="156"/>
      <c r="D356" s="156"/>
      <c r="E356" s="156"/>
      <c r="F356" s="156"/>
      <c r="G356" s="156"/>
      <c r="H356" s="156"/>
      <c r="I356" s="156"/>
      <c r="J356" s="156"/>
    </row>
    <row r="357" spans="1:11" x14ac:dyDescent="0.3">
      <c r="A357" s="482" t="s">
        <v>51</v>
      </c>
      <c r="B357" s="482"/>
      <c r="C357" s="156"/>
      <c r="D357" s="156"/>
      <c r="E357" s="156"/>
      <c r="F357" s="156"/>
      <c r="G357" s="156"/>
      <c r="H357" s="156"/>
      <c r="I357" s="156"/>
      <c r="J357" s="145"/>
    </row>
    <row r="358" spans="1:11" x14ac:dyDescent="0.3">
      <c r="A358" s="465" t="s">
        <v>290</v>
      </c>
      <c r="B358" s="466"/>
      <c r="C358" s="156">
        <f>ROUND((H43),0)</f>
        <v>890</v>
      </c>
      <c r="D358" s="156">
        <f>+H50</f>
        <v>877</v>
      </c>
      <c r="E358" s="156">
        <f>+H51</f>
        <v>891</v>
      </c>
      <c r="F358" s="156">
        <f>+H51</f>
        <v>891</v>
      </c>
      <c r="G358" s="156">
        <f>+H53</f>
        <v>886</v>
      </c>
      <c r="H358" s="156">
        <f>+H54</f>
        <v>931</v>
      </c>
      <c r="I358" s="156">
        <f>+H55</f>
        <v>943</v>
      </c>
      <c r="J358" s="156">
        <f>+H56</f>
        <v>955</v>
      </c>
      <c r="K358" s="214"/>
    </row>
    <row r="359" spans="1:11" x14ac:dyDescent="0.3">
      <c r="A359" s="465" t="s">
        <v>82</v>
      </c>
      <c r="B359" s="466"/>
      <c r="C359" s="156">
        <f>ROUND((H26*1000000),4)</f>
        <v>3417188.443</v>
      </c>
      <c r="D359" s="156">
        <f>+Energy!M11</f>
        <v>4039940.43</v>
      </c>
      <c r="E359" s="156">
        <f>+Energy!M12</f>
        <v>3943092</v>
      </c>
      <c r="F359" s="156">
        <f>+Energy!M13</f>
        <v>3917912</v>
      </c>
      <c r="G359" s="156">
        <f>+Energy!M14</f>
        <v>3907712</v>
      </c>
      <c r="H359" s="156">
        <f>+Energy!M15</f>
        <v>4009942</v>
      </c>
      <c r="I359" s="156">
        <f>+Energy!N63</f>
        <v>4091277.5452000001</v>
      </c>
      <c r="J359" s="156">
        <f>+Energy!N64</f>
        <v>4173586.84</v>
      </c>
      <c r="K359" s="214"/>
    </row>
    <row r="360" spans="1:11" x14ac:dyDescent="0.3">
      <c r="A360" s="475"/>
      <c r="B360" s="475"/>
      <c r="C360" s="156"/>
      <c r="D360" s="156"/>
      <c r="E360" s="156"/>
      <c r="F360" s="156"/>
      <c r="G360" s="156"/>
      <c r="H360" s="156"/>
      <c r="I360" s="156"/>
      <c r="J360" s="156"/>
      <c r="K360" s="214"/>
    </row>
    <row r="361" spans="1:11" x14ac:dyDescent="0.3">
      <c r="A361" s="482" t="s">
        <v>291</v>
      </c>
      <c r="B361" s="482"/>
      <c r="C361" s="156"/>
      <c r="D361" s="156"/>
      <c r="E361" s="156"/>
      <c r="F361" s="156"/>
      <c r="G361" s="156"/>
      <c r="H361" s="156"/>
      <c r="I361" s="156"/>
      <c r="J361" s="156"/>
      <c r="K361" s="214"/>
    </row>
    <row r="362" spans="1:11" x14ac:dyDescent="0.3">
      <c r="A362" s="145" t="s">
        <v>154</v>
      </c>
      <c r="B362" s="438"/>
      <c r="C362" s="219">
        <f>ROUND((C335+C339+C343+C353+C358+C348),0)</f>
        <v>93835</v>
      </c>
      <c r="D362" s="219">
        <f t="shared" ref="D362:F364" si="83">D335+D339+D343+D353+D358+D348</f>
        <v>93051</v>
      </c>
      <c r="E362" s="219">
        <f t="shared" si="83"/>
        <v>94370</v>
      </c>
      <c r="F362" s="219">
        <f t="shared" si="83"/>
        <v>95860</v>
      </c>
      <c r="G362" s="219">
        <f t="shared" ref="G362:H364" si="84">G335+G339+G343+G353+G358+G348</f>
        <v>97519</v>
      </c>
      <c r="H362" s="219">
        <f t="shared" si="84"/>
        <v>98926</v>
      </c>
      <c r="I362" s="219">
        <f t="shared" ref="I362:J364" si="85">I335+I339+I343+I353+I358+I348</f>
        <v>100247</v>
      </c>
      <c r="J362" s="219">
        <f t="shared" si="85"/>
        <v>101586</v>
      </c>
      <c r="K362" s="220"/>
    </row>
    <row r="363" spans="1:11" x14ac:dyDescent="0.3">
      <c r="A363" s="490" t="s">
        <v>149</v>
      </c>
      <c r="B363" s="490"/>
      <c r="C363" s="219">
        <f>ROUND((C336+C340+C344+C354+C359+C349),4)</f>
        <v>1790041981.0940001</v>
      </c>
      <c r="D363" s="219">
        <f t="shared" si="83"/>
        <v>1803531650.6848977</v>
      </c>
      <c r="E363" s="219">
        <f t="shared" si="83"/>
        <v>1762488283.8700001</v>
      </c>
      <c r="F363" s="219">
        <f t="shared" si="83"/>
        <v>1765638493.6731</v>
      </c>
      <c r="G363" s="219">
        <f t="shared" si="84"/>
        <v>1709004939.8992</v>
      </c>
      <c r="H363" s="219">
        <f t="shared" si="84"/>
        <v>1805957382.2453997</v>
      </c>
      <c r="I363" s="219">
        <f t="shared" si="85"/>
        <v>1740754964.9898479</v>
      </c>
      <c r="J363" s="219">
        <f t="shared" si="85"/>
        <v>1728577816.5088775</v>
      </c>
      <c r="K363" s="220"/>
    </row>
    <row r="364" spans="1:11" x14ac:dyDescent="0.3">
      <c r="A364" s="490" t="s">
        <v>155</v>
      </c>
      <c r="B364" s="490"/>
      <c r="C364" s="219">
        <f>ROUND((C337+C341+C345+C355+C360+C350),4)</f>
        <v>2344618.5099999998</v>
      </c>
      <c r="D364" s="219">
        <f t="shared" si="83"/>
        <v>4598391.7608000003</v>
      </c>
      <c r="E364" s="219">
        <f t="shared" si="83"/>
        <v>4449458.4056000011</v>
      </c>
      <c r="F364" s="219">
        <f t="shared" si="83"/>
        <v>4495517.4989999998</v>
      </c>
      <c r="G364" s="219">
        <f t="shared" si="84"/>
        <v>4359579.5963999992</v>
      </c>
      <c r="H364" s="219">
        <f t="shared" si="84"/>
        <v>4517004.852</v>
      </c>
      <c r="I364" s="219">
        <f t="shared" si="85"/>
        <v>4274657.6890000002</v>
      </c>
      <c r="J364" s="219">
        <f t="shared" si="85"/>
        <v>4198110.8890000004</v>
      </c>
      <c r="K364" s="220"/>
    </row>
    <row r="365" spans="1:11" x14ac:dyDescent="0.3">
      <c r="A365" s="491"/>
      <c r="B365" s="492"/>
      <c r="C365" s="219"/>
      <c r="D365" s="219"/>
      <c r="E365" s="219"/>
      <c r="F365" s="219"/>
      <c r="G365" s="219"/>
      <c r="H365" s="219"/>
      <c r="I365" s="219"/>
      <c r="J365" s="219"/>
      <c r="K365" s="220"/>
    </row>
    <row r="366" spans="1:11" x14ac:dyDescent="0.3">
      <c r="A366" s="493" t="s">
        <v>76</v>
      </c>
      <c r="B366" s="494"/>
      <c r="C366" s="221">
        <v>1</v>
      </c>
      <c r="D366" s="221">
        <v>1</v>
      </c>
      <c r="E366" s="221">
        <v>1</v>
      </c>
      <c r="F366" s="221">
        <v>1</v>
      </c>
      <c r="G366" s="221">
        <v>1</v>
      </c>
      <c r="H366" s="221">
        <v>1</v>
      </c>
      <c r="I366" s="221">
        <v>1</v>
      </c>
      <c r="J366" s="221">
        <v>1</v>
      </c>
      <c r="K366" s="220"/>
    </row>
    <row r="367" spans="1:11" x14ac:dyDescent="0.3">
      <c r="A367" s="495" t="s">
        <v>82</v>
      </c>
      <c r="B367" s="496"/>
      <c r="C367" s="221">
        <v>20328822.350000001</v>
      </c>
      <c r="D367" s="221">
        <f>+ED!C8</f>
        <v>14039293.18</v>
      </c>
      <c r="E367" s="221">
        <f>+ED!C9</f>
        <v>23075916.899999999</v>
      </c>
      <c r="F367" s="221">
        <f>+ED!C10</f>
        <v>19564437.330000002</v>
      </c>
      <c r="G367" s="221">
        <f>+ED!C11</f>
        <v>20383811.499999996</v>
      </c>
      <c r="H367" s="221">
        <f>+ED!C12</f>
        <v>12731868.73</v>
      </c>
      <c r="I367" s="221">
        <f>+ED!C13</f>
        <v>19053029.030000001</v>
      </c>
      <c r="J367" s="221">
        <f>+ED!C14</f>
        <v>19053029.030000001</v>
      </c>
      <c r="K367" s="220"/>
    </row>
    <row r="368" spans="1:11" x14ac:dyDescent="0.3">
      <c r="A368" s="495" t="s">
        <v>81</v>
      </c>
      <c r="B368" s="496"/>
      <c r="C368" s="221">
        <v>44673.77</v>
      </c>
      <c r="D368" s="221">
        <f>+ED!B8</f>
        <v>32611.380000000005</v>
      </c>
      <c r="E368" s="221">
        <f>+ED!B9</f>
        <v>49708.520000000004</v>
      </c>
      <c r="F368" s="221">
        <f>+ED!B10</f>
        <v>49930.489999999991</v>
      </c>
      <c r="G368" s="221">
        <f>+ED!B11</f>
        <v>44998.2</v>
      </c>
      <c r="H368" s="221">
        <f>+ED!B12</f>
        <v>33065.300000000003</v>
      </c>
      <c r="I368" s="221">
        <f>+ED!B13</f>
        <v>43316.19</v>
      </c>
      <c r="J368" s="221">
        <f>+ED!B14</f>
        <v>43316.19</v>
      </c>
      <c r="K368" s="220"/>
    </row>
    <row r="369" spans="1:13" x14ac:dyDescent="0.3">
      <c r="A369" s="493"/>
      <c r="B369" s="494"/>
      <c r="C369" s="221"/>
      <c r="D369" s="221"/>
      <c r="E369" s="221"/>
      <c r="F369" s="221"/>
      <c r="G369" s="221"/>
      <c r="H369" s="221"/>
      <c r="I369" s="221"/>
      <c r="J369" s="221"/>
      <c r="K369" s="220"/>
    </row>
    <row r="370" spans="1:13" x14ac:dyDescent="0.3">
      <c r="A370" s="493" t="s">
        <v>292</v>
      </c>
      <c r="B370" s="494"/>
      <c r="C370" s="221"/>
      <c r="D370" s="221"/>
      <c r="E370" s="221"/>
      <c r="F370" s="221"/>
      <c r="G370" s="221"/>
      <c r="H370" s="221"/>
      <c r="I370" s="221"/>
      <c r="J370" s="221"/>
      <c r="K370" s="220"/>
    </row>
    <row r="371" spans="1:13" x14ac:dyDescent="0.3">
      <c r="A371" s="222" t="s">
        <v>154</v>
      </c>
      <c r="B371" s="223"/>
      <c r="C371" s="221">
        <f t="shared" ref="C371:J373" si="86">+C362+C366</f>
        <v>93836</v>
      </c>
      <c r="D371" s="221">
        <f t="shared" si="86"/>
        <v>93052</v>
      </c>
      <c r="E371" s="221">
        <f t="shared" si="86"/>
        <v>94371</v>
      </c>
      <c r="F371" s="221">
        <f t="shared" si="86"/>
        <v>95861</v>
      </c>
      <c r="G371" s="221">
        <f t="shared" si="86"/>
        <v>97520</v>
      </c>
      <c r="H371" s="221">
        <f t="shared" si="86"/>
        <v>98927</v>
      </c>
      <c r="I371" s="221">
        <f t="shared" si="86"/>
        <v>100248</v>
      </c>
      <c r="J371" s="221">
        <f t="shared" si="86"/>
        <v>101587</v>
      </c>
      <c r="K371" s="220"/>
    </row>
    <row r="372" spans="1:13" x14ac:dyDescent="0.3">
      <c r="A372" s="487" t="s">
        <v>149</v>
      </c>
      <c r="B372" s="487"/>
      <c r="C372" s="221">
        <f t="shared" si="86"/>
        <v>1810370803.444</v>
      </c>
      <c r="D372" s="221">
        <f t="shared" si="86"/>
        <v>1817570943.8648977</v>
      </c>
      <c r="E372" s="221">
        <f t="shared" si="86"/>
        <v>1785564200.7700002</v>
      </c>
      <c r="F372" s="221">
        <f t="shared" si="86"/>
        <v>1785202931.0030999</v>
      </c>
      <c r="G372" s="221">
        <f t="shared" si="86"/>
        <v>1729388751.3992</v>
      </c>
      <c r="H372" s="221">
        <f t="shared" si="86"/>
        <v>1818689250.9753997</v>
      </c>
      <c r="I372" s="221">
        <f t="shared" si="86"/>
        <v>1759807994.0198479</v>
      </c>
      <c r="J372" s="221">
        <f t="shared" si="86"/>
        <v>1747630845.5388775</v>
      </c>
      <c r="K372" s="220"/>
    </row>
    <row r="373" spans="1:13" x14ac:dyDescent="0.3">
      <c r="A373" s="487" t="s">
        <v>155</v>
      </c>
      <c r="B373" s="487"/>
      <c r="C373" s="221">
        <f t="shared" si="86"/>
        <v>2389292.2799999998</v>
      </c>
      <c r="D373" s="221">
        <f t="shared" si="86"/>
        <v>4631003.1408000002</v>
      </c>
      <c r="E373" s="221">
        <f t="shared" si="86"/>
        <v>4499166.9256000007</v>
      </c>
      <c r="F373" s="221">
        <f t="shared" si="86"/>
        <v>4545447.9890000001</v>
      </c>
      <c r="G373" s="221">
        <f t="shared" si="86"/>
        <v>4404577.7963999994</v>
      </c>
      <c r="H373" s="221">
        <f t="shared" si="86"/>
        <v>4550070.1519999998</v>
      </c>
      <c r="I373" s="221">
        <f t="shared" si="86"/>
        <v>4317973.8790000007</v>
      </c>
      <c r="J373" s="221">
        <f t="shared" si="86"/>
        <v>4241427.0790000008</v>
      </c>
      <c r="K373" s="220"/>
    </row>
    <row r="374" spans="1:13" x14ac:dyDescent="0.3">
      <c r="A374" s="488"/>
      <c r="B374" s="489"/>
      <c r="C374" s="156"/>
      <c r="D374" s="156"/>
      <c r="E374" s="156"/>
      <c r="F374" s="156"/>
      <c r="G374" s="156"/>
      <c r="H374" s="156"/>
      <c r="I374" s="156"/>
      <c r="J374" s="145"/>
    </row>
    <row r="375" spans="1:13" customFormat="1" ht="12.5" x14ac:dyDescent="0.25">
      <c r="D375" s="72"/>
      <c r="E375" s="72"/>
      <c r="F375" s="72"/>
      <c r="G375" s="72"/>
      <c r="H375" s="72"/>
      <c r="I375" s="72"/>
      <c r="J375" s="72"/>
      <c r="K375" s="72"/>
    </row>
    <row r="376" spans="1:13" x14ac:dyDescent="0.3">
      <c r="C376" s="472" t="s">
        <v>293</v>
      </c>
      <c r="D376" s="473"/>
      <c r="E376" s="473"/>
      <c r="F376" s="473"/>
      <c r="G376" s="473"/>
      <c r="H376" s="473"/>
      <c r="I376" s="473"/>
      <c r="J376" s="474"/>
      <c r="K376" s="158"/>
    </row>
    <row r="377" spans="1:13" ht="42" x14ac:dyDescent="0.3">
      <c r="C377" s="224" t="s">
        <v>278</v>
      </c>
      <c r="D377" s="224" t="s">
        <v>279</v>
      </c>
      <c r="E377" s="224" t="s">
        <v>280</v>
      </c>
      <c r="F377" s="224" t="s">
        <v>281</v>
      </c>
      <c r="G377" s="224" t="s">
        <v>282</v>
      </c>
      <c r="H377" s="224" t="s">
        <v>283</v>
      </c>
      <c r="I377" s="227" t="s">
        <v>284</v>
      </c>
      <c r="J377" s="227" t="s">
        <v>285</v>
      </c>
    </row>
    <row r="378" spans="1:13" ht="14.5" thickBot="1" x14ac:dyDescent="0.35">
      <c r="C378" s="334">
        <v>20965268</v>
      </c>
      <c r="D378" s="335">
        <v>20562008.060000002</v>
      </c>
      <c r="E378" s="335">
        <v>20895700.789999999</v>
      </c>
      <c r="F378" s="335">
        <v>22168555.539999999</v>
      </c>
      <c r="G378" s="335">
        <v>22499818.510000002</v>
      </c>
      <c r="H378" s="335">
        <v>23460555.190000001</v>
      </c>
      <c r="I378" s="335" t="e">
        <f>+'19COP-Z'!#REF!</f>
        <v>#REF!</v>
      </c>
      <c r="J378" s="335" t="e">
        <f>+'20COP-Z'!#REF!</f>
        <v>#REF!</v>
      </c>
      <c r="K378" s="158"/>
    </row>
    <row r="379" spans="1:13" s="329" customFormat="1" ht="14.5" thickTop="1" x14ac:dyDescent="0.3">
      <c r="C379" s="530" t="s">
        <v>294</v>
      </c>
      <c r="D379" s="336">
        <f>+D378-C378</f>
        <v>-403259.93999999762</v>
      </c>
      <c r="E379" s="336">
        <f t="shared" ref="E379:J379" si="87">+E378-D378</f>
        <v>333692.72999999672</v>
      </c>
      <c r="F379" s="336">
        <f t="shared" si="87"/>
        <v>1272854.75</v>
      </c>
      <c r="G379" s="336">
        <f t="shared" si="87"/>
        <v>331262.97000000253</v>
      </c>
      <c r="H379" s="336">
        <f t="shared" si="87"/>
        <v>960736.6799999997</v>
      </c>
      <c r="I379" s="336" t="e">
        <f t="shared" si="87"/>
        <v>#REF!</v>
      </c>
      <c r="J379" s="336" t="e">
        <f t="shared" si="87"/>
        <v>#REF!</v>
      </c>
      <c r="K379" s="330"/>
    </row>
    <row r="380" spans="1:13" s="329" customFormat="1" x14ac:dyDescent="0.3">
      <c r="C380" s="531"/>
      <c r="D380" s="337">
        <f>+D379/C378</f>
        <v>-1.9234666592384968E-2</v>
      </c>
      <c r="E380" s="337">
        <f t="shared" ref="E380:J380" si="88">+E379/D378</f>
        <v>1.6228606127683655E-2</v>
      </c>
      <c r="F380" s="337">
        <f t="shared" si="88"/>
        <v>6.0914671529425174E-2</v>
      </c>
      <c r="G380" s="337">
        <f t="shared" si="88"/>
        <v>1.4942920814226516E-2</v>
      </c>
      <c r="H380" s="337">
        <f t="shared" si="88"/>
        <v>4.2699752425691885E-2</v>
      </c>
      <c r="I380" s="337" t="e">
        <f t="shared" si="88"/>
        <v>#REF!</v>
      </c>
      <c r="J380" s="337" t="e">
        <f t="shared" si="88"/>
        <v>#REF!</v>
      </c>
      <c r="K380" s="330"/>
    </row>
    <row r="381" spans="1:13" ht="14.5" x14ac:dyDescent="0.35">
      <c r="A381" s="298"/>
      <c r="B381" s="298"/>
      <c r="C381" s="303"/>
      <c r="D381" s="303"/>
      <c r="E381" s="303"/>
      <c r="F381" s="303"/>
      <c r="G381" s="303"/>
      <c r="H381" s="303"/>
      <c r="I381" s="303"/>
      <c r="J381" s="303"/>
      <c r="K381" s="298"/>
      <c r="L381" s="298"/>
      <c r="M381" s="298"/>
    </row>
    <row r="382" spans="1:13" x14ac:dyDescent="0.3">
      <c r="C382" s="472" t="s">
        <v>295</v>
      </c>
      <c r="D382" s="473"/>
      <c r="E382" s="473"/>
      <c r="F382" s="473"/>
      <c r="G382" s="473"/>
      <c r="H382" s="473"/>
      <c r="I382" s="473"/>
      <c r="J382" s="474"/>
      <c r="K382" s="158"/>
    </row>
    <row r="383" spans="1:13" ht="28" x14ac:dyDescent="0.3">
      <c r="C383" s="224" t="s">
        <v>278</v>
      </c>
      <c r="D383" s="224" t="s">
        <v>279</v>
      </c>
      <c r="E383" s="224" t="s">
        <v>280</v>
      </c>
      <c r="F383" s="224" t="s">
        <v>281</v>
      </c>
      <c r="G383" s="224" t="s">
        <v>282</v>
      </c>
      <c r="H383" s="224" t="s">
        <v>283</v>
      </c>
      <c r="I383" s="227" t="s">
        <v>296</v>
      </c>
      <c r="J383" s="227" t="s">
        <v>297</v>
      </c>
    </row>
    <row r="384" spans="1:13" ht="14.5" thickBot="1" x14ac:dyDescent="0.35">
      <c r="C384" s="334">
        <f t="shared" ref="C384:J384" si="89">+C335</f>
        <v>82577</v>
      </c>
      <c r="D384" s="335">
        <f t="shared" si="89"/>
        <v>81868</v>
      </c>
      <c r="E384" s="335">
        <f t="shared" si="89"/>
        <v>83106</v>
      </c>
      <c r="F384" s="335">
        <f t="shared" si="89"/>
        <v>84530</v>
      </c>
      <c r="G384" s="335">
        <f t="shared" si="89"/>
        <v>86064</v>
      </c>
      <c r="H384" s="335">
        <f t="shared" si="89"/>
        <v>87395</v>
      </c>
      <c r="I384" s="335">
        <f t="shared" si="89"/>
        <v>88619</v>
      </c>
      <c r="J384" s="335">
        <f t="shared" si="89"/>
        <v>89860</v>
      </c>
      <c r="K384" s="158"/>
    </row>
    <row r="385" spans="1:13" s="329" customFormat="1" ht="14.5" thickTop="1" x14ac:dyDescent="0.3">
      <c r="C385" s="530" t="s">
        <v>294</v>
      </c>
      <c r="D385" s="336">
        <f t="shared" ref="D385:J385" si="90">+D384-C384</f>
        <v>-709</v>
      </c>
      <c r="E385" s="336">
        <f t="shared" si="90"/>
        <v>1238</v>
      </c>
      <c r="F385" s="336">
        <f t="shared" si="90"/>
        <v>1424</v>
      </c>
      <c r="G385" s="336">
        <f t="shared" si="90"/>
        <v>1534</v>
      </c>
      <c r="H385" s="336">
        <f t="shared" si="90"/>
        <v>1331</v>
      </c>
      <c r="I385" s="336">
        <f t="shared" si="90"/>
        <v>1224</v>
      </c>
      <c r="J385" s="336">
        <f t="shared" si="90"/>
        <v>1241</v>
      </c>
      <c r="K385" s="330"/>
    </row>
    <row r="386" spans="1:13" s="329" customFormat="1" x14ac:dyDescent="0.3">
      <c r="C386" s="531"/>
      <c r="D386" s="337">
        <f>+D385/C384</f>
        <v>-8.5859258631338017E-3</v>
      </c>
      <c r="E386" s="337">
        <f t="shared" ref="E386:J386" si="91">+E385/D384</f>
        <v>1.5121903552059413E-2</v>
      </c>
      <c r="F386" s="337">
        <f t="shared" si="91"/>
        <v>1.7134743580487569E-2</v>
      </c>
      <c r="G386" s="337">
        <f t="shared" si="91"/>
        <v>1.8147403288773217E-2</v>
      </c>
      <c r="H386" s="337">
        <f t="shared" si="91"/>
        <v>1.5465235173824131E-2</v>
      </c>
      <c r="I386" s="337">
        <f t="shared" si="91"/>
        <v>1.4005377882029865E-2</v>
      </c>
      <c r="J386" s="337">
        <f t="shared" si="91"/>
        <v>1.4003768943454564E-2</v>
      </c>
      <c r="K386" s="330"/>
    </row>
    <row r="387" spans="1:13" x14ac:dyDescent="0.3">
      <c r="C387" s="158"/>
      <c r="D387" s="158"/>
      <c r="E387" s="158"/>
      <c r="F387" s="158"/>
      <c r="G387" s="158"/>
      <c r="H387" s="158"/>
      <c r="I387" s="158"/>
      <c r="J387" s="158"/>
      <c r="K387" s="158"/>
    </row>
    <row r="388" spans="1:13" x14ac:dyDescent="0.3">
      <c r="C388" s="472" t="s">
        <v>298</v>
      </c>
      <c r="D388" s="473"/>
      <c r="E388" s="473"/>
      <c r="F388" s="473"/>
      <c r="G388" s="473"/>
      <c r="H388" s="473"/>
      <c r="I388" s="473"/>
      <c r="J388" s="474"/>
      <c r="K388" s="158"/>
    </row>
    <row r="389" spans="1:13" ht="42" x14ac:dyDescent="0.3">
      <c r="C389" s="224" t="s">
        <v>278</v>
      </c>
      <c r="D389" s="224" t="s">
        <v>279</v>
      </c>
      <c r="E389" s="224" t="s">
        <v>280</v>
      </c>
      <c r="F389" s="224" t="s">
        <v>281</v>
      </c>
      <c r="G389" s="224" t="s">
        <v>282</v>
      </c>
      <c r="H389" s="224" t="s">
        <v>283</v>
      </c>
      <c r="I389" s="227" t="s">
        <v>284</v>
      </c>
      <c r="J389" s="227" t="s">
        <v>285</v>
      </c>
    </row>
    <row r="390" spans="1:13" ht="14.5" thickBot="1" x14ac:dyDescent="0.35">
      <c r="C390" s="334">
        <f t="shared" ref="C390:J390" si="92">+C336</f>
        <v>651728154.69920003</v>
      </c>
      <c r="D390" s="335">
        <f t="shared" si="92"/>
        <v>637186639.75172198</v>
      </c>
      <c r="E390" s="335">
        <f t="shared" si="92"/>
        <v>635723826.94000006</v>
      </c>
      <c r="F390" s="335">
        <f t="shared" si="92"/>
        <v>650672519.71179998</v>
      </c>
      <c r="G390" s="335">
        <f t="shared" si="92"/>
        <v>621996671.49440002</v>
      </c>
      <c r="H390" s="335">
        <f t="shared" si="92"/>
        <v>680846102.83019996</v>
      </c>
      <c r="I390" s="335">
        <f t="shared" si="92"/>
        <v>656678745.44620001</v>
      </c>
      <c r="J390" s="335">
        <f t="shared" si="92"/>
        <v>660769294.21730006</v>
      </c>
      <c r="K390" s="158"/>
    </row>
    <row r="391" spans="1:13" s="329" customFormat="1" ht="14.5" thickTop="1" x14ac:dyDescent="0.3">
      <c r="C391" s="530" t="s">
        <v>294</v>
      </c>
      <c r="D391" s="336">
        <f t="shared" ref="D391" si="93">+D390-C390</f>
        <v>-14541514.947478056</v>
      </c>
      <c r="E391" s="336">
        <f t="shared" ref="E391" si="94">+E390-D390</f>
        <v>-1462812.811721921</v>
      </c>
      <c r="F391" s="336">
        <f t="shared" ref="F391" si="95">+F390-E390</f>
        <v>14948692.771799922</v>
      </c>
      <c r="G391" s="336">
        <f t="shared" ref="G391" si="96">+G390-F390</f>
        <v>-28675848.217399955</v>
      </c>
      <c r="H391" s="336">
        <f t="shared" ref="H391" si="97">+H390-G390</f>
        <v>58849431.335799932</v>
      </c>
      <c r="I391" s="336">
        <f t="shared" ref="I391" si="98">+I390-H390</f>
        <v>-24167357.383999944</v>
      </c>
      <c r="J391" s="336">
        <f t="shared" ref="J391" si="99">+J390-I390</f>
        <v>4090548.7711000443</v>
      </c>
      <c r="K391" s="330"/>
    </row>
    <row r="392" spans="1:13" s="329" customFormat="1" x14ac:dyDescent="0.3">
      <c r="C392" s="531"/>
      <c r="D392" s="337">
        <f>+D391/C390</f>
        <v>-2.2312239915720039E-2</v>
      </c>
      <c r="E392" s="337">
        <f t="shared" ref="E392" si="100">+E391/D390</f>
        <v>-2.2957367911729944E-3</v>
      </c>
      <c r="F392" s="337">
        <f t="shared" ref="F392" si="101">+F391/E390</f>
        <v>2.3514444698028894E-2</v>
      </c>
      <c r="G392" s="337">
        <f t="shared" ref="G392" si="102">+G391/F390</f>
        <v>-4.4071091599352075E-2</v>
      </c>
      <c r="H392" s="337">
        <f t="shared" ref="H392" si="103">+H391/G390</f>
        <v>9.4613739964892668E-2</v>
      </c>
      <c r="I392" s="337">
        <f t="shared" ref="I392" si="104">+I391/H390</f>
        <v>-3.5496064798695305E-2</v>
      </c>
      <c r="J392" s="337">
        <f t="shared" ref="J392" si="105">+J391/I390</f>
        <v>6.2291475085288449E-3</v>
      </c>
      <c r="K392" s="330"/>
    </row>
    <row r="393" spans="1:13" ht="14.5" x14ac:dyDescent="0.35">
      <c r="A393" s="298"/>
      <c r="B393" s="298"/>
      <c r="C393" s="303"/>
      <c r="D393" s="303"/>
      <c r="E393" s="303"/>
      <c r="F393" s="303"/>
      <c r="G393" s="303"/>
      <c r="H393" s="303"/>
      <c r="I393" s="303"/>
      <c r="J393" s="303"/>
      <c r="K393" s="298"/>
      <c r="L393" s="298"/>
      <c r="M393" s="298"/>
    </row>
    <row r="394" spans="1:13" x14ac:dyDescent="0.3">
      <c r="C394" s="472" t="s">
        <v>299</v>
      </c>
      <c r="D394" s="473"/>
      <c r="E394" s="473"/>
      <c r="F394" s="473"/>
      <c r="G394" s="473"/>
      <c r="H394" s="473"/>
      <c r="I394" s="473"/>
      <c r="J394" s="474"/>
      <c r="K394" s="158"/>
    </row>
    <row r="395" spans="1:13" ht="42" x14ac:dyDescent="0.3">
      <c r="C395" s="224" t="s">
        <v>278</v>
      </c>
      <c r="D395" s="224" t="s">
        <v>279</v>
      </c>
      <c r="E395" s="224" t="s">
        <v>280</v>
      </c>
      <c r="F395" s="224" t="s">
        <v>281</v>
      </c>
      <c r="G395" s="224" t="s">
        <v>282</v>
      </c>
      <c r="H395" s="224" t="s">
        <v>283</v>
      </c>
      <c r="I395" s="227" t="s">
        <v>284</v>
      </c>
      <c r="J395" s="227" t="s">
        <v>285</v>
      </c>
    </row>
    <row r="396" spans="1:13" ht="14.5" thickBot="1" x14ac:dyDescent="0.35">
      <c r="C396" s="334">
        <v>5423998</v>
      </c>
      <c r="D396" s="335">
        <v>5668569.1600000001</v>
      </c>
      <c r="E396" s="335">
        <v>5404890.2800000003</v>
      </c>
      <c r="F396" s="335">
        <v>5660242.4500000002</v>
      </c>
      <c r="G396" s="335">
        <v>5615245.2400000002</v>
      </c>
      <c r="H396" s="335">
        <v>5778443.7300000004</v>
      </c>
      <c r="I396" s="335" t="e">
        <f>+'19COP-Z'!#REF!</f>
        <v>#REF!</v>
      </c>
      <c r="J396" s="335" t="e">
        <f>+'20COP-Z'!#REF!</f>
        <v>#REF!</v>
      </c>
      <c r="K396" s="158"/>
    </row>
    <row r="397" spans="1:13" s="329" customFormat="1" ht="14.5" thickTop="1" x14ac:dyDescent="0.3">
      <c r="C397" s="530" t="s">
        <v>294</v>
      </c>
      <c r="D397" s="336">
        <f>+D396-C396</f>
        <v>244571.16000000015</v>
      </c>
      <c r="E397" s="336">
        <f t="shared" ref="E397" si="106">+E396-D396</f>
        <v>-263678.87999999989</v>
      </c>
      <c r="F397" s="336">
        <f t="shared" ref="F397" si="107">+F396-E396</f>
        <v>255352.16999999993</v>
      </c>
      <c r="G397" s="336">
        <f t="shared" ref="G397" si="108">+G396-F396</f>
        <v>-44997.209999999963</v>
      </c>
      <c r="H397" s="336">
        <f t="shared" ref="H397" si="109">+H396-G396</f>
        <v>163198.49000000022</v>
      </c>
      <c r="I397" s="336" t="e">
        <f t="shared" ref="I397" si="110">+I396-H396</f>
        <v>#REF!</v>
      </c>
      <c r="J397" s="336" t="e">
        <f t="shared" ref="J397" si="111">+J396-I396</f>
        <v>#REF!</v>
      </c>
      <c r="K397" s="330"/>
    </row>
    <row r="398" spans="1:13" s="329" customFormat="1" x14ac:dyDescent="0.3">
      <c r="C398" s="531"/>
      <c r="D398" s="337">
        <f>+D397/C396</f>
        <v>4.5090569723661433E-2</v>
      </c>
      <c r="E398" s="337">
        <f t="shared" ref="E398" si="112">+E397/D396</f>
        <v>-4.6515950067371123E-2</v>
      </c>
      <c r="F398" s="337">
        <f t="shared" ref="F398" si="113">+F397/E396</f>
        <v>4.7244653780464885E-2</v>
      </c>
      <c r="G398" s="337">
        <f t="shared" ref="G398" si="114">+G397/F396</f>
        <v>-7.9496965717431346E-3</v>
      </c>
      <c r="H398" s="337">
        <f t="shared" ref="H398" si="115">+H397/G396</f>
        <v>2.9063466157713214E-2</v>
      </c>
      <c r="I398" s="337" t="e">
        <f t="shared" ref="I398" si="116">+I397/H396</f>
        <v>#REF!</v>
      </c>
      <c r="J398" s="337" t="e">
        <f t="shared" ref="J398" si="117">+J397/I396</f>
        <v>#REF!</v>
      </c>
      <c r="K398" s="330"/>
    </row>
    <row r="399" spans="1:13" ht="14.5" x14ac:dyDescent="0.35">
      <c r="A399" s="298"/>
      <c r="B399" s="298"/>
      <c r="C399" s="303"/>
      <c r="D399" s="303"/>
      <c r="E399" s="303"/>
      <c r="F399" s="303"/>
      <c r="G399" s="303"/>
      <c r="H399" s="303"/>
      <c r="I399" s="303"/>
      <c r="J399" s="303"/>
      <c r="K399" s="298"/>
      <c r="L399" s="298"/>
      <c r="M399" s="298"/>
    </row>
    <row r="400" spans="1:13" x14ac:dyDescent="0.3">
      <c r="C400" s="472" t="s">
        <v>300</v>
      </c>
      <c r="D400" s="473"/>
      <c r="E400" s="473"/>
      <c r="F400" s="473"/>
      <c r="G400" s="473"/>
      <c r="H400" s="473"/>
      <c r="I400" s="473"/>
      <c r="J400" s="474"/>
      <c r="K400" s="158"/>
    </row>
    <row r="401" spans="1:13" ht="28" x14ac:dyDescent="0.3">
      <c r="C401" s="224" t="s">
        <v>278</v>
      </c>
      <c r="D401" s="224" t="s">
        <v>279</v>
      </c>
      <c r="E401" s="224" t="s">
        <v>280</v>
      </c>
      <c r="F401" s="224" t="s">
        <v>281</v>
      </c>
      <c r="G401" s="224" t="s">
        <v>282</v>
      </c>
      <c r="H401" s="224" t="s">
        <v>283</v>
      </c>
      <c r="I401" s="227" t="s">
        <v>296</v>
      </c>
      <c r="J401" s="227" t="s">
        <v>297</v>
      </c>
    </row>
    <row r="402" spans="1:13" ht="14.5" thickBot="1" x14ac:dyDescent="0.35">
      <c r="C402" s="334">
        <f t="shared" ref="C402:J402" si="118">+C339</f>
        <v>7830</v>
      </c>
      <c r="D402" s="335">
        <f t="shared" si="118"/>
        <v>7744</v>
      </c>
      <c r="E402" s="335">
        <f t="shared" si="118"/>
        <v>7796</v>
      </c>
      <c r="F402" s="335">
        <f t="shared" si="118"/>
        <v>7845</v>
      </c>
      <c r="G402" s="335">
        <f t="shared" si="118"/>
        <v>7936</v>
      </c>
      <c r="H402" s="335">
        <f t="shared" si="118"/>
        <v>7983</v>
      </c>
      <c r="I402" s="335">
        <f t="shared" si="118"/>
        <v>8059</v>
      </c>
      <c r="J402" s="335">
        <f t="shared" si="118"/>
        <v>8136</v>
      </c>
      <c r="K402" s="158"/>
    </row>
    <row r="403" spans="1:13" s="329" customFormat="1" ht="14.5" thickTop="1" x14ac:dyDescent="0.3">
      <c r="C403" s="530" t="s">
        <v>294</v>
      </c>
      <c r="D403" s="336">
        <f t="shared" ref="D403" si="119">+D402-C402</f>
        <v>-86</v>
      </c>
      <c r="E403" s="336">
        <f t="shared" ref="E403" si="120">+E402-D402</f>
        <v>52</v>
      </c>
      <c r="F403" s="336">
        <f t="shared" ref="F403" si="121">+F402-E402</f>
        <v>49</v>
      </c>
      <c r="G403" s="336">
        <f t="shared" ref="G403" si="122">+G402-F402</f>
        <v>91</v>
      </c>
      <c r="H403" s="336">
        <f t="shared" ref="H403" si="123">+H402-G402</f>
        <v>47</v>
      </c>
      <c r="I403" s="336">
        <f t="shared" ref="I403" si="124">+I402-H402</f>
        <v>76</v>
      </c>
      <c r="J403" s="336">
        <f t="shared" ref="J403" si="125">+J402-I402</f>
        <v>77</v>
      </c>
      <c r="K403" s="330"/>
    </row>
    <row r="404" spans="1:13" s="329" customFormat="1" x14ac:dyDescent="0.3">
      <c r="C404" s="531"/>
      <c r="D404" s="337">
        <f>+D403/C402</f>
        <v>-1.0983397190293741E-2</v>
      </c>
      <c r="E404" s="337">
        <f t="shared" ref="E404" si="126">+E403/D402</f>
        <v>6.7148760330578514E-3</v>
      </c>
      <c r="F404" s="337">
        <f t="shared" ref="F404" si="127">+F403/E402</f>
        <v>6.285274499743458E-3</v>
      </c>
      <c r="G404" s="337">
        <f t="shared" ref="G404" si="128">+G403/F402</f>
        <v>1.159974506054812E-2</v>
      </c>
      <c r="H404" s="337">
        <f t="shared" ref="H404" si="129">+H403/G402</f>
        <v>5.9223790322580645E-3</v>
      </c>
      <c r="I404" s="337">
        <f t="shared" ref="I404" si="130">+I403/H402</f>
        <v>9.5202304897908062E-3</v>
      </c>
      <c r="J404" s="337">
        <f t="shared" ref="J404" si="131">+J403/I402</f>
        <v>9.5545353021466682E-3</v>
      </c>
      <c r="K404" s="330"/>
    </row>
    <row r="405" spans="1:13" ht="14.5" x14ac:dyDescent="0.35">
      <c r="A405" s="299"/>
      <c r="B405" s="298"/>
      <c r="C405" s="158"/>
      <c r="D405" s="158"/>
      <c r="E405" s="158"/>
      <c r="F405" s="158"/>
      <c r="G405" s="158"/>
      <c r="H405" s="158"/>
      <c r="I405" s="158"/>
      <c r="J405" s="158"/>
      <c r="K405" s="300"/>
      <c r="L405" s="300"/>
      <c r="M405" s="301"/>
    </row>
    <row r="406" spans="1:13" x14ac:dyDescent="0.3">
      <c r="C406" s="472" t="s">
        <v>301</v>
      </c>
      <c r="D406" s="473"/>
      <c r="E406" s="473"/>
      <c r="F406" s="473"/>
      <c r="G406" s="473"/>
      <c r="H406" s="473"/>
      <c r="I406" s="473"/>
      <c r="J406" s="474"/>
      <c r="K406" s="158"/>
    </row>
    <row r="407" spans="1:13" ht="42" x14ac:dyDescent="0.3">
      <c r="C407" s="224" t="s">
        <v>278</v>
      </c>
      <c r="D407" s="224" t="s">
        <v>279</v>
      </c>
      <c r="E407" s="224" t="s">
        <v>280</v>
      </c>
      <c r="F407" s="224" t="s">
        <v>281</v>
      </c>
      <c r="G407" s="224" t="s">
        <v>282</v>
      </c>
      <c r="H407" s="224" t="s">
        <v>283</v>
      </c>
      <c r="I407" s="227" t="s">
        <v>284</v>
      </c>
      <c r="J407" s="227" t="s">
        <v>285</v>
      </c>
    </row>
    <row r="408" spans="1:13" ht="14.5" thickBot="1" x14ac:dyDescent="0.35">
      <c r="C408" s="334">
        <f t="shared" ref="C408:J408" si="132">+C340</f>
        <v>241683206.23980001</v>
      </c>
      <c r="D408" s="335">
        <f t="shared" si="132"/>
        <v>242185854.43488768</v>
      </c>
      <c r="E408" s="335">
        <f t="shared" si="132"/>
        <v>237964967.00999999</v>
      </c>
      <c r="F408" s="335">
        <f t="shared" si="132"/>
        <v>239091360.5415</v>
      </c>
      <c r="G408" s="335">
        <f t="shared" si="132"/>
        <v>232588463.34630001</v>
      </c>
      <c r="H408" s="335">
        <f t="shared" si="132"/>
        <v>240602996.91260001</v>
      </c>
      <c r="I408" s="335">
        <f t="shared" si="132"/>
        <v>229938143.0535</v>
      </c>
      <c r="J408" s="335">
        <f t="shared" si="132"/>
        <v>228934711.40130001</v>
      </c>
      <c r="K408" s="158"/>
    </row>
    <row r="409" spans="1:13" s="329" customFormat="1" ht="14.5" thickTop="1" x14ac:dyDescent="0.3">
      <c r="C409" s="530" t="s">
        <v>294</v>
      </c>
      <c r="D409" s="336">
        <f t="shared" ref="D409" si="133">+D408-C408</f>
        <v>502648.19508767128</v>
      </c>
      <c r="E409" s="336">
        <f t="shared" ref="E409" si="134">+E408-D408</f>
        <v>-4220887.424887687</v>
      </c>
      <c r="F409" s="336">
        <f t="shared" ref="F409" si="135">+F408-E408</f>
        <v>1126393.5315000117</v>
      </c>
      <c r="G409" s="336">
        <f t="shared" ref="G409" si="136">+G408-F408</f>
        <v>-6502897.1951999962</v>
      </c>
      <c r="H409" s="336">
        <f t="shared" ref="H409" si="137">+H408-G408</f>
        <v>8014533.5663000047</v>
      </c>
      <c r="I409" s="336">
        <f t="shared" ref="I409" si="138">+I408-H408</f>
        <v>-10664853.859100014</v>
      </c>
      <c r="J409" s="336">
        <f t="shared" ref="J409" si="139">+J408-I408</f>
        <v>-1003431.6521999836</v>
      </c>
      <c r="K409" s="330"/>
    </row>
    <row r="410" spans="1:13" s="329" customFormat="1" x14ac:dyDescent="0.3">
      <c r="C410" s="531"/>
      <c r="D410" s="337">
        <f>+D409/C408</f>
        <v>2.0797812264578275E-3</v>
      </c>
      <c r="E410" s="337">
        <f t="shared" ref="E410" si="140">+E409/D408</f>
        <v>-1.7428298753189502E-2</v>
      </c>
      <c r="F410" s="337">
        <f t="shared" ref="F410" si="141">+F409/E408</f>
        <v>4.733442681303073E-3</v>
      </c>
      <c r="G410" s="337">
        <f t="shared" ref="G410" si="142">+G409/F408</f>
        <v>-2.7198377977657052E-2</v>
      </c>
      <c r="H410" s="337">
        <f t="shared" ref="H410" si="143">+H409/G408</f>
        <v>3.4458001273980639E-2</v>
      </c>
      <c r="I410" s="337">
        <f t="shared" ref="I410" si="144">+I409/H408</f>
        <v>-4.4325523771318875E-2</v>
      </c>
      <c r="J410" s="337">
        <f t="shared" ref="J410" si="145">+J409/I408</f>
        <v>-4.3639199607109725E-3</v>
      </c>
      <c r="K410" s="330">
        <f>+I408/I402</f>
        <v>28531.845520970342</v>
      </c>
      <c r="L410" s="330">
        <f>+J408/J402</f>
        <v>28138.484685508851</v>
      </c>
      <c r="M410" s="349">
        <f>(+L410-K410)/K410</f>
        <v>-1.3786729469440706E-2</v>
      </c>
    </row>
    <row r="412" spans="1:13" x14ac:dyDescent="0.3">
      <c r="C412" s="472" t="s">
        <v>302</v>
      </c>
      <c r="D412" s="473"/>
      <c r="E412" s="473"/>
      <c r="F412" s="473"/>
      <c r="G412" s="473"/>
      <c r="H412" s="473"/>
      <c r="I412" s="473"/>
      <c r="J412" s="474"/>
      <c r="K412" s="158"/>
    </row>
    <row r="413" spans="1:13" ht="42" x14ac:dyDescent="0.3">
      <c r="C413" s="224" t="s">
        <v>278</v>
      </c>
      <c r="D413" s="224" t="s">
        <v>279</v>
      </c>
      <c r="E413" s="224" t="s">
        <v>280</v>
      </c>
      <c r="F413" s="224" t="s">
        <v>281</v>
      </c>
      <c r="G413" s="224" t="s">
        <v>282</v>
      </c>
      <c r="H413" s="224" t="s">
        <v>283</v>
      </c>
      <c r="I413" s="227" t="s">
        <v>284</v>
      </c>
      <c r="J413" s="227" t="s">
        <v>285</v>
      </c>
    </row>
    <row r="414" spans="1:13" ht="14.5" thickBot="1" x14ac:dyDescent="0.35">
      <c r="C414" s="334">
        <v>119375</v>
      </c>
      <c r="D414" s="335">
        <v>133431.5</v>
      </c>
      <c r="E414" s="335">
        <v>125567.55</v>
      </c>
      <c r="F414" s="335">
        <v>129647.93</v>
      </c>
      <c r="G414" s="335">
        <v>129661.91</v>
      </c>
      <c r="H414" s="335">
        <v>137207.31</v>
      </c>
      <c r="I414" s="335" t="e">
        <f>+'19COP-Z'!#REF!</f>
        <v>#REF!</v>
      </c>
      <c r="J414" s="335" t="e">
        <f>+'20COP-Z'!#REF!</f>
        <v>#REF!</v>
      </c>
      <c r="K414" s="158"/>
    </row>
    <row r="415" spans="1:13" s="329" customFormat="1" ht="14.5" thickTop="1" x14ac:dyDescent="0.3">
      <c r="C415" s="530" t="s">
        <v>294</v>
      </c>
      <c r="D415" s="336">
        <f>+D414-C414</f>
        <v>14056.5</v>
      </c>
      <c r="E415" s="336">
        <f t="shared" ref="E415" si="146">+E414-D414</f>
        <v>-7863.9499999999971</v>
      </c>
      <c r="F415" s="336">
        <f t="shared" ref="F415" si="147">+F414-E414</f>
        <v>4080.3799999999901</v>
      </c>
      <c r="G415" s="336">
        <f t="shared" ref="G415" si="148">+G414-F414</f>
        <v>13.980000000010477</v>
      </c>
      <c r="H415" s="336">
        <f t="shared" ref="H415" si="149">+H414-G414</f>
        <v>7545.3999999999942</v>
      </c>
      <c r="I415" s="336" t="e">
        <f t="shared" ref="I415" si="150">+I414-H414</f>
        <v>#REF!</v>
      </c>
      <c r="J415" s="336" t="e">
        <f t="shared" ref="J415" si="151">+J414-I414</f>
        <v>#REF!</v>
      </c>
      <c r="K415" s="330"/>
    </row>
    <row r="416" spans="1:13" s="329" customFormat="1" x14ac:dyDescent="0.3">
      <c r="C416" s="531"/>
      <c r="D416" s="337">
        <f>+D415/C414</f>
        <v>0.11775078534031413</v>
      </c>
      <c r="E416" s="337">
        <f t="shared" ref="E416" si="152">+E415/D414</f>
        <v>-5.8936233198307722E-2</v>
      </c>
      <c r="F416" s="337">
        <f t="shared" ref="F416" si="153">+F415/E414</f>
        <v>3.2495497443407871E-2</v>
      </c>
      <c r="G416" s="337">
        <f t="shared" ref="G416" si="154">+G415/F414</f>
        <v>1.0783049139319446E-4</v>
      </c>
      <c r="H416" s="337">
        <f t="shared" ref="H416" si="155">+H415/G414</f>
        <v>5.8192880237534633E-2</v>
      </c>
      <c r="I416" s="337" t="e">
        <f t="shared" ref="I416" si="156">+I415/H414</f>
        <v>#REF!</v>
      </c>
      <c r="J416" s="337" t="e">
        <f t="shared" ref="J416" si="157">+J415/I414</f>
        <v>#REF!</v>
      </c>
      <c r="K416" s="330"/>
    </row>
    <row r="417" spans="1:13" ht="14.5" x14ac:dyDescent="0.35">
      <c r="A417" s="298"/>
      <c r="B417" s="298"/>
      <c r="C417" s="303"/>
      <c r="D417" s="303"/>
      <c r="E417" s="303"/>
      <c r="F417" s="303"/>
      <c r="G417" s="303"/>
      <c r="H417" s="303"/>
      <c r="I417" s="303"/>
      <c r="J417" s="303"/>
      <c r="K417" s="298"/>
      <c r="L417" s="298"/>
      <c r="M417" s="298"/>
    </row>
    <row r="418" spans="1:13" x14ac:dyDescent="0.3">
      <c r="C418" s="472" t="s">
        <v>303</v>
      </c>
      <c r="D418" s="473"/>
      <c r="E418" s="473"/>
      <c r="F418" s="473"/>
      <c r="G418" s="473"/>
      <c r="H418" s="473"/>
      <c r="I418" s="473"/>
      <c r="J418" s="474"/>
      <c r="K418" s="158"/>
    </row>
    <row r="419" spans="1:13" ht="28" x14ac:dyDescent="0.3">
      <c r="C419" s="224" t="s">
        <v>278</v>
      </c>
      <c r="D419" s="224" t="s">
        <v>279</v>
      </c>
      <c r="E419" s="224" t="s">
        <v>280</v>
      </c>
      <c r="F419" s="224" t="s">
        <v>281</v>
      </c>
      <c r="G419" s="224" t="s">
        <v>282</v>
      </c>
      <c r="H419" s="224" t="s">
        <v>283</v>
      </c>
      <c r="I419" s="227" t="s">
        <v>296</v>
      </c>
      <c r="J419" s="227" t="s">
        <v>297</v>
      </c>
    </row>
    <row r="420" spans="1:13" ht="14.5" thickBot="1" x14ac:dyDescent="0.35">
      <c r="C420" s="334">
        <f t="shared" ref="C420:J420" si="158">+C358</f>
        <v>890</v>
      </c>
      <c r="D420" s="335">
        <f t="shared" si="158"/>
        <v>877</v>
      </c>
      <c r="E420" s="335">
        <f t="shared" si="158"/>
        <v>891</v>
      </c>
      <c r="F420" s="335">
        <f t="shared" si="158"/>
        <v>891</v>
      </c>
      <c r="G420" s="335">
        <f t="shared" si="158"/>
        <v>886</v>
      </c>
      <c r="H420" s="335">
        <f t="shared" si="158"/>
        <v>931</v>
      </c>
      <c r="I420" s="335">
        <f t="shared" si="158"/>
        <v>943</v>
      </c>
      <c r="J420" s="335">
        <f t="shared" si="158"/>
        <v>955</v>
      </c>
      <c r="K420" s="158"/>
    </row>
    <row r="421" spans="1:13" s="329" customFormat="1" ht="14.5" thickTop="1" x14ac:dyDescent="0.3">
      <c r="C421" s="530" t="s">
        <v>294</v>
      </c>
      <c r="D421" s="336">
        <f t="shared" ref="D421" si="159">+D420-C420</f>
        <v>-13</v>
      </c>
      <c r="E421" s="336">
        <f t="shared" ref="E421" si="160">+E420-D420</f>
        <v>14</v>
      </c>
      <c r="F421" s="336">
        <f t="shared" ref="F421" si="161">+F420-E420</f>
        <v>0</v>
      </c>
      <c r="G421" s="336">
        <f t="shared" ref="G421" si="162">+G420-F420</f>
        <v>-5</v>
      </c>
      <c r="H421" s="336">
        <f t="shared" ref="H421" si="163">+H420-G420</f>
        <v>45</v>
      </c>
      <c r="I421" s="336">
        <f t="shared" ref="I421" si="164">+I420-H420</f>
        <v>12</v>
      </c>
      <c r="J421" s="336">
        <f t="shared" ref="J421" si="165">+J420-I420</f>
        <v>12</v>
      </c>
      <c r="K421" s="330"/>
    </row>
    <row r="422" spans="1:13" s="329" customFormat="1" x14ac:dyDescent="0.3">
      <c r="C422" s="531"/>
      <c r="D422" s="337">
        <f>+D421/C420</f>
        <v>-1.4606741573033709E-2</v>
      </c>
      <c r="E422" s="337">
        <f t="shared" ref="E422" si="166">+E421/D420</f>
        <v>1.596351197263398E-2</v>
      </c>
      <c r="F422" s="337">
        <f t="shared" ref="F422" si="167">+F421/E420</f>
        <v>0</v>
      </c>
      <c r="G422" s="337">
        <f t="shared" ref="G422" si="168">+G421/F420</f>
        <v>-5.6116722783389446E-3</v>
      </c>
      <c r="H422" s="337">
        <f t="shared" ref="H422" si="169">+H421/G420</f>
        <v>5.0790067720090294E-2</v>
      </c>
      <c r="I422" s="337">
        <f t="shared" ref="I422" si="170">+I421/H420</f>
        <v>1.288936627282492E-2</v>
      </c>
      <c r="J422" s="337">
        <f t="shared" ref="J422" si="171">+J421/I420</f>
        <v>1.2725344644750796E-2</v>
      </c>
      <c r="K422" s="330"/>
    </row>
    <row r="423" spans="1:13" x14ac:dyDescent="0.3">
      <c r="C423" s="158"/>
      <c r="D423" s="158"/>
      <c r="E423" s="158"/>
      <c r="F423" s="158"/>
      <c r="G423" s="158"/>
      <c r="H423" s="158"/>
      <c r="I423" s="158"/>
      <c r="J423" s="158"/>
    </row>
    <row r="424" spans="1:13" x14ac:dyDescent="0.3">
      <c r="C424" s="472" t="s">
        <v>304</v>
      </c>
      <c r="D424" s="473"/>
      <c r="E424" s="473"/>
      <c r="F424" s="473"/>
      <c r="G424" s="473"/>
      <c r="H424" s="473"/>
      <c r="I424" s="473"/>
      <c r="J424" s="474"/>
      <c r="K424" s="158"/>
    </row>
    <row r="425" spans="1:13" ht="42" x14ac:dyDescent="0.3">
      <c r="C425" s="224" t="s">
        <v>278</v>
      </c>
      <c r="D425" s="224" t="s">
        <v>279</v>
      </c>
      <c r="E425" s="224" t="s">
        <v>280</v>
      </c>
      <c r="F425" s="224" t="s">
        <v>281</v>
      </c>
      <c r="G425" s="224" t="s">
        <v>282</v>
      </c>
      <c r="H425" s="224" t="s">
        <v>283</v>
      </c>
      <c r="I425" s="227" t="s">
        <v>284</v>
      </c>
      <c r="J425" s="227" t="s">
        <v>285</v>
      </c>
    </row>
    <row r="426" spans="1:13" ht="14.5" thickBot="1" x14ac:dyDescent="0.35">
      <c r="C426" s="334">
        <f t="shared" ref="C426:J426" si="172">+C359</f>
        <v>3417188.443</v>
      </c>
      <c r="D426" s="335">
        <f t="shared" si="172"/>
        <v>4039940.43</v>
      </c>
      <c r="E426" s="335">
        <f t="shared" si="172"/>
        <v>3943092</v>
      </c>
      <c r="F426" s="335">
        <f t="shared" si="172"/>
        <v>3917912</v>
      </c>
      <c r="G426" s="335">
        <f t="shared" si="172"/>
        <v>3907712</v>
      </c>
      <c r="H426" s="335">
        <f t="shared" si="172"/>
        <v>4009942</v>
      </c>
      <c r="I426" s="335">
        <f t="shared" si="172"/>
        <v>4091277.5452000001</v>
      </c>
      <c r="J426" s="335">
        <f t="shared" si="172"/>
        <v>4173586.84</v>
      </c>
      <c r="K426" s="158"/>
    </row>
    <row r="427" spans="1:13" s="329" customFormat="1" ht="14.5" thickTop="1" x14ac:dyDescent="0.3">
      <c r="C427" s="530" t="s">
        <v>294</v>
      </c>
      <c r="D427" s="336">
        <f t="shared" ref="D427" si="173">+D426-C426</f>
        <v>622751.9870000002</v>
      </c>
      <c r="E427" s="336">
        <f t="shared" ref="E427" si="174">+E426-D426</f>
        <v>-96848.430000000168</v>
      </c>
      <c r="F427" s="336">
        <f t="shared" ref="F427" si="175">+F426-E426</f>
        <v>-25180</v>
      </c>
      <c r="G427" s="336">
        <f t="shared" ref="G427" si="176">+G426-F426</f>
        <v>-10200</v>
      </c>
      <c r="H427" s="336">
        <f t="shared" ref="H427" si="177">+H426-G426</f>
        <v>102230</v>
      </c>
      <c r="I427" s="336">
        <f t="shared" ref="I427" si="178">+I426-H426</f>
        <v>81335.545200000051</v>
      </c>
      <c r="J427" s="336">
        <f t="shared" ref="J427" si="179">+J426-I426</f>
        <v>82309.2947999998</v>
      </c>
      <c r="K427" s="330"/>
    </row>
    <row r="428" spans="1:13" s="329" customFormat="1" x14ac:dyDescent="0.3">
      <c r="C428" s="531"/>
      <c r="D428" s="337">
        <f>+D427/C426</f>
        <v>0.18224104329853025</v>
      </c>
      <c r="E428" s="337">
        <f t="shared" ref="E428" si="180">+E427/D426</f>
        <v>-2.3972737142562314E-2</v>
      </c>
      <c r="F428" s="337">
        <f t="shared" ref="F428" si="181">+F427/E426</f>
        <v>-6.3858515094245838E-3</v>
      </c>
      <c r="G428" s="337">
        <f t="shared" ref="G428" si="182">+G427/F426</f>
        <v>-2.6034275399753745E-3</v>
      </c>
      <c r="H428" s="337">
        <f t="shared" ref="H428" si="183">+H427/G426</f>
        <v>2.616108863703364E-2</v>
      </c>
      <c r="I428" s="337">
        <f t="shared" ref="I428" si="184">+I427/H426</f>
        <v>2.0283471731012581E-2</v>
      </c>
      <c r="J428" s="337">
        <f t="shared" ref="J428" si="185">+J427/I426</f>
        <v>2.0118237858628617E-2</v>
      </c>
      <c r="K428" s="330"/>
    </row>
    <row r="429" spans="1:13" customFormat="1" ht="12.5" x14ac:dyDescent="0.25"/>
    <row r="430" spans="1:13" x14ac:dyDescent="0.3">
      <c r="C430" s="472" t="s">
        <v>305</v>
      </c>
      <c r="D430" s="473"/>
      <c r="E430" s="473"/>
      <c r="F430" s="473"/>
      <c r="G430" s="473"/>
      <c r="H430" s="473"/>
      <c r="I430" s="473"/>
      <c r="J430" s="474"/>
      <c r="K430" s="158"/>
    </row>
    <row r="431" spans="1:13" ht="42" x14ac:dyDescent="0.3">
      <c r="C431" s="224" t="s">
        <v>278</v>
      </c>
      <c r="D431" s="224" t="s">
        <v>279</v>
      </c>
      <c r="E431" s="224" t="s">
        <v>280</v>
      </c>
      <c r="F431" s="224" t="s">
        <v>281</v>
      </c>
      <c r="G431" s="224" t="s">
        <v>282</v>
      </c>
      <c r="H431" s="224" t="s">
        <v>283</v>
      </c>
      <c r="I431" s="227" t="s">
        <v>284</v>
      </c>
      <c r="J431" s="227" t="s">
        <v>285</v>
      </c>
    </row>
    <row r="432" spans="1:13" ht="14.5" thickBot="1" x14ac:dyDescent="0.35">
      <c r="C432" s="334">
        <v>11181169</v>
      </c>
      <c r="D432" s="335">
        <v>10802927.270000001</v>
      </c>
      <c r="E432" s="335">
        <v>10853979.82</v>
      </c>
      <c r="F432" s="335">
        <v>11557867.779999999</v>
      </c>
      <c r="G432" s="335">
        <v>11146536.629999999</v>
      </c>
      <c r="H432" s="335">
        <v>11666320.77</v>
      </c>
      <c r="I432" s="335" t="e">
        <f>+'19COP-Z'!#REF!</f>
        <v>#REF!</v>
      </c>
      <c r="J432" s="335" t="e">
        <f>+'20COP-Z'!#REF!</f>
        <v>#REF!</v>
      </c>
      <c r="K432" s="158"/>
    </row>
    <row r="433" spans="1:13" s="329" customFormat="1" ht="14.5" thickTop="1" x14ac:dyDescent="0.3">
      <c r="C433" s="530" t="s">
        <v>294</v>
      </c>
      <c r="D433" s="336">
        <f>+D432-C432</f>
        <v>-378241.72999999858</v>
      </c>
      <c r="E433" s="336">
        <f t="shared" ref="E433" si="186">+E432-D432</f>
        <v>51052.549999998882</v>
      </c>
      <c r="F433" s="336">
        <f t="shared" ref="F433" si="187">+F432-E432</f>
        <v>703887.95999999903</v>
      </c>
      <c r="G433" s="336">
        <f t="shared" ref="G433" si="188">+G432-F432</f>
        <v>-411331.15000000037</v>
      </c>
      <c r="H433" s="336">
        <f t="shared" ref="H433" si="189">+H432-G432</f>
        <v>519784.1400000006</v>
      </c>
      <c r="I433" s="336" t="e">
        <f t="shared" ref="I433" si="190">+I432-H432</f>
        <v>#REF!</v>
      </c>
      <c r="J433" s="336" t="e">
        <f t="shared" ref="J433" si="191">+J432-I432</f>
        <v>#REF!</v>
      </c>
      <c r="K433" s="330"/>
    </row>
    <row r="434" spans="1:13" s="329" customFormat="1" x14ac:dyDescent="0.3">
      <c r="C434" s="531"/>
      <c r="D434" s="337">
        <f>+D433/C432</f>
        <v>-3.382846015474756E-2</v>
      </c>
      <c r="E434" s="337">
        <f t="shared" ref="E434" si="192">+E433/D432</f>
        <v>4.7258070635885045E-3</v>
      </c>
      <c r="F434" s="337">
        <f t="shared" ref="F434" si="193">+F433/E432</f>
        <v>6.4850678891348726E-2</v>
      </c>
      <c r="G434" s="337">
        <f t="shared" ref="G434" si="194">+G433/F432</f>
        <v>-3.5588843706256729E-2</v>
      </c>
      <c r="H434" s="337">
        <f t="shared" ref="H434" si="195">+H433/G432</f>
        <v>4.6631896278979047E-2</v>
      </c>
      <c r="I434" s="337" t="e">
        <f t="shared" ref="I434" si="196">+I433/H432</f>
        <v>#REF!</v>
      </c>
      <c r="J434" s="337" t="e">
        <f t="shared" ref="J434" si="197">+J433/I432</f>
        <v>#REF!</v>
      </c>
      <c r="K434" s="330"/>
    </row>
    <row r="435" spans="1:13" ht="14.5" x14ac:dyDescent="0.35">
      <c r="A435" s="298"/>
      <c r="B435" s="298"/>
      <c r="C435" s="303"/>
      <c r="D435" s="303"/>
      <c r="E435" s="303"/>
      <c r="F435" s="303"/>
      <c r="G435" s="303"/>
      <c r="H435" s="303"/>
      <c r="I435" s="303"/>
      <c r="J435" s="303"/>
      <c r="K435" s="298"/>
      <c r="L435" s="298"/>
      <c r="M435" s="298"/>
    </row>
    <row r="436" spans="1:13" x14ac:dyDescent="0.3">
      <c r="C436" s="472" t="s">
        <v>306</v>
      </c>
      <c r="D436" s="473"/>
      <c r="E436" s="473"/>
      <c r="F436" s="473"/>
      <c r="G436" s="473"/>
      <c r="H436" s="473"/>
      <c r="I436" s="473"/>
      <c r="J436" s="474"/>
      <c r="K436" s="158"/>
    </row>
    <row r="437" spans="1:13" ht="28" x14ac:dyDescent="0.3">
      <c r="C437" s="224" t="s">
        <v>278</v>
      </c>
      <c r="D437" s="224" t="s">
        <v>279</v>
      </c>
      <c r="E437" s="224" t="s">
        <v>280</v>
      </c>
      <c r="F437" s="224" t="s">
        <v>281</v>
      </c>
      <c r="G437" s="224" t="s">
        <v>282</v>
      </c>
      <c r="H437" s="224" t="s">
        <v>283</v>
      </c>
      <c r="I437" s="227" t="s">
        <v>296</v>
      </c>
      <c r="J437" s="227" t="s">
        <v>297</v>
      </c>
    </row>
    <row r="438" spans="1:13" ht="14.5" thickBot="1" x14ac:dyDescent="0.35">
      <c r="C438" s="334">
        <f t="shared" ref="C438:J438" si="198">+C343</f>
        <v>945</v>
      </c>
      <c r="D438" s="335">
        <f t="shared" si="198"/>
        <v>944</v>
      </c>
      <c r="E438" s="335">
        <f t="shared" si="198"/>
        <v>939</v>
      </c>
      <c r="F438" s="335">
        <f t="shared" si="198"/>
        <v>940</v>
      </c>
      <c r="G438" s="335">
        <f t="shared" si="198"/>
        <v>936</v>
      </c>
      <c r="H438" s="335">
        <f t="shared" si="198"/>
        <v>950</v>
      </c>
      <c r="I438" s="335">
        <f t="shared" si="198"/>
        <v>944</v>
      </c>
      <c r="J438" s="335">
        <f t="shared" si="198"/>
        <v>938</v>
      </c>
      <c r="K438" s="158"/>
    </row>
    <row r="439" spans="1:13" s="329" customFormat="1" ht="14.5" thickTop="1" x14ac:dyDescent="0.3">
      <c r="C439" s="530" t="s">
        <v>294</v>
      </c>
      <c r="D439" s="336">
        <f t="shared" ref="D439" si="199">+D438-C438</f>
        <v>-1</v>
      </c>
      <c r="E439" s="336">
        <f t="shared" ref="E439" si="200">+E438-D438</f>
        <v>-5</v>
      </c>
      <c r="F439" s="336">
        <f t="shared" ref="F439" si="201">+F438-E438</f>
        <v>1</v>
      </c>
      <c r="G439" s="336">
        <f t="shared" ref="G439" si="202">+G438-F438</f>
        <v>-4</v>
      </c>
      <c r="H439" s="336">
        <f t="shared" ref="H439" si="203">+H438-G438</f>
        <v>14</v>
      </c>
      <c r="I439" s="336">
        <f t="shared" ref="I439" si="204">+I438-H438</f>
        <v>-6</v>
      </c>
      <c r="J439" s="336">
        <f t="shared" ref="J439" si="205">+J438-I438</f>
        <v>-6</v>
      </c>
      <c r="K439" s="330"/>
    </row>
    <row r="440" spans="1:13" s="329" customFormat="1" x14ac:dyDescent="0.3">
      <c r="C440" s="531"/>
      <c r="D440" s="337">
        <f>+D439/C438</f>
        <v>-1.0582010582010583E-3</v>
      </c>
      <c r="E440" s="337">
        <f t="shared" ref="E440" si="206">+E439/D438</f>
        <v>-5.2966101694915252E-3</v>
      </c>
      <c r="F440" s="337">
        <f t="shared" ref="F440" si="207">+F439/E438</f>
        <v>1.0649627263045794E-3</v>
      </c>
      <c r="G440" s="337">
        <f t="shared" ref="G440" si="208">+G439/F438</f>
        <v>-4.2553191489361703E-3</v>
      </c>
      <c r="H440" s="337">
        <f t="shared" ref="H440" si="209">+H439/G438</f>
        <v>1.4957264957264958E-2</v>
      </c>
      <c r="I440" s="337">
        <f t="shared" ref="I440" si="210">+I439/H438</f>
        <v>-6.3157894736842104E-3</v>
      </c>
      <c r="J440" s="337">
        <f t="shared" ref="J440" si="211">+J439/I438</f>
        <v>-6.3559322033898309E-3</v>
      </c>
      <c r="K440" s="330"/>
    </row>
    <row r="441" spans="1:13" x14ac:dyDescent="0.3">
      <c r="C441" s="158"/>
      <c r="D441" s="158"/>
      <c r="E441" s="158"/>
      <c r="F441" s="158"/>
      <c r="G441" s="158"/>
      <c r="H441" s="158"/>
      <c r="I441" s="158"/>
      <c r="J441" s="158"/>
    </row>
    <row r="442" spans="1:13" x14ac:dyDescent="0.3">
      <c r="C442" s="472" t="s">
        <v>307</v>
      </c>
      <c r="D442" s="473"/>
      <c r="E442" s="473"/>
      <c r="F442" s="473"/>
      <c r="G442" s="473"/>
      <c r="H442" s="473"/>
      <c r="I442" s="473"/>
      <c r="J442" s="474"/>
      <c r="K442" s="158"/>
    </row>
    <row r="443" spans="1:13" ht="42" x14ac:dyDescent="0.3">
      <c r="C443" s="224" t="s">
        <v>278</v>
      </c>
      <c r="D443" s="224" t="s">
        <v>279</v>
      </c>
      <c r="E443" s="224" t="s">
        <v>280</v>
      </c>
      <c r="F443" s="224" t="s">
        <v>281</v>
      </c>
      <c r="G443" s="224" t="s">
        <v>282</v>
      </c>
      <c r="H443" s="224" t="s">
        <v>283</v>
      </c>
      <c r="I443" s="227" t="s">
        <v>284</v>
      </c>
      <c r="J443" s="227" t="s">
        <v>285</v>
      </c>
    </row>
    <row r="444" spans="1:13" ht="14.5" thickBot="1" x14ac:dyDescent="0.35">
      <c r="C444" s="334">
        <f t="shared" ref="C444:J444" si="212">+C344</f>
        <v>845285976.7076</v>
      </c>
      <c r="D444" s="335">
        <f t="shared" si="212"/>
        <v>840637054.20000005</v>
      </c>
      <c r="E444" s="335">
        <f t="shared" si="212"/>
        <v>832883576.37</v>
      </c>
      <c r="F444" s="335">
        <f t="shared" si="212"/>
        <v>826789277.62599993</v>
      </c>
      <c r="G444" s="335">
        <f t="shared" si="212"/>
        <v>804219318.22000003</v>
      </c>
      <c r="H444" s="335">
        <f t="shared" si="212"/>
        <v>839662732.86000001</v>
      </c>
      <c r="I444" s="335">
        <f t="shared" si="212"/>
        <v>808439964.10434783</v>
      </c>
      <c r="J444" s="335">
        <f t="shared" si="212"/>
        <v>792300195.48167753</v>
      </c>
      <c r="K444" s="158"/>
    </row>
    <row r="445" spans="1:13" s="329" customFormat="1" ht="14.5" thickTop="1" x14ac:dyDescent="0.3">
      <c r="C445" s="530" t="s">
        <v>294</v>
      </c>
      <c r="D445" s="336">
        <f t="shared" ref="D445" si="213">+D444-C444</f>
        <v>-4648922.5075999498</v>
      </c>
      <c r="E445" s="336">
        <f t="shared" ref="E445" si="214">+E444-D444</f>
        <v>-7753477.8300000429</v>
      </c>
      <c r="F445" s="336">
        <f t="shared" ref="F445" si="215">+F444-E444</f>
        <v>-6094298.7440000772</v>
      </c>
      <c r="G445" s="336">
        <f t="shared" ref="G445" si="216">+G444-F444</f>
        <v>-22569959.405999899</v>
      </c>
      <c r="H445" s="336">
        <f t="shared" ref="H445" si="217">+H444-G444</f>
        <v>35443414.639999986</v>
      </c>
      <c r="I445" s="336">
        <f t="shared" ref="I445" si="218">+I444-H444</f>
        <v>-31222768.755652189</v>
      </c>
      <c r="J445" s="336">
        <f t="shared" ref="J445" si="219">+J444-I444</f>
        <v>-16139768.622670293</v>
      </c>
      <c r="K445" s="330"/>
    </row>
    <row r="446" spans="1:13" s="329" customFormat="1" x14ac:dyDescent="0.3">
      <c r="C446" s="531"/>
      <c r="D446" s="337">
        <f>+D445/C444</f>
        <v>-5.4998221142950506E-3</v>
      </c>
      <c r="E446" s="337">
        <f t="shared" ref="E446" si="220">+E445/D444</f>
        <v>-9.2233357918997654E-3</v>
      </c>
      <c r="F446" s="337">
        <f t="shared" ref="F446" si="221">+F445/E444</f>
        <v>-7.3171075969118973E-3</v>
      </c>
      <c r="G446" s="337">
        <f t="shared" ref="G446" si="222">+G445/F444</f>
        <v>-2.7298321370115147E-2</v>
      </c>
      <c r="H446" s="337">
        <f t="shared" ref="H446" si="223">+H445/G444</f>
        <v>4.4071826971836287E-2</v>
      </c>
      <c r="I446" s="337">
        <f t="shared" ref="I446" si="224">+I445/H444</f>
        <v>-3.7184892854900675E-2</v>
      </c>
      <c r="J446" s="337">
        <f t="shared" ref="J446" si="225">+J445/I444</f>
        <v>-1.9964090519140991E-2</v>
      </c>
      <c r="K446" s="330"/>
    </row>
    <row r="448" spans="1:13" x14ac:dyDescent="0.3">
      <c r="C448" s="472" t="s">
        <v>308</v>
      </c>
      <c r="D448" s="473"/>
      <c r="E448" s="473"/>
      <c r="F448" s="473"/>
      <c r="G448" s="473"/>
      <c r="H448" s="473"/>
      <c r="I448" s="473"/>
      <c r="J448" s="474"/>
      <c r="K448" s="158"/>
    </row>
    <row r="449" spans="1:13" ht="28" x14ac:dyDescent="0.3">
      <c r="C449" s="224" t="s">
        <v>278</v>
      </c>
      <c r="D449" s="224" t="s">
        <v>279</v>
      </c>
      <c r="E449" s="224" t="s">
        <v>280</v>
      </c>
      <c r="F449" s="224" t="s">
        <v>281</v>
      </c>
      <c r="G449" s="224" t="s">
        <v>282</v>
      </c>
      <c r="H449" s="224" t="s">
        <v>283</v>
      </c>
      <c r="I449" s="227" t="s">
        <v>296</v>
      </c>
      <c r="J449" s="227" t="s">
        <v>297</v>
      </c>
    </row>
    <row r="450" spans="1:13" ht="14.5" thickBot="1" x14ac:dyDescent="0.35">
      <c r="C450" s="334">
        <f t="shared" ref="C450:J450" si="226">+C345</f>
        <v>2236471.5</v>
      </c>
      <c r="D450" s="335">
        <f t="shared" si="226"/>
        <v>2254484.0304</v>
      </c>
      <c r="E450" s="335">
        <f t="shared" si="226"/>
        <v>2179516.0928000002</v>
      </c>
      <c r="F450" s="335">
        <f t="shared" si="226"/>
        <v>2202540.5194999999</v>
      </c>
      <c r="G450" s="335">
        <f t="shared" si="226"/>
        <v>2137754.0781999999</v>
      </c>
      <c r="H450" s="335">
        <f t="shared" si="226"/>
        <v>2237693.4872000003</v>
      </c>
      <c r="I450" s="335">
        <f t="shared" si="226"/>
        <v>2116715.8034000001</v>
      </c>
      <c r="J450" s="335">
        <f t="shared" si="226"/>
        <v>2078664.0092</v>
      </c>
      <c r="K450" s="158"/>
    </row>
    <row r="451" spans="1:13" s="329" customFormat="1" ht="14.5" thickTop="1" x14ac:dyDescent="0.3">
      <c r="C451" s="530" t="s">
        <v>294</v>
      </c>
      <c r="D451" s="336">
        <f t="shared" ref="D451" si="227">+D450-C450</f>
        <v>18012.530400000047</v>
      </c>
      <c r="E451" s="336">
        <f t="shared" ref="E451" si="228">+E450-D450</f>
        <v>-74967.93759999983</v>
      </c>
      <c r="F451" s="336">
        <f t="shared" ref="F451" si="229">+F450-E450</f>
        <v>23024.42669999972</v>
      </c>
      <c r="G451" s="336">
        <f t="shared" ref="G451" si="230">+G450-F450</f>
        <v>-64786.441300000064</v>
      </c>
      <c r="H451" s="336">
        <f t="shared" ref="H451" si="231">+H450-G450</f>
        <v>99939.409000000451</v>
      </c>
      <c r="I451" s="336">
        <f t="shared" ref="I451" si="232">+I450-H450</f>
        <v>-120977.68380000023</v>
      </c>
      <c r="J451" s="336">
        <f t="shared" ref="J451" si="233">+J450-I450</f>
        <v>-38051.79420000012</v>
      </c>
      <c r="K451" s="330"/>
    </row>
    <row r="452" spans="1:13" s="329" customFormat="1" x14ac:dyDescent="0.3">
      <c r="C452" s="531"/>
      <c r="D452" s="337">
        <f>+D451/C450</f>
        <v>8.0539950542629531E-3</v>
      </c>
      <c r="E452" s="337">
        <f t="shared" ref="E452" si="234">+E451/D450</f>
        <v>-3.3252813765417846E-2</v>
      </c>
      <c r="F452" s="337">
        <f t="shared" ref="F452" si="235">+F451/E450</f>
        <v>1.0564008577895148E-2</v>
      </c>
      <c r="G452" s="337">
        <f t="shared" ref="G452" si="236">+G451/F450</f>
        <v>-2.941441518392918E-2</v>
      </c>
      <c r="H452" s="337">
        <f t="shared" ref="H452" si="237">+H451/G450</f>
        <v>4.6749722065388341E-2</v>
      </c>
      <c r="I452" s="337">
        <f t="shared" ref="I452" si="238">+I451/H450</f>
        <v>-5.4063563437983721E-2</v>
      </c>
      <c r="J452" s="337">
        <f t="shared" ref="J452" si="239">+J451/I450</f>
        <v>-1.7976808288991356E-2</v>
      </c>
      <c r="K452" s="330"/>
    </row>
    <row r="453" spans="1:13" x14ac:dyDescent="0.3">
      <c r="C453" s="158"/>
      <c r="D453" s="158"/>
      <c r="E453" s="158"/>
      <c r="F453" s="158"/>
      <c r="G453" s="158"/>
      <c r="H453" s="158"/>
      <c r="I453" s="158"/>
      <c r="J453" s="158"/>
    </row>
    <row r="454" spans="1:13" x14ac:dyDescent="0.3">
      <c r="C454" s="472" t="s">
        <v>309</v>
      </c>
      <c r="D454" s="473"/>
      <c r="E454" s="473"/>
      <c r="F454" s="473"/>
      <c r="G454" s="473"/>
      <c r="H454" s="473"/>
      <c r="I454" s="473"/>
      <c r="J454" s="474"/>
      <c r="K454" s="158"/>
    </row>
    <row r="455" spans="1:13" ht="42" x14ac:dyDescent="0.3">
      <c r="C455" s="224" t="s">
        <v>278</v>
      </c>
      <c r="D455" s="224" t="s">
        <v>279</v>
      </c>
      <c r="E455" s="224" t="s">
        <v>280</v>
      </c>
      <c r="F455" s="224" t="s">
        <v>281</v>
      </c>
      <c r="G455" s="224" t="s">
        <v>282</v>
      </c>
      <c r="H455" s="224" t="s">
        <v>283</v>
      </c>
      <c r="I455" s="227" t="s">
        <v>284</v>
      </c>
      <c r="J455" s="227" t="s">
        <v>285</v>
      </c>
    </row>
    <row r="456" spans="1:13" ht="14.5" thickBot="1" x14ac:dyDescent="0.35">
      <c r="C456" s="334">
        <v>245561</v>
      </c>
      <c r="D456" s="335">
        <v>215151.89999999997</v>
      </c>
      <c r="E456" s="335">
        <v>220443</v>
      </c>
      <c r="F456" s="335">
        <v>256618.09000000003</v>
      </c>
      <c r="G456" s="335">
        <v>256922.31</v>
      </c>
      <c r="H456" s="335">
        <v>270014.34999999998</v>
      </c>
      <c r="I456" s="335" t="e">
        <f>+'19COP-Z'!#REF!</f>
        <v>#REF!</v>
      </c>
      <c r="J456" s="335" t="e">
        <f>+'20COP-Z'!#REF!</f>
        <v>#REF!</v>
      </c>
      <c r="K456" s="158"/>
    </row>
    <row r="457" spans="1:13" s="329" customFormat="1" ht="14.5" thickTop="1" x14ac:dyDescent="0.3">
      <c r="C457" s="530" t="s">
        <v>294</v>
      </c>
      <c r="D457" s="336">
        <f>+D456-C456</f>
        <v>-30409.100000000035</v>
      </c>
      <c r="E457" s="336">
        <f t="shared" ref="E457" si="240">+E456-D456</f>
        <v>5291.1000000000349</v>
      </c>
      <c r="F457" s="336">
        <f t="shared" ref="F457" si="241">+F456-E456</f>
        <v>36175.090000000026</v>
      </c>
      <c r="G457" s="336">
        <f t="shared" ref="G457" si="242">+G456-F456</f>
        <v>304.21999999997206</v>
      </c>
      <c r="H457" s="336">
        <f t="shared" ref="H457" si="243">+H456-G456</f>
        <v>13092.039999999979</v>
      </c>
      <c r="I457" s="336" t="e">
        <f t="shared" ref="I457" si="244">+I456-H456</f>
        <v>#REF!</v>
      </c>
      <c r="J457" s="336" t="e">
        <f t="shared" ref="J457" si="245">+J456-I456</f>
        <v>#REF!</v>
      </c>
      <c r="K457" s="330"/>
    </row>
    <row r="458" spans="1:13" s="329" customFormat="1" x14ac:dyDescent="0.3">
      <c r="C458" s="531"/>
      <c r="D458" s="337">
        <f>+D457/C456</f>
        <v>-0.12383521813317276</v>
      </c>
      <c r="E458" s="337">
        <f t="shared" ref="E458" si="246">+E457/D456</f>
        <v>2.4592392630509122E-2</v>
      </c>
      <c r="F458" s="337">
        <f t="shared" ref="F458" si="247">+F457/E456</f>
        <v>0.16410178594920241</v>
      </c>
      <c r="G458" s="337">
        <f t="shared" ref="G458" si="248">+G457/F456</f>
        <v>1.1854970941447347E-3</v>
      </c>
      <c r="H458" s="337">
        <f t="shared" ref="H458" si="249">+H457/G456</f>
        <v>5.0957194024917413E-2</v>
      </c>
      <c r="I458" s="337" t="e">
        <f t="shared" ref="I458" si="250">+I457/H456</f>
        <v>#REF!</v>
      </c>
      <c r="J458" s="337" t="e">
        <f t="shared" ref="J458" si="251">+J457/I456</f>
        <v>#REF!</v>
      </c>
      <c r="K458" s="330"/>
    </row>
    <row r="459" spans="1:13" ht="14.5" x14ac:dyDescent="0.35">
      <c r="A459" s="298"/>
      <c r="B459" s="298"/>
      <c r="C459" s="303"/>
      <c r="D459" s="303"/>
      <c r="E459" s="303"/>
      <c r="F459" s="303"/>
      <c r="G459" s="303"/>
      <c r="H459" s="303"/>
      <c r="I459" s="303"/>
      <c r="J459" s="303"/>
      <c r="K459" s="298"/>
      <c r="L459" s="298"/>
      <c r="M459" s="298"/>
    </row>
    <row r="460" spans="1:13" x14ac:dyDescent="0.3">
      <c r="C460" s="472" t="s">
        <v>310</v>
      </c>
      <c r="D460" s="473"/>
      <c r="E460" s="473"/>
      <c r="F460" s="473"/>
      <c r="G460" s="473"/>
      <c r="H460" s="473"/>
      <c r="I460" s="473"/>
      <c r="J460" s="474"/>
      <c r="K460" s="158"/>
    </row>
    <row r="461" spans="1:13" ht="28" x14ac:dyDescent="0.3">
      <c r="C461" s="224" t="s">
        <v>278</v>
      </c>
      <c r="D461" s="224" t="s">
        <v>279</v>
      </c>
      <c r="E461" s="224" t="s">
        <v>280</v>
      </c>
      <c r="F461" s="224" t="s">
        <v>281</v>
      </c>
      <c r="G461" s="224" t="s">
        <v>282</v>
      </c>
      <c r="H461" s="224" t="s">
        <v>283</v>
      </c>
      <c r="I461" s="227" t="s">
        <v>296</v>
      </c>
      <c r="J461" s="227" t="s">
        <v>297</v>
      </c>
    </row>
    <row r="462" spans="1:13" ht="14.5" thickBot="1" x14ac:dyDescent="0.35">
      <c r="C462" s="334">
        <f t="shared" ref="C462:J462" si="252">+C348</f>
        <v>1</v>
      </c>
      <c r="D462" s="335">
        <f t="shared" si="252"/>
        <v>2</v>
      </c>
      <c r="E462" s="335">
        <f t="shared" si="252"/>
        <v>1</v>
      </c>
      <c r="F462" s="335">
        <f t="shared" si="252"/>
        <v>1</v>
      </c>
      <c r="G462" s="335">
        <f t="shared" si="252"/>
        <v>1</v>
      </c>
      <c r="H462" s="335">
        <f t="shared" si="252"/>
        <v>1</v>
      </c>
      <c r="I462" s="335">
        <f t="shared" si="252"/>
        <v>1</v>
      </c>
      <c r="J462" s="335">
        <f t="shared" si="252"/>
        <v>1</v>
      </c>
      <c r="K462" s="158"/>
    </row>
    <row r="463" spans="1:13" s="329" customFormat="1" ht="14.5" thickTop="1" x14ac:dyDescent="0.3">
      <c r="C463" s="530" t="s">
        <v>294</v>
      </c>
      <c r="D463" s="336">
        <f t="shared" ref="D463" si="253">+D462-C462</f>
        <v>1</v>
      </c>
      <c r="E463" s="336">
        <f t="shared" ref="E463" si="254">+E462-D462</f>
        <v>-1</v>
      </c>
      <c r="F463" s="336">
        <f t="shared" ref="F463" si="255">+F462-E462</f>
        <v>0</v>
      </c>
      <c r="G463" s="336">
        <f t="shared" ref="G463" si="256">+G462-F462</f>
        <v>0</v>
      </c>
      <c r="H463" s="336">
        <f t="shared" ref="H463" si="257">+H462-G462</f>
        <v>0</v>
      </c>
      <c r="I463" s="336">
        <f t="shared" ref="I463" si="258">+I462-H462</f>
        <v>0</v>
      </c>
      <c r="J463" s="336">
        <f t="shared" ref="J463" si="259">+J462-I462</f>
        <v>0</v>
      </c>
      <c r="K463" s="330"/>
    </row>
    <row r="464" spans="1:13" s="329" customFormat="1" x14ac:dyDescent="0.3">
      <c r="C464" s="531"/>
      <c r="D464" s="337">
        <f>+D463/C462</f>
        <v>1</v>
      </c>
      <c r="E464" s="337">
        <f t="shared" ref="E464" si="260">+E463/D462</f>
        <v>-0.5</v>
      </c>
      <c r="F464" s="337">
        <f t="shared" ref="F464" si="261">+F463/E462</f>
        <v>0</v>
      </c>
      <c r="G464" s="337">
        <f t="shared" ref="G464" si="262">+G463/F462</f>
        <v>0</v>
      </c>
      <c r="H464" s="337">
        <f t="shared" ref="H464" si="263">+H463/G462</f>
        <v>0</v>
      </c>
      <c r="I464" s="337">
        <f t="shared" ref="I464" si="264">+I463/H462</f>
        <v>0</v>
      </c>
      <c r="J464" s="337">
        <f t="shared" ref="J464" si="265">+J463/I462</f>
        <v>0</v>
      </c>
      <c r="K464" s="330"/>
    </row>
    <row r="465" spans="3:11" x14ac:dyDescent="0.3">
      <c r="C465" s="158"/>
      <c r="D465" s="158"/>
      <c r="E465" s="158"/>
      <c r="F465" s="158"/>
      <c r="G465" s="158"/>
      <c r="H465" s="158"/>
      <c r="I465" s="158"/>
      <c r="J465" s="158"/>
    </row>
    <row r="466" spans="3:11" x14ac:dyDescent="0.3">
      <c r="C466" s="472" t="s">
        <v>311</v>
      </c>
      <c r="D466" s="473"/>
      <c r="E466" s="473"/>
      <c r="F466" s="473"/>
      <c r="G466" s="473"/>
      <c r="H466" s="473"/>
      <c r="I466" s="473"/>
      <c r="J466" s="474"/>
      <c r="K466" s="158"/>
    </row>
    <row r="467" spans="3:11" ht="42" x14ac:dyDescent="0.3">
      <c r="C467" s="224" t="s">
        <v>278</v>
      </c>
      <c r="D467" s="224" t="s">
        <v>279</v>
      </c>
      <c r="E467" s="224" t="s">
        <v>280</v>
      </c>
      <c r="F467" s="224" t="s">
        <v>281</v>
      </c>
      <c r="G467" s="224" t="s">
        <v>282</v>
      </c>
      <c r="H467" s="224" t="s">
        <v>283</v>
      </c>
      <c r="I467" s="227" t="s">
        <v>284</v>
      </c>
      <c r="J467" s="227" t="s">
        <v>285</v>
      </c>
    </row>
    <row r="468" spans="3:11" ht="14.5" thickBot="1" x14ac:dyDescent="0.35">
      <c r="C468" s="334">
        <f t="shared" ref="C468:J468" si="266">+C349</f>
        <v>31798990.2925</v>
      </c>
      <c r="D468" s="335">
        <f t="shared" si="266"/>
        <v>63442910.469046049</v>
      </c>
      <c r="E468" s="335">
        <f t="shared" si="266"/>
        <v>35769405.710000001</v>
      </c>
      <c r="F468" s="335">
        <f t="shared" si="266"/>
        <v>28906567.2128</v>
      </c>
      <c r="G468" s="335">
        <f t="shared" si="266"/>
        <v>31425633.769499999</v>
      </c>
      <c r="H468" s="335">
        <f t="shared" si="266"/>
        <v>33369028.32</v>
      </c>
      <c r="I468" s="335">
        <f t="shared" si="266"/>
        <v>34219938.542199999</v>
      </c>
      <c r="J468" s="335">
        <f t="shared" si="266"/>
        <v>35092546.975000001</v>
      </c>
      <c r="K468" s="158"/>
    </row>
    <row r="469" spans="3:11" s="329" customFormat="1" ht="14.5" thickTop="1" x14ac:dyDescent="0.3">
      <c r="C469" s="530" t="s">
        <v>294</v>
      </c>
      <c r="D469" s="336">
        <f t="shared" ref="D469" si="267">+D468-C468</f>
        <v>31643920.176546048</v>
      </c>
      <c r="E469" s="336">
        <f t="shared" ref="E469" si="268">+E468-D468</f>
        <v>-27673504.759046048</v>
      </c>
      <c r="F469" s="336">
        <f t="shared" ref="F469" si="269">+F468-E468</f>
        <v>-6862838.497200001</v>
      </c>
      <c r="G469" s="336">
        <f t="shared" ref="G469" si="270">+G468-F468</f>
        <v>2519066.5566999987</v>
      </c>
      <c r="H469" s="336">
        <f t="shared" ref="H469" si="271">+H468-G468</f>
        <v>1943394.5505000018</v>
      </c>
      <c r="I469" s="336">
        <f t="shared" ref="I469" si="272">+I468-H468</f>
        <v>850910.2221999988</v>
      </c>
      <c r="J469" s="336">
        <f t="shared" ref="J469" si="273">+J468-I468</f>
        <v>872608.4328000024</v>
      </c>
      <c r="K469" s="330"/>
    </row>
    <row r="470" spans="3:11" s="329" customFormat="1" x14ac:dyDescent="0.3">
      <c r="C470" s="531"/>
      <c r="D470" s="337">
        <f>+D469/C468</f>
        <v>0.99512342641928075</v>
      </c>
      <c r="E470" s="337">
        <f t="shared" ref="E470" si="274">+E469/D468</f>
        <v>-0.43619538502332766</v>
      </c>
      <c r="F470" s="337">
        <f t="shared" ref="F470" si="275">+F469/E468</f>
        <v>-0.19186336370361801</v>
      </c>
      <c r="G470" s="337">
        <f t="shared" ref="G470" si="276">+G469/F468</f>
        <v>8.714512996840873E-2</v>
      </c>
      <c r="H470" s="337">
        <f t="shared" ref="H470" si="277">+H469/G468</f>
        <v>6.1841061496304785E-2</v>
      </c>
      <c r="I470" s="337">
        <f t="shared" ref="I470" si="278">+I469/H468</f>
        <v>2.5500000001198678E-2</v>
      </c>
      <c r="J470" s="337">
        <f t="shared" ref="J470" si="279">+J469/I468</f>
        <v>2.5499999999237358E-2</v>
      </c>
      <c r="K470" s="330"/>
    </row>
    <row r="472" spans="3:11" x14ac:dyDescent="0.3">
      <c r="C472" s="472" t="s">
        <v>312</v>
      </c>
      <c r="D472" s="473"/>
      <c r="E472" s="473"/>
      <c r="F472" s="473"/>
      <c r="G472" s="473"/>
      <c r="H472" s="473"/>
      <c r="I472" s="473"/>
      <c r="J472" s="474"/>
      <c r="K472" s="158"/>
    </row>
    <row r="473" spans="3:11" ht="28" x14ac:dyDescent="0.3">
      <c r="C473" s="224" t="s">
        <v>278</v>
      </c>
      <c r="D473" s="224" t="s">
        <v>279</v>
      </c>
      <c r="E473" s="224" t="s">
        <v>280</v>
      </c>
      <c r="F473" s="224" t="s">
        <v>281</v>
      </c>
      <c r="G473" s="224" t="s">
        <v>282</v>
      </c>
      <c r="H473" s="224" t="s">
        <v>283</v>
      </c>
      <c r="I473" s="227" t="s">
        <v>296</v>
      </c>
      <c r="J473" s="227" t="s">
        <v>297</v>
      </c>
    </row>
    <row r="474" spans="3:11" ht="14.5" thickBot="1" x14ac:dyDescent="0.35">
      <c r="C474" s="334">
        <f t="shared" ref="C474:J474" si="280">+C350</f>
        <v>63001.72</v>
      </c>
      <c r="D474" s="335">
        <f t="shared" si="280"/>
        <v>44711.85</v>
      </c>
      <c r="E474" s="335">
        <f t="shared" si="280"/>
        <v>45213.11</v>
      </c>
      <c r="F474" s="335">
        <f t="shared" si="280"/>
        <v>45218.23</v>
      </c>
      <c r="G474" s="335">
        <f t="shared" si="280"/>
        <v>42035.72</v>
      </c>
      <c r="H474" s="335">
        <f t="shared" si="280"/>
        <v>20808.9388</v>
      </c>
      <c r="I474" s="335">
        <f t="shared" si="280"/>
        <v>20613.041099999999</v>
      </c>
      <c r="J474" s="335">
        <f t="shared" si="280"/>
        <v>20391.435300000001</v>
      </c>
      <c r="K474" s="158"/>
    </row>
    <row r="475" spans="3:11" s="329" customFormat="1" ht="14.5" thickTop="1" x14ac:dyDescent="0.3">
      <c r="C475" s="530" t="s">
        <v>294</v>
      </c>
      <c r="D475" s="336">
        <f t="shared" ref="D475" si="281">+D474-C474</f>
        <v>-18289.870000000003</v>
      </c>
      <c r="E475" s="336">
        <f t="shared" ref="E475" si="282">+E474-D474</f>
        <v>501.26000000000204</v>
      </c>
      <c r="F475" s="336">
        <f t="shared" ref="F475" si="283">+F474-E474</f>
        <v>5.1200000000026193</v>
      </c>
      <c r="G475" s="336">
        <f t="shared" ref="G475" si="284">+G474-F474</f>
        <v>-3182.510000000002</v>
      </c>
      <c r="H475" s="336">
        <f t="shared" ref="H475" si="285">+H474-G474</f>
        <v>-21226.781200000001</v>
      </c>
      <c r="I475" s="336">
        <f t="shared" ref="I475" si="286">+I474-H474</f>
        <v>-195.89770000000135</v>
      </c>
      <c r="J475" s="336">
        <f t="shared" ref="J475" si="287">+J474-I474</f>
        <v>-221.60579999999754</v>
      </c>
      <c r="K475" s="330"/>
    </row>
    <row r="476" spans="3:11" s="329" customFormat="1" x14ac:dyDescent="0.3">
      <c r="C476" s="531"/>
      <c r="D476" s="337">
        <f>+D475/C474</f>
        <v>-0.29030747097063386</v>
      </c>
      <c r="E476" s="337">
        <f t="shared" ref="E476" si="288">+E475/D474</f>
        <v>1.121089822944034E-2</v>
      </c>
      <c r="F476" s="337">
        <f t="shared" ref="F476" si="289">+F475/E474</f>
        <v>1.1324149124009871E-4</v>
      </c>
      <c r="G476" s="337">
        <f t="shared" ref="G476" si="290">+G475/F474</f>
        <v>-7.0381127257745424E-2</v>
      </c>
      <c r="H476" s="337">
        <f t="shared" ref="H476" si="291">+H475/G474</f>
        <v>-0.50497008734476301</v>
      </c>
      <c r="I476" s="337">
        <f t="shared" ref="I476" si="292">+I475/H474</f>
        <v>-9.414112938810764E-3</v>
      </c>
      <c r="J476" s="337">
        <f t="shared" ref="J476" si="293">+J475/I474</f>
        <v>-1.0750757199043162E-2</v>
      </c>
      <c r="K476" s="330"/>
    </row>
    <row r="477" spans="3:11" x14ac:dyDescent="0.3">
      <c r="C477" s="158"/>
      <c r="D477" s="158"/>
      <c r="E477" s="158"/>
      <c r="F477" s="158"/>
      <c r="G477" s="158"/>
      <c r="H477" s="158"/>
      <c r="I477" s="158"/>
      <c r="J477" s="158"/>
    </row>
    <row r="478" spans="3:11" x14ac:dyDescent="0.3">
      <c r="C478" s="472" t="s">
        <v>313</v>
      </c>
      <c r="D478" s="473"/>
      <c r="E478" s="473"/>
      <c r="F478" s="473"/>
      <c r="G478" s="473"/>
      <c r="H478" s="473"/>
      <c r="I478" s="473"/>
      <c r="J478" s="474"/>
      <c r="K478" s="158"/>
    </row>
    <row r="479" spans="3:11" ht="42" x14ac:dyDescent="0.3">
      <c r="C479" s="224" t="s">
        <v>278</v>
      </c>
      <c r="D479" s="224" t="s">
        <v>279</v>
      </c>
      <c r="E479" s="224" t="s">
        <v>280</v>
      </c>
      <c r="F479" s="224" t="s">
        <v>281</v>
      </c>
      <c r="G479" s="224" t="s">
        <v>282</v>
      </c>
      <c r="H479" s="224" t="s">
        <v>283</v>
      </c>
      <c r="I479" s="227" t="s">
        <v>284</v>
      </c>
      <c r="J479" s="227" t="s">
        <v>285</v>
      </c>
    </row>
    <row r="480" spans="3:11" ht="14.5" thickBot="1" x14ac:dyDescent="0.35">
      <c r="C480" s="334">
        <v>415847</v>
      </c>
      <c r="D480" s="335">
        <v>404344.87</v>
      </c>
      <c r="E480" s="335">
        <v>419699.52</v>
      </c>
      <c r="F480" s="335">
        <v>431705.59999999998</v>
      </c>
      <c r="G480" s="335">
        <v>424328.92</v>
      </c>
      <c r="H480" s="335">
        <v>322045.78000000003</v>
      </c>
      <c r="I480" s="335" t="e">
        <f>+'19COP-Z'!#REF!</f>
        <v>#REF!</v>
      </c>
      <c r="J480" s="335" t="e">
        <f>+'20COP-Z'!#REF!</f>
        <v>#REF!</v>
      </c>
      <c r="K480" s="158"/>
    </row>
    <row r="481" spans="1:13" s="329" customFormat="1" ht="14.5" thickTop="1" x14ac:dyDescent="0.3">
      <c r="C481" s="530" t="s">
        <v>294</v>
      </c>
      <c r="D481" s="336">
        <f>+D480-C480</f>
        <v>-11502.130000000005</v>
      </c>
      <c r="E481" s="336">
        <f t="shared" ref="E481" si="294">+E480-D480</f>
        <v>15354.650000000023</v>
      </c>
      <c r="F481" s="336">
        <f t="shared" ref="F481" si="295">+F480-E480</f>
        <v>12006.079999999958</v>
      </c>
      <c r="G481" s="336">
        <f t="shared" ref="G481" si="296">+G480-F480</f>
        <v>-7376.679999999993</v>
      </c>
      <c r="H481" s="336">
        <f t="shared" ref="H481" si="297">+H480-G480</f>
        <v>-102283.13999999996</v>
      </c>
      <c r="I481" s="336" t="e">
        <f t="shared" ref="I481" si="298">+I480-H480</f>
        <v>#REF!</v>
      </c>
      <c r="J481" s="336" t="e">
        <f t="shared" ref="J481" si="299">+J480-I480</f>
        <v>#REF!</v>
      </c>
      <c r="K481" s="330"/>
    </row>
    <row r="482" spans="1:13" s="329" customFormat="1" x14ac:dyDescent="0.3">
      <c r="C482" s="531"/>
      <c r="D482" s="337">
        <f>+D481/C480</f>
        <v>-2.765952381524937E-2</v>
      </c>
      <c r="E482" s="337">
        <f t="shared" ref="E482" si="300">+E481/D480</f>
        <v>3.7974143210967468E-2</v>
      </c>
      <c r="F482" s="337">
        <f t="shared" ref="F482" si="301">+F481/E480</f>
        <v>2.8606370576740134E-2</v>
      </c>
      <c r="G482" s="337">
        <f t="shared" ref="G482" si="302">+G481/F480</f>
        <v>-1.7087292821774822E-2</v>
      </c>
      <c r="H482" s="337">
        <f t="shared" ref="H482" si="303">+H481/G480</f>
        <v>-0.24104682754123843</v>
      </c>
      <c r="I482" s="337" t="e">
        <f t="shared" ref="I482" si="304">+I481/H480</f>
        <v>#REF!</v>
      </c>
      <c r="J482" s="337" t="e">
        <f t="shared" ref="J482" si="305">+J481/I480</f>
        <v>#REF!</v>
      </c>
      <c r="K482" s="330"/>
    </row>
    <row r="483" spans="1:13" ht="14.5" x14ac:dyDescent="0.35">
      <c r="A483" s="298"/>
      <c r="B483" s="298"/>
      <c r="C483" s="303"/>
      <c r="D483" s="303"/>
      <c r="E483" s="303"/>
      <c r="F483" s="303"/>
      <c r="G483" s="303"/>
      <c r="H483" s="303"/>
      <c r="I483" s="303"/>
      <c r="J483" s="303"/>
      <c r="K483" s="298"/>
      <c r="L483" s="298"/>
      <c r="M483" s="298"/>
    </row>
    <row r="484" spans="1:13" x14ac:dyDescent="0.3">
      <c r="C484" s="472" t="s">
        <v>314</v>
      </c>
      <c r="D484" s="473"/>
      <c r="E484" s="473"/>
      <c r="F484" s="473"/>
      <c r="G484" s="473"/>
      <c r="H484" s="473"/>
      <c r="I484" s="473"/>
      <c r="J484" s="474"/>
      <c r="K484" s="158"/>
    </row>
    <row r="485" spans="1:13" ht="28" x14ac:dyDescent="0.3">
      <c r="C485" s="224" t="s">
        <v>278</v>
      </c>
      <c r="D485" s="224" t="s">
        <v>279</v>
      </c>
      <c r="E485" s="224" t="s">
        <v>280</v>
      </c>
      <c r="F485" s="224" t="s">
        <v>281</v>
      </c>
      <c r="G485" s="224" t="s">
        <v>282</v>
      </c>
      <c r="H485" s="224" t="s">
        <v>283</v>
      </c>
      <c r="I485" s="227" t="s">
        <v>296</v>
      </c>
      <c r="J485" s="227" t="s">
        <v>297</v>
      </c>
    </row>
    <row r="486" spans="1:13" ht="14.5" thickBot="1" x14ac:dyDescent="0.35">
      <c r="C486" s="334">
        <f t="shared" ref="C486:J486" si="306">+C353</f>
        <v>1592</v>
      </c>
      <c r="D486" s="335">
        <f t="shared" si="306"/>
        <v>1616</v>
      </c>
      <c r="E486" s="335">
        <f t="shared" si="306"/>
        <v>1637</v>
      </c>
      <c r="F486" s="335">
        <f t="shared" si="306"/>
        <v>1653</v>
      </c>
      <c r="G486" s="335">
        <f t="shared" si="306"/>
        <v>1696</v>
      </c>
      <c r="H486" s="335">
        <f t="shared" si="306"/>
        <v>1666</v>
      </c>
      <c r="I486" s="335">
        <f t="shared" si="306"/>
        <v>1681</v>
      </c>
      <c r="J486" s="335">
        <f t="shared" si="306"/>
        <v>1696</v>
      </c>
      <c r="K486" s="158"/>
    </row>
    <row r="487" spans="1:13" s="329" customFormat="1" ht="14.5" thickTop="1" x14ac:dyDescent="0.3">
      <c r="C487" s="530" t="s">
        <v>294</v>
      </c>
      <c r="D487" s="336">
        <f t="shared" ref="D487" si="307">+D486-C486</f>
        <v>24</v>
      </c>
      <c r="E487" s="336">
        <f t="shared" ref="E487" si="308">+E486-D486</f>
        <v>21</v>
      </c>
      <c r="F487" s="336">
        <f t="shared" ref="F487" si="309">+F486-E486</f>
        <v>16</v>
      </c>
      <c r="G487" s="336">
        <f t="shared" ref="G487" si="310">+G486-F486</f>
        <v>43</v>
      </c>
      <c r="H487" s="336">
        <f t="shared" ref="H487" si="311">+H486-G486</f>
        <v>-30</v>
      </c>
      <c r="I487" s="336">
        <f t="shared" ref="I487" si="312">+I486-H486</f>
        <v>15</v>
      </c>
      <c r="J487" s="336">
        <f t="shared" ref="J487" si="313">+J486-I486</f>
        <v>15</v>
      </c>
      <c r="K487" s="330"/>
    </row>
    <row r="488" spans="1:13" s="329" customFormat="1" x14ac:dyDescent="0.3">
      <c r="C488" s="531"/>
      <c r="D488" s="337">
        <f>+D487/C486</f>
        <v>1.507537688442211E-2</v>
      </c>
      <c r="E488" s="337">
        <f t="shared" ref="E488" si="314">+E487/D486</f>
        <v>1.2995049504950494E-2</v>
      </c>
      <c r="F488" s="337">
        <f t="shared" ref="F488" si="315">+F487/E486</f>
        <v>9.7739767868051317E-3</v>
      </c>
      <c r="G488" s="337">
        <f t="shared" ref="G488" si="316">+G487/F486</f>
        <v>2.601330913490623E-2</v>
      </c>
      <c r="H488" s="337">
        <f t="shared" ref="H488" si="317">+H487/G486</f>
        <v>-1.7688679245283018E-2</v>
      </c>
      <c r="I488" s="337">
        <f t="shared" ref="I488" si="318">+I487/H486</f>
        <v>9.00360144057623E-3</v>
      </c>
      <c r="J488" s="337">
        <f t="shared" ref="J488" si="319">+J487/I486</f>
        <v>8.92325996430696E-3</v>
      </c>
      <c r="K488" s="330"/>
    </row>
    <row r="489" spans="1:13" x14ac:dyDescent="0.3">
      <c r="C489" s="158"/>
      <c r="D489" s="158"/>
      <c r="E489" s="158"/>
      <c r="F489" s="158"/>
      <c r="G489" s="158"/>
      <c r="H489" s="158"/>
      <c r="I489" s="158"/>
      <c r="J489" s="158"/>
    </row>
    <row r="490" spans="1:13" x14ac:dyDescent="0.3">
      <c r="C490" s="472" t="s">
        <v>315</v>
      </c>
      <c r="D490" s="473"/>
      <c r="E490" s="473"/>
      <c r="F490" s="473"/>
      <c r="G490" s="473"/>
      <c r="H490" s="473"/>
      <c r="I490" s="473"/>
      <c r="J490" s="474"/>
      <c r="K490" s="158"/>
    </row>
    <row r="491" spans="1:13" ht="42" x14ac:dyDescent="0.3">
      <c r="C491" s="224" t="s">
        <v>278</v>
      </c>
      <c r="D491" s="224" t="s">
        <v>279</v>
      </c>
      <c r="E491" s="224" t="s">
        <v>280</v>
      </c>
      <c r="F491" s="224" t="s">
        <v>281</v>
      </c>
      <c r="G491" s="224" t="s">
        <v>282</v>
      </c>
      <c r="H491" s="224" t="s">
        <v>283</v>
      </c>
      <c r="I491" s="227" t="s">
        <v>284</v>
      </c>
      <c r="J491" s="227" t="s">
        <v>285</v>
      </c>
    </row>
    <row r="492" spans="1:13" ht="14.5" thickBot="1" x14ac:dyDescent="0.35">
      <c r="C492" s="334">
        <f t="shared" ref="C492:J492" si="320">+C354</f>
        <v>16128464.7119</v>
      </c>
      <c r="D492" s="335">
        <f t="shared" si="320"/>
        <v>16039251.399241911</v>
      </c>
      <c r="E492" s="335">
        <f t="shared" si="320"/>
        <v>16203415.84</v>
      </c>
      <c r="F492" s="335">
        <f t="shared" si="320"/>
        <v>16260856.581</v>
      </c>
      <c r="G492" s="335">
        <f t="shared" si="320"/>
        <v>14867141.069</v>
      </c>
      <c r="H492" s="335">
        <f t="shared" si="320"/>
        <v>7466579.3225999996</v>
      </c>
      <c r="I492" s="335">
        <f t="shared" si="320"/>
        <v>7386896.2983999997</v>
      </c>
      <c r="J492" s="335">
        <f t="shared" si="320"/>
        <v>7307481.5936000003</v>
      </c>
      <c r="K492" s="158"/>
    </row>
    <row r="493" spans="1:13" s="329" customFormat="1" ht="14.5" thickTop="1" x14ac:dyDescent="0.3">
      <c r="C493" s="530" t="s">
        <v>294</v>
      </c>
      <c r="D493" s="336">
        <f t="shared" ref="D493" si="321">+D492-C492</f>
        <v>-89213.312658088282</v>
      </c>
      <c r="E493" s="336">
        <f t="shared" ref="E493" si="322">+E492-D492</f>
        <v>164164.4407580886</v>
      </c>
      <c r="F493" s="336">
        <f t="shared" ref="F493" si="323">+F492-E492</f>
        <v>57440.741000000387</v>
      </c>
      <c r="G493" s="336">
        <f t="shared" ref="G493" si="324">+G492-F492</f>
        <v>-1393715.5120000001</v>
      </c>
      <c r="H493" s="336">
        <f t="shared" ref="H493" si="325">+H492-G492</f>
        <v>-7400561.7464000005</v>
      </c>
      <c r="I493" s="336">
        <f t="shared" ref="I493" si="326">+I492-H492</f>
        <v>-79683.024199999869</v>
      </c>
      <c r="J493" s="336">
        <f t="shared" ref="J493" si="327">+J492-I492</f>
        <v>-79414.704799999483</v>
      </c>
      <c r="K493" s="330"/>
    </row>
    <row r="494" spans="1:13" s="329" customFormat="1" x14ac:dyDescent="0.3">
      <c r="C494" s="531"/>
      <c r="D494" s="337">
        <f>+D493/C492</f>
        <v>-5.5314200236470362E-3</v>
      </c>
      <c r="E494" s="337">
        <f t="shared" ref="E494" si="328">+E493/D492</f>
        <v>1.0235168504550515E-2</v>
      </c>
      <c r="F494" s="337">
        <f t="shared" ref="F494" si="329">+F493/E492</f>
        <v>3.5449772793092983E-3</v>
      </c>
      <c r="G494" s="337">
        <f t="shared" ref="G494" si="330">+G493/F492</f>
        <v>-8.5709845914789459E-2</v>
      </c>
      <c r="H494" s="337">
        <f t="shared" ref="H494" si="331">+H493/G492</f>
        <v>-0.49777974877975517</v>
      </c>
      <c r="I494" s="337">
        <f t="shared" ref="I494" si="332">+I493/H492</f>
        <v>-1.0671958437354788E-2</v>
      </c>
      <c r="J494" s="337">
        <f t="shared" ref="J494" si="333">+J493/I492</f>
        <v>-1.0750753982724882E-2</v>
      </c>
      <c r="K494" s="330"/>
    </row>
    <row r="496" spans="1:13" x14ac:dyDescent="0.3">
      <c r="C496" s="472" t="s">
        <v>316</v>
      </c>
      <c r="D496" s="473"/>
      <c r="E496" s="473"/>
      <c r="F496" s="473"/>
      <c r="G496" s="473"/>
      <c r="H496" s="473"/>
      <c r="I496" s="473"/>
      <c r="J496" s="474"/>
      <c r="K496" s="158"/>
    </row>
    <row r="497" spans="1:13" ht="42" x14ac:dyDescent="0.3">
      <c r="C497" s="224" t="s">
        <v>278</v>
      </c>
      <c r="D497" s="224" t="s">
        <v>279</v>
      </c>
      <c r="E497" s="224" t="s">
        <v>280</v>
      </c>
      <c r="F497" s="224" t="s">
        <v>281</v>
      </c>
      <c r="G497" s="224" t="s">
        <v>282</v>
      </c>
      <c r="H497" s="224" t="s">
        <v>283</v>
      </c>
      <c r="I497" s="227" t="s">
        <v>284</v>
      </c>
      <c r="J497" s="227" t="s">
        <v>285</v>
      </c>
    </row>
    <row r="498" spans="1:13" ht="14.5" thickBot="1" x14ac:dyDescent="0.35">
      <c r="C498" s="334">
        <f t="shared" ref="C498:J498" si="334">+C355</f>
        <v>45145.29</v>
      </c>
      <c r="D498" s="335">
        <f t="shared" si="334"/>
        <v>2299195.8804000001</v>
      </c>
      <c r="E498" s="335">
        <f t="shared" si="334"/>
        <v>2224729.2028000001</v>
      </c>
      <c r="F498" s="335">
        <f t="shared" si="334"/>
        <v>2247758.7494999999</v>
      </c>
      <c r="G498" s="335">
        <f t="shared" si="334"/>
        <v>2179789.7982000001</v>
      </c>
      <c r="H498" s="335">
        <f t="shared" si="334"/>
        <v>2258502.4260000004</v>
      </c>
      <c r="I498" s="335">
        <f t="shared" si="334"/>
        <v>2137328.8445000001</v>
      </c>
      <c r="J498" s="335">
        <f t="shared" si="334"/>
        <v>2099055.4445000002</v>
      </c>
      <c r="K498" s="158"/>
    </row>
    <row r="499" spans="1:13" s="329" customFormat="1" ht="14.5" thickTop="1" x14ac:dyDescent="0.3">
      <c r="C499" s="530" t="s">
        <v>294</v>
      </c>
      <c r="D499" s="336">
        <f t="shared" ref="D499" si="335">+D498-C498</f>
        <v>2254050.5904000001</v>
      </c>
      <c r="E499" s="336">
        <f t="shared" ref="E499" si="336">+E498-D498</f>
        <v>-74466.677600000054</v>
      </c>
      <c r="F499" s="336">
        <f t="shared" ref="F499" si="337">+F498-E498</f>
        <v>23029.546699999832</v>
      </c>
      <c r="G499" s="336">
        <f t="shared" ref="G499" si="338">+G498-F498</f>
        <v>-67968.951299999841</v>
      </c>
      <c r="H499" s="336">
        <f t="shared" ref="H499" si="339">+H498-G498</f>
        <v>78712.627800000366</v>
      </c>
      <c r="I499" s="336">
        <f t="shared" ref="I499" si="340">+I498-H498</f>
        <v>-121173.58150000032</v>
      </c>
      <c r="J499" s="336">
        <f t="shared" ref="J499" si="341">+J498-I498</f>
        <v>-38273.399999999907</v>
      </c>
      <c r="K499" s="330"/>
    </row>
    <row r="500" spans="1:13" s="329" customFormat="1" x14ac:dyDescent="0.3">
      <c r="C500" s="531"/>
      <c r="D500" s="337">
        <f>+D499/C498</f>
        <v>49.928809636619903</v>
      </c>
      <c r="E500" s="337">
        <f t="shared" ref="E500" si="342">+E499/D498</f>
        <v>-3.2388139799139161E-2</v>
      </c>
      <c r="F500" s="337">
        <f t="shared" ref="F500" si="343">+F499/E498</f>
        <v>1.0351617927707921E-2</v>
      </c>
      <c r="G500" s="337">
        <f t="shared" ref="G500" si="344">+G499/F498</f>
        <v>-3.0238543756138915E-2</v>
      </c>
      <c r="H500" s="337">
        <f t="shared" ref="H500" si="345">+H499/G498</f>
        <v>3.6110191847396805E-2</v>
      </c>
      <c r="I500" s="337">
        <f t="shared" ref="I500" si="346">+I499/H498</f>
        <v>-5.3652181244103876E-2</v>
      </c>
      <c r="J500" s="337">
        <f t="shared" ref="J500" si="347">+J499/I498</f>
        <v>-1.7907118082689546E-2</v>
      </c>
      <c r="K500" s="330"/>
    </row>
    <row r="501" spans="1:13" customFormat="1" ht="12.5" x14ac:dyDescent="0.25"/>
    <row r="502" spans="1:13" x14ac:dyDescent="0.3">
      <c r="C502" s="472" t="s">
        <v>317</v>
      </c>
      <c r="D502" s="473"/>
      <c r="E502" s="473"/>
      <c r="F502" s="473"/>
      <c r="G502" s="473"/>
      <c r="H502" s="473"/>
      <c r="I502" s="473"/>
      <c r="J502" s="474"/>
      <c r="K502" s="158"/>
    </row>
    <row r="503" spans="1:13" ht="42" x14ac:dyDescent="0.3">
      <c r="C503" s="224" t="s">
        <v>278</v>
      </c>
      <c r="D503" s="224" t="s">
        <v>279</v>
      </c>
      <c r="E503" s="224" t="s">
        <v>280</v>
      </c>
      <c r="F503" s="224" t="s">
        <v>281</v>
      </c>
      <c r="G503" s="224" t="s">
        <v>282</v>
      </c>
      <c r="H503" s="224" t="s">
        <v>283</v>
      </c>
      <c r="I503" s="227" t="s">
        <v>284</v>
      </c>
      <c r="J503" s="227" t="s">
        <v>285</v>
      </c>
    </row>
    <row r="504" spans="1:13" ht="14.5" thickBot="1" x14ac:dyDescent="0.35">
      <c r="C504" s="334">
        <v>98174</v>
      </c>
      <c r="D504" s="335">
        <v>72858.850000000006</v>
      </c>
      <c r="E504" s="335">
        <v>110223.49</v>
      </c>
      <c r="F504" s="335">
        <v>113492.01</v>
      </c>
      <c r="G504" s="335">
        <v>104071.82</v>
      </c>
      <c r="H504" s="335">
        <v>77276.899999999994</v>
      </c>
      <c r="I504" s="335" t="e">
        <f>+'19COP-Z'!#REF!</f>
        <v>#REF!</v>
      </c>
      <c r="J504" s="335" t="e">
        <f>+'20COP-Z'!#REF!</f>
        <v>#REF!</v>
      </c>
      <c r="K504" s="158"/>
    </row>
    <row r="505" spans="1:13" s="329" customFormat="1" ht="14.5" thickTop="1" x14ac:dyDescent="0.3">
      <c r="C505" s="530" t="s">
        <v>294</v>
      </c>
      <c r="D505" s="336">
        <f>+D504-C504</f>
        <v>-25315.149999999994</v>
      </c>
      <c r="E505" s="336">
        <f t="shared" ref="E505" si="348">+E504-D504</f>
        <v>37364.639999999999</v>
      </c>
      <c r="F505" s="336">
        <f t="shared" ref="F505" si="349">+F504-E504</f>
        <v>3268.5199999999895</v>
      </c>
      <c r="G505" s="336">
        <f t="shared" ref="G505" si="350">+G504-F504</f>
        <v>-9420.1899999999878</v>
      </c>
      <c r="H505" s="336">
        <f t="shared" ref="H505" si="351">+H504-G504</f>
        <v>-26794.920000000013</v>
      </c>
      <c r="I505" s="336" t="e">
        <f t="shared" ref="I505" si="352">+I504-H504</f>
        <v>#REF!</v>
      </c>
      <c r="J505" s="336" t="e">
        <f t="shared" ref="J505" si="353">+J504-I504</f>
        <v>#REF!</v>
      </c>
      <c r="K505" s="330"/>
    </row>
    <row r="506" spans="1:13" s="329" customFormat="1" x14ac:dyDescent="0.3">
      <c r="C506" s="531"/>
      <c r="D506" s="337">
        <f>+D505/C504</f>
        <v>-0.2578600240389512</v>
      </c>
      <c r="E506" s="337">
        <f t="shared" ref="E506" si="354">+E505/D504</f>
        <v>0.51283598354901283</v>
      </c>
      <c r="F506" s="337">
        <f t="shared" ref="F506" si="355">+F505/E504</f>
        <v>2.9653570214479594E-2</v>
      </c>
      <c r="G506" s="337">
        <f t="shared" ref="G506" si="356">+G505/F504</f>
        <v>-8.3003111849019054E-2</v>
      </c>
      <c r="H506" s="337">
        <f t="shared" ref="H506" si="357">+H505/G504</f>
        <v>-0.25746566169401103</v>
      </c>
      <c r="I506" s="337" t="e">
        <f t="shared" ref="I506" si="358">+I505/H504</f>
        <v>#REF!</v>
      </c>
      <c r="J506" s="337" t="e">
        <f t="shared" ref="J506" si="359">+J505/I504</f>
        <v>#REF!</v>
      </c>
      <c r="K506" s="330"/>
    </row>
    <row r="507" spans="1:13" ht="14.5" x14ac:dyDescent="0.35">
      <c r="A507" s="298"/>
      <c r="B507" s="298"/>
      <c r="C507" s="303"/>
      <c r="D507" s="303"/>
      <c r="E507" s="303"/>
      <c r="F507" s="303"/>
      <c r="G507" s="303"/>
      <c r="H507" s="303"/>
      <c r="I507" s="303"/>
      <c r="J507" s="303"/>
      <c r="K507" s="298"/>
      <c r="L507" s="298"/>
      <c r="M507" s="298"/>
    </row>
    <row r="508" spans="1:13" x14ac:dyDescent="0.3">
      <c r="C508" s="472" t="s">
        <v>318</v>
      </c>
      <c r="D508" s="473"/>
      <c r="E508" s="473"/>
      <c r="F508" s="473"/>
      <c r="G508" s="473"/>
      <c r="H508" s="473"/>
      <c r="I508" s="473"/>
      <c r="J508" s="474"/>
      <c r="K508" s="158"/>
    </row>
    <row r="509" spans="1:13" ht="28" x14ac:dyDescent="0.3">
      <c r="C509" s="224" t="s">
        <v>278</v>
      </c>
      <c r="D509" s="224" t="s">
        <v>279</v>
      </c>
      <c r="E509" s="224" t="s">
        <v>280</v>
      </c>
      <c r="F509" s="224" t="s">
        <v>281</v>
      </c>
      <c r="G509" s="224" t="s">
        <v>282</v>
      </c>
      <c r="H509" s="224" t="s">
        <v>283</v>
      </c>
      <c r="I509" s="227" t="s">
        <v>296</v>
      </c>
      <c r="J509" s="227" t="s">
        <v>297</v>
      </c>
    </row>
    <row r="510" spans="1:13" ht="14.5" thickBot="1" x14ac:dyDescent="0.35">
      <c r="C510" s="334">
        <v>1</v>
      </c>
      <c r="D510" s="335">
        <v>1</v>
      </c>
      <c r="E510" s="335">
        <v>1</v>
      </c>
      <c r="F510" s="335">
        <v>1</v>
      </c>
      <c r="G510" s="335">
        <v>1</v>
      </c>
      <c r="H510" s="335">
        <v>1</v>
      </c>
      <c r="I510" s="335">
        <v>1</v>
      </c>
      <c r="J510" s="335">
        <v>1</v>
      </c>
      <c r="K510" s="158"/>
    </row>
    <row r="511" spans="1:13" s="329" customFormat="1" ht="14.5" thickTop="1" x14ac:dyDescent="0.3">
      <c r="C511" s="530" t="s">
        <v>294</v>
      </c>
      <c r="D511" s="336">
        <f t="shared" ref="D511" si="360">+D510-C510</f>
        <v>0</v>
      </c>
      <c r="E511" s="336">
        <f t="shared" ref="E511" si="361">+E510-D510</f>
        <v>0</v>
      </c>
      <c r="F511" s="336">
        <f t="shared" ref="F511" si="362">+F510-E510</f>
        <v>0</v>
      </c>
      <c r="G511" s="336">
        <f t="shared" ref="G511" si="363">+G510-F510</f>
        <v>0</v>
      </c>
      <c r="H511" s="336">
        <f t="shared" ref="H511" si="364">+H510-G510</f>
        <v>0</v>
      </c>
      <c r="I511" s="336">
        <f t="shared" ref="I511" si="365">+I510-H510</f>
        <v>0</v>
      </c>
      <c r="J511" s="336">
        <f t="shared" ref="J511" si="366">+J510-I510</f>
        <v>0</v>
      </c>
      <c r="K511" s="330"/>
    </row>
    <row r="512" spans="1:13" s="329" customFormat="1" x14ac:dyDescent="0.3">
      <c r="C512" s="531"/>
      <c r="D512" s="337">
        <f>+D511/C510</f>
        <v>0</v>
      </c>
      <c r="E512" s="337">
        <f t="shared" ref="E512" si="367">+E511/D510</f>
        <v>0</v>
      </c>
      <c r="F512" s="337">
        <f t="shared" ref="F512" si="368">+F511/E510</f>
        <v>0</v>
      </c>
      <c r="G512" s="337">
        <f t="shared" ref="G512" si="369">+G511/F510</f>
        <v>0</v>
      </c>
      <c r="H512" s="337">
        <f t="shared" ref="H512" si="370">+H511/G510</f>
        <v>0</v>
      </c>
      <c r="I512" s="337">
        <f t="shared" ref="I512" si="371">+I511/H510</f>
        <v>0</v>
      </c>
      <c r="J512" s="337">
        <f t="shared" ref="J512" si="372">+J511/I510</f>
        <v>0</v>
      </c>
      <c r="K512" s="330"/>
    </row>
    <row r="513" spans="1:17" x14ac:dyDescent="0.3">
      <c r="C513" s="158"/>
      <c r="D513" s="158"/>
      <c r="E513" s="158"/>
      <c r="F513" s="158"/>
      <c r="G513" s="158"/>
      <c r="H513" s="158"/>
      <c r="I513" s="158"/>
      <c r="J513" s="158"/>
    </row>
    <row r="514" spans="1:17" x14ac:dyDescent="0.3">
      <c r="C514" s="472" t="s">
        <v>319</v>
      </c>
      <c r="D514" s="473"/>
      <c r="E514" s="473"/>
      <c r="F514" s="473"/>
      <c r="G514" s="473"/>
      <c r="H514" s="473"/>
      <c r="I514" s="473"/>
      <c r="J514" s="474"/>
      <c r="K514" s="158"/>
    </row>
    <row r="515" spans="1:17" ht="42" x14ac:dyDescent="0.3">
      <c r="C515" s="224" t="s">
        <v>278</v>
      </c>
      <c r="D515" s="224" t="s">
        <v>279</v>
      </c>
      <c r="E515" s="224" t="s">
        <v>280</v>
      </c>
      <c r="F515" s="224" t="s">
        <v>281</v>
      </c>
      <c r="G515" s="224" t="s">
        <v>282</v>
      </c>
      <c r="H515" s="224" t="s">
        <v>283</v>
      </c>
      <c r="I515" s="227" t="s">
        <v>284</v>
      </c>
      <c r="J515" s="227" t="s">
        <v>285</v>
      </c>
    </row>
    <row r="516" spans="1:17" ht="14.5" thickBot="1" x14ac:dyDescent="0.35">
      <c r="C516" s="334">
        <v>20328822.352727275</v>
      </c>
      <c r="D516" s="335">
        <f>+ED!C8</f>
        <v>14039293.18</v>
      </c>
      <c r="E516" s="335">
        <f>+ED!C9</f>
        <v>23075916.899999999</v>
      </c>
      <c r="F516" s="335">
        <f>+ED!C10</f>
        <v>19564437.330000002</v>
      </c>
      <c r="G516" s="335">
        <f>+ED!C11</f>
        <v>20383811.499999996</v>
      </c>
      <c r="H516" s="335">
        <f>+ED!C12</f>
        <v>12731868.73</v>
      </c>
      <c r="I516" s="335">
        <f>+ED!C13</f>
        <v>19053029.030000001</v>
      </c>
      <c r="J516" s="335">
        <f>+ED!C14</f>
        <v>19053029.030000001</v>
      </c>
      <c r="K516" s="158"/>
    </row>
    <row r="517" spans="1:17" s="329" customFormat="1" ht="14.5" thickTop="1" x14ac:dyDescent="0.3">
      <c r="C517" s="530" t="s">
        <v>294</v>
      </c>
      <c r="D517" s="336">
        <f t="shared" ref="D517" si="373">+D516-C516</f>
        <v>-6289529.1727272756</v>
      </c>
      <c r="E517" s="336">
        <f t="shared" ref="E517" si="374">+E516-D516</f>
        <v>9036623.7199999988</v>
      </c>
      <c r="F517" s="336">
        <f t="shared" ref="F517" si="375">+F516-E516</f>
        <v>-3511479.5699999966</v>
      </c>
      <c r="G517" s="336">
        <f t="shared" ref="G517" si="376">+G516-F516</f>
        <v>819374.16999999434</v>
      </c>
      <c r="H517" s="336">
        <f t="shared" ref="H517" si="377">+H516-G516</f>
        <v>-7651942.7699999958</v>
      </c>
      <c r="I517" s="336">
        <f t="shared" ref="I517" si="378">+I516-H516</f>
        <v>6321160.3000000007</v>
      </c>
      <c r="J517" s="336">
        <f t="shared" ref="J517" si="379">+J516-I516</f>
        <v>0</v>
      </c>
      <c r="K517" s="330"/>
    </row>
    <row r="518" spans="1:17" s="329" customFormat="1" x14ac:dyDescent="0.3">
      <c r="C518" s="531"/>
      <c r="D518" s="337">
        <f>+D517/C516</f>
        <v>-0.30938974543616321</v>
      </c>
      <c r="E518" s="337">
        <f t="shared" ref="E518" si="380">+E517/D516</f>
        <v>0.64366657239363945</v>
      </c>
      <c r="F518" s="337">
        <f t="shared" ref="F518" si="381">+F517/E516</f>
        <v>-0.15217074949684867</v>
      </c>
      <c r="G518" s="337">
        <f t="shared" ref="G518" si="382">+G517/F516</f>
        <v>4.1880794023325701E-2</v>
      </c>
      <c r="H518" s="337">
        <f t="shared" ref="H518" si="383">+H517/G516</f>
        <v>-0.3753931285127905</v>
      </c>
      <c r="I518" s="337">
        <f t="shared" ref="I518" si="384">+I517/H516</f>
        <v>0.49648330767858934</v>
      </c>
      <c r="J518" s="337">
        <f t="shared" ref="J518" si="385">+J517/I516</f>
        <v>0</v>
      </c>
      <c r="K518" s="330"/>
    </row>
    <row r="520" spans="1:17" x14ac:dyDescent="0.3">
      <c r="C520" s="472" t="s">
        <v>320</v>
      </c>
      <c r="D520" s="473"/>
      <c r="E520" s="473"/>
      <c r="F520" s="473"/>
      <c r="G520" s="473"/>
      <c r="H520" s="473"/>
      <c r="I520" s="473"/>
      <c r="J520" s="474"/>
      <c r="K520" s="158"/>
    </row>
    <row r="521" spans="1:17" ht="42" x14ac:dyDescent="0.3">
      <c r="C521" s="224" t="s">
        <v>278</v>
      </c>
      <c r="D521" s="224" t="s">
        <v>279</v>
      </c>
      <c r="E521" s="224" t="s">
        <v>280</v>
      </c>
      <c r="F521" s="224" t="s">
        <v>281</v>
      </c>
      <c r="G521" s="224" t="s">
        <v>282</v>
      </c>
      <c r="H521" s="224" t="s">
        <v>283</v>
      </c>
      <c r="I521" s="227" t="s">
        <v>284</v>
      </c>
      <c r="J521" s="227" t="s">
        <v>285</v>
      </c>
    </row>
    <row r="522" spans="1:17" ht="14.5" thickBot="1" x14ac:dyDescent="0.35">
      <c r="C522" s="334">
        <v>44673.767272727266</v>
      </c>
      <c r="D522" s="335">
        <f>+ED!B8</f>
        <v>32611.380000000005</v>
      </c>
      <c r="E522" s="335">
        <f>+ED!B9</f>
        <v>49708.520000000004</v>
      </c>
      <c r="F522" s="335">
        <f>+ED!B10</f>
        <v>49930.489999999991</v>
      </c>
      <c r="G522" s="335">
        <f>+ED!B11</f>
        <v>44998.2</v>
      </c>
      <c r="H522" s="335">
        <f>+ED!B12</f>
        <v>33065.300000000003</v>
      </c>
      <c r="I522" s="335">
        <f>+ED!B13</f>
        <v>43316.19</v>
      </c>
      <c r="J522" s="335">
        <f>+ED!B14</f>
        <v>43316.19</v>
      </c>
      <c r="K522" s="158"/>
    </row>
    <row r="523" spans="1:17" s="329" customFormat="1" ht="14.5" thickTop="1" x14ac:dyDescent="0.3">
      <c r="C523" s="530" t="s">
        <v>294</v>
      </c>
      <c r="D523" s="336">
        <f t="shared" ref="D523" si="386">+D522-C522</f>
        <v>-12062.387272727261</v>
      </c>
      <c r="E523" s="336">
        <f t="shared" ref="E523" si="387">+E522-D522</f>
        <v>17097.14</v>
      </c>
      <c r="F523" s="336">
        <f t="shared" ref="F523" si="388">+F522-E522</f>
        <v>221.96999999998661</v>
      </c>
      <c r="G523" s="336">
        <f t="shared" ref="G523" si="389">+G522-F522</f>
        <v>-4932.2899999999936</v>
      </c>
      <c r="H523" s="336">
        <f t="shared" ref="H523" si="390">+H522-G522</f>
        <v>-11932.899999999994</v>
      </c>
      <c r="I523" s="336">
        <f t="shared" ref="I523" si="391">+I522-H522</f>
        <v>10250.89</v>
      </c>
      <c r="J523" s="336">
        <f t="shared" ref="J523" si="392">+J522-I522</f>
        <v>0</v>
      </c>
      <c r="K523" s="330"/>
    </row>
    <row r="524" spans="1:17" s="329" customFormat="1" x14ac:dyDescent="0.3">
      <c r="C524" s="531"/>
      <c r="D524" s="337">
        <f>+D523/C522</f>
        <v>-0.27001052315753959</v>
      </c>
      <c r="E524" s="337">
        <f t="shared" ref="E524" si="393">+E523/D522</f>
        <v>0.52426913549809906</v>
      </c>
      <c r="F524" s="337">
        <f t="shared" ref="F524" si="394">+F523/E522</f>
        <v>4.4654316805245176E-3</v>
      </c>
      <c r="G524" s="337">
        <f t="shared" ref="G524" si="395">+G523/F522</f>
        <v>-9.8783128304969464E-2</v>
      </c>
      <c r="H524" s="337">
        <f t="shared" ref="H524" si="396">+H523/G522</f>
        <v>-0.26518616300207554</v>
      </c>
      <c r="I524" s="337">
        <f t="shared" ref="I524" si="397">+I523/H522</f>
        <v>0.31001956734098884</v>
      </c>
      <c r="J524" s="337">
        <f t="shared" ref="J524" si="398">+J523/I522</f>
        <v>0</v>
      </c>
      <c r="K524" s="330"/>
    </row>
    <row r="525" spans="1:17" customFormat="1" ht="12.5" x14ac:dyDescent="0.25"/>
    <row r="526" spans="1:17" customFormat="1" x14ac:dyDescent="0.25">
      <c r="A526" s="239"/>
      <c r="C526" s="526"/>
      <c r="D526" s="527"/>
      <c r="E526" s="527"/>
      <c r="F526" s="527"/>
      <c r="G526" s="527"/>
      <c r="H526" s="527"/>
      <c r="I526" s="527"/>
      <c r="J526" s="537"/>
    </row>
    <row r="527" spans="1:17" customFormat="1" ht="42" x14ac:dyDescent="0.25">
      <c r="C527" s="350" t="s">
        <v>278</v>
      </c>
      <c r="D527" s="350" t="s">
        <v>279</v>
      </c>
      <c r="E527" s="350" t="s">
        <v>280</v>
      </c>
      <c r="F527" s="350" t="s">
        <v>281</v>
      </c>
      <c r="G527" s="350" t="s">
        <v>282</v>
      </c>
      <c r="H527" s="350" t="s">
        <v>283</v>
      </c>
      <c r="I527" s="351" t="s">
        <v>284</v>
      </c>
      <c r="J527" s="351" t="s">
        <v>285</v>
      </c>
    </row>
    <row r="528" spans="1:17" customFormat="1" x14ac:dyDescent="0.3">
      <c r="C528" s="352">
        <f>+C378+C396+C414+C432+C456+C480+C504</f>
        <v>38449392</v>
      </c>
      <c r="D528" s="352">
        <f t="shared" ref="D528:J528" si="399">+D378+D396+D414+D432+D456+D480+D504</f>
        <v>37859291.609999999</v>
      </c>
      <c r="E528" s="352">
        <f t="shared" si="399"/>
        <v>38030504.450000003</v>
      </c>
      <c r="F528" s="352">
        <f>(F378+F396+F414+F432+F456+F480+F504)-517318.72</f>
        <v>39800810.68</v>
      </c>
      <c r="G528" s="352">
        <f t="shared" si="399"/>
        <v>40176585.340000004</v>
      </c>
      <c r="H528" s="352">
        <f t="shared" si="399"/>
        <v>41711864.030000001</v>
      </c>
      <c r="I528" s="352" t="e">
        <f t="shared" si="399"/>
        <v>#REF!</v>
      </c>
      <c r="J528" s="352" t="e">
        <f t="shared" si="399"/>
        <v>#REF!</v>
      </c>
      <c r="M528" s="260">
        <v>37859291.609999999</v>
      </c>
      <c r="N528" s="260">
        <v>38030504.450000003</v>
      </c>
      <c r="O528" s="260">
        <f>40318129.4-517318.72</f>
        <v>39800810.68</v>
      </c>
      <c r="P528" s="260">
        <v>40176585.340000004</v>
      </c>
      <c r="Q528" s="260">
        <v>41711864.030000001</v>
      </c>
    </row>
    <row r="529" spans="3:17" customFormat="1" x14ac:dyDescent="0.3">
      <c r="C529" s="356" t="s">
        <v>321</v>
      </c>
      <c r="D529" s="353"/>
      <c r="E529" s="354">
        <v>1.4500000000000001E-2</v>
      </c>
      <c r="F529" s="354">
        <v>1.95E-2</v>
      </c>
      <c r="G529" s="354">
        <v>1.7500000000000002E-2</v>
      </c>
      <c r="H529" s="354">
        <v>1.0500000000000001E-2</v>
      </c>
      <c r="I529" s="354">
        <v>1.35E-2</v>
      </c>
      <c r="J529" s="353"/>
      <c r="M529" s="260"/>
      <c r="N529" s="260">
        <f>+N528/E542</f>
        <v>28832.831273692194</v>
      </c>
      <c r="O529" s="260">
        <f>+O528/F542</f>
        <v>26711.953476510065</v>
      </c>
      <c r="P529" s="260">
        <f>+P528/G542</f>
        <v>24217.351018685957</v>
      </c>
      <c r="Q529" s="260">
        <f>+Q528/H542</f>
        <v>29645.95879886283</v>
      </c>
    </row>
    <row r="530" spans="3:17" customFormat="1" x14ac:dyDescent="0.3">
      <c r="C530" s="356" t="s">
        <v>322</v>
      </c>
      <c r="D530" s="353"/>
      <c r="E530" s="354">
        <f>+N530</f>
        <v>7.5815011372251705E-4</v>
      </c>
      <c r="F530" s="354">
        <f>+O530</f>
        <v>6.711409395973154E-4</v>
      </c>
      <c r="G530" s="354">
        <f>+P530</f>
        <v>6.0277275467148883E-4</v>
      </c>
      <c r="H530" s="354">
        <f>+Q530</f>
        <v>7.1073205401563609E-4</v>
      </c>
      <c r="I530" s="354">
        <f>AVERAGE(E530:H530)</f>
        <v>6.8569896550173932E-4</v>
      </c>
      <c r="J530" s="353"/>
      <c r="M530" s="323"/>
      <c r="N530" s="323">
        <f>+N529/N528</f>
        <v>7.5815011372251705E-4</v>
      </c>
      <c r="O530" s="323">
        <f>+O529/O528</f>
        <v>6.711409395973154E-4</v>
      </c>
      <c r="P530" s="323">
        <f>+P529/P528</f>
        <v>6.0277275467148883E-4</v>
      </c>
      <c r="Q530" s="323">
        <f>+Q529/Q528</f>
        <v>7.1073205401563609E-4</v>
      </c>
    </row>
    <row r="531" spans="3:17" customFormat="1" x14ac:dyDescent="0.3">
      <c r="C531" s="356" t="s">
        <v>323</v>
      </c>
      <c r="D531" s="353"/>
      <c r="E531" s="354">
        <f>+E529+E530</f>
        <v>1.5258150113722517E-2</v>
      </c>
      <c r="F531" s="354">
        <f>+F529+F530</f>
        <v>2.0171140939597314E-2</v>
      </c>
      <c r="G531" s="354">
        <f>+G529+G530</f>
        <v>1.8102772754671492E-2</v>
      </c>
      <c r="H531" s="354">
        <f>+H529+H530</f>
        <v>1.1210732054015637E-2</v>
      </c>
      <c r="I531" s="354">
        <f>+I529+I530</f>
        <v>1.4185698965501739E-2</v>
      </c>
      <c r="J531" s="353"/>
    </row>
    <row r="532" spans="3:17" customFormat="1" x14ac:dyDescent="0.3">
      <c r="C532" s="356" t="s">
        <v>324</v>
      </c>
      <c r="D532" s="352">
        <v>38449392</v>
      </c>
      <c r="E532" s="352">
        <f>(C528*E531)+C528</f>
        <v>39036058.594917364</v>
      </c>
      <c r="F532" s="352">
        <f>(E532*F531)+E532</f>
        <v>39823460.434561819</v>
      </c>
      <c r="G532" s="352">
        <f>(+F532*G531)+F532</f>
        <v>40544375.489113346</v>
      </c>
      <c r="H532" s="352">
        <f>(G532*H531)+G532</f>
        <v>40998907.619019195</v>
      </c>
      <c r="I532" s="352">
        <f>(H532*I531)+H532</f>
        <v>41580505.780417018</v>
      </c>
      <c r="J532" s="352"/>
    </row>
    <row r="533" spans="3:17" customFormat="1" x14ac:dyDescent="0.3">
      <c r="C533" s="356" t="s">
        <v>325</v>
      </c>
      <c r="D533" s="360">
        <f>+D528-C528</f>
        <v>-590100.3900000006</v>
      </c>
      <c r="E533" s="360">
        <f>+E528-E532</f>
        <v>-1005554.1449173614</v>
      </c>
      <c r="F533" s="360">
        <f>+F528-F532</f>
        <v>-22649.754561819136</v>
      </c>
      <c r="G533" s="360">
        <f>+G528-G532</f>
        <v>-367790.14911334217</v>
      </c>
      <c r="H533" s="360">
        <f>+H528-H532</f>
        <v>712956.41098080575</v>
      </c>
      <c r="I533" s="360" t="e">
        <f>+I528-I532</f>
        <v>#REF!</v>
      </c>
      <c r="J533" s="355"/>
      <c r="M533" s="72"/>
    </row>
    <row r="534" spans="3:17" customFormat="1" x14ac:dyDescent="0.3">
      <c r="C534" s="356" t="s">
        <v>326</v>
      </c>
      <c r="D534" s="362">
        <f>+D533/C528</f>
        <v>-1.5347456989697018E-2</v>
      </c>
      <c r="E534" s="362">
        <f>+E533/E532</f>
        <v>-2.5759622797786461E-2</v>
      </c>
      <c r="F534" s="362">
        <f>+F533/F532</f>
        <v>-5.6875405388332259E-4</v>
      </c>
      <c r="G534" s="362">
        <f>+G533/G532</f>
        <v>-9.0712989083306574E-3</v>
      </c>
      <c r="H534" s="362">
        <f>+H533/H532</f>
        <v>1.7389644075542849E-2</v>
      </c>
      <c r="I534" s="361" t="e">
        <f>+I533/I532</f>
        <v>#REF!</v>
      </c>
      <c r="J534" s="355"/>
    </row>
    <row r="535" spans="3:17" customFormat="1" x14ac:dyDescent="0.3">
      <c r="C535" s="356" t="s">
        <v>327</v>
      </c>
      <c r="D535" s="363"/>
      <c r="E535" s="362">
        <f>+D534+E534</f>
        <v>-4.1107079787483479E-2</v>
      </c>
      <c r="F535" s="362">
        <f>+E535+F534</f>
        <v>-4.1675833841366805E-2</v>
      </c>
      <c r="G535" s="362">
        <f>+F535+G534</f>
        <v>-5.0747132749697464E-2</v>
      </c>
      <c r="H535" s="362">
        <f>+G535+H534</f>
        <v>-3.3357488674154612E-2</v>
      </c>
      <c r="I535" s="353"/>
      <c r="J535" s="355"/>
    </row>
    <row r="536" spans="3:17" customFormat="1" x14ac:dyDescent="0.3">
      <c r="C536" s="530" t="s">
        <v>294</v>
      </c>
      <c r="D536" s="336">
        <f t="shared" ref="D536:J536" si="400">+D528-C528</f>
        <v>-590100.3900000006</v>
      </c>
      <c r="E536" s="336">
        <f t="shared" si="400"/>
        <v>171212.84000000358</v>
      </c>
      <c r="F536" s="336">
        <f t="shared" si="400"/>
        <v>1770306.2299999967</v>
      </c>
      <c r="G536" s="336">
        <f t="shared" si="400"/>
        <v>375774.66000000387</v>
      </c>
      <c r="H536" s="336">
        <f t="shared" si="400"/>
        <v>1535278.6899999976</v>
      </c>
      <c r="I536" s="336" t="e">
        <f t="shared" si="400"/>
        <v>#REF!</v>
      </c>
      <c r="J536" s="336" t="e">
        <f t="shared" si="400"/>
        <v>#REF!</v>
      </c>
    </row>
    <row r="537" spans="3:17" customFormat="1" x14ac:dyDescent="0.3">
      <c r="C537" s="531"/>
      <c r="D537" s="337">
        <f t="shared" ref="D537:J537" si="401">+D536/C528</f>
        <v>-1.5347456989697018E-2</v>
      </c>
      <c r="E537" s="337">
        <f t="shared" si="401"/>
        <v>4.5223466345783421E-3</v>
      </c>
      <c r="F537" s="337">
        <f t="shared" si="401"/>
        <v>4.654963839166211E-2</v>
      </c>
      <c r="G537" s="337">
        <f t="shared" si="401"/>
        <v>9.441382061818944E-3</v>
      </c>
      <c r="H537" s="337">
        <f t="shared" si="401"/>
        <v>3.8213269669572107E-2</v>
      </c>
      <c r="I537" s="337" t="e">
        <f t="shared" si="401"/>
        <v>#REF!</v>
      </c>
      <c r="J537" s="337" t="e">
        <f t="shared" si="401"/>
        <v>#REF!</v>
      </c>
    </row>
    <row r="538" spans="3:17" customFormat="1" x14ac:dyDescent="0.3">
      <c r="C538" s="303"/>
      <c r="D538" s="303"/>
      <c r="E538" s="303"/>
      <c r="F538" s="303"/>
      <c r="G538" s="303"/>
      <c r="H538" s="303"/>
      <c r="I538" s="303"/>
      <c r="J538" s="303"/>
    </row>
    <row r="539" spans="3:17" customFormat="1" x14ac:dyDescent="0.25">
      <c r="C539" s="472"/>
      <c r="D539" s="473"/>
      <c r="E539" s="473"/>
      <c r="F539" s="473"/>
      <c r="G539" s="473"/>
      <c r="H539" s="473"/>
      <c r="I539" s="473"/>
      <c r="J539" s="474"/>
    </row>
    <row r="540" spans="3:17" customFormat="1" ht="28" x14ac:dyDescent="0.25">
      <c r="C540" s="224" t="s">
        <v>278</v>
      </c>
      <c r="D540" s="224" t="s">
        <v>279</v>
      </c>
      <c r="E540" s="224" t="s">
        <v>280</v>
      </c>
      <c r="F540" s="224" t="s">
        <v>281</v>
      </c>
      <c r="G540" s="224" t="s">
        <v>282</v>
      </c>
      <c r="H540" s="224" t="s">
        <v>283</v>
      </c>
      <c r="I540" s="227" t="s">
        <v>296</v>
      </c>
      <c r="J540" s="227" t="s">
        <v>297</v>
      </c>
    </row>
    <row r="541" spans="3:17" customFormat="1" ht="14.5" thickBot="1" x14ac:dyDescent="0.35">
      <c r="C541" s="334">
        <f t="shared" ref="C541:J541" si="402">+C384+C402+C420+C438+C462+C486+C510</f>
        <v>93836</v>
      </c>
      <c r="D541" s="335">
        <f t="shared" si="402"/>
        <v>93052</v>
      </c>
      <c r="E541" s="335">
        <f t="shared" si="402"/>
        <v>94371</v>
      </c>
      <c r="F541" s="335">
        <f t="shared" si="402"/>
        <v>95861</v>
      </c>
      <c r="G541" s="335">
        <f t="shared" si="402"/>
        <v>97520</v>
      </c>
      <c r="H541" s="335">
        <f t="shared" si="402"/>
        <v>98927</v>
      </c>
      <c r="I541" s="335">
        <f t="shared" si="402"/>
        <v>100248</v>
      </c>
      <c r="J541" s="335">
        <f t="shared" si="402"/>
        <v>101587</v>
      </c>
    </row>
    <row r="542" spans="3:17" customFormat="1" ht="14.5" thickTop="1" x14ac:dyDescent="0.3">
      <c r="C542" s="530" t="s">
        <v>294</v>
      </c>
      <c r="D542" s="336">
        <f t="shared" ref="D542" si="403">+D541-C541</f>
        <v>-784</v>
      </c>
      <c r="E542" s="336">
        <f t="shared" ref="E542" si="404">+E541-D541</f>
        <v>1319</v>
      </c>
      <c r="F542" s="336">
        <f t="shared" ref="F542" si="405">+F541-E541</f>
        <v>1490</v>
      </c>
      <c r="G542" s="336">
        <f t="shared" ref="G542" si="406">+G541-F541</f>
        <v>1659</v>
      </c>
      <c r="H542" s="336">
        <f t="shared" ref="H542" si="407">+H541-G541</f>
        <v>1407</v>
      </c>
      <c r="I542" s="336">
        <f t="shared" ref="I542" si="408">+I541-H541</f>
        <v>1321</v>
      </c>
      <c r="J542" s="336">
        <f t="shared" ref="J542" si="409">+J541-I541</f>
        <v>1339</v>
      </c>
    </row>
    <row r="543" spans="3:17" customFormat="1" x14ac:dyDescent="0.3">
      <c r="C543" s="531"/>
      <c r="D543" s="337">
        <f>+D542/C541</f>
        <v>-8.3550023445159646E-3</v>
      </c>
      <c r="E543" s="337">
        <f t="shared" ref="E543" si="410">+E542/D541</f>
        <v>1.417486996518076E-2</v>
      </c>
      <c r="F543" s="337">
        <f t="shared" ref="F543" si="411">+F542/E541</f>
        <v>1.5788748662194953E-2</v>
      </c>
      <c r="G543" s="337">
        <f t="shared" ref="G543" si="412">+G542/F541</f>
        <v>1.7306308091924766E-2</v>
      </c>
      <c r="H543" s="337">
        <f t="shared" ref="H543" si="413">+H542/G541</f>
        <v>1.4427809680065627E-2</v>
      </c>
      <c r="I543" s="337">
        <f t="shared" ref="I543" si="414">+I542/H541</f>
        <v>1.3353280701931727E-2</v>
      </c>
      <c r="J543" s="337">
        <f t="shared" ref="J543" si="415">+J542/I541</f>
        <v>1.3356874950123693E-2</v>
      </c>
    </row>
    <row r="544" spans="3:17" customFormat="1" x14ac:dyDescent="0.3">
      <c r="C544" s="158"/>
      <c r="D544" s="158"/>
      <c r="E544" s="158"/>
      <c r="F544" s="158"/>
      <c r="G544" s="158"/>
      <c r="H544" s="158"/>
      <c r="I544" s="158"/>
      <c r="J544" s="158"/>
    </row>
    <row r="545" spans="3:10" customFormat="1" x14ac:dyDescent="0.25">
      <c r="C545" s="472"/>
      <c r="D545" s="473"/>
      <c r="E545" s="473"/>
      <c r="F545" s="473"/>
      <c r="G545" s="473"/>
      <c r="H545" s="473"/>
      <c r="I545" s="473"/>
      <c r="J545" s="474"/>
    </row>
    <row r="546" spans="3:10" customFormat="1" ht="42" x14ac:dyDescent="0.25">
      <c r="C546" s="224" t="s">
        <v>278</v>
      </c>
      <c r="D546" s="224" t="s">
        <v>279</v>
      </c>
      <c r="E546" s="224" t="s">
        <v>280</v>
      </c>
      <c r="F546" s="224" t="s">
        <v>281</v>
      </c>
      <c r="G546" s="224" t="s">
        <v>282</v>
      </c>
      <c r="H546" s="224" t="s">
        <v>283</v>
      </c>
      <c r="I546" s="227" t="s">
        <v>284</v>
      </c>
      <c r="J546" s="227" t="s">
        <v>285</v>
      </c>
    </row>
    <row r="547" spans="3:10" customFormat="1" ht="14.5" thickBot="1" x14ac:dyDescent="0.35">
      <c r="C547" s="334">
        <f t="shared" ref="C547:J547" si="416">+C390+C408+C426+C444+C468+C492+C516</f>
        <v>1810370803.4467273</v>
      </c>
      <c r="D547" s="335">
        <f t="shared" si="416"/>
        <v>1817570943.8648977</v>
      </c>
      <c r="E547" s="335">
        <f t="shared" si="416"/>
        <v>1785564200.7700002</v>
      </c>
      <c r="F547" s="335">
        <f t="shared" si="416"/>
        <v>1785202931.0030999</v>
      </c>
      <c r="G547" s="335">
        <f t="shared" si="416"/>
        <v>1729388751.3992</v>
      </c>
      <c r="H547" s="335">
        <f t="shared" si="416"/>
        <v>1818689250.9753997</v>
      </c>
      <c r="I547" s="335">
        <f t="shared" si="416"/>
        <v>1759807994.0198479</v>
      </c>
      <c r="J547" s="335">
        <f t="shared" si="416"/>
        <v>1747630845.5388775</v>
      </c>
    </row>
    <row r="548" spans="3:10" customFormat="1" ht="14.5" thickTop="1" x14ac:dyDescent="0.3">
      <c r="C548" s="530" t="s">
        <v>294</v>
      </c>
      <c r="D548" s="336">
        <f t="shared" ref="D548" si="417">+D547-C547</f>
        <v>7200140.4181704521</v>
      </c>
      <c r="E548" s="336">
        <f t="shared" ref="E548" si="418">+E547-D547</f>
        <v>-32006743.094897509</v>
      </c>
      <c r="F548" s="336">
        <f t="shared" ref="F548" si="419">+F547-E547</f>
        <v>-361269.76690030098</v>
      </c>
      <c r="G548" s="336">
        <f t="shared" ref="G548" si="420">+G547-F547</f>
        <v>-55814179.603899956</v>
      </c>
      <c r="H548" s="336">
        <f t="shared" ref="H548" si="421">+H547-G547</f>
        <v>89300499.57619977</v>
      </c>
      <c r="I548" s="336">
        <f t="shared" ref="I548" si="422">+I547-H547</f>
        <v>-58881256.955551863</v>
      </c>
      <c r="J548" s="336">
        <f t="shared" ref="J548" si="423">+J547-I547</f>
        <v>-12177148.480970383</v>
      </c>
    </row>
    <row r="549" spans="3:10" customFormat="1" x14ac:dyDescent="0.3">
      <c r="C549" s="531"/>
      <c r="D549" s="337">
        <f>+D548/C547</f>
        <v>3.977163354856505E-3</v>
      </c>
      <c r="E549" s="337">
        <f t="shared" ref="E549" si="424">+E548/D547</f>
        <v>-1.7609625199464352E-2</v>
      </c>
      <c r="F549" s="337">
        <f t="shared" ref="F549" si="425">+F548/E547</f>
        <v>-2.0232807464694259E-4</v>
      </c>
      <c r="G549" s="337">
        <f t="shared" ref="G549" si="426">+G548/F547</f>
        <v>-3.1264893550526578E-2</v>
      </c>
      <c r="H549" s="337">
        <f t="shared" ref="H549" si="427">+H548/G547</f>
        <v>5.1637030427050735E-2</v>
      </c>
      <c r="I549" s="337">
        <f t="shared" ref="I549" si="428">+I548/H547</f>
        <v>-3.2375655667383887E-2</v>
      </c>
      <c r="J549" s="337">
        <f t="shared" ref="J549" si="429">+J548/I547</f>
        <v>-6.919589251981227E-3</v>
      </c>
    </row>
    <row r="550" spans="3:10" customFormat="1" x14ac:dyDescent="0.3">
      <c r="C550" s="115"/>
      <c r="D550" s="115"/>
      <c r="E550" s="115"/>
      <c r="F550" s="115"/>
      <c r="G550" s="115"/>
      <c r="H550" s="115"/>
      <c r="I550" s="115"/>
      <c r="J550" s="115"/>
    </row>
    <row r="551" spans="3:10" customFormat="1" x14ac:dyDescent="0.25">
      <c r="C551" s="472"/>
      <c r="D551" s="473"/>
      <c r="E551" s="473"/>
      <c r="F551" s="473"/>
      <c r="G551" s="473"/>
      <c r="H551" s="473"/>
      <c r="I551" s="473"/>
      <c r="J551" s="474"/>
    </row>
    <row r="552" spans="3:10" customFormat="1" ht="42" x14ac:dyDescent="0.25">
      <c r="C552" s="224" t="s">
        <v>278</v>
      </c>
      <c r="D552" s="224" t="s">
        <v>279</v>
      </c>
      <c r="E552" s="224" t="s">
        <v>280</v>
      </c>
      <c r="F552" s="224" t="s">
        <v>281</v>
      </c>
      <c r="G552" s="224" t="s">
        <v>282</v>
      </c>
      <c r="H552" s="224" t="s">
        <v>283</v>
      </c>
      <c r="I552" s="227" t="s">
        <v>284</v>
      </c>
      <c r="J552" s="227" t="s">
        <v>285</v>
      </c>
    </row>
    <row r="553" spans="3:10" customFormat="1" ht="14.5" thickBot="1" x14ac:dyDescent="0.35">
      <c r="C553" s="334">
        <f t="shared" ref="C553:J553" si="430">+C396+C414+C432+C450+C474+C498+C522</f>
        <v>19113834.277272724</v>
      </c>
      <c r="D553" s="335">
        <f t="shared" si="430"/>
        <v>21235931.070800003</v>
      </c>
      <c r="E553" s="335">
        <f t="shared" si="430"/>
        <v>20883604.575600002</v>
      </c>
      <c r="F553" s="335">
        <f t="shared" si="430"/>
        <v>21893206.148999996</v>
      </c>
      <c r="G553" s="335">
        <f t="shared" si="430"/>
        <v>21296021.576400001</v>
      </c>
      <c r="H553" s="335">
        <f t="shared" si="430"/>
        <v>22132041.961999997</v>
      </c>
      <c r="I553" s="335" t="e">
        <f t="shared" si="430"/>
        <v>#REF!</v>
      </c>
      <c r="J553" s="335" t="e">
        <f t="shared" si="430"/>
        <v>#REF!</v>
      </c>
    </row>
    <row r="554" spans="3:10" customFormat="1" ht="14.5" thickTop="1" x14ac:dyDescent="0.3">
      <c r="C554" s="530" t="s">
        <v>294</v>
      </c>
      <c r="D554" s="336">
        <f t="shared" ref="D554" si="431">+D553-C553</f>
        <v>2122096.793527279</v>
      </c>
      <c r="E554" s="336">
        <f t="shared" ref="E554" si="432">+E553-D553</f>
        <v>-352326.4952000007</v>
      </c>
      <c r="F554" s="336">
        <f t="shared" ref="F554" si="433">+F553-E553</f>
        <v>1009601.5733999945</v>
      </c>
      <c r="G554" s="336">
        <f t="shared" ref="G554" si="434">+G553-F553</f>
        <v>-597184.57259999588</v>
      </c>
      <c r="H554" s="336">
        <f t="shared" ref="H554" si="435">+H553-G553</f>
        <v>836020.38559999689</v>
      </c>
      <c r="I554" s="336" t="e">
        <f t="shared" ref="I554" si="436">+I553-H553</f>
        <v>#REF!</v>
      </c>
      <c r="J554" s="336" t="e">
        <f t="shared" ref="J554" si="437">+J553-I553</f>
        <v>#REF!</v>
      </c>
    </row>
    <row r="555" spans="3:10" customFormat="1" x14ac:dyDescent="0.3">
      <c r="C555" s="531"/>
      <c r="D555" s="337">
        <f>+D554/C553</f>
        <v>0.11102412853137243</v>
      </c>
      <c r="E555" s="337">
        <f t="shared" ref="E555" si="438">+E554/D553</f>
        <v>-1.6591054756457533E-2</v>
      </c>
      <c r="F555" s="337">
        <f t="shared" ref="F555" si="439">+F554/E553</f>
        <v>4.8344219971469551E-2</v>
      </c>
      <c r="G555" s="337">
        <f t="shared" ref="G555" si="440">+G554/F553</f>
        <v>-2.7277163908095439E-2</v>
      </c>
      <c r="H555" s="337">
        <f t="shared" ref="H555" si="441">+H554/G553</f>
        <v>3.9257115823289022E-2</v>
      </c>
      <c r="I555" s="337" t="e">
        <f t="shared" ref="I555" si="442">+I554/H553</f>
        <v>#REF!</v>
      </c>
      <c r="J555" s="337" t="e">
        <f t="shared" ref="J555" si="443">+J554/I553</f>
        <v>#REF!</v>
      </c>
    </row>
    <row r="556" spans="3:10" customFormat="1" ht="12.5" x14ac:dyDescent="0.25"/>
    <row r="557" spans="3:10" customFormat="1" ht="12.5" x14ac:dyDescent="0.25"/>
    <row r="558" spans="3:10" customFormat="1" ht="12.5" x14ac:dyDescent="0.25"/>
    <row r="559" spans="3:10" customFormat="1" ht="12.5" x14ac:dyDescent="0.25"/>
    <row r="560" spans="3:10" customFormat="1" ht="12.5" x14ac:dyDescent="0.25"/>
    <row r="561" customFormat="1" ht="12.5" x14ac:dyDescent="0.25"/>
    <row r="562" customFormat="1" ht="12.5" x14ac:dyDescent="0.25"/>
    <row r="563" customFormat="1" ht="12.5" x14ac:dyDescent="0.25"/>
    <row r="564" customFormat="1" ht="12.5" x14ac:dyDescent="0.25"/>
    <row r="565" customFormat="1" ht="12.5" x14ac:dyDescent="0.25"/>
    <row r="566" customFormat="1" ht="12.5" x14ac:dyDescent="0.25"/>
    <row r="567" customFormat="1" ht="12.5" x14ac:dyDescent="0.25"/>
    <row r="568" customFormat="1" ht="12.5" x14ac:dyDescent="0.25"/>
    <row r="569" customFormat="1" ht="12.5" x14ac:dyDescent="0.25"/>
    <row r="570" customFormat="1" ht="12.5" x14ac:dyDescent="0.25"/>
    <row r="571" customFormat="1" ht="12.5" x14ac:dyDescent="0.25"/>
    <row r="572" customFormat="1" ht="12.5" x14ac:dyDescent="0.25"/>
    <row r="573" customFormat="1" ht="12.5" x14ac:dyDescent="0.25"/>
    <row r="574" customFormat="1" ht="12.5" x14ac:dyDescent="0.25"/>
    <row r="575" customFormat="1" ht="12.5" x14ac:dyDescent="0.25"/>
    <row r="576" customFormat="1" ht="12.5" x14ac:dyDescent="0.25"/>
    <row r="577" customFormat="1" ht="12.5" x14ac:dyDescent="0.25"/>
    <row r="578" customFormat="1" ht="12.5" x14ac:dyDescent="0.25"/>
    <row r="579" customFormat="1" ht="12.5" x14ac:dyDescent="0.25"/>
    <row r="580" customFormat="1" ht="12.5" x14ac:dyDescent="0.25"/>
    <row r="581" customFormat="1" ht="12.5" x14ac:dyDescent="0.25"/>
    <row r="582" customFormat="1" ht="12.5" x14ac:dyDescent="0.25"/>
    <row r="583" customFormat="1" ht="12.5" x14ac:dyDescent="0.25"/>
    <row r="584" customFormat="1" ht="12.5" x14ac:dyDescent="0.25"/>
    <row r="585" customFormat="1" ht="12.5" x14ac:dyDescent="0.25"/>
    <row r="586" customFormat="1" ht="12.5" x14ac:dyDescent="0.25"/>
    <row r="587" customFormat="1" ht="12.5" x14ac:dyDescent="0.25"/>
    <row r="588" customFormat="1" ht="12.5" x14ac:dyDescent="0.25"/>
    <row r="589" customFormat="1" ht="12.5" x14ac:dyDescent="0.25"/>
    <row r="590" customFormat="1" ht="12.5" x14ac:dyDescent="0.25"/>
    <row r="591" customFormat="1" ht="12.5" x14ac:dyDescent="0.25"/>
    <row r="592" customFormat="1" ht="12.5" x14ac:dyDescent="0.25"/>
    <row r="593" customFormat="1" ht="12.5" x14ac:dyDescent="0.25"/>
    <row r="594" customFormat="1" ht="12.5" x14ac:dyDescent="0.25"/>
    <row r="595" customFormat="1" ht="12.5" x14ac:dyDescent="0.25"/>
    <row r="596" customFormat="1" ht="12.5" x14ac:dyDescent="0.25"/>
    <row r="597" customFormat="1" ht="12.5" x14ac:dyDescent="0.25"/>
    <row r="598" customFormat="1" ht="12.5" x14ac:dyDescent="0.25"/>
    <row r="599" customFormat="1" ht="12.5" x14ac:dyDescent="0.25"/>
    <row r="600" customFormat="1" ht="12.5" x14ac:dyDescent="0.25"/>
    <row r="601" customFormat="1" ht="12.5" x14ac:dyDescent="0.25"/>
    <row r="602" customFormat="1" ht="12.5" x14ac:dyDescent="0.25"/>
    <row r="603" customFormat="1" ht="12.5" x14ac:dyDescent="0.25"/>
    <row r="604" customFormat="1" ht="12.5" x14ac:dyDescent="0.25"/>
    <row r="605" customFormat="1" ht="12.5" x14ac:dyDescent="0.25"/>
    <row r="606" customFormat="1" ht="12.5" x14ac:dyDescent="0.25"/>
    <row r="607" customFormat="1" ht="12.5" x14ac:dyDescent="0.25"/>
    <row r="608" customFormat="1" ht="12.5" x14ac:dyDescent="0.25"/>
    <row r="609" customFormat="1" ht="12.5" x14ac:dyDescent="0.25"/>
    <row r="610" customFormat="1" ht="12.5" x14ac:dyDescent="0.25"/>
    <row r="611" customFormat="1" ht="12.5" x14ac:dyDescent="0.25"/>
    <row r="612" customFormat="1" ht="12.5" x14ac:dyDescent="0.25"/>
    <row r="613" customFormat="1" ht="12.5" x14ac:dyDescent="0.25"/>
    <row r="614" customFormat="1" ht="12.5" x14ac:dyDescent="0.25"/>
    <row r="615" customFormat="1" ht="12.5" x14ac:dyDescent="0.25"/>
    <row r="616" customFormat="1" ht="12.5" x14ac:dyDescent="0.25"/>
    <row r="617" customFormat="1" ht="12.5" x14ac:dyDescent="0.25"/>
    <row r="618" customFormat="1" ht="12.5" x14ac:dyDescent="0.25"/>
    <row r="619" customFormat="1" ht="12.5" x14ac:dyDescent="0.25"/>
    <row r="620" customFormat="1" ht="12.5" x14ac:dyDescent="0.25"/>
    <row r="621" customFormat="1" ht="12.5" x14ac:dyDescent="0.25"/>
    <row r="622" customFormat="1" ht="12.5" x14ac:dyDescent="0.25"/>
    <row r="623" customFormat="1" ht="12.5" x14ac:dyDescent="0.25"/>
    <row r="624" customFormat="1" ht="12.5" x14ac:dyDescent="0.25"/>
    <row r="625" customFormat="1" ht="12.5" x14ac:dyDescent="0.25"/>
    <row r="626" customFormat="1" ht="12.5" x14ac:dyDescent="0.25"/>
    <row r="627" customFormat="1" ht="12.5" x14ac:dyDescent="0.25"/>
    <row r="628" customFormat="1" ht="12.5" x14ac:dyDescent="0.25"/>
    <row r="629" customFormat="1" ht="12.5" x14ac:dyDescent="0.25"/>
    <row r="630" customFormat="1" ht="12.5" x14ac:dyDescent="0.25"/>
    <row r="631" customFormat="1" ht="12.5" x14ac:dyDescent="0.25"/>
    <row r="632" customFormat="1" ht="12.5" x14ac:dyDescent="0.25"/>
    <row r="633" customFormat="1" ht="12.5" x14ac:dyDescent="0.25"/>
    <row r="634" customFormat="1" ht="12.5" x14ac:dyDescent="0.25"/>
    <row r="635" customFormat="1" ht="12.5" x14ac:dyDescent="0.25"/>
    <row r="636" customFormat="1" ht="12.5" x14ac:dyDescent="0.25"/>
    <row r="637" customFormat="1" ht="12.5" x14ac:dyDescent="0.25"/>
    <row r="638" customFormat="1" ht="12.5" x14ac:dyDescent="0.25"/>
    <row r="639" customFormat="1" ht="12.5" x14ac:dyDescent="0.25"/>
    <row r="640" customFormat="1" ht="12.5" x14ac:dyDescent="0.25"/>
    <row r="641" customFormat="1" ht="12.5" x14ac:dyDescent="0.25"/>
    <row r="642" customFormat="1" ht="12.5" x14ac:dyDescent="0.25"/>
    <row r="643" customFormat="1" ht="12.5" x14ac:dyDescent="0.25"/>
    <row r="644" customFormat="1" ht="12.5" x14ac:dyDescent="0.25"/>
    <row r="645" customFormat="1" ht="12.5" x14ac:dyDescent="0.25"/>
    <row r="646" customFormat="1" ht="12.5" x14ac:dyDescent="0.25"/>
    <row r="647" customFormat="1" ht="12.5" x14ac:dyDescent="0.25"/>
    <row r="648" customFormat="1" ht="12.5" x14ac:dyDescent="0.25"/>
    <row r="649" customFormat="1" ht="12.5" x14ac:dyDescent="0.25"/>
    <row r="650" customFormat="1" ht="12.5" x14ac:dyDescent="0.25"/>
    <row r="651" customFormat="1" ht="12.5" x14ac:dyDescent="0.25"/>
    <row r="652" customFormat="1" ht="12.5" x14ac:dyDescent="0.25"/>
    <row r="653" customFormat="1" ht="12.5" x14ac:dyDescent="0.25"/>
    <row r="654" customFormat="1" ht="12.5" x14ac:dyDescent="0.25"/>
    <row r="655" customFormat="1" ht="12.5" x14ac:dyDescent="0.25"/>
    <row r="656" customFormat="1" ht="12.5" x14ac:dyDescent="0.25"/>
    <row r="657" customFormat="1" ht="12.5" x14ac:dyDescent="0.25"/>
    <row r="658" customFormat="1" ht="12.5" x14ac:dyDescent="0.25"/>
    <row r="659" customFormat="1" ht="12.5" x14ac:dyDescent="0.25"/>
    <row r="660" customFormat="1" ht="12.5" x14ac:dyDescent="0.25"/>
    <row r="661" customFormat="1" ht="12.5" x14ac:dyDescent="0.25"/>
    <row r="662" customFormat="1" ht="12.5" x14ac:dyDescent="0.25"/>
    <row r="663" customFormat="1" ht="12.5" x14ac:dyDescent="0.25"/>
    <row r="664" customFormat="1" ht="12.5" x14ac:dyDescent="0.25"/>
    <row r="665" customFormat="1" ht="12.5" x14ac:dyDescent="0.25"/>
    <row r="666" customFormat="1" ht="12.5" x14ac:dyDescent="0.25"/>
    <row r="667" customFormat="1" ht="12.5" x14ac:dyDescent="0.25"/>
    <row r="668" customFormat="1" ht="12.5" x14ac:dyDescent="0.25"/>
    <row r="669" customFormat="1" ht="12.5" x14ac:dyDescent="0.25"/>
    <row r="670" customFormat="1" ht="12.5" x14ac:dyDescent="0.25"/>
    <row r="671" customFormat="1" ht="12.5" x14ac:dyDescent="0.25"/>
    <row r="672" customFormat="1" ht="12.5" x14ac:dyDescent="0.25"/>
    <row r="673" customFormat="1" ht="12.5" x14ac:dyDescent="0.25"/>
    <row r="674" customFormat="1" ht="12.5" x14ac:dyDescent="0.25"/>
    <row r="675" customFormat="1" ht="12.5" x14ac:dyDescent="0.25"/>
    <row r="676" customFormat="1" ht="12.5" x14ac:dyDescent="0.25"/>
    <row r="677" customFormat="1" ht="12.5" x14ac:dyDescent="0.25"/>
    <row r="678" customFormat="1" ht="12.5" x14ac:dyDescent="0.25"/>
    <row r="679" customFormat="1" ht="12.5" x14ac:dyDescent="0.25"/>
    <row r="680" customFormat="1" ht="12.5" x14ac:dyDescent="0.25"/>
    <row r="681" customFormat="1" ht="12.5" x14ac:dyDescent="0.25"/>
    <row r="682" customFormat="1" ht="12.5" x14ac:dyDescent="0.25"/>
    <row r="683" customFormat="1" ht="12.5" x14ac:dyDescent="0.25"/>
    <row r="684" customFormat="1" ht="12.5" x14ac:dyDescent="0.25"/>
    <row r="685" customFormat="1" ht="12.5" x14ac:dyDescent="0.25"/>
    <row r="686" customFormat="1" ht="12.5" x14ac:dyDescent="0.25"/>
    <row r="687" customFormat="1" ht="12.5" x14ac:dyDescent="0.25"/>
    <row r="688" customFormat="1" ht="12.5" x14ac:dyDescent="0.25"/>
    <row r="689" customFormat="1" ht="12.5" x14ac:dyDescent="0.25"/>
    <row r="690" customFormat="1" ht="12.5" x14ac:dyDescent="0.25"/>
    <row r="691" customFormat="1" ht="12.5" x14ac:dyDescent="0.25"/>
    <row r="692" customFormat="1" ht="12.5" x14ac:dyDescent="0.25"/>
    <row r="693" customFormat="1" ht="12.5" x14ac:dyDescent="0.25"/>
    <row r="694" customFormat="1" ht="12.5" x14ac:dyDescent="0.25"/>
    <row r="695" customFormat="1" ht="12.5" x14ac:dyDescent="0.25"/>
    <row r="696" customFormat="1" ht="12.5" x14ac:dyDescent="0.25"/>
    <row r="697" customFormat="1" ht="12.5" x14ac:dyDescent="0.25"/>
    <row r="698" customFormat="1" ht="12.5" x14ac:dyDescent="0.25"/>
    <row r="699" customFormat="1" ht="12.5" x14ac:dyDescent="0.25"/>
    <row r="700" customFormat="1" ht="12.5" x14ac:dyDescent="0.25"/>
    <row r="701" customFormat="1" ht="12.5" x14ac:dyDescent="0.25"/>
    <row r="702" customFormat="1" ht="12.5" x14ac:dyDescent="0.25"/>
    <row r="703" customFormat="1" ht="12.5" x14ac:dyDescent="0.25"/>
    <row r="704" customFormat="1" ht="12.5" x14ac:dyDescent="0.25"/>
    <row r="705" customFormat="1" ht="12.5" x14ac:dyDescent="0.25"/>
    <row r="706" customFormat="1" ht="12.5" x14ac:dyDescent="0.25"/>
    <row r="707" customFormat="1" ht="12.5" x14ac:dyDescent="0.25"/>
    <row r="708" customFormat="1" ht="12.5" x14ac:dyDescent="0.25"/>
    <row r="709" customFormat="1" ht="12.5" x14ac:dyDescent="0.25"/>
    <row r="710" customFormat="1" ht="12.5" x14ac:dyDescent="0.25"/>
    <row r="711" customFormat="1" ht="12.5" x14ac:dyDescent="0.25"/>
    <row r="712" customFormat="1" ht="12.5" x14ac:dyDescent="0.25"/>
    <row r="713" customFormat="1" ht="12.5" x14ac:dyDescent="0.25"/>
    <row r="714" customFormat="1" ht="12.5" x14ac:dyDescent="0.25"/>
    <row r="715" customFormat="1" ht="12.5" x14ac:dyDescent="0.25"/>
    <row r="716" customFormat="1" ht="12.5" x14ac:dyDescent="0.25"/>
    <row r="717" customFormat="1" ht="12.5" x14ac:dyDescent="0.25"/>
    <row r="718" customFormat="1" ht="12.5" x14ac:dyDescent="0.25"/>
    <row r="719" customFormat="1" ht="12.5" x14ac:dyDescent="0.25"/>
    <row r="720" customFormat="1" ht="12.5" x14ac:dyDescent="0.25"/>
    <row r="721" customFormat="1" ht="12.5" x14ac:dyDescent="0.25"/>
    <row r="722" customFormat="1" ht="12.5" x14ac:dyDescent="0.25"/>
    <row r="723" customFormat="1" ht="12.5" x14ac:dyDescent="0.25"/>
    <row r="724" customFormat="1" ht="12.5" x14ac:dyDescent="0.25"/>
    <row r="725" customFormat="1" ht="12.5" x14ac:dyDescent="0.25"/>
    <row r="726" customFormat="1" ht="12.5" x14ac:dyDescent="0.25"/>
    <row r="727" customFormat="1" ht="12.5" x14ac:dyDescent="0.25"/>
    <row r="728" customFormat="1" ht="12.5" x14ac:dyDescent="0.25"/>
    <row r="729" customFormat="1" ht="12.5" x14ac:dyDescent="0.25"/>
    <row r="730" customFormat="1" ht="12.5" x14ac:dyDescent="0.25"/>
    <row r="731" customFormat="1" ht="12.5" x14ac:dyDescent="0.25"/>
    <row r="732" customFormat="1" ht="12.5" x14ac:dyDescent="0.25"/>
  </sheetData>
  <mergeCells count="275">
    <mergeCell ref="A306:E306"/>
    <mergeCell ref="A304:E304"/>
    <mergeCell ref="B242:I242"/>
    <mergeCell ref="C526:J526"/>
    <mergeCell ref="C536:C537"/>
    <mergeCell ref="C539:J539"/>
    <mergeCell ref="C542:C543"/>
    <mergeCell ref="C545:J545"/>
    <mergeCell ref="C548:C549"/>
    <mergeCell ref="C487:C488"/>
    <mergeCell ref="C493:C494"/>
    <mergeCell ref="C499:C500"/>
    <mergeCell ref="C490:J490"/>
    <mergeCell ref="C496:J496"/>
    <mergeCell ref="C376:J376"/>
    <mergeCell ref="C379:C380"/>
    <mergeCell ref="C394:J394"/>
    <mergeCell ref="C397:C398"/>
    <mergeCell ref="C412:J412"/>
    <mergeCell ref="C415:C416"/>
    <mergeCell ref="C430:J430"/>
    <mergeCell ref="C433:C434"/>
    <mergeCell ref="C454:J454"/>
    <mergeCell ref="C382:J382"/>
    <mergeCell ref="C551:J551"/>
    <mergeCell ref="C554:C555"/>
    <mergeCell ref="C502:J502"/>
    <mergeCell ref="C505:C506"/>
    <mergeCell ref="C508:J508"/>
    <mergeCell ref="C511:C512"/>
    <mergeCell ref="C514:J514"/>
    <mergeCell ref="C517:C518"/>
    <mergeCell ref="C520:J520"/>
    <mergeCell ref="C523:C524"/>
    <mergeCell ref="C385:C386"/>
    <mergeCell ref="C391:C392"/>
    <mergeCell ref="C403:C404"/>
    <mergeCell ref="C409:C410"/>
    <mergeCell ref="C421:C422"/>
    <mergeCell ref="C427:C428"/>
    <mergeCell ref="C466:J466"/>
    <mergeCell ref="C472:J472"/>
    <mergeCell ref="C388:J388"/>
    <mergeCell ref="C400:J400"/>
    <mergeCell ref="C406:J406"/>
    <mergeCell ref="C484:J484"/>
    <mergeCell ref="C418:J418"/>
    <mergeCell ref="C424:J424"/>
    <mergeCell ref="C463:C464"/>
    <mergeCell ref="C469:C470"/>
    <mergeCell ref="C475:C476"/>
    <mergeCell ref="C439:C440"/>
    <mergeCell ref="C445:C446"/>
    <mergeCell ref="C451:C452"/>
    <mergeCell ref="C436:J436"/>
    <mergeCell ref="C442:J442"/>
    <mergeCell ref="C448:J448"/>
    <mergeCell ref="C460:J460"/>
    <mergeCell ref="C457:C458"/>
    <mergeCell ref="C478:J478"/>
    <mergeCell ref="C481:C482"/>
    <mergeCell ref="A296:B296"/>
    <mergeCell ref="A305:B305"/>
    <mergeCell ref="A302:B302"/>
    <mergeCell ref="A299:B299"/>
    <mergeCell ref="A300:B300"/>
    <mergeCell ref="A301:B301"/>
    <mergeCell ref="A293:B293"/>
    <mergeCell ref="A294:B294"/>
    <mergeCell ref="A295:B295"/>
    <mergeCell ref="A297:B297"/>
    <mergeCell ref="A298:B298"/>
    <mergeCell ref="A2:H2"/>
    <mergeCell ref="A3:B3"/>
    <mergeCell ref="A4:H4"/>
    <mergeCell ref="A5:B5"/>
    <mergeCell ref="A7:B7"/>
    <mergeCell ref="A22:I22"/>
    <mergeCell ref="A59:B59"/>
    <mergeCell ref="C94:G94"/>
    <mergeCell ref="A23:B23"/>
    <mergeCell ref="A25:B25"/>
    <mergeCell ref="A27:B27"/>
    <mergeCell ref="A41:I41"/>
    <mergeCell ref="A44:B44"/>
    <mergeCell ref="A58:H58"/>
    <mergeCell ref="A20:B20"/>
    <mergeCell ref="A19:B19"/>
    <mergeCell ref="A38:B38"/>
    <mergeCell ref="A39:B39"/>
    <mergeCell ref="A55:B55"/>
    <mergeCell ref="A56:B56"/>
    <mergeCell ref="A75:B75"/>
    <mergeCell ref="A92:B92"/>
    <mergeCell ref="A60:H61"/>
    <mergeCell ref="A63:H63"/>
    <mergeCell ref="A114:C114"/>
    <mergeCell ref="A115:C115"/>
    <mergeCell ref="A116:C116"/>
    <mergeCell ref="A118:E118"/>
    <mergeCell ref="C95:G95"/>
    <mergeCell ref="C98:G98"/>
    <mergeCell ref="A103:D103"/>
    <mergeCell ref="A110:C110"/>
    <mergeCell ref="A111:C111"/>
    <mergeCell ref="A112:C112"/>
    <mergeCell ref="A113:C113"/>
    <mergeCell ref="A104:C104"/>
    <mergeCell ref="A105:C105"/>
    <mergeCell ref="A106:C106"/>
    <mergeCell ref="A107:C107"/>
    <mergeCell ref="A108:C108"/>
    <mergeCell ref="A109:C109"/>
    <mergeCell ref="A134:I134"/>
    <mergeCell ref="A135:B135"/>
    <mergeCell ref="A119:B119"/>
    <mergeCell ref="A120:E120"/>
    <mergeCell ref="A125:B125"/>
    <mergeCell ref="A126:B126"/>
    <mergeCell ref="A127:B127"/>
    <mergeCell ref="A128:B128"/>
    <mergeCell ref="A129:B129"/>
    <mergeCell ref="A130:B130"/>
    <mergeCell ref="A121:B121"/>
    <mergeCell ref="A122:B122"/>
    <mergeCell ref="A123:B123"/>
    <mergeCell ref="A124:B124"/>
    <mergeCell ref="A131:C131"/>
    <mergeCell ref="A132:C132"/>
    <mergeCell ref="A168:I168"/>
    <mergeCell ref="A169:B169"/>
    <mergeCell ref="A152:B152"/>
    <mergeCell ref="A149:B149"/>
    <mergeCell ref="A137:B137"/>
    <mergeCell ref="A138:B138"/>
    <mergeCell ref="A139:B139"/>
    <mergeCell ref="A140:B140"/>
    <mergeCell ref="A148:H148"/>
    <mergeCell ref="A151:B151"/>
    <mergeCell ref="A154:B154"/>
    <mergeCell ref="A162:I162"/>
    <mergeCell ref="A163:B163"/>
    <mergeCell ref="A165:B165"/>
    <mergeCell ref="A155:B155"/>
    <mergeCell ref="A156:B156"/>
    <mergeCell ref="A157:B157"/>
    <mergeCell ref="A158:B158"/>
    <mergeCell ref="A159:B159"/>
    <mergeCell ref="A160:B160"/>
    <mergeCell ref="A164:I164"/>
    <mergeCell ref="A201:B201"/>
    <mergeCell ref="A203:I203"/>
    <mergeCell ref="A204:B204"/>
    <mergeCell ref="C221:H221"/>
    <mergeCell ref="C226:G226"/>
    <mergeCell ref="A187:B187"/>
    <mergeCell ref="A188:B188"/>
    <mergeCell ref="A195:B195"/>
    <mergeCell ref="A197:H197"/>
    <mergeCell ref="A198:B198"/>
    <mergeCell ref="A200:B200"/>
    <mergeCell ref="A193:B193"/>
    <mergeCell ref="A194:B194"/>
    <mergeCell ref="A189:B189"/>
    <mergeCell ref="A190:B190"/>
    <mergeCell ref="A191:B191"/>
    <mergeCell ref="A209:I209"/>
    <mergeCell ref="A210:B210"/>
    <mergeCell ref="A215:I215"/>
    <mergeCell ref="A216:B216"/>
    <mergeCell ref="A205:I205"/>
    <mergeCell ref="C223:H223"/>
    <mergeCell ref="A211:I211"/>
    <mergeCell ref="A217:I217"/>
    <mergeCell ref="A292:F292"/>
    <mergeCell ref="A275:I275"/>
    <mergeCell ref="A276:B276"/>
    <mergeCell ref="A281:B281"/>
    <mergeCell ref="B244:I244"/>
    <mergeCell ref="B252:I252"/>
    <mergeCell ref="A262:C262"/>
    <mergeCell ref="A263:C263"/>
    <mergeCell ref="A267:B267"/>
    <mergeCell ref="A268:B268"/>
    <mergeCell ref="A266:B266"/>
    <mergeCell ref="A271:B271"/>
    <mergeCell ref="A272:B272"/>
    <mergeCell ref="A273:B273"/>
    <mergeCell ref="A261:E261"/>
    <mergeCell ref="A372:B372"/>
    <mergeCell ref="A373:B373"/>
    <mergeCell ref="A374:B374"/>
    <mergeCell ref="A361:B361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55:B355"/>
    <mergeCell ref="A356:B356"/>
    <mergeCell ref="A357:B357"/>
    <mergeCell ref="A358:B358"/>
    <mergeCell ref="A359:B359"/>
    <mergeCell ref="A360:B360"/>
    <mergeCell ref="A347:B347"/>
    <mergeCell ref="A349:B349"/>
    <mergeCell ref="A350:B350"/>
    <mergeCell ref="A351:B351"/>
    <mergeCell ref="A353:B353"/>
    <mergeCell ref="A354:B354"/>
    <mergeCell ref="A348:B348"/>
    <mergeCell ref="B243:I243"/>
    <mergeCell ref="A282:B282"/>
    <mergeCell ref="A284:B284"/>
    <mergeCell ref="A285:B285"/>
    <mergeCell ref="A346:B346"/>
    <mergeCell ref="A332:B332"/>
    <mergeCell ref="A336:B336"/>
    <mergeCell ref="A337:B337"/>
    <mergeCell ref="A338:B338"/>
    <mergeCell ref="A319:F319"/>
    <mergeCell ref="A320:B320"/>
    <mergeCell ref="A325:J325"/>
    <mergeCell ref="A343:B343"/>
    <mergeCell ref="A321:F321"/>
    <mergeCell ref="A326:B326"/>
    <mergeCell ref="A340:B340"/>
    <mergeCell ref="A341:B341"/>
    <mergeCell ref="A342:B342"/>
    <mergeCell ref="A334:B334"/>
    <mergeCell ref="A335:B335"/>
    <mergeCell ref="A339:B339"/>
    <mergeCell ref="A327:J327"/>
    <mergeCell ref="A290:F290"/>
    <mergeCell ref="A291:B291"/>
    <mergeCell ref="A344:B344"/>
    <mergeCell ref="A345:B345"/>
    <mergeCell ref="A315:B315"/>
    <mergeCell ref="A307:B307"/>
    <mergeCell ref="A308:B308"/>
    <mergeCell ref="A309:B309"/>
    <mergeCell ref="A310:B310"/>
    <mergeCell ref="A317:B317"/>
    <mergeCell ref="A316:B316"/>
    <mergeCell ref="A311:B311"/>
    <mergeCell ref="A312:B312"/>
    <mergeCell ref="A313:B313"/>
    <mergeCell ref="A314:B314"/>
    <mergeCell ref="A178:B178"/>
    <mergeCell ref="A179:B179"/>
    <mergeCell ref="A180:B180"/>
    <mergeCell ref="A192:B192"/>
    <mergeCell ref="A141:B141"/>
    <mergeCell ref="A142:B142"/>
    <mergeCell ref="A143:B143"/>
    <mergeCell ref="A144:B144"/>
    <mergeCell ref="A145:B145"/>
    <mergeCell ref="A146:B146"/>
    <mergeCell ref="A185:B185"/>
    <mergeCell ref="A186:B186"/>
    <mergeCell ref="A183:B183"/>
    <mergeCell ref="A171:B171"/>
    <mergeCell ref="A172:B172"/>
    <mergeCell ref="A173:B173"/>
    <mergeCell ref="A174:B174"/>
    <mergeCell ref="A182:H182"/>
    <mergeCell ref="A175:B175"/>
    <mergeCell ref="A176:B176"/>
    <mergeCell ref="A177:B177"/>
    <mergeCell ref="A166:B166"/>
    <mergeCell ref="A170:I170"/>
    <mergeCell ref="A153:B153"/>
  </mergeCells>
  <pageMargins left="1.48" right="0.24" top="0.91" bottom="0.17" header="0.17" footer="0.17"/>
  <pageSetup scale="78" fitToHeight="0" orientation="landscape" r:id="rId1"/>
  <ignoredErrors>
    <ignoredError sqref="L119:M119 N119:U11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C0F9BD09A24E41A933B8C711EBED38" ma:contentTypeVersion="" ma:contentTypeDescription="Create a new document." ma:contentTypeScope="" ma:versionID="48b44f7deb5cab675ab29ef8682eb452">
  <xsd:schema xmlns:xsd="http://www.w3.org/2001/XMLSchema" xmlns:xs="http://www.w3.org/2001/XMLSchema" xmlns:p="http://schemas.microsoft.com/office/2006/metadata/properties" xmlns:ns2="705ca1c8-b85c-491c-99b0-d42ff1d8922b" xmlns:ns3="538ad379-f5f7-4c0f-a5b8-a41dd4d24453" xmlns:ns4="4ed08047-a389-4aa7-824d-d2b9aa27d9a4" targetNamespace="http://schemas.microsoft.com/office/2006/metadata/properties" ma:root="true" ma:fieldsID="343fc76c7920a080432407f9f507bab6" ns2:_="" ns3:_="" ns4:_="">
    <xsd:import namespace="705ca1c8-b85c-491c-99b0-d42ff1d8922b"/>
    <xsd:import namespace="538ad379-f5f7-4c0f-a5b8-a41dd4d24453"/>
    <xsd:import namespace="4ed08047-a389-4aa7-824d-d2b9aa27d9a4"/>
    <xsd:element name="properties">
      <xsd:complexType>
        <xsd:sequence>
          <xsd:element name="documentManagement">
            <xsd:complexType>
              <xsd:all>
                <xsd:element ref="ns2:e50c947c07ff40b296a9883deee27594" minOccurs="0"/>
                <xsd:element ref="ns3:TaxCatchAll" minOccurs="0"/>
                <xsd:element ref="ns2:Exhibit" minOccurs="0"/>
                <xsd:element ref="ns2:Category"/>
                <xsd:element ref="ns2:Topic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ca1c8-b85c-491c-99b0-d42ff1d8922b" elementFormDefault="qualified">
    <xsd:import namespace="http://schemas.microsoft.com/office/2006/documentManagement/types"/>
    <xsd:import namespace="http://schemas.microsoft.com/office/infopath/2007/PartnerControls"/>
    <xsd:element name="e50c947c07ff40b296a9883deee27594" ma:index="9" nillable="true" ma:taxonomy="true" ma:internalName="e50c947c07ff40b296a9883deee27594" ma:taxonomyFieldName="Year" ma:displayName="Year" ma:default="1;#2019|f068505e-56c1-4352-982c-d3863d1b9ae8" ma:fieldId="{e50c947c-07ff-40b2-96a9-883deee27594}" ma:sspId="8b67134a-6620-4cc2-b6da-fccfdf8b7e79" ma:termSetId="eac8fd3f-8b39-4aef-81b8-58e1bc4595e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format="Dropdow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3" ma:displayName="Topic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ad379-f5f7-4c0f-a5b8-a41dd4d2445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335FDDA-2A28-4599-AF3C-AACB90862CCE}" ma:internalName="TaxCatchAll" ma:showField="CatchAllData" ma:web="{4ed08047-a389-4aa7-824d-d2b9aa27d9a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08047-a389-4aa7-824d-d2b9aa27d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705ca1c8-b85c-491c-99b0-d42ff1d8922b">
      <Value>3 Load Forecast (Other Revenue)</Value>
    </Exhibit>
    <TaxCatchAll xmlns="538ad379-f5f7-4c0f-a5b8-a41dd4d24453">
      <Value>1</Value>
    </TaxCatchAll>
    <Topic xmlns="705ca1c8-b85c-491c-99b0-d42ff1d8922b">Load Forecast</Topic>
    <Category xmlns="705ca1c8-b85c-491c-99b0-d42ff1d8922b">Application</Category>
    <e50c947c07ff40b296a9883deee27594 xmlns="705ca1c8-b85c-491c-99b0-d42ff1d89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</TermName>
          <TermId xmlns="http://schemas.microsoft.com/office/infopath/2007/PartnerControls">f068505e-56c1-4352-982c-d3863d1b9ae8</TermId>
        </TermInfo>
      </Terms>
    </e50c947c07ff40b296a9883deee27594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2FBC88-F509-4DD9-A50B-BF0BE3DC0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ca1c8-b85c-491c-99b0-d42ff1d8922b"/>
    <ds:schemaRef ds:uri="538ad379-f5f7-4c0f-a5b8-a41dd4d24453"/>
    <ds:schemaRef ds:uri="4ed08047-a389-4aa7-824d-d2b9aa27d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556D24-7DF5-48D2-AA8B-45999B69241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705ca1c8-b85c-491c-99b0-d42ff1d8922b"/>
    <ds:schemaRef ds:uri="http://purl.org/dc/terms/"/>
    <ds:schemaRef ds:uri="http://schemas.openxmlformats.org/package/2006/metadata/core-properties"/>
    <ds:schemaRef ds:uri="4ed08047-a389-4aa7-824d-d2b9aa27d9a4"/>
    <ds:schemaRef ds:uri="http://purl.org/dc/dcmitype/"/>
    <ds:schemaRef ds:uri="http://schemas.microsoft.com/office/infopath/2007/PartnerControls"/>
    <ds:schemaRef ds:uri="538ad379-f5f7-4c0f-a5b8-a41dd4d2445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0C62737-73FB-4542-89FD-10CED76DC7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Power</vt:lpstr>
      <vt:lpstr>Energy</vt:lpstr>
      <vt:lpstr>Customer</vt:lpstr>
      <vt:lpstr>ED</vt:lpstr>
      <vt:lpstr>Load</vt:lpstr>
      <vt:lpstr>19COP-Z</vt:lpstr>
      <vt:lpstr>20COP-Z</vt:lpstr>
      <vt:lpstr>Summary</vt:lpstr>
      <vt:lpstr>Tables</vt:lpstr>
      <vt:lpstr>IR Tables</vt:lpstr>
      <vt:lpstr>CDM</vt:lpstr>
      <vt:lpstr>App2-Z</vt:lpstr>
      <vt:lpstr>Power!Print_Titles</vt:lpstr>
    </vt:vector>
  </TitlesOfParts>
  <Manager/>
  <Company>London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Model</dc:title>
  <dc:subject/>
  <dc:creator>Bruce Bacon</dc:creator>
  <cp:keywords/>
  <dc:description/>
  <cp:lastModifiedBy>Muir, Liz</cp:lastModifiedBy>
  <cp:revision/>
  <cp:lastPrinted>2019-09-10T13:56:36Z</cp:lastPrinted>
  <dcterms:created xsi:type="dcterms:W3CDTF">2008-02-06T18:24:44Z</dcterms:created>
  <dcterms:modified xsi:type="dcterms:W3CDTF">2019-09-10T14:36:24Z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0x010100E6C0F9BD09A24E41A933B8C711EBED38</vt:lpwstr>
  </property>
  <property fmtid="{D5CDD505-2E9C-101B-9397-08002B2CF9AE}" pid="4" name="Year">
    <vt:lpwstr>1;#2019|f068505e-56c1-4352-982c-d3863d1b9ae8</vt:lpwstr>
  </property>
  <property fmtid="{D5CDD505-2E9C-101B-9397-08002B2CF9AE}" pid="5" name="AuthorIds_UIVersion_1024">
    <vt:lpwstr>15</vt:lpwstr>
  </property>
  <property fmtid="{D5CDD505-2E9C-101B-9397-08002B2CF9AE}" pid="6" name="AuthorIds_UIVersion_1536">
    <vt:lpwstr>15</vt:lpwstr>
  </property>
  <property fmtid="{D5CDD505-2E9C-101B-9397-08002B2CF9AE}" pid="7" name="AuthorIds_UIVersion_2048">
    <vt:lpwstr>15</vt:lpwstr>
  </property>
  <property fmtid="{D5CDD505-2E9C-101B-9397-08002B2CF9AE}" pid="8" name="AuthorIds_UIVersion_7168">
    <vt:lpwstr>15</vt:lpwstr>
  </property>
  <property fmtid="{D5CDD505-2E9C-101B-9397-08002B2CF9AE}" pid="9" name="AuthorIds_UIVersion_11776">
    <vt:lpwstr>15</vt:lpwstr>
  </property>
  <property fmtid="{D5CDD505-2E9C-101B-9397-08002B2CF9AE}" pid="10" name="AuthorIds_UIVersion_12288">
    <vt:lpwstr>15</vt:lpwstr>
  </property>
  <property fmtid="{D5CDD505-2E9C-101B-9397-08002B2CF9AE}" pid="11" name="AuthorIds_UIVersion_12800">
    <vt:lpwstr>15</vt:lpwstr>
  </property>
  <property fmtid="{D5CDD505-2E9C-101B-9397-08002B2CF9AE}" pid="12" name="AuthorIds_UIVersion_13824">
    <vt:lpwstr>15</vt:lpwstr>
  </property>
  <property fmtid="{D5CDD505-2E9C-101B-9397-08002B2CF9AE}" pid="13" name="AuthorIds_UIVersion_14336">
    <vt:lpwstr>15</vt:lpwstr>
  </property>
  <property fmtid="{D5CDD505-2E9C-101B-9397-08002B2CF9AE}" pid="14" name="AuthorIds_UIVersion_14848">
    <vt:lpwstr>15</vt:lpwstr>
  </property>
  <property fmtid="{D5CDD505-2E9C-101B-9397-08002B2CF9AE}" pid="15" name="AuthorIds_UIVersion_15360">
    <vt:lpwstr>15</vt:lpwstr>
  </property>
  <property fmtid="{D5CDD505-2E9C-101B-9397-08002B2CF9AE}" pid="16" name="AuthorIds_UIVersion_15872">
    <vt:lpwstr>15</vt:lpwstr>
  </property>
  <property fmtid="{D5CDD505-2E9C-101B-9397-08002B2CF9AE}" pid="17" name="AuthorIds_UIVersion_16896">
    <vt:lpwstr>15</vt:lpwstr>
  </property>
  <property fmtid="{D5CDD505-2E9C-101B-9397-08002B2CF9AE}" pid="18" name="AuthorIds_UIVersion_20992">
    <vt:lpwstr>15</vt:lpwstr>
  </property>
</Properties>
</file>