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vbaProject.bin" ContentType="application/vnd.ms-office.vbaProject"/>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3D1A710C-6663-3D7B-7F91-EC182F24A4BC}"/>
  <workbookPr codeName="ThisWorkbook"/>
  <mc:AlternateContent xmlns:mc="http://schemas.openxmlformats.org/markup-compatibility/2006">
    <mc:Choice Requires="x15">
      <x15ac:absPath xmlns:x15ac="http://schemas.microsoft.com/office/spreadsheetml/2010/11/ac" url="\\data\common\Finance\Rates\_Alectra\Rate Applications\EDR Rate Applications\2020 EDR Application\7. Capital Funding 2020-2024\2020 ICM Models_Threshold Calculation\Revised v5 ACM Model - August 30 2019\"/>
    </mc:Choice>
  </mc:AlternateContent>
  <xr:revisionPtr revIDLastSave="0" documentId="13_ncr:1_{28FF5EE3-9549-467F-97CF-B6537FE469B9}" xr6:coauthVersionLast="41" xr6:coauthVersionMax="41" xr10:uidLastSave="{00000000-0000-0000-0000-000000000000}"/>
  <workbookProtection workbookAlgorithmName="SHA-512" workbookHashValue="f0e7aFwm610K4xEfn9wJxE+zCx/cdGet4J7XKryOrCwWTxFHH86wvGqkscQyisiaFR5cUrIUKaNr3uLx/0/YLQ==" workbookSaltValue="dauuffBfZp6npFwKmw0L8A==" workbookSpinCount="100000" lockStructure="1"/>
  <bookViews>
    <workbookView xWindow="-60" yWindow="-60" windowWidth="28920" windowHeight="15720" firstSheet="7" activeTab="9" xr2:uid="{00000000-000D-0000-FFFF-FFFF00000000}"/>
  </bookViews>
  <sheets>
    <sheet name="lists" sheetId="4" state="hidden" r:id="rId1"/>
    <sheet name="tempcopy" sheetId="12" state="hidden" r:id="rId2"/>
    <sheet name="1. Information Sheet" sheetId="3" r:id="rId3"/>
    <sheet name="2. Rate Class Selection" sheetId="5" r:id="rId4"/>
    <sheet name="3. Growth Factor - NUM_CALC1" sheetId="6" r:id="rId5"/>
    <sheet name="4. Growth Factor - NUM_CALC2" sheetId="7" r:id="rId6"/>
    <sheet name="5. Rev_Requ_Check" sheetId="8" r:id="rId7"/>
    <sheet name="6. Growth Factor - DEN_CALC" sheetId="9" r:id="rId8"/>
    <sheet name="7. Revenue Proportions" sheetId="10" r:id="rId9"/>
    <sheet name="8. Threshold Test" sheetId="11" r:id="rId10"/>
    <sheet name="9a. Proposed ACM Projects" sheetId="16" state="hidden" r:id="rId11"/>
    <sheet name="9b. Proposed ACM ICM Projects" sheetId="13" r:id="rId12"/>
    <sheet name="10. Incremental Capital Adj." sheetId="14" r:id="rId13"/>
    <sheet name="11. Rate Rider Calc" sheetId="15" r:id="rId14"/>
  </sheets>
  <definedNames>
    <definedName name="_xlnm._FilterDatabase" localSheetId="0" hidden="1">lists!$I$1:$I$123</definedName>
    <definedName name="BI_LDCLIST">'2. Rate Class Selection'!$B$19:$B$20</definedName>
    <definedName name="CustomerAdministration">lists!$Z$1:$Z$36</definedName>
    <definedName name="d" localSheetId="13">'8. Threshold Test'!$E$51</definedName>
    <definedName name="d" localSheetId="10">'8. Threshold Test'!$E$51</definedName>
    <definedName name="d">'8. Threshold Test'!$E$51</definedName>
    <definedName name="Fixed_Charges" localSheetId="13">lists!$I$1:$I$220</definedName>
    <definedName name="Fixed_Charges" localSheetId="3">lists!$I$1:$I$220</definedName>
    <definedName name="Fixed_Charges" localSheetId="10">lists!$I$1:$I$220</definedName>
    <definedName name="Fixed_Charges">lists!$I$1:$I$220</definedName>
    <definedName name="g" localSheetId="13">'8. Threshold Test'!$E$20</definedName>
    <definedName name="g" localSheetId="10">'8. Threshold Test'!$E$20</definedName>
    <definedName name="g">'8. Threshold Test'!$E$20</definedName>
    <definedName name="LastSheet" hidden="1">"Z1.0 OEB Control Sheet"</definedName>
    <definedName name="LDC_LIST">lists!$AM$1:$AM$88</definedName>
    <definedName name="LDCNAMES" localSheetId="10">lists!$AL$1:$AL$77</definedName>
    <definedName name="LDCNAMES">lists!$AL$1:$AL$74</definedName>
    <definedName name="LossFactors">lists!$L$2:$L$15</definedName>
    <definedName name="n">'8. Threshold Test'!$E$14</definedName>
    <definedName name="NonPayment">lists!$AA$1:$AA$71</definedName>
    <definedName name="PCI" localSheetId="13">'8. Threshold Test'!$E$16</definedName>
    <definedName name="PCI" localSheetId="10">'8. Threshold Test'!$E$16</definedName>
    <definedName name="PCI">'8. Threshold Test'!$E$16</definedName>
    <definedName name="_xlnm.Print_Area" localSheetId="2">'1. Information Sheet'!$A$1:$O$62</definedName>
    <definedName name="_xlnm.Print_Area" localSheetId="3">'2. Rate Class Selection'!$A$1:$N$32</definedName>
    <definedName name="_xlnm.Print_Area" localSheetId="6">'5. Rev_Requ_Check'!$A$1:$H$65</definedName>
    <definedName name="Rate_Class">lists!$A$2:$A$50</definedName>
    <definedName name="RB" localSheetId="13">'8. Threshold Test'!$E$49</definedName>
    <definedName name="RB" localSheetId="10">'8. Threshold Test'!$E$49</definedName>
    <definedName name="RB">'8. Threshold Test'!$E$49</definedName>
    <definedName name="Units" localSheetId="13">lists!$N$2:$N$5</definedName>
    <definedName name="Units" localSheetId="3">lists!$N$2:$N$5</definedName>
    <definedName name="Units" localSheetId="10">lists!$N$2:$N$5</definedName>
    <definedName name="Units">lists!$N$2:$N$5</definedName>
    <definedName name="Units1" localSheetId="13">lists!$O$2:$O$4</definedName>
    <definedName name="Units1" localSheetId="3">lists!$O$2:$O$4</definedName>
    <definedName name="Units1" localSheetId="10">lists!$O$2:$O$4</definedName>
    <definedName name="Units1">lists!$O$2:$O$4</definedName>
    <definedName name="Units2">lists!$P$2:$P$3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3" i="15" l="1"/>
  <c r="L23" i="15"/>
  <c r="K23" i="15"/>
  <c r="M22" i="15"/>
  <c r="L22" i="15"/>
  <c r="K22" i="15"/>
  <c r="M21" i="15"/>
  <c r="L21" i="15"/>
  <c r="K21" i="15"/>
  <c r="M20" i="15"/>
  <c r="L20" i="15"/>
  <c r="K20" i="15"/>
  <c r="M19" i="15"/>
  <c r="L19" i="15"/>
  <c r="K19" i="15"/>
  <c r="M18" i="15"/>
  <c r="L18" i="15"/>
  <c r="K18" i="15"/>
  <c r="M17" i="15"/>
  <c r="L17" i="15"/>
  <c r="L24" i="15" s="1"/>
  <c r="K17" i="15"/>
  <c r="I23" i="10"/>
  <c r="H23" i="10"/>
  <c r="G23" i="10"/>
  <c r="K23" i="10" s="1"/>
  <c r="E23" i="10"/>
  <c r="D23" i="10"/>
  <c r="C23" i="10"/>
  <c r="K22" i="10"/>
  <c r="I22" i="10"/>
  <c r="H22" i="10"/>
  <c r="G22" i="10"/>
  <c r="E22" i="10"/>
  <c r="D22" i="10"/>
  <c r="L22" i="10" s="1"/>
  <c r="C22" i="10"/>
  <c r="I21" i="10"/>
  <c r="H21" i="10"/>
  <c r="L21" i="10" s="1"/>
  <c r="G21" i="10"/>
  <c r="E21" i="10"/>
  <c r="M21" i="10" s="1"/>
  <c r="D21" i="10"/>
  <c r="C21" i="10"/>
  <c r="I20" i="10"/>
  <c r="H20" i="10"/>
  <c r="G20" i="10"/>
  <c r="E20" i="10"/>
  <c r="D20" i="10"/>
  <c r="C20" i="10"/>
  <c r="K20" i="10" s="1"/>
  <c r="I19" i="10"/>
  <c r="H19" i="10"/>
  <c r="L19" i="10" s="1"/>
  <c r="G19" i="10"/>
  <c r="E19" i="10"/>
  <c r="M19" i="10" s="1"/>
  <c r="D19" i="10"/>
  <c r="C19" i="10"/>
  <c r="I18" i="10"/>
  <c r="M18" i="10" s="1"/>
  <c r="H18" i="10"/>
  <c r="G18" i="10"/>
  <c r="E18" i="10"/>
  <c r="D18" i="10"/>
  <c r="L18" i="10" s="1"/>
  <c r="C18" i="10"/>
  <c r="I17" i="10"/>
  <c r="H17" i="10"/>
  <c r="G17" i="10"/>
  <c r="E17" i="10"/>
  <c r="D17" i="10"/>
  <c r="C17" i="10"/>
  <c r="E24" i="9"/>
  <c r="D24" i="9"/>
  <c r="C24" i="9"/>
  <c r="L23" i="9"/>
  <c r="I23" i="9"/>
  <c r="M23" i="9" s="1"/>
  <c r="H23" i="9"/>
  <c r="G23" i="9"/>
  <c r="K23" i="9" s="1"/>
  <c r="N23" i="9" s="1"/>
  <c r="K22" i="9"/>
  <c r="I22" i="9"/>
  <c r="M22" i="9" s="1"/>
  <c r="H22" i="9"/>
  <c r="L22" i="9" s="1"/>
  <c r="G22" i="9"/>
  <c r="L21" i="9"/>
  <c r="I21" i="9"/>
  <c r="M21" i="9" s="1"/>
  <c r="H21" i="9"/>
  <c r="G21" i="9"/>
  <c r="K21" i="9" s="1"/>
  <c r="I20" i="9"/>
  <c r="M20" i="9" s="1"/>
  <c r="H20" i="9"/>
  <c r="L20" i="9" s="1"/>
  <c r="G20" i="9"/>
  <c r="K20" i="9" s="1"/>
  <c r="I19" i="9"/>
  <c r="M19" i="9" s="1"/>
  <c r="H19" i="9"/>
  <c r="L19" i="9" s="1"/>
  <c r="G19" i="9"/>
  <c r="K19" i="9" s="1"/>
  <c r="L18" i="9"/>
  <c r="I18" i="9"/>
  <c r="M18" i="9" s="1"/>
  <c r="H18" i="9"/>
  <c r="G18" i="9"/>
  <c r="K18" i="9" s="1"/>
  <c r="M17" i="9"/>
  <c r="I17" i="9"/>
  <c r="H17" i="9"/>
  <c r="L17" i="9" s="1"/>
  <c r="G17" i="9"/>
  <c r="K17" i="9" s="1"/>
  <c r="I23" i="7"/>
  <c r="H23" i="7"/>
  <c r="L23" i="7" s="1"/>
  <c r="G23" i="7"/>
  <c r="K23" i="7" s="1"/>
  <c r="E23" i="7"/>
  <c r="D23" i="7"/>
  <c r="C23" i="7"/>
  <c r="I22" i="7"/>
  <c r="M22" i="7" s="1"/>
  <c r="H22" i="7"/>
  <c r="G22" i="7"/>
  <c r="E22" i="7"/>
  <c r="D22" i="7"/>
  <c r="C22" i="7"/>
  <c r="K22" i="7" s="1"/>
  <c r="I21" i="7"/>
  <c r="H21" i="7"/>
  <c r="G21" i="7"/>
  <c r="E21" i="7"/>
  <c r="D21" i="7"/>
  <c r="C21" i="7"/>
  <c r="K20" i="7"/>
  <c r="I20" i="7"/>
  <c r="H20" i="7"/>
  <c r="G20" i="7"/>
  <c r="E20" i="7"/>
  <c r="M20" i="7" s="1"/>
  <c r="D20" i="7"/>
  <c r="C20" i="7"/>
  <c r="K19" i="7"/>
  <c r="I19" i="7"/>
  <c r="H19" i="7"/>
  <c r="L19" i="7" s="1"/>
  <c r="G19" i="7"/>
  <c r="E19" i="7"/>
  <c r="D19" i="7"/>
  <c r="C19" i="7"/>
  <c r="L18" i="7"/>
  <c r="I18" i="7"/>
  <c r="M18" i="7" s="1"/>
  <c r="H18" i="7"/>
  <c r="G18" i="7"/>
  <c r="E18" i="7"/>
  <c r="D18" i="7"/>
  <c r="C18" i="7"/>
  <c r="I17" i="7"/>
  <c r="M17" i="7" s="1"/>
  <c r="H17" i="7"/>
  <c r="G17" i="7"/>
  <c r="E17" i="7"/>
  <c r="D17" i="7"/>
  <c r="C17" i="7"/>
  <c r="M17" i="10" l="1"/>
  <c r="K18" i="10"/>
  <c r="M24" i="15"/>
  <c r="M24" i="9"/>
  <c r="M21" i="7"/>
  <c r="K17" i="10"/>
  <c r="K24" i="15"/>
  <c r="N20" i="9"/>
  <c r="L17" i="7"/>
  <c r="L22" i="7"/>
  <c r="L17" i="10"/>
  <c r="K19" i="10"/>
  <c r="K24" i="10" s="1"/>
  <c r="L20" i="10"/>
  <c r="M20" i="10"/>
  <c r="M22" i="10"/>
  <c r="N22" i="10" s="1"/>
  <c r="M23" i="10"/>
  <c r="N18" i="9"/>
  <c r="N21" i="9"/>
  <c r="N22" i="9"/>
  <c r="K24" i="9"/>
  <c r="N17" i="9"/>
  <c r="N19" i="9"/>
  <c r="L24" i="9"/>
  <c r="K21" i="7"/>
  <c r="N21" i="7" s="1"/>
  <c r="R21" i="7" s="1"/>
  <c r="K18" i="7"/>
  <c r="L21" i="7"/>
  <c r="M23" i="7"/>
  <c r="M24" i="7" s="1"/>
  <c r="L20" i="7"/>
  <c r="L24" i="7" s="1"/>
  <c r="K21" i="10"/>
  <c r="L23" i="10"/>
  <c r="N20" i="10"/>
  <c r="N23" i="10"/>
  <c r="M19" i="7"/>
  <c r="E24" i="7"/>
  <c r="N22" i="7"/>
  <c r="R22" i="7" s="1"/>
  <c r="N19" i="10"/>
  <c r="C24" i="7"/>
  <c r="K17" i="7"/>
  <c r="N18" i="7"/>
  <c r="N17" i="10"/>
  <c r="Q22" i="7"/>
  <c r="N23" i="7"/>
  <c r="N18" i="10"/>
  <c r="N21" i="10"/>
  <c r="P23" i="7"/>
  <c r="D24" i="7"/>
  <c r="M24" i="10" l="1"/>
  <c r="L24" i="10"/>
  <c r="N20" i="7"/>
  <c r="N24" i="9"/>
  <c r="S19" i="9" s="1"/>
  <c r="Q18" i="7"/>
  <c r="R23" i="7"/>
  <c r="P18" i="7"/>
  <c r="P21" i="7"/>
  <c r="K24" i="7"/>
  <c r="P17" i="7"/>
  <c r="N17" i="7"/>
  <c r="R18" i="7"/>
  <c r="Q23" i="7"/>
  <c r="Q20" i="7"/>
  <c r="Q21" i="7"/>
  <c r="N24" i="10"/>
  <c r="S18" i="10" s="1"/>
  <c r="S17" i="10"/>
  <c r="P22" i="7"/>
  <c r="N19" i="7"/>
  <c r="R19" i="7" s="1"/>
  <c r="S23" i="10"/>
  <c r="S20" i="10"/>
  <c r="P23" i="9" l="1"/>
  <c r="Q21" i="9"/>
  <c r="E19" i="11"/>
  <c r="S23" i="9"/>
  <c r="R19" i="9"/>
  <c r="R23" i="9"/>
  <c r="Q22" i="9"/>
  <c r="R20" i="9"/>
  <c r="S21" i="9"/>
  <c r="S22" i="9"/>
  <c r="P20" i="9"/>
  <c r="Q23" i="9"/>
  <c r="P17" i="9"/>
  <c r="P21" i="9"/>
  <c r="S20" i="9"/>
  <c r="Q17" i="9"/>
  <c r="R17" i="9"/>
  <c r="R21" i="9"/>
  <c r="Q18" i="9"/>
  <c r="R18" i="9"/>
  <c r="R22" i="9"/>
  <c r="S18" i="9"/>
  <c r="Q19" i="9"/>
  <c r="P18" i="9"/>
  <c r="P22" i="9"/>
  <c r="Q20" i="9"/>
  <c r="P19" i="9"/>
  <c r="S17" i="9"/>
  <c r="S24" i="9" s="1"/>
  <c r="R20" i="7"/>
  <c r="P20" i="7"/>
  <c r="P19" i="10"/>
  <c r="C19" i="15" s="1"/>
  <c r="P20" i="10"/>
  <c r="C20" i="15" s="1"/>
  <c r="R21" i="10"/>
  <c r="E21" i="15" s="1"/>
  <c r="R23" i="10"/>
  <c r="E23" i="15" s="1"/>
  <c r="Q17" i="10"/>
  <c r="D17" i="15" s="1"/>
  <c r="P21" i="10"/>
  <c r="C21" i="15" s="1"/>
  <c r="Q22" i="10"/>
  <c r="D22" i="15" s="1"/>
  <c r="R17" i="10"/>
  <c r="E17" i="15" s="1"/>
  <c r="Q21" i="10"/>
  <c r="D21" i="15" s="1"/>
  <c r="Q19" i="10"/>
  <c r="D19" i="15" s="1"/>
  <c r="R18" i="10"/>
  <c r="E18" i="15" s="1"/>
  <c r="R19" i="10"/>
  <c r="E19" i="15" s="1"/>
  <c r="Q23" i="10"/>
  <c r="D23" i="15" s="1"/>
  <c r="P18" i="10"/>
  <c r="C18" i="15" s="1"/>
  <c r="P23" i="10"/>
  <c r="C23" i="15" s="1"/>
  <c r="Q18" i="10"/>
  <c r="D18" i="15" s="1"/>
  <c r="R22" i="10"/>
  <c r="E22" i="15" s="1"/>
  <c r="P17" i="10"/>
  <c r="C17" i="15" s="1"/>
  <c r="R20" i="10"/>
  <c r="E20" i="15" s="1"/>
  <c r="Q20" i="10"/>
  <c r="D20" i="15" s="1"/>
  <c r="P22" i="10"/>
  <c r="C22" i="15" s="1"/>
  <c r="S19" i="10"/>
  <c r="S24" i="10" s="1"/>
  <c r="Q19" i="7"/>
  <c r="P19" i="7"/>
  <c r="S22" i="10"/>
  <c r="S21" i="10"/>
  <c r="N24" i="7"/>
  <c r="S19" i="7" s="1"/>
  <c r="R17" i="7"/>
  <c r="Q17" i="7"/>
  <c r="S17" i="7" l="1"/>
  <c r="C24" i="15"/>
  <c r="E24" i="15"/>
  <c r="E18" i="11"/>
  <c r="E65" i="8"/>
  <c r="S23" i="7"/>
  <c r="S21" i="7"/>
  <c r="S20" i="7"/>
  <c r="S18" i="7"/>
  <c r="S22" i="7"/>
  <c r="D24" i="15"/>
  <c r="S24" i="7" l="1"/>
  <c r="G124" i="13" l="1"/>
  <c r="F23" i="14" l="1"/>
  <c r="D46" i="13" l="1"/>
  <c r="G89" i="13" l="1"/>
  <c r="D89" i="13" l="1"/>
  <c r="B15" i="16" l="1"/>
  <c r="C15" i="16" s="1"/>
  <c r="B25" i="16"/>
  <c r="C25" i="16"/>
  <c r="M28" i="16"/>
  <c r="M29" i="16"/>
  <c r="M30" i="16"/>
  <c r="M31" i="16"/>
  <c r="M32" i="16"/>
  <c r="M33" i="16"/>
  <c r="M34" i="16"/>
  <c r="M35" i="16"/>
  <c r="M36" i="16"/>
  <c r="M37" i="16"/>
  <c r="M38" i="16"/>
  <c r="M39" i="16"/>
  <c r="M40" i="16"/>
  <c r="M41" i="16"/>
  <c r="M42" i="16"/>
  <c r="M43" i="16"/>
  <c r="M44" i="16"/>
  <c r="M45" i="16"/>
  <c r="M46" i="16"/>
  <c r="M47" i="16"/>
  <c r="C49" i="16"/>
  <c r="D49" i="16"/>
  <c r="E49" i="16"/>
  <c r="F49" i="16"/>
  <c r="G49" i="16"/>
  <c r="H49" i="16"/>
  <c r="I49" i="16"/>
  <c r="J49" i="16"/>
  <c r="K49" i="16"/>
  <c r="L49" i="16"/>
  <c r="B27" i="16" l="1"/>
  <c r="C27" i="16"/>
  <c r="D15" i="16"/>
  <c r="D27" i="16" l="1"/>
  <c r="E15" i="16"/>
  <c r="E23" i="14"/>
  <c r="E12" i="14"/>
  <c r="C47" i="14"/>
  <c r="C40" i="14"/>
  <c r="C39" i="14"/>
  <c r="C37" i="14"/>
  <c r="C36" i="14"/>
  <c r="F15" i="16" l="1"/>
  <c r="E27" i="16"/>
  <c r="J28" i="3"/>
  <c r="G15" i="16" l="1"/>
  <c r="F27" i="16"/>
  <c r="B90" i="14"/>
  <c r="C46" i="14"/>
  <c r="C44" i="14"/>
  <c r="I124" i="13"/>
  <c r="H124" i="13"/>
  <c r="F124" i="13"/>
  <c r="E124" i="13"/>
  <c r="D124" i="13"/>
  <c r="G100" i="13"/>
  <c r="D100" i="13"/>
  <c r="O85" i="13"/>
  <c r="N85" i="13"/>
  <c r="L85" i="13"/>
  <c r="K85" i="13"/>
  <c r="I85" i="13"/>
  <c r="F85" i="13"/>
  <c r="E85" i="13"/>
  <c r="D85" i="13"/>
  <c r="M85" i="13"/>
  <c r="J85" i="13"/>
  <c r="G85" i="13"/>
  <c r="M61" i="13"/>
  <c r="J61" i="13"/>
  <c r="G61" i="13"/>
  <c r="D61" i="13"/>
  <c r="O46" i="13"/>
  <c r="N46" i="13"/>
  <c r="L46" i="13"/>
  <c r="K46" i="13"/>
  <c r="I46" i="13"/>
  <c r="H46" i="13"/>
  <c r="J46" i="13"/>
  <c r="M46" i="13"/>
  <c r="G46" i="13"/>
  <c r="F46" i="13"/>
  <c r="C25" i="14"/>
  <c r="C27" i="14"/>
  <c r="G27" i="16" l="1"/>
  <c r="H15" i="16"/>
  <c r="E46" i="13"/>
  <c r="H85" i="13"/>
  <c r="C26" i="14"/>
  <c r="I15" i="16" l="1"/>
  <c r="H27" i="16"/>
  <c r="J15" i="16" l="1"/>
  <c r="I27" i="16"/>
  <c r="K15" i="16" l="1"/>
  <c r="J27" i="16"/>
  <c r="L15" i="16" l="1"/>
  <c r="L27" i="16" s="1"/>
  <c r="K27" i="16"/>
  <c r="E14" i="11" l="1"/>
  <c r="C9" i="11"/>
  <c r="C14" i="10"/>
  <c r="G15" i="6" l="1"/>
  <c r="E46" i="11" l="1"/>
  <c r="E45" i="11"/>
  <c r="E47" i="11" s="1"/>
  <c r="E36" i="11"/>
  <c r="E35" i="11"/>
  <c r="E34" i="11"/>
  <c r="E51" i="11" s="1"/>
  <c r="E33" i="11"/>
  <c r="E28" i="11"/>
  <c r="E27" i="11"/>
  <c r="E26" i="11"/>
  <c r="E25" i="11"/>
  <c r="E24" i="11"/>
  <c r="E23" i="11"/>
  <c r="E60" i="8"/>
  <c r="E55" i="8"/>
  <c r="C38" i="8"/>
  <c r="C45" i="14" s="1"/>
  <c r="E31" i="8"/>
  <c r="C23" i="8"/>
  <c r="E37" i="11" s="1"/>
  <c r="E39" i="11" s="1"/>
  <c r="C16" i="8"/>
  <c r="E29" i="11" s="1"/>
  <c r="G14" i="9"/>
  <c r="E31" i="11" l="1"/>
  <c r="E41" i="11"/>
  <c r="E49" i="11" s="1"/>
  <c r="E17" i="8"/>
  <c r="E24" i="8"/>
  <c r="E26" i="8" s="1"/>
  <c r="E33" i="8" s="1"/>
  <c r="G14" i="7"/>
  <c r="E38" i="8" l="1"/>
  <c r="E42" i="8" s="1"/>
  <c r="E37" i="8"/>
  <c r="E41" i="8" s="1"/>
  <c r="E36" i="8"/>
  <c r="E40" i="8" s="1"/>
  <c r="E43" i="8" s="1"/>
  <c r="E62" i="8" s="1"/>
  <c r="E18" i="14" s="1"/>
  <c r="F34" i="3" l="1"/>
  <c r="C15" i="13" s="1"/>
  <c r="D15" i="13" l="1"/>
  <c r="C23" i="13"/>
  <c r="C8" i="8"/>
  <c r="A12" i="7"/>
  <c r="E13" i="11"/>
  <c r="A32" i="3"/>
  <c r="G15" i="13" l="1"/>
  <c r="D23" i="13"/>
  <c r="C63" i="11"/>
  <c r="C75" i="11" s="1"/>
  <c r="C60" i="11"/>
  <c r="C72" i="11" s="1"/>
  <c r="C59" i="11"/>
  <c r="C71" i="11" s="1"/>
  <c r="C62" i="11"/>
  <c r="C74" i="11" s="1"/>
  <c r="C54" i="11"/>
  <c r="C66" i="11" s="1"/>
  <c r="C61" i="11"/>
  <c r="C73" i="11" s="1"/>
  <c r="C56" i="11"/>
  <c r="C68" i="11" s="1"/>
  <c r="C55" i="11"/>
  <c r="C67" i="11" s="1"/>
  <c r="C58" i="11"/>
  <c r="C70" i="11" s="1"/>
  <c r="C57" i="11"/>
  <c r="C69" i="11" s="1"/>
  <c r="AY17" i="4"/>
  <c r="AY15" i="4"/>
  <c r="AZ15" i="4" s="1"/>
  <c r="AZ16" i="4" s="1"/>
  <c r="AW15" i="4"/>
  <c r="AW16" i="4" s="1"/>
  <c r="BB14" i="4"/>
  <c r="AY11" i="4"/>
  <c r="AY9" i="4"/>
  <c r="AZ9" i="4" s="1"/>
  <c r="AW9" i="4"/>
  <c r="AW10" i="4" s="1"/>
  <c r="AW11" i="4" s="1"/>
  <c r="BB8" i="4"/>
  <c r="AY6" i="4"/>
  <c r="AX6" i="4"/>
  <c r="AZ6" i="4" s="1"/>
  <c r="AW6" i="4"/>
  <c r="AY4" i="4"/>
  <c r="AZ4" i="4" s="1"/>
  <c r="AX4" i="4"/>
  <c r="AW4" i="4"/>
  <c r="AY3" i="4"/>
  <c r="AX3" i="4"/>
  <c r="AZ3" i="4" s="1"/>
  <c r="BB3" i="4" s="1"/>
  <c r="BC3" i="4" s="1"/>
  <c r="AW3" i="4"/>
  <c r="AY2" i="4"/>
  <c r="AX2" i="4"/>
  <c r="AW2" i="4"/>
  <c r="C1" i="4"/>
  <c r="AZ2" i="4" l="1"/>
  <c r="BB6" i="4"/>
  <c r="BC6" i="4" s="1"/>
  <c r="AW5" i="4"/>
  <c r="BB4" i="4"/>
  <c r="BC4" i="4" s="1"/>
  <c r="J15" i="13"/>
  <c r="G23" i="13"/>
  <c r="AW17" i="4"/>
  <c r="AW18" i="4" s="1"/>
  <c r="BB9" i="4"/>
  <c r="BC9" i="4" s="1"/>
  <c r="AZ10" i="4"/>
  <c r="AZ17" i="4"/>
  <c r="BB16" i="4"/>
  <c r="BC16" i="4" s="1"/>
  <c r="BB2" i="4"/>
  <c r="BC2" i="4" s="1"/>
  <c r="AZ5" i="4"/>
  <c r="AW12" i="4"/>
  <c r="BB15" i="4"/>
  <c r="BC15" i="4" s="1"/>
  <c r="BB17" i="4" l="1"/>
  <c r="BC17" i="4" s="1"/>
  <c r="BB5" i="4"/>
  <c r="BC5" i="4" s="1"/>
  <c r="M15" i="13"/>
  <c r="J23" i="13"/>
  <c r="AZ11" i="4"/>
  <c r="BB11" i="4" s="1"/>
  <c r="BC11" i="4" s="1"/>
  <c r="BB10" i="4"/>
  <c r="BC10" i="4" s="1"/>
  <c r="AZ18" i="4"/>
  <c r="BB18" i="4" s="1"/>
  <c r="BC18" i="4" s="1"/>
  <c r="D54" i="13" l="1"/>
  <c r="M23" i="13"/>
  <c r="AZ12" i="4"/>
  <c r="BB12" i="4" s="1"/>
  <c r="BC12" i="4" s="1"/>
  <c r="G54" i="13" l="1"/>
  <c r="D62" i="13"/>
  <c r="F46" i="3"/>
  <c r="E16" i="11" s="1"/>
  <c r="F38" i="3"/>
  <c r="A30" i="3"/>
  <c r="A28" i="3"/>
  <c r="AA1" i="3"/>
  <c r="J54" i="13" l="1"/>
  <c r="G62" i="13"/>
  <c r="F49" i="3"/>
  <c r="M54" i="13" l="1"/>
  <c r="J62" i="13"/>
  <c r="C19" i="11"/>
  <c r="C14" i="9"/>
  <c r="A12" i="9"/>
  <c r="F48" i="3"/>
  <c r="I49" i="3"/>
  <c r="D93" i="13" l="1"/>
  <c r="M62" i="13"/>
  <c r="I48" i="3"/>
  <c r="E20" i="11" s="1"/>
  <c r="C18" i="11"/>
  <c r="C15" i="6"/>
  <c r="A13" i="6"/>
  <c r="E55" i="11" l="1"/>
  <c r="E67" i="11" s="1"/>
  <c r="E61" i="11"/>
  <c r="E73" i="11" s="1"/>
  <c r="E63" i="11"/>
  <c r="E75" i="11" s="1"/>
  <c r="L18" i="16" s="1"/>
  <c r="E59" i="11"/>
  <c r="E71" i="11" s="1"/>
  <c r="E62" i="11"/>
  <c r="E74" i="11" s="1"/>
  <c r="K18" i="16" s="1"/>
  <c r="E57" i="11"/>
  <c r="E69" i="11" s="1"/>
  <c r="E58" i="11"/>
  <c r="E70" i="11" s="1"/>
  <c r="E60" i="11"/>
  <c r="E72" i="11" s="1"/>
  <c r="E54" i="11"/>
  <c r="E66" i="11" s="1"/>
  <c r="E56" i="11"/>
  <c r="E68" i="11" s="1"/>
  <c r="G93" i="13"/>
  <c r="G101" i="13" s="1"/>
  <c r="D101" i="13"/>
  <c r="G14" i="10"/>
  <c r="C14" i="7"/>
  <c r="J57" i="13" l="1"/>
  <c r="J59" i="13" s="1"/>
  <c r="J87" i="13" s="1"/>
  <c r="I18" i="16"/>
  <c r="G57" i="13"/>
  <c r="G59" i="13" s="1"/>
  <c r="G87" i="13" s="1"/>
  <c r="H18" i="16"/>
  <c r="L22" i="16"/>
  <c r="L51" i="16" s="1"/>
  <c r="L20" i="16"/>
  <c r="D57" i="13"/>
  <c r="D59" i="13" s="1"/>
  <c r="D87" i="13" s="1"/>
  <c r="G18" i="16"/>
  <c r="J18" i="13"/>
  <c r="J20" i="13" s="1"/>
  <c r="J48" i="13" s="1"/>
  <c r="E18" i="16"/>
  <c r="M18" i="13"/>
  <c r="M20" i="13" s="1"/>
  <c r="M48" i="13" s="1"/>
  <c r="F18" i="16"/>
  <c r="G96" i="13"/>
  <c r="G98" i="13" s="1"/>
  <c r="G126" i="13" s="1"/>
  <c r="D96" i="13"/>
  <c r="D98" i="13" s="1"/>
  <c r="D126" i="13" s="1"/>
  <c r="M57" i="13"/>
  <c r="M59" i="13" s="1"/>
  <c r="M87" i="13" s="1"/>
  <c r="J18" i="16"/>
  <c r="D18" i="13"/>
  <c r="D20" i="13" s="1"/>
  <c r="D48" i="13" s="1"/>
  <c r="C18" i="16"/>
  <c r="K20" i="16"/>
  <c r="K22" i="16"/>
  <c r="K51" i="16" s="1"/>
  <c r="G18" i="13"/>
  <c r="G20" i="13" s="1"/>
  <c r="G48" i="13" s="1"/>
  <c r="D18" i="16"/>
  <c r="E25" i="14"/>
  <c r="E27" i="14" l="1"/>
  <c r="E64" i="14" s="1"/>
  <c r="E26" i="14"/>
  <c r="E33" i="14" s="1"/>
  <c r="E55" i="14" s="1"/>
  <c r="E32" i="14"/>
  <c r="J20" i="16"/>
  <c r="J22" i="16"/>
  <c r="J51" i="16" s="1"/>
  <c r="F20" i="16"/>
  <c r="F22" i="16"/>
  <c r="F51" i="16" s="1"/>
  <c r="G22" i="16"/>
  <c r="G51" i="16" s="1"/>
  <c r="G20" i="16"/>
  <c r="H20" i="16"/>
  <c r="H22" i="16"/>
  <c r="H51" i="16" s="1"/>
  <c r="E22" i="16"/>
  <c r="E51" i="16" s="1"/>
  <c r="E20" i="16"/>
  <c r="I20" i="16"/>
  <c r="I22" i="16"/>
  <c r="I51" i="16" s="1"/>
  <c r="D22" i="16"/>
  <c r="D51" i="16" s="1"/>
  <c r="D20" i="16"/>
  <c r="C22" i="16"/>
  <c r="C51" i="16" s="1"/>
  <c r="C20" i="16"/>
  <c r="E34" i="14" l="1"/>
  <c r="E89" i="14"/>
  <c r="E62" i="14"/>
  <c r="E36" i="14"/>
  <c r="E39" i="14" s="1"/>
  <c r="E42" i="14" s="1"/>
  <c r="E37" i="14" l="1"/>
  <c r="E40" i="14" s="1"/>
  <c r="E45" i="14"/>
  <c r="E47" i="14" s="1"/>
  <c r="E60" i="14" s="1"/>
  <c r="E66" i="14" s="1"/>
  <c r="E70" i="14" s="1"/>
  <c r="E72" i="14" s="1"/>
  <c r="E90" i="14" s="1"/>
  <c r="E49" i="14" l="1"/>
  <c r="E88" i="14" s="1"/>
  <c r="E93" i="14" s="1"/>
  <c r="I25" i="15" s="1"/>
  <c r="H23" i="15" l="1"/>
  <c r="Q23" i="15" s="1"/>
  <c r="F23" i="15"/>
  <c r="H21" i="15"/>
  <c r="Q21" i="15" s="1"/>
  <c r="G20" i="15"/>
  <c r="P20" i="15" s="1"/>
  <c r="F19" i="15"/>
  <c r="H17" i="15"/>
  <c r="H24" i="15" s="1"/>
  <c r="F22" i="15"/>
  <c r="G19" i="15"/>
  <c r="P19" i="15" s="1"/>
  <c r="F18" i="15"/>
  <c r="G18" i="15"/>
  <c r="P18" i="15" s="1"/>
  <c r="F17" i="15"/>
  <c r="G21" i="15"/>
  <c r="P21" i="15" s="1"/>
  <c r="H18" i="15"/>
  <c r="Q18" i="15" s="1"/>
  <c r="G17" i="15"/>
  <c r="G24" i="15" s="1"/>
  <c r="G23" i="15"/>
  <c r="P23" i="15" s="1"/>
  <c r="H20" i="15"/>
  <c r="Q20" i="15" s="1"/>
  <c r="G22" i="15"/>
  <c r="P22" i="15" s="1"/>
  <c r="F21" i="15"/>
  <c r="H19" i="15"/>
  <c r="Q19" i="15" s="1"/>
  <c r="H22" i="15"/>
  <c r="Q22" i="15" s="1"/>
  <c r="F20" i="15"/>
  <c r="I17" i="15" l="1"/>
  <c r="F24" i="15"/>
  <c r="O22" i="15"/>
  <c r="I22" i="15"/>
  <c r="O21" i="15"/>
  <c r="I21" i="15"/>
  <c r="O23" i="15"/>
  <c r="I23" i="15"/>
  <c r="O20" i="15"/>
  <c r="I20" i="15"/>
  <c r="O18" i="15"/>
  <c r="I18" i="15"/>
  <c r="O19" i="15"/>
  <c r="I19" i="15"/>
  <c r="I24" i="15" l="1"/>
  <c r="O17" i="15"/>
</calcChain>
</file>

<file path=xl/sharedStrings.xml><?xml version="1.0" encoding="utf-8"?>
<sst xmlns="http://schemas.openxmlformats.org/spreadsheetml/2006/main" count="1294" uniqueCount="892">
  <si>
    <t>a</t>
  </si>
  <si>
    <t>Note:  Depending on the selections made below, certain worksheets in this workbook will be hidden.</t>
  </si>
  <si>
    <t>Version</t>
  </si>
  <si>
    <t xml:space="preserve">Utility Name   </t>
  </si>
  <si>
    <t>Assigned EB Number</t>
  </si>
  <si>
    <t>Name of Contact and Title</t>
  </si>
  <si>
    <t xml:space="preserve">Phone Number   </t>
  </si>
  <si>
    <t xml:space="preserve">Email Address   </t>
  </si>
  <si>
    <t>Is this Capital Module being filed in a CoS or 
Price-Cap IR Application?</t>
  </si>
  <si>
    <t>Rate Year</t>
  </si>
  <si>
    <t>Last Rebasing Year:</t>
  </si>
  <si>
    <t>Last COS OEB Application Number</t>
  </si>
  <si>
    <t>The most recent complete year for which actual billing and load data exists</t>
  </si>
  <si>
    <t>Current IPI</t>
  </si>
  <si>
    <t>III</t>
  </si>
  <si>
    <t>Stretch Factor Value</t>
  </si>
  <si>
    <t>Price Cap Index</t>
  </si>
  <si>
    <t>Based on the inputs above, the growth factor utilized in the Materiality Threshold Calculation will be determined by:</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</si>
  <si>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</si>
  <si>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</si>
  <si>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</si>
  <si>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</si>
  <si>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</si>
  <si>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Embedded Distributor</t>
  </si>
  <si>
    <t>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t>
  </si>
  <si>
    <t>Loss Factors</t>
  </si>
  <si>
    <t>Units</t>
  </si>
  <si>
    <t>Units1</t>
  </si>
  <si>
    <t>Units2</t>
  </si>
  <si>
    <t>Account History</t>
  </si>
  <si>
    <t>Account set up charge/change of occupancy charge (plus credit agency costs if applicable)</t>
  </si>
  <si>
    <t>Total Loss Factor – Embedded Distributor – Hydro One Networks Inc.</t>
  </si>
  <si>
    <t>Algoma Power Inc.</t>
  </si>
  <si>
    <t>DISTRIBUTED GENERATION [DGEN]</t>
  </si>
  <si>
    <t>kW</t>
  </si>
  <si>
    <t>Sub-Total:  Delivery (Distribution and Retail Transmission)</t>
  </si>
  <si>
    <t>RESIDENTIAL R1</t>
  </si>
  <si>
    <t>General Service 3,000 to 4,999 kW</t>
  </si>
  <si>
    <t>Distribution Volumetric Rate</t>
  </si>
  <si>
    <t>Total Loss Factor – Primary Metered Customer</t>
  </si>
  <si>
    <t>$</t>
  </si>
  <si>
    <t>$/kWh</t>
  </si>
  <si>
    <t>Account set up charge/change of occupancy charge</t>
  </si>
  <si>
    <t>Administrative Billing Charge</t>
  </si>
  <si>
    <t>Atikokan Hydro Inc.</t>
  </si>
  <si>
    <t>EMBEDDED DISTRIBUTOR</t>
  </si>
  <si>
    <t xml:space="preserve">Wholesale Market Service Rate </t>
  </si>
  <si>
    <t>RESIDENTIAL R2</t>
  </si>
  <si>
    <t>General Service 1,000 to 4,999 kW</t>
  </si>
  <si>
    <t>Distribution Volumetric Rate - $/kW of contracted amount</t>
  </si>
  <si>
    <t>Total Loss Factor – Primary Metered Customer &lt; 5,000 kW</t>
  </si>
  <si>
    <t>$/kW</t>
  </si>
  <si>
    <t>%</t>
  </si>
  <si>
    <t>MSC</t>
  </si>
  <si>
    <t>Account set up charge/change of occupancy charge (plus credit agency costs if applicable – Residential)</t>
  </si>
  <si>
    <t>Bell Canada Pole Rentals</t>
  </si>
  <si>
    <t>Bluewater Power Distribution Corporation</t>
  </si>
  <si>
    <t>Rural or Remote Electricity Rate Protection Charge (RRRP)</t>
  </si>
  <si>
    <t>SEASONAL CUSTOMERS</t>
  </si>
  <si>
    <t>General Service Equal To Or Greater Than 1,500 kW - Interval Metered</t>
  </si>
  <si>
    <t>Distribution Wheeling Service Rate</t>
  </si>
  <si>
    <t>Total Loss Factor – Primary Metered Customer &gt; 5,000 kW</t>
  </si>
  <si>
    <t>$/kVA</t>
  </si>
  <si>
    <t>SM_Rate_Adder</t>
  </si>
  <si>
    <t>Clearance Pole Attachment charge $/pole/year</t>
  </si>
  <si>
    <t>FARMS - SINGLE PHASE ENERGY-BILLED [F1]</t>
  </si>
  <si>
    <t>kWh</t>
  </si>
  <si>
    <t>Standard Supply Service – Administration Charge (if applicable)</t>
  </si>
  <si>
    <t>STREET LIGHTING</t>
  </si>
  <si>
    <t>Electricity Rate</t>
  </si>
  <si>
    <t>Total Loss Factor – Secondary Metered Customer</t>
  </si>
  <si>
    <t>MSC_Rate_Rider_</t>
  </si>
  <si>
    <t>Arrears certificate</t>
  </si>
  <si>
    <t>Collection of account charge – no disconnection</t>
  </si>
  <si>
    <t>Brantford Power Inc.</t>
  </si>
  <si>
    <t>FARMS - THREE PHASE ENERGY-BILLED [F3]</t>
  </si>
  <si>
    <t>Sub-Total:  Regulatory</t>
  </si>
  <si>
    <t>RESIDENTIAL</t>
  </si>
  <si>
    <t>Electricity Rate - All Additional kWh</t>
  </si>
  <si>
    <t>Total Loss Factor – Secondary Metered Customer &lt; 5,000 kW</t>
  </si>
  <si>
    <t>VC</t>
  </si>
  <si>
    <t>Arrears certificate (credit reference)</t>
  </si>
  <si>
    <t>Collection of account charge – no disconnection – after regular hours</t>
  </si>
  <si>
    <t>Burlington Hydro Inc.</t>
  </si>
  <si>
    <t>GENERAL SERVICE - COMMERCIAL</t>
  </si>
  <si>
    <t>Debt Retirement Charge (DRC)</t>
  </si>
  <si>
    <t>GENERAL SERVICE LESS THAN 50 kW</t>
  </si>
  <si>
    <t>Electricity Rate - First 250 kWh</t>
  </si>
  <si>
    <t>GENERAL SERVICE - INSTITUTIONAL</t>
  </si>
  <si>
    <t>GENERAL SERVICE 50 TO 4,999 KW</t>
  </si>
  <si>
    <t>Electricity Rate -All Additional kWh</t>
  </si>
  <si>
    <t>Total Loss Factor – Secondary Metered Customer &gt; 5,000 kW</t>
  </si>
  <si>
    <t>VC_Rate_Rider_</t>
  </si>
  <si>
    <t>Charge to certify cheque</t>
  </si>
  <si>
    <t>Collection of account charge – no disconnection - during regular business hours</t>
  </si>
  <si>
    <t>Canadian Niagara Power Inc.</t>
  </si>
  <si>
    <t>GENERAL SERVICE 1,000 TO 2,999 KW</t>
  </si>
  <si>
    <t>Total Bill on RPP (before taxes)</t>
  </si>
  <si>
    <t>GENERAL SERVICE 50 TO 999 kW</t>
  </si>
  <si>
    <t>Electricity Rate First 1,000 kWh</t>
  </si>
  <si>
    <t>Distribution Loss Factor - Secondary Metered Customer &lt; 5,000 kW</t>
  </si>
  <si>
    <t>VC_GA_Rate_Rider_kW_</t>
  </si>
  <si>
    <t>Collection of Account Charge – No Disconnection</t>
  </si>
  <si>
    <t>Collection of account charge – no disconnection – during regular hours</t>
  </si>
  <si>
    <t>Centre Wellington Hydro Ltd.</t>
  </si>
  <si>
    <t>GENERAL SERVICE 1,000 TO 4,999 KW</t>
  </si>
  <si>
    <t>HST</t>
  </si>
  <si>
    <t>GENERAL SERVICE 1,000 TO 4,999 kW</t>
  </si>
  <si>
    <t>Electricity Rate First 25,000 kWh</t>
  </si>
  <si>
    <t>Distribution Loss Factor - Secondary Metered Customer &gt; 5,000 kW</t>
  </si>
  <si>
    <t>VC_LV_Rate</t>
  </si>
  <si>
    <t>Credit Card Convenience Charge</t>
  </si>
  <si>
    <t>Collection/Disconnection/Load Limiter/Reconnection – if in Community</t>
  </si>
  <si>
    <t>Chapleau Public Utilities Corporation</t>
  </si>
  <si>
    <t>GENERAL SERVICE 1,000 TO 4,999 KW - INTERVAL METERS</t>
  </si>
  <si>
    <t>Total Bill (including HST)</t>
  </si>
  <si>
    <t>LARGE USE</t>
  </si>
  <si>
    <t>Electricity Rate First 6,000 kWh</t>
  </si>
  <si>
    <t>Distribution Loss Factor - Primary Metered Customer &lt; 5,000 kW</t>
  </si>
  <si>
    <t>RTSR_Network</t>
  </si>
  <si>
    <t>Credit check (plus credit agency costs)</t>
  </si>
  <si>
    <t>GENERAL SERVICE 1,000 TO 4,999 KW (CO-GENERATION)</t>
  </si>
  <si>
    <t>Ontario Clean Energy Benefit (OCEB)</t>
  </si>
  <si>
    <t>UNMETERED SCATTERED LOAD</t>
  </si>
  <si>
    <t>Electricity Rate Next 1,500 kWh</t>
  </si>
  <si>
    <t>Distribution Loss Factor - Primary Metered Customer &gt; 5,000 kW</t>
  </si>
  <si>
    <t>RTSR_Connection</t>
  </si>
  <si>
    <t>Credit reference Letter</t>
  </si>
  <si>
    <t>Disconnect/Reconnect at meter – after regular hours</t>
  </si>
  <si>
    <t>Cooperative Hydro Embrun Inc.</t>
  </si>
  <si>
    <t>GENERAL SERVICE 1,500 TO 4,999 KW</t>
  </si>
  <si>
    <t>Total Bill on RPP (including OCEB)</t>
  </si>
  <si>
    <t>SENTINEL LIGHTING</t>
  </si>
  <si>
    <t>General Service 1,500 to 4,999 kW customer</t>
  </si>
  <si>
    <t>E.L.K. Energy Inc.</t>
  </si>
  <si>
    <t>GENERAL SERVICE 2,500 TO 4,999 KW</t>
  </si>
  <si>
    <t>General Service 50 to 1,499 kW customer</t>
  </si>
  <si>
    <t>Total Loss Factor - Embedded Distributor</t>
  </si>
  <si>
    <t>RTSR_Network_Interval</t>
  </si>
  <si>
    <t>Credit reference/credit check (plus credit agency costs – General Service)</t>
  </si>
  <si>
    <t>Disconnect/Reconnect at meter – during regular hours</t>
  </si>
  <si>
    <t>GENERAL SERVICE 3,000 TO 4,999 KW</t>
  </si>
  <si>
    <t>Total Bill on TOU (before taxes)</t>
  </si>
  <si>
    <t>STANDBY POWER</t>
  </si>
  <si>
    <t>General Service Large Use customer</t>
  </si>
  <si>
    <t>RTSR_Connection_Interval</t>
  </si>
  <si>
    <t>Credit Reference/credit check (plus credit agency costs)</t>
  </si>
  <si>
    <t>Disconnect/Reconnect at pole – after regular hours</t>
  </si>
  <si>
    <t>GENERAL SERVICE 3,000 TO 4,999 KW - INTERMEDIATE USE</t>
  </si>
  <si>
    <t>GENERAL SERVICE 50 TO 2,999 KW</t>
  </si>
  <si>
    <t>Green Energy Act Initiatives Funding Adder - effective until the date of the next 
      cost of service-based rate order</t>
  </si>
  <si>
    <t>RTSR_Network_Interval_GR1000kW</t>
  </si>
  <si>
    <t>Dispute Test – Commercial self contained -- MC</t>
  </si>
  <si>
    <t>Disconnect/Reconnect at pole – during regular hours</t>
  </si>
  <si>
    <t>GENERAL SERVICE 3,000 TO 4,999 KW - INTERVAL METERED</t>
  </si>
  <si>
    <t>Green Energy Act Plan Funding Adder</t>
  </si>
  <si>
    <t>RTSR_Connection_Interval_GR1000kW</t>
  </si>
  <si>
    <t>Dispute Test – Commercial TT -- MC</t>
  </si>
  <si>
    <t>Disconnect/Reconnect Charge – At Meter – After Hours</t>
  </si>
  <si>
    <t>GENERAL SERVICE 3,000 TO 4,999 KW - TIME OF USE</t>
  </si>
  <si>
    <t>Green Energy Act Plan Funding Adder - effective April 1, 2013 until March 31, 2014</t>
  </si>
  <si>
    <t>RTSR_Line_Connection</t>
  </si>
  <si>
    <t>Dispute Test – Residential</t>
  </si>
  <si>
    <t>Disconnect/Reconnect Charge – At Meter – During Regular Hours</t>
  </si>
  <si>
    <t>GENERAL SERVICE 50 TO 1,000 KW</t>
  </si>
  <si>
    <t>Total Bill on TOU (including OCEB)</t>
  </si>
  <si>
    <t>LARGE USE - REGULAR</t>
  </si>
  <si>
    <t>Green Energy Act Plan Funding Adder - effective April 1, 2014 until March 31, 2015</t>
  </si>
  <si>
    <t>RTSR_Transformer_Connection</t>
  </si>
  <si>
    <t>Duplicate Invoices for previous billing</t>
  </si>
  <si>
    <t>Disconnect/Reconnect Charge – At Pole – After Hours</t>
  </si>
  <si>
    <t>GENERAL SERVICE 50 TO 1,000 KW - INTERVAL METERS</t>
  </si>
  <si>
    <t>LARGE USE - 3TS</t>
  </si>
  <si>
    <t>ICM Rate Rider (2014) - in effect until the effective date of the next cost of service rates</t>
  </si>
  <si>
    <t>WMSR</t>
  </si>
  <si>
    <t>Easement Letter</t>
  </si>
  <si>
    <t>Disconnect/Reconnect Charge – At Pole – During Regular Hours</t>
  </si>
  <si>
    <t>ENWIN Utilities Ltd.</t>
  </si>
  <si>
    <t>GENERAL SERVICE 50 TO 1,000 KW - NON INTERVAL METERS</t>
  </si>
  <si>
    <t>LARGE USE - FORD ANNEX</t>
  </si>
  <si>
    <t>Low Voltage Service Charge</t>
  </si>
  <si>
    <t>RRRP</t>
  </si>
  <si>
    <t>Income Tax Letter</t>
  </si>
  <si>
    <t>Disconnect/Reconnect Charges for non payment of account - At Meter After Hours</t>
  </si>
  <si>
    <t>GENERAL SERVICE 50 TO 1,499 KW</t>
  </si>
  <si>
    <t>GENERAL SERVICE 50 TO 499 kW</t>
  </si>
  <si>
    <t>Low Voltage Service Rate</t>
  </si>
  <si>
    <t>SPC</t>
  </si>
  <si>
    <t>Interval Meter Interrogation</t>
  </si>
  <si>
    <t>Disconnect/Reconnect charges for non payment of account – at meter after regular hours</t>
  </si>
  <si>
    <t>Espanola Regional Hydro Distribution Corporation</t>
  </si>
  <si>
    <t>GENERAL SERVICE 50 TO 1,499 KW - INTERVAL METERED</t>
  </si>
  <si>
    <t>GENERAL SERVICE 500 TO 4,999 kW</t>
  </si>
  <si>
    <t>Low Voltage Volumetric Rate</t>
  </si>
  <si>
    <t>DRC</t>
  </si>
  <si>
    <t>Interval meter request change</t>
  </si>
  <si>
    <t>Disconnect/Reconnect Charges for non payment of account - At Meter During Regular Hours</t>
  </si>
  <si>
    <t>Essex Powerlines Corporation</t>
  </si>
  <si>
    <t>GENERAL SERVICE 50 TO 2,499 KW</t>
  </si>
  <si>
    <t>GENERAL SERVICE 50 TO 1,499 kW</t>
  </si>
  <si>
    <t>LRAM Rate Rider - Effective Until April 30, 2015</t>
  </si>
  <si>
    <t>SSS</t>
  </si>
  <si>
    <t>Legal letter</t>
  </si>
  <si>
    <t>Disconnect/Reconnect charges for non payment of account – at meter during regular hours</t>
  </si>
  <si>
    <t>Festival Hydro Inc.</t>
  </si>
  <si>
    <t>INTERMEDIATE USER</t>
  </si>
  <si>
    <t>Minimum Distribution Charge - per KW of maximum billing demand in the previous 11 months</t>
  </si>
  <si>
    <t>SFLF</t>
  </si>
  <si>
    <t>Legal letter charge</t>
  </si>
  <si>
    <t>Disconnect/Reconnect charges for non payment of account – at pole after regular hours</t>
  </si>
  <si>
    <t>Fort Frances Power Corporation</t>
  </si>
  <si>
    <t>GENERAL SERVICE 50 TO 2,999 KW - INTERVAL METERED</t>
  </si>
  <si>
    <t>LARGE USE WITH DEDICATED ASSETS</t>
  </si>
  <si>
    <t>January</t>
  </si>
  <si>
    <t>Monthly Distribution Wheeling Service Rate - Dedicated LV Line</t>
  </si>
  <si>
    <t>DLF_Secondary_LT_5000kW</t>
  </si>
  <si>
    <t>Meter dispute charge plus Measurement Canada fees (if meter found correct)</t>
  </si>
  <si>
    <t>Disconnect/Reconnect charges for non payment of account – at pole during regular hours</t>
  </si>
  <si>
    <t>Greater Sudbury Hydro Inc.</t>
  </si>
  <si>
    <t>GENERAL SERVICE 50 TO 2,999 KW - TIME OF USE</t>
  </si>
  <si>
    <t>GENERAL SERVICE 50 TO 699 KW</t>
  </si>
  <si>
    <t>February</t>
  </si>
  <si>
    <t>Monthly Distribution Wheeling Service Rate - Hydro One Networks</t>
  </si>
  <si>
    <t>DLF_Secondary_GT_5000kW</t>
  </si>
  <si>
    <t>Notification charge</t>
  </si>
  <si>
    <t>Disconnect/Reconnection for &gt;300 volts - after regular hours</t>
  </si>
  <si>
    <t>GENERAL SERVICE 700 TO 4,999 KW</t>
  </si>
  <si>
    <t>March</t>
  </si>
  <si>
    <t>Monthly Distribution Wheeling Service Rate - Shared LV Line</t>
  </si>
  <si>
    <t>DLF_Primary_LT_5000kW</t>
  </si>
  <si>
    <t>Pulling Post Dated Cheques</t>
  </si>
  <si>
    <t>Disconnect/Reconnection for &gt;300 volts - during regular hours</t>
  </si>
  <si>
    <t>GENERAL SERVICE 50 TO 4,999 KW - INTERVAL METERED</t>
  </si>
  <si>
    <t>April</t>
  </si>
  <si>
    <t>Monthly Distribution Wheeling Service Rate - Waterloo North Hydro</t>
  </si>
  <si>
    <t>DLF_Primary_GT_5000kW</t>
  </si>
  <si>
    <t>Request for other billing information</t>
  </si>
  <si>
    <t>Disposal of Concrete Poles</t>
  </si>
  <si>
    <t>GENERAL SERVICE 50 TO 4,999 KW - TIME OF USE</t>
  </si>
  <si>
    <t>ENERGY FROM WASTE</t>
  </si>
  <si>
    <t>May</t>
  </si>
  <si>
    <t>Rate Rider for Application of Tax Change - effective until April 30, 2015</t>
  </si>
  <si>
    <t>TLF_Secondary_LT_5000kW</t>
  </si>
  <si>
    <t>Returned cheque (plus bank charges)</t>
  </si>
  <si>
    <t>Halton Hills Hydro Inc.</t>
  </si>
  <si>
    <t>GENERAL SERVICE 50 TO 4,999 KW (COGENERATION)</t>
  </si>
  <si>
    <t>UR RESIDENTIAL</t>
  </si>
  <si>
    <t>June</t>
  </si>
  <si>
    <t>Rate Rider for Application of Tax Change - effective until December 31, 2014</t>
  </si>
  <si>
    <t>TLF_Secondary_GT_5000kW</t>
  </si>
  <si>
    <t>Returned cheque charge (plus bank charges)</t>
  </si>
  <si>
    <t>Install/Remove load control device – after regular hours</t>
  </si>
  <si>
    <t>GENERAL SERVICE 50 TO 4,999 KW (FORMERLY TIME OF USE)</t>
  </si>
  <si>
    <t>R1 RESIDENTIAL</t>
  </si>
  <si>
    <t>July</t>
  </si>
  <si>
    <t>Rate Rider for Application of Tax Change (2014) - effective until April 30, 2015</t>
  </si>
  <si>
    <t>TLF_Primary_LT_5000kW</t>
  </si>
  <si>
    <t>Special Billing Service (aggregation)</t>
  </si>
  <si>
    <t>Install/Remove load control device – during regular hours</t>
  </si>
  <si>
    <t>Hydro 2000 Inc.</t>
  </si>
  <si>
    <t>GENERAL SERVICE 50 TO 499 KW</t>
  </si>
  <si>
    <t>R2 RESIDENTIAL</t>
  </si>
  <si>
    <t>August</t>
  </si>
  <si>
    <t>Rate Rider for Application of Tax Change (per connection) - effective until April 30, 2015</t>
  </si>
  <si>
    <t>TLF_Primary_GT_5000kW</t>
  </si>
  <si>
    <t>Special Billing Service (sub-metering charge per meter)</t>
  </si>
  <si>
    <t>Hydro Hawkesbury Inc.</t>
  </si>
  <si>
    <t>SEASONAL</t>
  </si>
  <si>
    <t>September</t>
  </si>
  <si>
    <t>Rate Rider for CGAAP Accounting Changes (2013) - effective until April 30, 2017</t>
  </si>
  <si>
    <t>TLF_EmbeddedDistributor</t>
  </si>
  <si>
    <t>Special meter reads</t>
  </si>
  <si>
    <t>Interval Meter Load Management Tool Charge $/month</t>
  </si>
  <si>
    <t>Hydro One Networks Inc.</t>
  </si>
  <si>
    <t>GENERAL SERVICE 50 TO 999 KW</t>
  </si>
  <si>
    <t>URBAN GENERAL SERVICE ENERGY BILLED</t>
  </si>
  <si>
    <t>October</t>
  </si>
  <si>
    <t>Rate Rider for Deferral/Variance Account (2012) - effective unitl April 30, 2016</t>
  </si>
  <si>
    <t>Statement of Account</t>
  </si>
  <si>
    <t>Hydro Ottawa Limited</t>
  </si>
  <si>
    <t>GENERAL SERVICE 50 TO 999 KW - INTERVAL METERED</t>
  </si>
  <si>
    <t>GENERAL SERVICE ENERGY BILLED</t>
  </si>
  <si>
    <t>November</t>
  </si>
  <si>
    <t>Rate Rider for Deferral/Variance Account Disposition – effective until April 30, 2015</t>
  </si>
  <si>
    <t>Unprocessed Payment Charge (plus bank charges)</t>
  </si>
  <si>
    <t>Late Payment – per annum</t>
  </si>
  <si>
    <t>GENERAL SERVICE 500 TO 4,999 KW</t>
  </si>
  <si>
    <t>URBAN GENERAL SERVICE DEMAND BILLED</t>
  </si>
  <si>
    <t>December</t>
  </si>
  <si>
    <t>Rate Rider for Deferral/Variance Account Disposition (2012) - effective until April 30, 2016</t>
  </si>
  <si>
    <t>Late Payment – per month</t>
  </si>
  <si>
    <t>GENERAL SERVICE DEMAND BILLED</t>
  </si>
  <si>
    <t>Rate Rider for Deferral/Variance Account Disposition (2013) - effective until April 30, 2014</t>
  </si>
  <si>
    <t>Layout fees</t>
  </si>
  <si>
    <t>Kingston Hydro Corporation</t>
  </si>
  <si>
    <t>GENERAL SERVICE DEMAND BILLED (50 KW AND ABOVE) [GSD]</t>
  </si>
  <si>
    <t>DISTRIBUTED GENERATION</t>
  </si>
  <si>
    <t>Rate Rider for Deferral/Variance Account Disposition (2014) - effective until April 28, 2016</t>
  </si>
  <si>
    <t>Kitchener-Wilmot Hydro Inc.</t>
  </si>
  <si>
    <t>GENERAL SERVICE ENERGY BILLED (LESS THAN 50 KW) [GSE-METERED]</t>
  </si>
  <si>
    <t>SUB TRANSMISSION</t>
  </si>
  <si>
    <t>Rate Rider for Deferral/Variance Account Disposition (2014) - effective until April 30, 2015</t>
  </si>
  <si>
    <t>Meter Interrogation Charge</t>
  </si>
  <si>
    <t>Lakefront Utilities Inc.</t>
  </si>
  <si>
    <t>GENERAL SERVICE ENERGY BILLED (LESS THAN TO 50 KW) [GSE-UNMETERED]</t>
  </si>
  <si>
    <t>GENERAL SERVICE GREATER THAN ,000 kW</t>
  </si>
  <si>
    <t>Rate Rider for Deferral/Variance Account Disposition (2014) - effective until December 31, 2014</t>
  </si>
  <si>
    <t>Missed Service Appointment</t>
  </si>
  <si>
    <t>Lakeland Power Distribution Ltd.</t>
  </si>
  <si>
    <t>GENERAL SERVICE EQUAL TO OR GREATER THAN 1,500 KW</t>
  </si>
  <si>
    <t>GENERAL SERVICE 1,500 TO 4,999 kW</t>
  </si>
  <si>
    <t>Rate Rider for Deferral/Variance Account Disposition (2014) - effective until December 31, 2015</t>
  </si>
  <si>
    <t>Norfolk Pole Rentals – Billed</t>
  </si>
  <si>
    <t>GENERAL SERVICE EQUAL TO OR GREATER THAN 1,500 KW - INTERVAL METERED</t>
  </si>
  <si>
    <t>HCI, RESOP, OTHER ENERGY RESOURCE</t>
  </si>
  <si>
    <t>Rate Rider for Deferral/Variance Account Dispositon (2012) - effective until April 30, 2016</t>
  </si>
  <si>
    <t>Optional Interval/TOU Meter charge $/month</t>
  </si>
  <si>
    <t>London Hydro Inc.</t>
  </si>
  <si>
    <t>GENERAL SERVICE GREATER THAN 1,000 KW</t>
  </si>
  <si>
    <t>Rate Rider for Disposition of Accounting Changes Under CGAAP Account 1576 
      - effective until April 30, 2016</t>
  </si>
  <si>
    <t>Overtime Locate</t>
  </si>
  <si>
    <t>GENERAL SERVICE GREATER THAN 50 kW - WMP</t>
  </si>
  <si>
    <t>GENERAL SERVICE 1,000 KW AND GREATER</t>
  </si>
  <si>
    <t>Rate Rider for Disposition of Deferral/Variance Accounts (2010) - effective until December 31, 2014</t>
  </si>
  <si>
    <t>Owner Requested Disconnection/Reconnection – after regular hours</t>
  </si>
  <si>
    <t>GENERAL SERVICE INTERMEDIATE 1,000 TO 4,999 KW</t>
  </si>
  <si>
    <t>GENERAL SERVICE GREATER THAN 1,000kW</t>
  </si>
  <si>
    <t>Rate Rider for Disposition of Deferral/Variance Accounts (2011) - effective until April 30, 2015</t>
  </si>
  <si>
    <t>Owner Requested Disconnection/Reconnection – during regular hours</t>
  </si>
  <si>
    <t>Milton Hydro Distribution Inc.</t>
  </si>
  <si>
    <t>GENERAL SERVICE INTERMEDIATE RATE CLASS 1,000 TO 4,999 KW (FORMERLY GENERAL SERVICE &gt; 50 KW CUSTOMERS)</t>
  </si>
  <si>
    <t>GENERAL SERVICE 500 TO 1,499 KW</t>
  </si>
  <si>
    <t>Rate Rider for Disposition of Deferral/Variance Accounts (2011) - effective until April 30, 2016</t>
  </si>
  <si>
    <t>Niagara Peninsula Energy Inc.</t>
  </si>
  <si>
    <t>GENERAL SERVICE INTERMEDIATE RATE CLASS 1,000 TO 4,999 KW (FORMERLY LARGE USE CUSTOMERS)</t>
  </si>
  <si>
    <t>Rate Rider for Disposition of Deferral/Variance Accounts (2012) - effective until April 30, 2014</t>
  </si>
  <si>
    <t>Rural system expansion / line connection fee</t>
  </si>
  <si>
    <t>Niagara-on-the-Lake Hydro Inc.</t>
  </si>
  <si>
    <t>GENERAL SERVICE LESS THAN 50 KW</t>
  </si>
  <si>
    <t>COMPETITIVE SECTOR MULTI-UNIT RESIDENTIAL</t>
  </si>
  <si>
    <t>Rate Rider for Disposition of Deferral/Variance Accounts (2012) - effective until April 30, 2015</t>
  </si>
  <si>
    <t>Same Day Open Trench</t>
  </si>
  <si>
    <t>GENERAL SERVICE LESS THAN 50 KW - SINGLE PHASE ENERGY-BILLED [G1]</t>
  </si>
  <si>
    <t>SEASONAL RESIDENTIAL</t>
  </si>
  <si>
    <t>Rate Rider for Disposition of Deferral/Variance Accounts (2012) - effective until April 30, 2016</t>
  </si>
  <si>
    <t>Scheduled Day Open Trench</t>
  </si>
  <si>
    <t>North Bay Hydro Distribution Limited</t>
  </si>
  <si>
    <t>GENERAL SERVICE LESS THAN 50 KW - THREE PHASE ENERGY-BILLED [G3]</t>
  </si>
  <si>
    <t>Rate Rider for Disposition of Deferral/Variance Accounts (2012) - effective until August 31, 2014</t>
  </si>
  <si>
    <t>Service call – after regular hours</t>
  </si>
  <si>
    <t>Northern Ontario Wires Inc.</t>
  </si>
  <si>
    <t>GENERAL SERVICE LESS THAN 50 KW - TRANSMISSION CLASS ENERGY-BILLED [T]</t>
  </si>
  <si>
    <t>Rate Rider for Disposition of Deferral/Variance Accounts (2012) - effective until December 31, 2015</t>
  </si>
  <si>
    <t>Service call – customer owned equipment</t>
  </si>
  <si>
    <t>Oakville Hydro Electricity Distribution Inc.</t>
  </si>
  <si>
    <t>GENERAL SERVICE LESS THAN 50 KW - URBAN ENERGY-BILLED [UG]</t>
  </si>
  <si>
    <t>Rate Rider for Disposition of Deferral/Variance Accounts (2012) - effective until December 31, 2016 
      Applicable only in the former service area of Clinton Power</t>
  </si>
  <si>
    <t>Service Call – Customer-owned Equipment – After Regular Hours</t>
  </si>
  <si>
    <t>Orangeville Hydro Limited</t>
  </si>
  <si>
    <t>GENERAL SERVICE SINGLE PHASE - G1</t>
  </si>
  <si>
    <t>Rate Rider for Disposition of Deferral/Variance Accounts (2012) – effective until December 31, 2016 
      Applicable only in the former service area of Clinton Power</t>
  </si>
  <si>
    <t>Service Call – Customer-owned Equipment – During Regular Hours</t>
  </si>
  <si>
    <t>Orillia Power Distribution Corporation</t>
  </si>
  <si>
    <t>GENERAL SERVICE THREE PHASE - G3</t>
  </si>
  <si>
    <t>Rate Rider for Disposition of Deferral/Variance Accounts (2012) - effective until January 31, 2014</t>
  </si>
  <si>
    <t>Service Charge for onsite interrogation of interval meter due to customer phone line failure - required weekly until line repaired $ 6</t>
  </si>
  <si>
    <t>Oshawa PUC Networks Inc.</t>
  </si>
  <si>
    <t>INTERMEDIATE USERS</t>
  </si>
  <si>
    <t>Rate Rider for Disposition of Deferral/Variance Accounts (2012) - effective until June 30, 2014</t>
  </si>
  <si>
    <t>Service Layout - Commercial</t>
  </si>
  <si>
    <t>Ottawa River Power Corporation</t>
  </si>
  <si>
    <t>INTERMEDIATE WITH SELF GENERATION</t>
  </si>
  <si>
    <t>Rate Rider for Disposition of Deferral/Variance Accounts (2013) - Applicable only to 
      Wholesale Market Participants - effective until April 30, 2015</t>
  </si>
  <si>
    <t>Service Layout - ResidentiaI</t>
  </si>
  <si>
    <t>Peterborough Distribution Incorporated</t>
  </si>
  <si>
    <t>Rate Rider for Disposition of Deferral/Variance Accounts (2013) - effective until April 30, 2014</t>
  </si>
  <si>
    <t>PUC Distribution Inc.</t>
  </si>
  <si>
    <t>Rate Rider for Disposition of Deferral/Variance Accounts (2013) - effective until April 30, 2015</t>
  </si>
  <si>
    <t>Renfrew Hydro Inc.</t>
  </si>
  <si>
    <t>Rate Rider for Disposition of Deferral/Variance Accounts (2013) - effective until April 30, 2015 
      - not applicable to Wholesale Market Participants</t>
  </si>
  <si>
    <t>Specific Charge for Access to the Power Poles - $/pole/year</t>
  </si>
  <si>
    <t>Rideau St. Lawrence Distribution Inc.</t>
  </si>
  <si>
    <t>Rate Rider for Disposition of Deferral/Variance Accounts (2013) - effective until April 30, 2017</t>
  </si>
  <si>
    <t>Specific Charge for Bell Canada Access to the Power Poles – per pole/year</t>
  </si>
  <si>
    <t>Sioux Lookout Hydro Inc.</t>
  </si>
  <si>
    <t>LARGE USE &gt; 5000 KW</t>
  </si>
  <si>
    <t>Rate Rider for Disposition of Deferral/Variance Accounts (2013) - effective until August 31, 2014</t>
  </si>
  <si>
    <t>Switching for company maintenance – Charge based on Time and Materials</t>
  </si>
  <si>
    <t>microFIT</t>
  </si>
  <si>
    <t>Rate Rider for Disposition of Deferral/Variance Accounts (2013) - effective until December 31, 2014</t>
  </si>
  <si>
    <t>Temporary Service – Install &amp; remove – overhead – no transformer</t>
  </si>
  <si>
    <t>Rate Rider for Disposition of Deferral/Variance Accounts (2013) - effective until May 31, 2014</t>
  </si>
  <si>
    <t>Temporary Service – Install &amp; remove – overhead – with transformer</t>
  </si>
  <si>
    <t>Tillsonburg Hydro Inc.</t>
  </si>
  <si>
    <t>RESIDENTIAL - HENSALL</t>
  </si>
  <si>
    <t>Rate Rider for Disposition of Deferral/Variance Accounts (2014) - effective until December 31, 2015</t>
  </si>
  <si>
    <t>Temporary Service – Install &amp; remove – underground – no transformer</t>
  </si>
  <si>
    <t>Toronto Hydro-Electric System Limited</t>
  </si>
  <si>
    <t>RESIDENTIAL - HIGH DENSITY [R1]</t>
  </si>
  <si>
    <t>Rate Rider for Disposition of Deferred PILs Variance Account 1562 - effective until March 31, 2016</t>
  </si>
  <si>
    <t>Temporary service install &amp; remove – overhead – no transformer</t>
  </si>
  <si>
    <t>RESIDENTIAL - LOW DENSITY [R2]</t>
  </si>
  <si>
    <t>Rate Rider for Disposition of Deferred PILs Variance Account 1562 (2012) - effective until April 30, 2015</t>
  </si>
  <si>
    <t>Temporary Service Install &amp; Remove – Overhead – With Transformer</t>
  </si>
  <si>
    <t>Wasaga Distribution Inc.</t>
  </si>
  <si>
    <t>RESIDENTIAL - MEDIUM DENSITY [R1]</t>
  </si>
  <si>
    <t>Rate Rider for Disposition of Deferred PILs Variance Account 1562 (2012) - effective until April 30, 2016</t>
  </si>
  <si>
    <t>Temporary Service Install &amp; Remove – Underground – No Transformer</t>
  </si>
  <si>
    <t>Waterloo North Hydro Inc.</t>
  </si>
  <si>
    <t>RESIDENTIAL - NORMAL DENSITY [R2]</t>
  </si>
  <si>
    <t>Rate Rider for Disposition of Deferred PILs Variance Account 1562 (2nd Installment - 2012) 
      - effective until April 30, 2016</t>
  </si>
  <si>
    <t>Temporary service installation and removal – overhead – no transformer</t>
  </si>
  <si>
    <t>Welland Hydro-Electric System Corp.</t>
  </si>
  <si>
    <t>RESIDENTIAL - TIME OF USE</t>
  </si>
  <si>
    <t>Rate Rider for Disposition of Deferred PILs Variance Account 1562 (per connection) (2012) 
      - effective until April 30, 2015</t>
  </si>
  <si>
    <t>Temporary service installation and removal – overhead – with transformer</t>
  </si>
  <si>
    <t>Wellington North Power Inc.</t>
  </si>
  <si>
    <t>RESIDENTIAL - URBAN [UR]</t>
  </si>
  <si>
    <t>Rate Rider for Disposition of Deferred PILs Variance Account 1562 (per connection) (2012) 
      - effective until April 30, 2016</t>
  </si>
  <si>
    <t>Temporary service installation and removal – underground – no transformer</t>
  </si>
  <si>
    <t>RESIDENTIAL REGULAR</t>
  </si>
  <si>
    <t>Rate Rider for Disposition of Global Adjustment Sub-Account (2011)  - effective until April 30, 2015 
      Applicable only for Non-RPP Customers</t>
  </si>
  <si>
    <t>Westario Power Inc.</t>
  </si>
  <si>
    <t>RESIDENTIAL SUBURBAN</t>
  </si>
  <si>
    <t>Rate Rider for Disposition of Global Adjustment Sub-Account (2011) - effective until April 30, 2016 
      Applicable only for Non-RPP Customers</t>
  </si>
  <si>
    <t>RESIDENTIAL SUBURBAN SEASONAL</t>
  </si>
  <si>
    <t>Rate Rider for Disposition of Global Adjustment Sub-Account (2012) - effective until April 30, 2014 
      Applicable only for Non-RPP Customers</t>
  </si>
  <si>
    <t>RESIDENTIAL SUBURBAN YEAR ROUND</t>
  </si>
  <si>
    <t>Rate Rider for Disposition of Global Adjustment Sub-Account (2012) - effective until April 30, 2015 
      Applicable only for Non-RPP Customers</t>
  </si>
  <si>
    <t>RESIDENTIAL URBAN</t>
  </si>
  <si>
    <t>Rate Rider for Disposition of Global Adjustment Sub-Account (2012) - effective until April 30, 2015 
      Applicatble only for Non-RPP Customers</t>
  </si>
  <si>
    <t>RESIDENTIAL URBAN YEAR-ROUND</t>
  </si>
  <si>
    <t>Rate Rider for Disposition of Global Adjustment Sub-Account (2012) - effective until April 30, 2016 
      Applicable only for Non-RPP Customers</t>
  </si>
  <si>
    <t>Rate Rider for Disposition of Global Adjustment Sub-Account (2012) - effective until January 31, 2014. 
      Applicable only for Non-RPP Customers</t>
  </si>
  <si>
    <t>SEASONAL RESIDENTIAL - HIGH DENSITY [R3]</t>
  </si>
  <si>
    <t>Rate Rider for Disposition of Global Adjustment Sub-Account (2012) - effective until June 30, 2014 
      Applicable only for Non-RPP Customers</t>
  </si>
  <si>
    <t>SEASONAL RESIDENTIAL - NORMAL DENSITY [R4]</t>
  </si>
  <si>
    <t>Rate Rider for Disposition of Global Adjustment Sub-Account (2012) Applicable only for Non-RPP Customers 
      - effective until August 31, 2014</t>
  </si>
  <si>
    <t>Rate Rider for Disposition of Global Adjustment Sub-Account (2012) Applicable only to Non-RPP Customers 
      - effective until August 31, 2014</t>
  </si>
  <si>
    <t>SMALL COMMERCIAL AND USL - PER CONNECTION</t>
  </si>
  <si>
    <t>Rate Rider for Disposition of Global Adjustment Sub-Account (2013) - effective until April 30, 2014 
      Applicable only for Non-RPP Customers</t>
  </si>
  <si>
    <t>SMALL COMMERCIAL AND USL - PER METER</t>
  </si>
  <si>
    <t>Rate Rider for Disposition of Global Adjustment Sub-Account (2013) - effective until April 30, 2015 
      Applicable only for Non-RPP Customers</t>
  </si>
  <si>
    <t>STANDARD A GENERAL SERVICE AIR ACCESS</t>
  </si>
  <si>
    <t>Rate Rider for Disposition of Global Adjustment Sub-Account (2013) - effective until April 30, 2015 
      Applicable only for Non-RPP Customers and excluding Wholesale Market Participants</t>
  </si>
  <si>
    <t>STANDARD A GENERAL SERVICE ROAD/RAIL</t>
  </si>
  <si>
    <t>Rate Rider for Disposition of Global Adjustment Sub-Account (2013) - effective until April 30, 2017 
      Applicable only for Non-RPP Customers</t>
  </si>
  <si>
    <t>STANDARD A GRID CONNECTED</t>
  </si>
  <si>
    <t>Rate Rider For Disposition of Global Adjustment Sub-Account (2013) - effective until August 31, 2014 
      Applicable only for Non-RPP Customers</t>
  </si>
  <si>
    <t>STANDARD A RESIDENTIAL AIR ACCESS</t>
  </si>
  <si>
    <t>Rate Rider for Disposition of Global Adjustment Sub-Account (2013) - effective until December 31, 2014 
      Applicable only for Non-RPP Customers</t>
  </si>
  <si>
    <t>STANDARD A RESIDENTIAL ROAD/RAIL</t>
  </si>
  <si>
    <t>Rate Rider for Disposition of Global Adjustment Sub-Account (2013) - effective until May 31, 2014 
      Applicable only for Non-RPP Customers</t>
  </si>
  <si>
    <t>STANDBY - GENERAL SERVICE 1,000 - 5,000 KW</t>
  </si>
  <si>
    <t>Rate Rider for Disposition of Global Adjustment Sub-Account (2014) - effective until December 31, 2014. 
      Applicable only for Non-RPP - Class B Customers</t>
  </si>
  <si>
    <t>STANDBY - GENERAL SERVICE 50 - 1,000 KW</t>
  </si>
  <si>
    <t>Rate Rider for Disposition of Global Adjustment Sub-Account (2014) - effective until December 31, 2014. 
      Applicable only for Non-RPP Customers</t>
  </si>
  <si>
    <t>STANDBY - LARGE USE</t>
  </si>
  <si>
    <t>Rate Rider for Disposition of Global Adjustment Sub-Account (2014) - effective until December 31, 2014. 
      Applicable only for Non-RPP Customers - Class A Customers</t>
  </si>
  <si>
    <t>STANDBY DISTRIBUTION SERVICE</t>
  </si>
  <si>
    <t>Rate Rider for Disposition of Global Adjustment Sub-Account (2014) - effective until December 31, 2014. 
      Applicable only for Non-RPP Customers - Interval Metered</t>
  </si>
  <si>
    <t>Rate Rider for Disposition of Global Adjustment Sub-Account (2014) - effective until December 31, 2014. 
      Applicable only for Non-RPP Customers - Non Interval Metered</t>
  </si>
  <si>
    <t>STANDBY POWER - APPROVED ON AN INTERIM BASIS</t>
  </si>
  <si>
    <t xml:space="preserve">Rate Rider for Disposition of Global Adjustment Sub-Account (2014) 
      - effective until December 31, 2015. Applicable only for Non-RPP Customers.  </t>
  </si>
  <si>
    <t>STANDBY POWER GENERAL SERVICE 1,500 TO 4,999 KW</t>
  </si>
  <si>
    <t>Rate Rider for Disposition of Post Retirement Actuarial Gain - effective until March 31, 2025</t>
  </si>
  <si>
    <t>STANDBY POWER GENERAL SERVICE 50 TO 1,499 KW</t>
  </si>
  <si>
    <t>Rate Rider for Disposition of Residual Hisotrical Smart Meter Costs - effective until April 30, 2015</t>
  </si>
  <si>
    <t>STANDBY POWER GENERAL SERVICE LARGE USE</t>
  </si>
  <si>
    <t>Rate Rider for Disposition of Residual Hisotrical Smart Meter Costs - effective until April 30, 2017</t>
  </si>
  <si>
    <t>Rate Rider for Disposition of Residual Historical Smart Meter Costs - effective until April 30, 2014</t>
  </si>
  <si>
    <t>SUB TRANSMISSION [ST]</t>
  </si>
  <si>
    <t>Rate Rider for Disposition of Residual Historical Smart Meter Costs - effective until April 30, 2016</t>
  </si>
  <si>
    <t>Rate Rider for Disposition of Residual Historical Smart Meter Costs - effective until August 31, 2014</t>
  </si>
  <si>
    <t>URBAN GENERAL SERVICE DEMAND BILLED (50 KW AND ABOVE) [UGD]</t>
  </si>
  <si>
    <t>Rate Rider for Disposition of Residual Historical Smart Meter Costs - effective until August 31, 2015</t>
  </si>
  <si>
    <t>URBAN GENERAL SERVICE ENERGY BILLED (LESS THAN 50 KW) [UGE]</t>
  </si>
  <si>
    <t>Rate Rider for Disposition of Residual Historical Smart Meter Costs - effective until December 31, 2014</t>
  </si>
  <si>
    <t>WESTPORT SEWAGE TREATMENT PLANT</t>
  </si>
  <si>
    <t>Rate Rider for Disposition of Residual Historical Smart Meter Costs – effective until December 31, 2014</t>
  </si>
  <si>
    <t>YEAR-ROUND RESIDENTIAL - R2</t>
  </si>
  <si>
    <t>Rate Rider for Disposition of Residual Historical Smart Meter Costs - effective until December 31, 2015</t>
  </si>
  <si>
    <t>Rate Rider for Disposition of Residual Historical Smart Meter Costs - effective until December 31, 2016</t>
  </si>
  <si>
    <t>Rate Rider for Disposition of Residual Historical Smart Meter Costs - effective until October 31, 2014</t>
  </si>
  <si>
    <t>Rate Rider for Disposition of Residual Historical Smart Meter Costs - effective until September 30, 2014</t>
  </si>
  <si>
    <t>Rate Rider for Disposition of Residual Historical Smart Meter Costs - Non-Interval Metered 
      - effective until April 30, 2014</t>
  </si>
  <si>
    <t>Rate Rider for Disposition of Residual Historical Smart Meter Costs 2 - in effect until the effective date
      of the next cost of service-based rate order</t>
  </si>
  <si>
    <t>Rate Rider for Disposition of Residual Historical Smart Meter Costs 3 - in effect until the effective date of
      the next cost of service-based rate order</t>
  </si>
  <si>
    <t>Rate Rider for Disposition of Residual Incremental Historical Smart Meter Costs 
      - effective until August 31, 2015</t>
  </si>
  <si>
    <t>Rate Rider for Disposition of Stranded Meter costs - effective until April 30, 2015</t>
  </si>
  <si>
    <t>Rate Rider for Disposition of Stranded Meter Costs - effective until April 30, 2016</t>
  </si>
  <si>
    <t>Rate Rider for Disposition of Stranded Meter Costs - effective until April 30, 2017</t>
  </si>
  <si>
    <t>Rate Rider for Global Adjustment Sub Account Disposition - effective until April 30, 2016 
      Applicable only for Non RPP Customers</t>
  </si>
  <si>
    <t>Rate Rider for Global Adjustment Sub-Account Disposition (2014) - effective until April 28, 2016 
      Applicable only for Non-RPP Customers</t>
  </si>
  <si>
    <t>Rate Rider for Global Adjustment Sub-Account Disposition (2014) - effective until April 30, 2015 
      Applicable only for Non-RPP Customers</t>
  </si>
  <si>
    <t>Rate Rider for Global Adjustment Sub-Account Disposition (2014) - effective until December 30, 2015 
      Applicable only for Non-RPP Customers</t>
  </si>
  <si>
    <t>Rate Rider for Global Adjustment Sub-Account Disposition (2014) - effective until December 31, 2014 
      Applicable only for Non-RPP Customers</t>
  </si>
  <si>
    <t>Rate Rider for Global Adjustment Sub-Account Disposition (2014) - effective until December 31, 2015 
      Applicable only for Non-RPP Customers</t>
  </si>
  <si>
    <t>Rate Rider for Global Adjustment Sub-Account Disposition Applicable only for Non-RPP Customers 
      - effective until April 30, 2015</t>
  </si>
  <si>
    <t>Rate Rider for Incremental Capital - Distribution Volumetric - effective until April 30, 2016</t>
  </si>
  <si>
    <t>Rate Rider for Incremental Capital - Service Charge - effective until April 30, 2016</t>
  </si>
  <si>
    <t>Rate Rider for Incremental Capital (2012) - effective until April 30, 2015</t>
  </si>
  <si>
    <t>Rate Rider for Lost Revenue Adjustment Mechanism Variance Account (LRAMVA) Recovery (2012 CDM Activities) 
      - effective until April 30, 2015</t>
  </si>
  <si>
    <t>Rate Rider for Recover of Residual Historical Smart meter Costs - effective until June 30, 2014</t>
  </si>
  <si>
    <t>Rate Rider for Recovery of CGAAP/CWIP Differential - in effect until December 31, 2016</t>
  </si>
  <si>
    <t>Rate Rider for Recovery of Foregone Revenue - effective until April 30, 2015</t>
  </si>
  <si>
    <t>Rate Rider for Recovery of Forgone Revenue - effective until April 30, 2015</t>
  </si>
  <si>
    <t>Rate Rider for Recovery of Forgone Revenue - effective until December 31, 2014</t>
  </si>
  <si>
    <t>Rate Rider for Recovery of Green Energy Act related costs - effective until December 31, 2014</t>
  </si>
  <si>
    <t>Rate Rider for Recovery of Incremental Capital (2013) - in effect until the effective date of 
      the next cost of service-based rate order</t>
  </si>
  <si>
    <t>Rate Rider for Recovery of Incremental Capital (2013) (per connection) - in effect until the effective date of 
      the next cost of service-based rate order</t>
  </si>
  <si>
    <t>Rate Rider for Recovery of Incremental Capital (2013) (per connection)- in effect until the effective date of 
      the next cost of service-based rate order</t>
  </si>
  <si>
    <t>Rate Rider for Recovery of Incremental Capital Costs</t>
  </si>
  <si>
    <t>Rate Rider for Recovery of Incremental Capital Costs - effective until April 30, 2015</t>
  </si>
  <si>
    <t>Rate Rider for Recovery of Incremental Capital Module Costs (2014) - in effect until the effective date
      of the next cost of service-based rate order</t>
  </si>
  <si>
    <t>Rate Rider for Recovery of Lost Revenue Adjustment Mechanism ( LRAM)/Shared Savings Mechanism (SSM) (2012) 
      - effective until August 31, 2014</t>
  </si>
  <si>
    <t>Rate Rider for Recovery of Lost Revenue Adjustment Mechanism (2013) 
      - effective until December 31, 2014</t>
  </si>
  <si>
    <t>Rate Rider for Recovery of Lost Revenue Adjustment Mechanism (LRAM) - effective until April 30, 2016</t>
  </si>
  <si>
    <t>Rate Rider for Recovery of Lost Revenue Adjustment Mechanism (LRAM) (pre-2011 CDM Activities) 
      - effective until April 30, 2015</t>
  </si>
  <si>
    <t>Rate Rider for Recovery of Lost Revenue Adjustment Mechanism (LRAM) (pre-2011 CDM Activities) (2013) 
      - effective until April 30, 2015</t>
  </si>
  <si>
    <t>Rate Rider for Recovery of Lost Revenue Adjustment Mechanism (LRAM)/Shared Savings</t>
  </si>
  <si>
    <t>Rate Rider for Recovery of Lost Revenue Adjustment Mechanism (LRAM)/Shared Savings Mechanism 
      (SSM) - effective until December 31, 2018 and applicable in the service area excluding the former 
      service areas of Clinton Power and West Perth Power</t>
  </si>
  <si>
    <t>Rate Rider for Recovery of Lost Revenue Adjustment Mechanism (LRAM)/Shared Savings Mechanism (SSM) - effective until 
      December 31, 2014 and applicable in the service area excluding the former service areas of Clinton Power and West Perth Power</t>
  </si>
  <si>
    <t>Rate Rider for Recovery of Lost Revenue Adjustment Mechanism (LRAM)/Shared Savings Mechanism (SSM) - effective until 
      December 31, 2014 and applicable only in the former service area of Clinton Power</t>
  </si>
  <si>
    <t>Rate Rider for Recovery of Lost Revenue Adjustment Mechanism (LRAM)/Shared Savings Mechanism (SSM) - effective until 
      December 31, 2014 and applicable only in the former service area of West Perth Power</t>
  </si>
  <si>
    <t>Rate Rider for Recovery of Lost Revenue Adjustment Mechanism (LRAM)/Shared Savings Mechanism (SSM) - effective until December 31, 2014 and applicable in the service area excluding the former service area of Clinton Power</t>
  </si>
  <si>
    <t>Rate Rider for Recovery of Lost Revenue Adjustment Mechanism (LRAM)/Shared Savings Mechanism (SSM) 
      - effective until March 31, 2016</t>
  </si>
  <si>
    <t>Rate Rider for Recovery of Lost Revenue Adjustment Mechanism (LRAM)/Shared Savings Mechanism (SSM) (2012) 
      - effective until August 31, 2014</t>
  </si>
  <si>
    <t>Rate Rider for Recovery of Lost Revenue Adjustment Mechanism (LRAM)/Shared Savings Mechanism (SSM) Recovery 
      - effective until April 30, 2015</t>
  </si>
  <si>
    <t>Rate Rider for Recovery of Lost Revenue Adjustment Mechanism Variance Account (LRAMVA) (2014) 
      - effective until April 30, 2015</t>
  </si>
  <si>
    <t>Rate Rider for Recovery of Residual Historical Smart Meter Costs - effective July 1, 2012 - April 30, 2016</t>
  </si>
  <si>
    <t>Rate Rider for Recovery of Smart Meter Incremental Revenue Requirement - effective until the date of 
      the next cost of service-based rate order</t>
  </si>
  <si>
    <t>Rate Rider for Recovery of Smart Meter Incremental Revenue Requirement - effective until the effective 
      date of the next cost of service-based rate order, or October 31, 2017, whichever occurs earlier</t>
  </si>
  <si>
    <t>Rate Rider for Recovery of Smart Meter Incremental Revenue Requirement - in effect until the effective date of 
      the next cost of service-based rate order</t>
  </si>
  <si>
    <t>Rate Rider for Recovery of Smart Meter Incremental Revenue Requirement - Non-Interval Metered - in effect until 
      the effective date of the next cost of service-based rate order</t>
  </si>
  <si>
    <t>Rate Rider for Recovery of Smart Meter Incremental Revenue Requirements - in effect until the effective date 
      of the next cost of service application</t>
  </si>
  <si>
    <t>Rate Rider for Recovery of Smart Meter Stranded Assets - effective until April 30, 2016</t>
  </si>
  <si>
    <t>Rate Rider for Recovery of Storm Damage Costs - effective until August 31, 2017</t>
  </si>
  <si>
    <t>Rate Rider for Recovery of Stranded Assets - effective until April 30, 2016</t>
  </si>
  <si>
    <t>Rate Rider for Recovery of Stranded Meter Assets - effective July 1, 2012 - April 30, 2016</t>
  </si>
  <si>
    <t>Rate Rider for Recovery of Stranded Meter Assets – effective until April 30, 2015</t>
  </si>
  <si>
    <t>Rate Rider for Recovery of Stranded Meter Assets - effective until April 30, 2016</t>
  </si>
  <si>
    <t>Rate Rider for Recovery of Stranded Meter Assets - effective until April 30, 2017</t>
  </si>
  <si>
    <t>Rate Rider for Recovery of Stranded Meter Assets - effective until August 31, 2015</t>
  </si>
  <si>
    <t>Rate Rider for Recovery of Stranded Meter Assets - effective until August 31, 2017</t>
  </si>
  <si>
    <t>Rate Rider for Recovery of Stranded Meter Assets - effective until December 31, 2014</t>
  </si>
  <si>
    <t>Rate Rider for Recovery of Stranded Meter Assets - effective until December 31, 2015</t>
  </si>
  <si>
    <t>Rate Rider for Recovery of Stranded Meter Assets - effective until June 30, 2016</t>
  </si>
  <si>
    <t>Rate Rider for Recovery of Stranded Meter Assets - effective until March 31, 2016</t>
  </si>
  <si>
    <t>Rate Rider for Recovery of Stranded Meter Assets - effective until May 31, 2014</t>
  </si>
  <si>
    <t>Rate Rider for Reversal of Deferral/Variance Account Disposition (2011) - effective until April 30, 2015</t>
  </si>
  <si>
    <t>Rate Rider for Smart Meter Disposition - effective until April 30, 2016</t>
  </si>
  <si>
    <t>Rate Rider for Smart Meter Incremental Revenue Requirement - in effect until the effective date of 
      the next cost of service-based rate order</t>
  </si>
  <si>
    <t>Rate Rider for Smart Metering Entity Charge - effective until October 31, 2018</t>
  </si>
  <si>
    <t>Rate Rider for Stranded Meter Cost Recovery - effective until April 30, 2017</t>
  </si>
  <si>
    <t>Rate Rider for Tax Change</t>
  </si>
  <si>
    <t>Rate Rider for Tax Change - effective until April 30, 2015</t>
  </si>
  <si>
    <t>Rate Rider for Tax Change (2014) - effective until April 30, 2015</t>
  </si>
  <si>
    <t>Retail Transmission Rate - Line and Transformation Connection Service Rate</t>
  </si>
  <si>
    <t>Retail Transmission Rate - Line and Transformation Connection Service Rate - (less than 1,000 kW)</t>
  </si>
  <si>
    <t>Retail Transmission Rate - Line and Transformation Connection Service Rate - Interval Metered</t>
  </si>
  <si>
    <t>Retail Transmission Rate - Line and Transformation Connection Service Rate 
      - Interval Metered (1,000 to 4,999 kW)</t>
  </si>
  <si>
    <t>Retail Transmission Rate - Line and Transformation Connection Service Rate 
      - Interval Metered (less than 1,000 kW)</t>
  </si>
  <si>
    <t>Retail Transmission Rate - Line and Transformation Connection Service Rate 
      - Interval Metered &lt; 1,000 kW</t>
  </si>
  <si>
    <t>Retail Transmission Rate - Line and Transformation Connection Service Rate 
      FOR ALL SERVICE AREAS EXCEPT HENSALL</t>
  </si>
  <si>
    <t>Retail Transmission Rate - Line and Transformation Connection Service Rate
      - Interval Metered &gt; 1,000 kW</t>
  </si>
  <si>
    <t>Retail Transmission Rate - Line Connection Service Rate</t>
  </si>
  <si>
    <t>Retail Transmission Rate - Network Service Rate</t>
  </si>
  <si>
    <t>Retail Transmission Rate - Network Service Rate - (less than 1,000 kW)</t>
  </si>
  <si>
    <t>Retail Transmission Rate - Network Service Rate - Interval Metered</t>
  </si>
  <si>
    <t>Retail Transmission Rate - Network Service Rate - Interval Metered (1,000 to 4,999 kW)</t>
  </si>
  <si>
    <t>Retail Transmission Rate - Network Service Rate - Interval Metered (less than 1,000 kW)</t>
  </si>
  <si>
    <t>Retail Transmission Rate - Network Service Rate - Interval Metered &gt; 1,000 kW</t>
  </si>
  <si>
    <t>Retail Transmission Rate - Transformation Connection Service Rate</t>
  </si>
  <si>
    <t>Rider for Global Adjustment Sub-Account Disposition (2012) - effective until April 30, 2016 
      Applicable only for Non-RPP Customers</t>
  </si>
  <si>
    <t>Sentinel lights (dusk-to-dawn) connected to unmetered wires will have a flat rate monthly energy charge 
added to the regular customer bill. Further servicing details are available in the distributor’s Conditions 
of Service.</t>
  </si>
  <si>
    <t>Service Charge</t>
  </si>
  <si>
    <t>Service Charge (per connection)</t>
  </si>
  <si>
    <t>Service Charge (per customer)</t>
  </si>
  <si>
    <t>Service Charge (per light)</t>
  </si>
  <si>
    <t>Smart Grid Funding Adder (2014) - in effect until December 31, 2014</t>
  </si>
  <si>
    <t>Smart Meter Disposition Rider</t>
  </si>
  <si>
    <t>Smart Meter Entity Charge</t>
  </si>
  <si>
    <t>Smart Meter Incremental Revenue Requirement Rate Rider</t>
  </si>
  <si>
    <t>Standard Supply Service - Administrative Charge (if applicable)</t>
  </si>
  <si>
    <t>Standby Charge - for a month where standby power is not provided, the charge is based on the applicable 
General Service 50 to 4,999 kW or Large Use Distribution Volumetric Charge applied to the contracted 
amount (e.g. Nameplate rating of generating facility).</t>
  </si>
  <si>
    <t>Standby Charge - for a month where standby power is not provided. The charge is applied to the amount of 
reserved load transfer capacity contracted or the amount of monthly peak load displaced by a generating 
facility</t>
  </si>
  <si>
    <t>Standby Charge - for a month where standby power is not provided. The charge is applied to the contracted 
amount (e.g. nameplate rating of the generation facility).</t>
  </si>
  <si>
    <t>Wholesale Market Service Rate</t>
  </si>
  <si>
    <t>Strech Factor Assigned to Middle Cohort*</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</si>
  <si>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</si>
  <si>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</si>
  <si>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</si>
  <si>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</si>
  <si>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</si>
  <si>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Rate Class</t>
  </si>
  <si>
    <t>Billed Customers or Connections</t>
  </si>
  <si>
    <t>Billed kWh</t>
  </si>
  <si>
    <t>Billed kW
(if applicable)</t>
  </si>
  <si>
    <t>Monthly Service Charge</t>
  </si>
  <si>
    <t>Distribution Volumetric Rate kWh</t>
  </si>
  <si>
    <t>Distribution Volumetric Rate kW</t>
  </si>
  <si>
    <t>Re-based Billed kWh</t>
  </si>
  <si>
    <t>Service Charge Revenue</t>
  </si>
  <si>
    <t>Distribution Volumetric Rate Revenue 
kWh</t>
  </si>
  <si>
    <t>Distribution Volumetric Rate Revenue 
kW</t>
  </si>
  <si>
    <t>Revenues from Rates</t>
  </si>
  <si>
    <t>Service Charge % Revenue</t>
  </si>
  <si>
    <t>Distribution Volumetric Rate % Revenue 
kWh</t>
  </si>
  <si>
    <t>Distribution Volumetric Rate % Revenue 
kW</t>
  </si>
  <si>
    <t>Total % Revenue</t>
  </si>
  <si>
    <t>D</t>
  </si>
  <si>
    <t>E</t>
  </si>
  <si>
    <t>F</t>
  </si>
  <si>
    <t>K = G / J</t>
  </si>
  <si>
    <t>L = H / J</t>
  </si>
  <si>
    <t>M = I / J</t>
  </si>
  <si>
    <t>Applicants Rate Base</t>
  </si>
  <si>
    <t>Average Net Fixed Assets</t>
  </si>
  <si>
    <t>Gross Fixed Assets - Re-based Opening</t>
  </si>
  <si>
    <t>A</t>
  </si>
  <si>
    <t>Add: CWIP Re-based Opening</t>
  </si>
  <si>
    <t>B</t>
  </si>
  <si>
    <t>Re-based Capital Additions</t>
  </si>
  <si>
    <t>C</t>
  </si>
  <si>
    <t>Re-based Capital Disposals</t>
  </si>
  <si>
    <t>Re-based Capital Retirements</t>
  </si>
  <si>
    <t>Deduct: CWIP Re-based Closing</t>
  </si>
  <si>
    <t>Gross Fixed Assets - Re-based Closing</t>
  </si>
  <si>
    <t>G</t>
  </si>
  <si>
    <t>Average Gross Fixed Assets</t>
  </si>
  <si>
    <t>H = ( A + G ) / 2</t>
  </si>
  <si>
    <t>Accumulated Depreciation - Re-based Opening</t>
  </si>
  <si>
    <t>I</t>
  </si>
  <si>
    <t>Re-based Depreciation Expense</t>
  </si>
  <si>
    <t>J</t>
  </si>
  <si>
    <t>Re-based Disposals</t>
  </si>
  <si>
    <t>K</t>
  </si>
  <si>
    <t>Re-based Retirements</t>
  </si>
  <si>
    <t>L</t>
  </si>
  <si>
    <t>Accumulated Depreciation - Re-based Closing</t>
  </si>
  <si>
    <t>M</t>
  </si>
  <si>
    <t>Average Accumulated Depreciation</t>
  </si>
  <si>
    <t>N =  ( I + M ) / 2</t>
  </si>
  <si>
    <t xml:space="preserve">Average Net Fixed Assets </t>
  </si>
  <si>
    <t>O = H - N</t>
  </si>
  <si>
    <t>Working Capital Allowance</t>
  </si>
  <si>
    <t>Working Capital Allowance Base</t>
  </si>
  <si>
    <t>P</t>
  </si>
  <si>
    <t>Working Capital Allowance Rate</t>
  </si>
  <si>
    <t>Q</t>
  </si>
  <si>
    <t>R = P * Q</t>
  </si>
  <si>
    <t>Rate Base</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</si>
  <si>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</si>
  <si>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</si>
  <si>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</si>
  <si>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</si>
  <si>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</si>
  <si>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</si>
  <si>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</si>
  <si>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</si>
  <si>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</si>
  <si>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</si>
  <si>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</si>
  <si>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</si>
  <si>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</si>
  <si>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</si>
  <si>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</si>
  <si>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</si>
  <si>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</si>
  <si>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</si>
  <si>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</si>
  <si>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</si>
  <si>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</si>
  <si>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</si>
  <si>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</si>
  <si>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</si>
  <si>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</si>
  <si>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</si>
  <si>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</si>
  <si>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</si>
  <si>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Taxes/PILs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</si>
  <si>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</si>
  <si>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</si>
  <si>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</si>
  <si>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</si>
  <si>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</si>
  <si>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</si>
  <si>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</si>
  <si>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</si>
  <si>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</si>
  <si>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</si>
  <si>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</si>
  <si>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</si>
  <si>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</si>
  <si>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</si>
  <si>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</si>
  <si>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</si>
  <si>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</si>
  <si>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</si>
  <si>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</si>
  <si>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</si>
  <si>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</si>
  <si>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</si>
  <si>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AW</t>
  </si>
  <si>
    <t>Pro forma Revenue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</si>
  <si>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</si>
  <si>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</si>
  <si>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</si>
  <si>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</si>
  <si>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</si>
  <si>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</si>
  <si>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</si>
  <si>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Re-based Billed Customers or Connections</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</si>
  <si>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</si>
  <si>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</si>
  <si>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</si>
  <si>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</si>
  <si>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</si>
  <si>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</si>
  <si>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</si>
  <si>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</si>
  <si>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</si>
  <si>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</si>
  <si>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t>No Input Required.</t>
  </si>
  <si>
    <t>Cost of Service Rebasing Year</t>
  </si>
  <si>
    <t>Price Cap IR Year in which Application is made</t>
  </si>
  <si>
    <t>Growth Factor Calculation</t>
  </si>
  <si>
    <t>Growth Factor</t>
  </si>
  <si>
    <t>Dead Band</t>
  </si>
  <si>
    <t>Gross Fixed Assets Opening</t>
  </si>
  <si>
    <t>Add: CWIP Opening</t>
  </si>
  <si>
    <t>Capital Additions</t>
  </si>
  <si>
    <t>Capital Disposals</t>
  </si>
  <si>
    <t>Capital Retirements</t>
  </si>
  <si>
    <t>Deduct: CWIP Closing</t>
  </si>
  <si>
    <t>Gross Fixed Assets - Closing</t>
  </si>
  <si>
    <t>Accumulated Depreciation - Opening</t>
  </si>
  <si>
    <t>Depreciation Expense</t>
  </si>
  <si>
    <t>Disposals</t>
  </si>
  <si>
    <t>Retirements</t>
  </si>
  <si>
    <t>Accumulated Depreciation - Closing</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</si>
  <si>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</si>
  <si>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</si>
  <si>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</si>
  <si>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</si>
  <si>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</si>
  <si>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H</t>
  </si>
  <si>
    <t>N</t>
  </si>
  <si>
    <t>O</t>
  </si>
  <si>
    <t>Identify ALL Proposed ACM projects and related CAPEX costs in the relevant years</t>
  </si>
  <si>
    <t>Cost of Service</t>
  </si>
  <si>
    <t>Price Cap IR</t>
  </si>
  <si>
    <t>Test Year</t>
  </si>
  <si>
    <t>Year 1</t>
  </si>
  <si>
    <t>Year 2</t>
  </si>
  <si>
    <t>Year 3</t>
  </si>
  <si>
    <t>Year 4</t>
  </si>
  <si>
    <t>Year 5</t>
  </si>
  <si>
    <t>Year 6</t>
  </si>
  <si>
    <t>Year 7</t>
  </si>
  <si>
    <t>Year 8</t>
  </si>
  <si>
    <t>Year 9</t>
  </si>
  <si>
    <t>Year 10</t>
  </si>
  <si>
    <t>Distribution System Plan CAPEX</t>
  </si>
  <si>
    <t>Materiality Threshold</t>
  </si>
  <si>
    <t>Maximum Eligible Incremental Capital (Forecasted Capex less Threshold)</t>
  </si>
  <si>
    <t>Project Descriptions:</t>
  </si>
  <si>
    <t>Type</t>
  </si>
  <si>
    <t>Total</t>
  </si>
  <si>
    <t>Total Cost of ACM/ICM Projects</t>
  </si>
  <si>
    <t>Maximum Allowed Incremental Capital</t>
  </si>
  <si>
    <t>Proposed ACM/ICM</t>
  </si>
  <si>
    <t>Amortization Expense</t>
  </si>
  <si>
    <t>CCA</t>
  </si>
  <si>
    <t>Incremental Capital Adjustment</t>
  </si>
  <si>
    <t>Rate Year:</t>
  </si>
  <si>
    <t>Current Revenue Requirement</t>
  </si>
  <si>
    <t>Current Revenue Requirement - Total</t>
  </si>
  <si>
    <t>Eligible Incremental Capital for ACM/ICM Recovery</t>
  </si>
  <si>
    <t>Total Claim</t>
  </si>
  <si>
    <t>Eligible for ACM/ICM</t>
  </si>
  <si>
    <t>(from Sheet 10b)</t>
  </si>
  <si>
    <t>Amount of Capital Projects Claimed</t>
  </si>
  <si>
    <t>ACM/ICM Incremental Revenue Requirement Based on Eligible Amount in Rate Year</t>
  </si>
  <si>
    <t>Incremental Capital</t>
  </si>
  <si>
    <t>Depreciation Expense (prorated to Eligible Incremental Capital)</t>
  </si>
  <si>
    <t>Incremental Capital to be included in Rate Base (average NBV in year)</t>
  </si>
  <si>
    <t>D = B - C/2</t>
  </si>
  <si>
    <t>% of capital structure</t>
  </si>
  <si>
    <t>Deemed Short-Term Debt</t>
  </si>
  <si>
    <t>G = D * E</t>
  </si>
  <si>
    <t>Deemed Long-Term Debt</t>
  </si>
  <si>
    <t>H = D * F</t>
  </si>
  <si>
    <t>Rate (%)</t>
  </si>
  <si>
    <t>Short-Term Interest</t>
  </si>
  <si>
    <t>K = G * I</t>
  </si>
  <si>
    <t>Long-Term Interest</t>
  </si>
  <si>
    <t>L = H * J</t>
  </si>
  <si>
    <t>Return on Rate Base - Interest</t>
  </si>
  <si>
    <t>M = K + L</t>
  </si>
  <si>
    <t>P = D * N</t>
  </si>
  <si>
    <t>Return on Rate Base -Equity</t>
  </si>
  <si>
    <t>Q = P * O</t>
  </si>
  <si>
    <t>Return on Rate Base - Total</t>
  </si>
  <si>
    <t>R = M + Q</t>
  </si>
  <si>
    <t>Amortization Expense - Incremental</t>
  </si>
  <si>
    <t>S</t>
  </si>
  <si>
    <t>Grossed up Taxes/PILs</t>
  </si>
  <si>
    <t>Regulatory Taxable Income</t>
  </si>
  <si>
    <t xml:space="preserve">T </t>
  </si>
  <si>
    <t>Add Back Amortization Expense (Prorated to Eligible Incremental Capital)</t>
  </si>
  <si>
    <t>Deduct CCA (Prorated to Eligible Incremental Capital)</t>
  </si>
  <si>
    <t>Incremental Taxable Income</t>
  </si>
  <si>
    <t>W = T + U - V</t>
  </si>
  <si>
    <t>Current Tax Rate</t>
  </si>
  <si>
    <t>X</t>
  </si>
  <si>
    <t>Taxes/PILs Before Gross Up</t>
  </si>
  <si>
    <t>Y = W * X</t>
  </si>
  <si>
    <t>Grossed-Up Taxes/PILs</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</si>
  <si>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</si>
  <si>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</si>
  <si>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</si>
  <si>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</si>
  <si>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</si>
  <si>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</si>
  <si>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</si>
  <si>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</si>
  <si>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</si>
  <si>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</si>
  <si>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</si>
  <si>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</si>
  <si>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</si>
  <si>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</si>
  <si>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</si>
  <si>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</si>
  <si>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</si>
  <si>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</si>
  <si>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</si>
  <si>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</si>
  <si>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</si>
  <si>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</si>
  <si>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</si>
  <si>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</si>
  <si>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</si>
  <si>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r>
      <t>Col I</t>
    </r>
    <r>
      <rPr>
        <b/>
        <i/>
        <vertAlign val="subscript"/>
        <sz val="10"/>
        <color theme="4"/>
        <rFont val="Calibri"/>
        <family val="2"/>
        <scheme val="minor"/>
      </rPr>
      <t>total</t>
    </r>
  </si>
  <si>
    <t>From Sheet 4</t>
  </si>
  <si>
    <t>Col F / Col K / 12</t>
  </si>
  <si>
    <t>Col G / Col L</t>
  </si>
  <si>
    <t>Col H / Col M</t>
  </si>
  <si>
    <t>From Sheet 7</t>
  </si>
  <si>
    <t>Fixed and Variable Rate Riders</t>
  </si>
  <si>
    <t>Total Cost of ACM Projects</t>
  </si>
  <si>
    <t>(if necessary)</t>
  </si>
  <si>
    <t>Proposed Capital Projects Eligible for ACM treatment</t>
  </si>
  <si>
    <t>Maximum Eligible Incremental Capital (Forecasted CAPEX less Threshold)</t>
  </si>
  <si>
    <t>Price Cap IR (Deferred Rebasing) (if necessary)</t>
  </si>
  <si>
    <t>Once all rate class classifications have been entered, please press the update button.</t>
  </si>
  <si>
    <t>Price-Cap IR</t>
  </si>
  <si>
    <t>ICM Approval</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</si>
  <si>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</si>
  <si>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</si>
  <si>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</si>
  <si>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</si>
  <si>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</si>
  <si>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</si>
  <si>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</si>
  <si>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</si>
  <si>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</si>
  <si>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</si>
  <si>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</si>
  <si>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</si>
  <si>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</si>
  <si>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</si>
  <si>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</si>
  <si>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</si>
  <si>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</si>
  <si>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</si>
  <si>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</si>
  <si>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</si>
  <si>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</si>
  <si>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</si>
  <si>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Identify ALL Proposed ACM and ICM projects and related CAPEX costs in the relevant years</t>
  </si>
  <si>
    <r>
      <t>CAPEX</t>
    </r>
    <r>
      <rPr>
        <b/>
        <vertAlign val="superscript"/>
        <sz val="11"/>
        <color theme="1"/>
        <rFont val="Calibri"/>
        <family val="2"/>
        <scheme val="minor"/>
      </rPr>
      <t>1</t>
    </r>
  </si>
  <si>
    <t>1.  For the Cost of Service Test Year, CAPEX refers to the CAPEX approved in the DSP. For subsequent Price CAP IR years, the CAPEX to be entered is the actual CAPEX. For the current Price Cap IR year, the CAPEX to be entered is the proposed CAPEX including any ICM/updated ACM project CAPEX for the year.</t>
  </si>
  <si>
    <t>Rate Classes Revenue - Total  (Sheet 4)</t>
  </si>
  <si>
    <t>Alectra Utilities Corporation-Guelph Rate Zone</t>
  </si>
  <si>
    <t>Elexicon Energy Inc.-Whitby Rate Zone</t>
  </si>
  <si>
    <t>Elexicon Energy Inc.-Veridian Rate Zone</t>
  </si>
  <si>
    <t>Hydro One Remote Communites Inc.</t>
  </si>
  <si>
    <t>From Sheet 11, E93</t>
  </si>
  <si>
    <t>Note:  As per the OEB's letter issued July 16, 2015 (EB-2012-0410), Residential Rates will be applied on a fixed basis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</si>
</sst>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F800]dddd\,\ mmmm\ dd\,\ yyyy"/>
    <numFmt numFmtId="165" formatCode="#,##0.0000"/>
    <numFmt numFmtId="166" formatCode="#,##0.00_ ;\-#,##0.00\ "/>
    <numFmt numFmtId="167" formatCode="0.00%;\(0.00\)%"/>
    <numFmt numFmtId="168" formatCode="#,##0.00000"/>
    <numFmt numFmtId="169" formatCode="#,##0.00_ ;\(#,##0.00\)"/>
    <numFmt numFmtId="170" formatCode="0%;\(0%\)"/>
    <numFmt numFmtId="171" formatCode="0.0000"/>
    <numFmt numFmtId="172" formatCode="#,###"/>
    <numFmt numFmtId="173" formatCode="0.0%"/>
    <numFmt numFmtId="174" formatCode="_-&quot;$&quot;* #,##0_-;\-&quot;$&quot;* #,##0_-;_-&quot;$&quot;* &quot;-&quot;??_-;_-@_-"/>
    <numFmt numFmtId="175" formatCode="#,##0\ \ \ "/>
    <numFmt numFmtId="176" formatCode="&quot;$&quot;#,##0"/>
    <numFmt numFmtId="177" formatCode="_(&quot;$&quot;* #,##0_);_(&quot;$&quot;* \(#,##0\);_(&quot;$&quot;* &quot;-&quot;??_);_(@_)"/>
  </numFmts>
  <fonts count="65" x14ac:knownFonts="1">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u/>
      <sz val="11"/>
      <color theme="10"/>
      <name val="Calibri"/>
      <family val="2"/>
      <scheme val="minor"/>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8"/>
      <color theme="1"/>
      <name val="Arial"/>
      <family val="2"/>
    </font>
    <font>
      <sz val="11"/>
      <color theme="1"/>
      <name val="Calibri"/>
      <family val="2"/>
      <scheme val="minor"/>
    </font>
    <font>
      <b/>
      <u/>
      <sz val="11"/>
      <color theme="1"/>
      <name val="Calibri"/>
      <family val="2"/>
      <scheme val="minor"/>
    </font>
    <font>
      <sz val="11"/>
      <name val="Calibri"/>
      <family val="2"/>
      <scheme val="minor"/>
    </font>
    <font>
      <b/>
      <sz val="10"/>
      <name val="Arial"/>
      <family val="2"/>
    </font>
    <font>
      <sz val="11"/>
      <color indexed="8"/>
      <name val="Calibri"/>
      <family val="2"/>
    </font>
    <font>
      <b/>
      <sz val="10"/>
      <color indexed="9"/>
      <name val="Arial"/>
      <family val="2"/>
    </font>
    <font>
      <sz val="10"/>
      <color indexed="10"/>
      <name val="Arial"/>
      <family val="2"/>
    </font>
    <font>
      <sz val="10"/>
      <color rgb="FFFF0000"/>
      <name val="Arial"/>
      <family val="2"/>
    </font>
    <font>
      <sz val="9.9"/>
      <color rgb="FF000000"/>
      <name val="Arial"/>
      <family val="2"/>
    </font>
    <font>
      <sz val="8"/>
      <color rgb="FF000000"/>
      <name val="Arial"/>
      <family val="2"/>
    </font>
    <font>
      <sz val="10"/>
      <color theme="1"/>
      <name val="Arial"/>
      <family val="2"/>
    </font>
    <font>
      <sz val="11"/>
      <color rgb="FFFF0000"/>
      <name val="Calibri"/>
      <family val="2"/>
      <scheme val="minor"/>
    </font>
    <font>
      <b/>
      <sz val="11"/>
      <color theme="3"/>
      <name val="Arial"/>
      <family val="2"/>
    </font>
    <font>
      <b/>
      <u/>
      <sz val="11"/>
      <color theme="1"/>
      <name val="Arial"/>
      <family val="2"/>
    </font>
    <font>
      <b/>
      <sz val="12"/>
      <name val="Calibri"/>
      <family val="2"/>
      <scheme val="minor"/>
    </font>
    <font>
      <b/>
      <sz val="12"/>
      <color theme="1"/>
      <name val="Arial"/>
      <family val="2"/>
    </font>
    <font>
      <b/>
      <sz val="13"/>
      <color rgb="FFFF0000"/>
      <name val="Calibri"/>
      <family val="2"/>
      <scheme val="minor"/>
    </font>
    <font>
      <b/>
      <sz val="16"/>
      <color rgb="FFFF0000"/>
      <name val="Calibri"/>
      <family val="2"/>
      <scheme val="minor"/>
    </font>
    <font>
      <b/>
      <sz val="10"/>
      <name val="Calibri"/>
      <family val="2"/>
      <scheme val="minor"/>
    </font>
    <font>
      <sz val="12"/>
      <name val="Arial"/>
      <family val="2"/>
    </font>
    <font>
      <b/>
      <sz val="14"/>
      <name val="Arial"/>
      <family val="2"/>
    </font>
    <font>
      <b/>
      <sz val="12"/>
      <name val="Arial"/>
      <family val="2"/>
    </font>
    <font>
      <b/>
      <sz val="16"/>
      <name val="Arial"/>
      <family val="2"/>
    </font>
    <font>
      <i/>
      <sz val="8"/>
      <name val="Arial"/>
      <family val="2"/>
    </font>
    <font>
      <b/>
      <sz val="16"/>
      <color rgb="FFFF0000"/>
      <name val="Arial"/>
      <family val="2"/>
    </font>
    <font>
      <sz val="12"/>
      <color indexed="9"/>
      <name val="Arial"/>
      <family val="2"/>
    </font>
    <font>
      <sz val="12"/>
      <color theme="1"/>
      <name val="Arial"/>
      <family val="2"/>
    </font>
    <font>
      <b/>
      <vertAlign val="subscript"/>
      <sz val="12"/>
      <name val="Calibri"/>
      <family val="2"/>
      <scheme val="minor"/>
    </font>
    <font>
      <b/>
      <sz val="18"/>
      <color rgb="FFFF0000"/>
      <name val="Arial"/>
      <family val="2"/>
    </font>
    <font>
      <b/>
      <sz val="20"/>
      <name val="Arial"/>
      <family val="2"/>
    </font>
    <font>
      <b/>
      <i/>
      <sz val="12"/>
      <name val="Arial"/>
      <family val="2"/>
    </font>
    <font>
      <i/>
      <sz val="12"/>
      <name val="Times New Roman"/>
      <family val="1"/>
    </font>
    <font>
      <sz val="11"/>
      <color rgb="FF000000"/>
      <name val="Calibri"/>
      <family val="2"/>
    </font>
    <font>
      <b/>
      <i/>
      <sz val="11"/>
      <color theme="1"/>
      <name val="Calibri"/>
      <family val="2"/>
      <scheme val="minor"/>
    </font>
    <font>
      <b/>
      <i/>
      <sz val="11"/>
      <color rgb="FFFF0000"/>
      <name val="Calibri"/>
      <family val="2"/>
      <scheme val="minor"/>
    </font>
    <font>
      <b/>
      <sz val="14"/>
      <color theme="1"/>
      <name val="Arial"/>
      <family val="2"/>
    </font>
    <font>
      <b/>
      <sz val="13"/>
      <name val="Arial"/>
      <family val="2"/>
    </font>
    <font>
      <sz val="13"/>
      <color theme="1"/>
      <name val="Calibri"/>
      <family val="2"/>
      <scheme val="minor"/>
    </font>
    <font>
      <i/>
      <sz val="10"/>
      <color theme="1"/>
      <name val="Arial"/>
      <family val="2"/>
    </font>
    <font>
      <b/>
      <i/>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i/>
      <vertAlign val="subscript"/>
      <sz val="10"/>
      <color theme="4"/>
      <name val="Calibri"/>
      <family val="2"/>
      <scheme val="minor"/>
    </font>
    <font>
      <b/>
      <sz val="12"/>
      <color theme="4"/>
      <name val="Calibri"/>
      <family val="2"/>
      <scheme val="minor"/>
    </font>
    <font>
      <b/>
      <vertAlign val="superscript"/>
      <sz val="11"/>
      <color theme="1"/>
      <name val="Calibri"/>
      <family val="2"/>
      <scheme val="minor"/>
    </font>
    <font>
      <i/>
      <sz val="8"/>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79998168889431442"/>
        <bgColor indexed="64"/>
      </patternFill>
    </fill>
    <fill>
      <patternFill patternType="solid">
        <fgColor rgb="FFEBF1DE"/>
        <bgColor indexed="64"/>
      </patternFill>
    </fill>
    <fill>
      <patternFill patternType="solid">
        <fgColor theme="4" tint="0.799951170384838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Gray"/>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5117038483843"/>
        <bgColor indexed="64"/>
      </patternFill>
    </fill>
    <fill>
      <patternFill patternType="solid">
        <fgColor theme="9" tint="0.39994506668294322"/>
        <bgColor indexed="64"/>
      </patternFill>
    </fill>
  </fills>
  <borders count="56">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indexed="64"/>
      </top>
      <bottom style="medium">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medium">
        <color theme="0"/>
      </right>
      <top/>
      <bottom style="medium">
        <color theme="0"/>
      </bottom>
      <diagonal/>
    </border>
    <border>
      <left/>
      <right style="medium">
        <color theme="0"/>
      </right>
      <top style="medium">
        <color theme="0"/>
      </top>
      <bottom style="medium">
        <color theme="0"/>
      </bottom>
      <diagonal/>
    </border>
  </borders>
  <cellStyleXfs count="15">
    <xf numFmtId="0" fontId="0" fillId="0" borderId="0"/>
    <xf numFmtId="0" fontId="7" fillId="0" borderId="0" applyNumberForma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0" fontId="18" fillId="0" borderId="0"/>
    <xf numFmtId="0" fontId="12" fillId="0" borderId="0"/>
    <xf numFmtId="44" fontId="14" fillId="0" borderId="0" applyFont="0" applyFill="0" applyBorder="0" applyAlignment="0" applyProtection="0"/>
    <xf numFmtId="43" fontId="14" fillId="0" borderId="0" applyFont="0" applyFill="0" applyBorder="0" applyAlignment="0" applyProtection="0"/>
    <xf numFmtId="0" fontId="12" fillId="0" borderId="0"/>
    <xf numFmtId="0" fontId="33" fillId="0" borderId="0"/>
    <xf numFmtId="44" fontId="33" fillId="0" borderId="0" applyFont="0" applyFill="0" applyBorder="0" applyAlignment="0" applyProtection="0"/>
    <xf numFmtId="9" fontId="33" fillId="0" borderId="0" applyFont="0" applyFill="0" applyBorder="0" applyAlignment="0" applyProtection="0"/>
  </cellStyleXfs>
  <cellXfs count="511">
    <xf numFmtId="0" fontId="0" fillId="0" borderId="0" xfId="0"/>
    <xf numFmtId="0" fontId="0" fillId="0" borderId="0" xfId="0" applyProtection="1"/>
    <xf numFmtId="0" fontId="3" fillId="0" borderId="0" xfId="0" applyFont="1" applyAlignment="1" applyProtection="1">
      <alignment horizontal="center" vertical="center"/>
    </xf>
    <xf numFmtId="0" fontId="0" fillId="0" borderId="0" xfId="0" applyFill="1" applyProtection="1"/>
    <xf numFmtId="0" fontId="4" fillId="0" borderId="0" xfId="0" applyFont="1" applyProtection="1"/>
    <xf numFmtId="0" fontId="0" fillId="2" borderId="0" xfId="0" applyFill="1" applyAlignment="1" applyProtection="1">
      <alignment horizontal="left"/>
    </xf>
    <xf numFmtId="0" fontId="2" fillId="0" borderId="0" xfId="0" applyFont="1" applyProtection="1"/>
    <xf numFmtId="2" fontId="1" fillId="0" borderId="0" xfId="0" applyNumberFormat="1" applyFont="1" applyAlignment="1" applyProtection="1">
      <alignment horizontal="left"/>
    </xf>
    <xf numFmtId="0" fontId="5"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Protection="1"/>
    <xf numFmtId="0" fontId="5" fillId="0" borderId="0" xfId="0" applyFont="1" applyAlignment="1" applyProtection="1">
      <alignment horizontal="right" vertical="center" indent="1"/>
    </xf>
    <xf numFmtId="164" fontId="0" fillId="0" borderId="0" xfId="0" applyNumberFormat="1" applyProtection="1"/>
    <xf numFmtId="0" fontId="6" fillId="0" borderId="0" xfId="0" applyFont="1" applyAlignment="1" applyProtection="1">
      <alignment horizontal="righ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indent="2"/>
    </xf>
    <xf numFmtId="0" fontId="5" fillId="0" borderId="0" xfId="0" applyFont="1" applyAlignment="1" applyProtection="1">
      <alignment horizontal="right" vertical="center" indent="2"/>
    </xf>
    <xf numFmtId="0" fontId="3" fillId="2" borderId="0" xfId="0" applyFont="1" applyFill="1" applyProtection="1"/>
    <xf numFmtId="0" fontId="10" fillId="2" borderId="0" xfId="0" applyFont="1" applyFill="1" applyAlignment="1" applyProtection="1">
      <alignment vertical="top" wrapText="1"/>
    </xf>
    <xf numFmtId="0" fontId="4" fillId="0" borderId="0" xfId="0" applyFont="1" applyAlignment="1" applyProtection="1">
      <alignment vertical="top" wrapText="1"/>
    </xf>
    <xf numFmtId="0" fontId="11" fillId="0" borderId="0" xfId="0" applyFont="1" applyProtection="1"/>
    <xf numFmtId="0" fontId="0" fillId="3" borderId="7" xfId="0" applyFill="1" applyBorder="1" applyProtection="1"/>
    <xf numFmtId="0" fontId="0" fillId="0" borderId="0" xfId="0" applyAlignment="1" applyProtection="1">
      <alignment wrapText="1"/>
    </xf>
    <xf numFmtId="0" fontId="0" fillId="0" borderId="7" xfId="0" applyBorder="1" applyProtection="1"/>
    <xf numFmtId="0" fontId="15" fillId="0" borderId="0" xfId="0" applyFont="1"/>
    <xf numFmtId="0" fontId="12" fillId="2" borderId="0" xfId="3" applyFill="1" applyProtection="1">
      <protection locked="0"/>
    </xf>
    <xf numFmtId="0" fontId="12" fillId="0" borderId="0" xfId="4"/>
    <xf numFmtId="0" fontId="12" fillId="0" borderId="0" xfId="4" applyFill="1" applyBorder="1"/>
    <xf numFmtId="0" fontId="0" fillId="6" borderId="9" xfId="0" applyFill="1" applyBorder="1"/>
    <xf numFmtId="0" fontId="16" fillId="0" borderId="0" xfId="0" applyFont="1" applyAlignment="1">
      <alignment horizontal="left" vertical="top"/>
    </xf>
    <xf numFmtId="165" fontId="17" fillId="7" borderId="15" xfId="5" applyNumberFormat="1" applyFont="1" applyFill="1" applyBorder="1" applyAlignment="1" applyProtection="1">
      <alignment horizontal="left" vertical="top" wrapText="1"/>
    </xf>
    <xf numFmtId="165" fontId="17" fillId="7" borderId="9" xfId="5" applyNumberFormat="1" applyFont="1" applyFill="1" applyBorder="1" applyAlignment="1" applyProtection="1">
      <alignment horizontal="left" vertical="center"/>
    </xf>
    <xf numFmtId="166" fontId="17" fillId="7" borderId="9" xfId="6" applyNumberFormat="1" applyFont="1" applyFill="1" applyBorder="1" applyAlignment="1" applyProtection="1">
      <alignment horizontal="center" vertical="center"/>
    </xf>
    <xf numFmtId="167" fontId="17" fillId="7" borderId="9" xfId="2" applyNumberFormat="1" applyFont="1" applyFill="1" applyBorder="1" applyAlignment="1" applyProtection="1">
      <alignment horizontal="center" vertical="center"/>
    </xf>
    <xf numFmtId="167" fontId="17" fillId="7" borderId="16" xfId="2" applyNumberFormat="1" applyFont="1" applyFill="1" applyBorder="1" applyAlignment="1" applyProtection="1">
      <alignment horizontal="center" vertical="center"/>
    </xf>
    <xf numFmtId="0" fontId="12" fillId="0" borderId="0" xfId="7" applyFont="1" applyFill="1" applyBorder="1" applyAlignment="1">
      <alignment horizontal="right" vertical="center" wrapText="1"/>
    </xf>
    <xf numFmtId="0" fontId="12" fillId="0" borderId="0" xfId="8"/>
    <xf numFmtId="0" fontId="0" fillId="0" borderId="0" xfId="0" applyFill="1"/>
    <xf numFmtId="0" fontId="19" fillId="0" borderId="0" xfId="7" applyFont="1" applyFill="1" applyBorder="1" applyAlignment="1">
      <alignment horizontal="center" vertical="center" wrapText="1"/>
    </xf>
    <xf numFmtId="0" fontId="12" fillId="0" borderId="0" xfId="7" applyFont="1" applyFill="1" applyBorder="1" applyAlignment="1">
      <alignment horizontal="left" vertical="top"/>
    </xf>
    <xf numFmtId="0" fontId="12" fillId="0" borderId="15" xfId="5" applyFont="1" applyFill="1" applyBorder="1" applyAlignment="1" applyProtection="1">
      <alignment horizontal="left" vertical="top" wrapText="1"/>
    </xf>
    <xf numFmtId="4" fontId="12" fillId="0" borderId="9" xfId="5" applyNumberFormat="1" applyFont="1" applyFill="1" applyBorder="1" applyAlignment="1" applyProtection="1">
      <alignment horizontal="center" vertical="center"/>
    </xf>
    <xf numFmtId="165" fontId="12" fillId="0" borderId="9" xfId="5" applyNumberFormat="1" applyFont="1" applyFill="1" applyBorder="1" applyAlignment="1" applyProtection="1">
      <alignment horizontal="center" vertical="center"/>
    </xf>
    <xf numFmtId="166" fontId="12" fillId="0" borderId="9" xfId="5" applyNumberFormat="1" applyFont="1" applyFill="1" applyBorder="1" applyAlignment="1" applyProtection="1">
      <alignment horizontal="center" vertical="center"/>
    </xf>
    <xf numFmtId="165" fontId="12" fillId="0" borderId="9" xfId="9" applyNumberFormat="1" applyFont="1" applyFill="1" applyBorder="1" applyAlignment="1" applyProtection="1">
      <alignment horizontal="center" vertical="center"/>
    </xf>
    <xf numFmtId="166" fontId="12" fillId="0" borderId="9" xfId="6" applyNumberFormat="1" applyFont="1" applyFill="1" applyBorder="1" applyAlignment="1" applyProtection="1">
      <alignment horizontal="center" vertical="center"/>
    </xf>
    <xf numFmtId="167" fontId="12" fillId="0" borderId="9" xfId="2" applyNumberFormat="1" applyFont="1" applyFill="1" applyBorder="1" applyAlignment="1" applyProtection="1">
      <alignment horizontal="center" vertical="center"/>
    </xf>
    <xf numFmtId="167" fontId="12" fillId="0" borderId="16" xfId="2" applyNumberFormat="1" applyFont="1" applyFill="1" applyBorder="1" applyAlignment="1" applyProtection="1">
      <alignment horizontal="center" vertical="center"/>
    </xf>
    <xf numFmtId="3" fontId="12" fillId="0" borderId="9" xfId="5" applyNumberFormat="1" applyFont="1" applyFill="1" applyBorder="1" applyAlignment="1" applyProtection="1">
      <alignment horizontal="center" vertical="center"/>
    </xf>
    <xf numFmtId="4" fontId="12" fillId="0" borderId="9" xfId="10" applyNumberFormat="1" applyFont="1" applyFill="1" applyBorder="1" applyAlignment="1" applyProtection="1">
      <alignment horizontal="center" vertical="center"/>
    </xf>
    <xf numFmtId="167" fontId="12" fillId="7" borderId="9" xfId="2" applyNumberFormat="1" applyFont="1" applyFill="1" applyBorder="1" applyAlignment="1" applyProtection="1">
      <alignment horizontal="center" vertical="center"/>
    </xf>
    <xf numFmtId="165" fontId="17" fillId="0" borderId="15" xfId="5" applyNumberFormat="1" applyFont="1" applyFill="1" applyBorder="1" applyAlignment="1" applyProtection="1">
      <alignment horizontal="left" vertical="top" wrapText="1"/>
    </xf>
    <xf numFmtId="168" fontId="12" fillId="0" borderId="9" xfId="9" applyNumberFormat="1" applyFont="1" applyFill="1" applyBorder="1" applyAlignment="1" applyProtection="1">
      <alignment horizontal="center" vertical="center"/>
    </xf>
    <xf numFmtId="167" fontId="17" fillId="0" borderId="9" xfId="2" applyNumberFormat="1" applyFont="1" applyFill="1" applyBorder="1" applyAlignment="1" applyProtection="1">
      <alignment horizontal="center" vertical="center"/>
    </xf>
    <xf numFmtId="167" fontId="17" fillId="0" borderId="16" xfId="2" applyNumberFormat="1" applyFont="1" applyFill="1" applyBorder="1" applyAlignment="1" applyProtection="1">
      <alignment horizontal="center" vertical="center"/>
    </xf>
    <xf numFmtId="0" fontId="12" fillId="0" borderId="0" xfId="3"/>
    <xf numFmtId="165" fontId="17" fillId="5" borderId="17" xfId="5" applyNumberFormat="1" applyFont="1" applyFill="1" applyBorder="1" applyAlignment="1" applyProtection="1">
      <alignment horizontal="left" vertical="top" wrapText="1"/>
    </xf>
    <xf numFmtId="0" fontId="12" fillId="5" borderId="14" xfId="5" applyFont="1" applyFill="1" applyBorder="1" applyProtection="1"/>
    <xf numFmtId="166" fontId="17" fillId="5" borderId="14" xfId="6" applyNumberFormat="1" applyFont="1" applyFill="1" applyBorder="1" applyAlignment="1" applyProtection="1">
      <alignment horizontal="center" vertical="center"/>
    </xf>
    <xf numFmtId="169" fontId="17" fillId="5" borderId="14" xfId="6" applyNumberFormat="1" applyFont="1" applyFill="1" applyBorder="1" applyAlignment="1" applyProtection="1">
      <alignment horizontal="center" vertical="center"/>
    </xf>
    <xf numFmtId="167" fontId="12" fillId="5" borderId="14" xfId="2" applyNumberFormat="1" applyFont="1" applyFill="1" applyBorder="1" applyAlignment="1" applyProtection="1">
      <alignment horizontal="center" vertical="center"/>
    </xf>
    <xf numFmtId="167" fontId="17" fillId="5" borderId="14" xfId="2" applyNumberFormat="1" applyFont="1" applyFill="1" applyBorder="1" applyAlignment="1" applyProtection="1">
      <alignment horizontal="center" vertical="center"/>
    </xf>
    <xf numFmtId="167" fontId="17" fillId="5" borderId="18" xfId="2" applyNumberFormat="1" applyFont="1" applyFill="1" applyBorder="1" applyAlignment="1" applyProtection="1">
      <alignment horizontal="center" vertical="center"/>
    </xf>
    <xf numFmtId="165" fontId="17" fillId="0" borderId="9" xfId="5" applyNumberFormat="1" applyFont="1" applyFill="1" applyBorder="1" applyAlignment="1" applyProtection="1">
      <alignment horizontal="left" vertical="center"/>
    </xf>
    <xf numFmtId="165" fontId="12" fillId="0" borderId="9" xfId="5" applyNumberFormat="1" applyFont="1" applyFill="1" applyBorder="1" applyAlignment="1" applyProtection="1">
      <alignment horizontal="left" vertical="center"/>
    </xf>
    <xf numFmtId="165" fontId="17" fillId="0" borderId="15" xfId="5" applyNumberFormat="1" applyFont="1" applyFill="1" applyBorder="1" applyAlignment="1" applyProtection="1">
      <alignment horizontal="left" vertical="top" wrapText="1" indent="1"/>
    </xf>
    <xf numFmtId="166" fontId="12" fillId="0" borderId="9" xfId="9" applyNumberFormat="1" applyFont="1" applyFill="1" applyBorder="1" applyAlignment="1" applyProtection="1">
      <alignment horizontal="center" vertical="center"/>
    </xf>
    <xf numFmtId="9" fontId="12" fillId="0" borderId="9" xfId="2" applyFont="1" applyFill="1" applyBorder="1" applyAlignment="1" applyProtection="1">
      <alignment horizontal="center" vertical="center"/>
    </xf>
    <xf numFmtId="0" fontId="12" fillId="0" borderId="9" xfId="5" applyFont="1" applyFill="1" applyBorder="1" applyProtection="1"/>
    <xf numFmtId="170" fontId="8" fillId="0" borderId="9" xfId="2" applyNumberFormat="1" applyFont="1" applyFill="1" applyBorder="1" applyAlignment="1" applyProtection="1">
      <alignment horizontal="center" vertical="center"/>
    </xf>
    <xf numFmtId="166" fontId="20" fillId="0" borderId="9" xfId="6" applyNumberFormat="1" applyFont="1" applyFill="1" applyBorder="1" applyAlignment="1" applyProtection="1">
      <alignment horizontal="center" vertical="center"/>
    </xf>
    <xf numFmtId="170" fontId="20" fillId="0" borderId="9" xfId="2" applyNumberFormat="1" applyFont="1" applyFill="1" applyBorder="1" applyAlignment="1" applyProtection="1">
      <alignment horizontal="center" vertical="center"/>
    </xf>
    <xf numFmtId="165" fontId="17" fillId="7" borderId="19" xfId="5" applyNumberFormat="1" applyFont="1" applyFill="1" applyBorder="1" applyAlignment="1" applyProtection="1">
      <alignment horizontal="left" vertical="top" wrapText="1"/>
    </xf>
    <xf numFmtId="0" fontId="12" fillId="7" borderId="20" xfId="5" applyFont="1" applyFill="1" applyBorder="1" applyProtection="1"/>
    <xf numFmtId="166" fontId="17" fillId="7" borderId="20" xfId="6" applyNumberFormat="1" applyFont="1" applyFill="1" applyBorder="1" applyAlignment="1" applyProtection="1">
      <alignment horizontal="center" vertical="center"/>
    </xf>
    <xf numFmtId="169" fontId="17" fillId="7" borderId="20" xfId="6" applyNumberFormat="1" applyFont="1" applyFill="1" applyBorder="1" applyAlignment="1" applyProtection="1">
      <alignment horizontal="center" vertical="center"/>
    </xf>
    <xf numFmtId="167" fontId="12" fillId="7" borderId="20" xfId="2" applyNumberFormat="1" applyFont="1" applyFill="1" applyBorder="1" applyAlignment="1" applyProtection="1">
      <alignment horizontal="center" vertical="center"/>
    </xf>
    <xf numFmtId="167" fontId="17" fillId="7" borderId="20" xfId="2" applyNumberFormat="1" applyFont="1" applyFill="1" applyBorder="1" applyAlignment="1" applyProtection="1">
      <alignment horizontal="center" vertical="center"/>
    </xf>
    <xf numFmtId="167" fontId="17" fillId="7" borderId="21" xfId="2" applyNumberFormat="1" applyFont="1" applyFill="1" applyBorder="1" applyAlignment="1" applyProtection="1">
      <alignment horizontal="center" vertical="center"/>
    </xf>
    <xf numFmtId="0" fontId="12" fillId="0" borderId="0" xfId="0" applyFont="1" applyAlignment="1">
      <alignment wrapText="1"/>
    </xf>
    <xf numFmtId="0" fontId="0" fillId="0" borderId="0" xfId="0" applyAlignment="1">
      <alignment wrapText="1"/>
    </xf>
    <xf numFmtId="0" fontId="12" fillId="0" borderId="0" xfId="4" applyFill="1" applyAlignment="1"/>
    <xf numFmtId="0" fontId="0" fillId="0" borderId="9" xfId="0" applyFill="1" applyBorder="1"/>
    <xf numFmtId="0" fontId="12" fillId="0" borderId="0" xfId="0" applyFont="1"/>
    <xf numFmtId="0" fontId="12" fillId="0" borderId="0" xfId="8" applyFill="1"/>
    <xf numFmtId="0" fontId="12" fillId="2" borderId="0" xfId="3" applyFill="1" applyAlignment="1" applyProtection="1">
      <alignment wrapText="1"/>
      <protection locked="0"/>
    </xf>
    <xf numFmtId="0" fontId="17" fillId="2" borderId="0" xfId="3" applyFont="1" applyFill="1" applyProtection="1">
      <protection locked="0"/>
    </xf>
    <xf numFmtId="0" fontId="0" fillId="0" borderId="0" xfId="0" applyFill="1" applyBorder="1"/>
    <xf numFmtId="0" fontId="22" fillId="0" borderId="0" xfId="0" applyFont="1" applyFill="1" applyBorder="1" applyAlignment="1">
      <alignment vertical="top" wrapText="1"/>
    </xf>
    <xf numFmtId="171" fontId="17" fillId="2" borderId="0" xfId="3" applyNumberFormat="1" applyFont="1" applyFill="1" applyProtection="1">
      <protection locked="0"/>
    </xf>
    <xf numFmtId="0" fontId="0" fillId="0" borderId="0" xfId="0" applyAlignment="1">
      <alignment vertical="top" wrapText="1"/>
    </xf>
    <xf numFmtId="0" fontId="23" fillId="0" borderId="0" xfId="0" applyFont="1" applyAlignment="1">
      <alignment vertical="center"/>
    </xf>
    <xf numFmtId="0" fontId="0" fillId="2" borderId="0" xfId="0" applyFill="1"/>
    <xf numFmtId="0" fontId="23" fillId="0" borderId="0" xfId="0" applyFont="1"/>
    <xf numFmtId="0" fontId="0" fillId="0" borderId="0" xfId="0" applyAlignment="1">
      <alignment horizontal="left" vertical="top"/>
    </xf>
    <xf numFmtId="0" fontId="24" fillId="0" borderId="0" xfId="0" applyFont="1"/>
    <xf numFmtId="0" fontId="12" fillId="0" borderId="0" xfId="3" applyFont="1" applyFill="1"/>
    <xf numFmtId="0" fontId="12" fillId="0" borderId="0" xfId="3" applyFont="1"/>
    <xf numFmtId="0" fontId="0" fillId="8" borderId="7" xfId="0" applyFill="1" applyBorder="1" applyProtection="1"/>
    <xf numFmtId="0" fontId="5" fillId="8" borderId="5" xfId="0" applyFont="1" applyFill="1" applyBorder="1" applyAlignment="1" applyProtection="1">
      <alignment horizontal="center" vertical="center"/>
      <protection locked="0"/>
    </xf>
    <xf numFmtId="0" fontId="6" fillId="0" borderId="0" xfId="0" applyFont="1"/>
    <xf numFmtId="0" fontId="5" fillId="3" borderId="0" xfId="0" applyFont="1" applyFill="1" applyBorder="1" applyAlignment="1" applyProtection="1">
      <alignment horizontal="center"/>
      <protection locked="0"/>
    </xf>
    <xf numFmtId="0" fontId="0" fillId="0" borderId="0" xfId="0" applyFont="1" applyAlignment="1" applyProtection="1">
      <alignment horizontal="center" vertical="center"/>
    </xf>
    <xf numFmtId="0" fontId="29" fillId="0" borderId="0" xfId="0" applyFont="1" applyProtection="1"/>
    <xf numFmtId="0" fontId="25" fillId="0" borderId="0" xfId="0" applyFont="1" applyProtection="1"/>
    <xf numFmtId="0" fontId="2" fillId="0" borderId="0" xfId="0" applyFont="1" applyAlignment="1" applyProtection="1">
      <alignment vertical="center"/>
    </xf>
    <xf numFmtId="0" fontId="29" fillId="0" borderId="0" xfId="0" applyFont="1"/>
    <xf numFmtId="0" fontId="31" fillId="0" borderId="0" xfId="0" applyFont="1" applyBorder="1" applyAlignment="1">
      <alignment vertical="center"/>
    </xf>
    <xf numFmtId="0" fontId="28" fillId="6" borderId="0" xfId="0" applyFont="1" applyFill="1" applyAlignment="1" applyProtection="1">
      <alignment horizontal="left" wrapText="1"/>
    </xf>
    <xf numFmtId="0" fontId="28" fillId="0" borderId="0" xfId="0" applyFont="1" applyAlignment="1" applyProtection="1">
      <alignment horizontal="center" wrapText="1"/>
    </xf>
    <xf numFmtId="0" fontId="28" fillId="0" borderId="0" xfId="0" applyFont="1" applyAlignment="1" applyProtection="1">
      <alignment horizontal="center" vertical="center" wrapText="1"/>
    </xf>
    <xf numFmtId="0" fontId="0" fillId="0" borderId="0" xfId="0" applyFont="1" applyAlignment="1">
      <alignment horizontal="center"/>
    </xf>
    <xf numFmtId="0" fontId="32" fillId="6" borderId="0" xfId="11" applyFont="1" applyFill="1" applyBorder="1" applyAlignment="1" applyProtection="1">
      <alignment horizontal="center"/>
    </xf>
    <xf numFmtId="0" fontId="28" fillId="0" borderId="0" xfId="0" applyFont="1" applyBorder="1" applyAlignment="1" applyProtection="1">
      <alignment horizontal="center" wrapText="1"/>
    </xf>
    <xf numFmtId="3" fontId="28" fillId="0" borderId="0" xfId="0" applyNumberFormat="1" applyFont="1" applyBorder="1" applyAlignment="1" applyProtection="1">
      <alignment horizontal="center" wrapText="1"/>
    </xf>
    <xf numFmtId="173" fontId="28" fillId="0" borderId="0" xfId="0" applyNumberFormat="1" applyFont="1" applyBorder="1" applyAlignment="1" applyProtection="1">
      <alignment horizontal="center" vertical="center" wrapText="1"/>
    </xf>
    <xf numFmtId="0" fontId="2" fillId="0" borderId="0" xfId="0" applyFont="1"/>
    <xf numFmtId="0" fontId="0" fillId="0" borderId="0" xfId="0" applyFont="1"/>
    <xf numFmtId="0" fontId="2" fillId="0" borderId="11" xfId="0" applyFont="1" applyBorder="1"/>
    <xf numFmtId="0" fontId="2" fillId="0" borderId="11" xfId="0" applyFont="1" applyBorder="1" applyAlignment="1">
      <alignment horizontal="center" vertical="center"/>
    </xf>
    <xf numFmtId="3" fontId="2" fillId="0" borderId="11" xfId="0" applyNumberFormat="1" applyFont="1" applyBorder="1"/>
    <xf numFmtId="173" fontId="2" fillId="0" borderId="11" xfId="0" applyNumberFormat="1" applyFont="1" applyBorder="1" applyAlignment="1">
      <alignment horizontal="center" vertical="center"/>
    </xf>
    <xf numFmtId="0" fontId="0" fillId="0" borderId="0" xfId="0" applyAlignment="1">
      <alignment horizontal="center" vertical="center"/>
    </xf>
    <xf numFmtId="0" fontId="33" fillId="0" borderId="0" xfId="12" applyProtection="1"/>
    <xf numFmtId="0" fontId="33" fillId="0" borderId="0" xfId="12" applyAlignment="1" applyProtection="1">
      <alignment horizontal="center"/>
    </xf>
    <xf numFmtId="0" fontId="33" fillId="0" borderId="0" xfId="12" applyProtection="1">
      <protection locked="0"/>
    </xf>
    <xf numFmtId="0" fontId="34" fillId="0" borderId="0" xfId="12" applyFont="1" applyProtection="1"/>
    <xf numFmtId="0" fontId="35" fillId="0" borderId="0" xfId="12" applyFont="1" applyProtection="1"/>
    <xf numFmtId="0" fontId="36" fillId="0" borderId="0" xfId="12" applyFont="1" applyBorder="1" applyAlignment="1" applyProtection="1">
      <alignment horizontal="left"/>
    </xf>
    <xf numFmtId="0" fontId="37" fillId="0" borderId="0" xfId="12" applyFont="1" applyProtection="1"/>
    <xf numFmtId="0" fontId="34" fillId="0" borderId="0" xfId="12" applyFont="1" applyBorder="1" applyAlignment="1" applyProtection="1">
      <alignment horizontal="left"/>
    </xf>
    <xf numFmtId="0" fontId="35" fillId="0" borderId="0" xfId="12" applyFont="1" applyBorder="1" applyAlignment="1" applyProtection="1">
      <alignment horizontal="center" wrapText="1"/>
    </xf>
    <xf numFmtId="0" fontId="33" fillId="0" borderId="0" xfId="12" applyAlignment="1" applyProtection="1">
      <alignment horizontal="left" indent="1"/>
    </xf>
    <xf numFmtId="174" fontId="33" fillId="0" borderId="0" xfId="13" applyNumberFormat="1" applyFont="1" applyAlignment="1" applyProtection="1">
      <alignment horizontal="center"/>
    </xf>
    <xf numFmtId="174" fontId="33" fillId="0" borderId="0" xfId="13" applyNumberFormat="1" applyFont="1" applyProtection="1"/>
    <xf numFmtId="0" fontId="33" fillId="0" borderId="0" xfId="12" applyFont="1" applyAlignment="1" applyProtection="1">
      <alignment horizontal="center"/>
    </xf>
    <xf numFmtId="9" fontId="33" fillId="0" borderId="0" xfId="12" applyNumberFormat="1" applyFont="1" applyAlignment="1" applyProtection="1">
      <alignment horizontal="center"/>
    </xf>
    <xf numFmtId="174" fontId="33" fillId="6" borderId="0" xfId="13" applyNumberFormat="1" applyFont="1" applyFill="1" applyProtection="1"/>
    <xf numFmtId="174" fontId="33" fillId="0" borderId="0" xfId="12" applyNumberFormat="1" applyFont="1" applyBorder="1" applyAlignment="1" applyProtection="1">
      <alignment horizontal="center"/>
    </xf>
    <xf numFmtId="0" fontId="33" fillId="0" borderId="0" xfId="12" applyFont="1" applyProtection="1"/>
    <xf numFmtId="10" fontId="33" fillId="0" borderId="0" xfId="14" applyNumberFormat="1" applyFont="1" applyAlignment="1" applyProtection="1">
      <alignment horizontal="center"/>
    </xf>
    <xf numFmtId="0" fontId="39" fillId="0" borderId="0" xfId="12" applyFont="1" applyProtection="1"/>
    <xf numFmtId="174" fontId="33" fillId="0" borderId="0" xfId="13" applyNumberFormat="1" applyFont="1" applyBorder="1" applyAlignment="1" applyProtection="1">
      <alignment horizontal="center"/>
    </xf>
    <xf numFmtId="174" fontId="35" fillId="6" borderId="0" xfId="13" applyNumberFormat="1" applyFont="1" applyFill="1" applyProtection="1"/>
    <xf numFmtId="174" fontId="33" fillId="0" borderId="0" xfId="12" applyNumberFormat="1" applyFont="1" applyAlignment="1" applyProtection="1">
      <alignment horizontal="center"/>
    </xf>
    <xf numFmtId="174" fontId="35" fillId="6" borderId="11" xfId="12" applyNumberFormat="1" applyFont="1" applyFill="1" applyBorder="1" applyProtection="1"/>
    <xf numFmtId="174" fontId="35" fillId="0" borderId="0" xfId="12" applyNumberFormat="1" applyFont="1" applyBorder="1" applyProtection="1"/>
    <xf numFmtId="10" fontId="33" fillId="6" borderId="0" xfId="14" applyNumberFormat="1" applyFont="1" applyFill="1" applyAlignment="1" applyProtection="1">
      <alignment horizontal="center"/>
    </xf>
    <xf numFmtId="174" fontId="33" fillId="0" borderId="0" xfId="13" applyNumberFormat="1" applyFont="1" applyFill="1" applyBorder="1" applyAlignment="1" applyProtection="1">
      <alignment horizontal="center"/>
    </xf>
    <xf numFmtId="174" fontId="33" fillId="6" borderId="13" xfId="13" applyNumberFormat="1" applyFont="1" applyFill="1" applyBorder="1" applyProtection="1"/>
    <xf numFmtId="174" fontId="35" fillId="6" borderId="28" xfId="13" applyNumberFormat="1" applyFont="1" applyFill="1" applyBorder="1" applyProtection="1"/>
    <xf numFmtId="174" fontId="35" fillId="6" borderId="0" xfId="12" applyNumberFormat="1" applyFont="1" applyFill="1" applyProtection="1"/>
    <xf numFmtId="174" fontId="35" fillId="6" borderId="28" xfId="12" applyNumberFormat="1" applyFont="1" applyFill="1" applyBorder="1" applyProtection="1"/>
    <xf numFmtId="174" fontId="33" fillId="6" borderId="0" xfId="12" applyNumberFormat="1" applyFont="1" applyFill="1" applyProtection="1"/>
    <xf numFmtId="10" fontId="40" fillId="6" borderId="0" xfId="14" applyNumberFormat="1" applyFont="1" applyFill="1" applyAlignment="1" applyProtection="1">
      <alignment horizontal="right"/>
    </xf>
    <xf numFmtId="0" fontId="33" fillId="0" borderId="0" xfId="12" applyAlignment="1" applyProtection="1">
      <alignment horizontal="center"/>
      <protection locked="0"/>
    </xf>
    <xf numFmtId="0" fontId="0" fillId="0" borderId="11" xfId="0" applyBorder="1"/>
    <xf numFmtId="0" fontId="0" fillId="0" borderId="11" xfId="0" applyBorder="1" applyAlignment="1">
      <alignment horizontal="center" vertical="center"/>
    </xf>
    <xf numFmtId="175" fontId="0" fillId="0" borderId="11" xfId="0" applyNumberFormat="1" applyBorder="1"/>
    <xf numFmtId="173" fontId="0" fillId="0" borderId="11" xfId="0" applyNumberFormat="1" applyBorder="1" applyAlignment="1">
      <alignment horizontal="center" vertical="center"/>
    </xf>
    <xf numFmtId="0" fontId="35" fillId="0" borderId="0" xfId="12" applyFont="1" applyAlignment="1" applyProtection="1">
      <alignment horizontal="left" indent="1"/>
    </xf>
    <xf numFmtId="0" fontId="43" fillId="0" borderId="0" xfId="12" applyFont="1" applyProtection="1"/>
    <xf numFmtId="0" fontId="33" fillId="6" borderId="0" xfId="12" applyFill="1" applyProtection="1"/>
    <xf numFmtId="0" fontId="35" fillId="10" borderId="0" xfId="12" applyFont="1" applyFill="1" applyProtection="1"/>
    <xf numFmtId="0" fontId="33" fillId="10" borderId="0" xfId="12" applyFill="1" applyProtection="1"/>
    <xf numFmtId="10" fontId="35" fillId="10" borderId="0" xfId="12" applyNumberFormat="1" applyFont="1" applyFill="1" applyAlignment="1" applyProtection="1">
      <alignment horizontal="center"/>
    </xf>
    <xf numFmtId="0" fontId="17" fillId="0" borderId="0" xfId="12" applyFont="1" applyAlignment="1" applyProtection="1">
      <alignment horizontal="left" vertical="center" wrapText="1" indent="3"/>
    </xf>
    <xf numFmtId="176" fontId="17" fillId="6" borderId="0" xfId="9" applyNumberFormat="1" applyFont="1" applyFill="1" applyAlignment="1" applyProtection="1">
      <alignment horizontal="center"/>
    </xf>
    <xf numFmtId="9" fontId="35" fillId="10" borderId="0" xfId="14" applyFont="1" applyFill="1" applyAlignment="1" applyProtection="1">
      <alignment horizontal="center"/>
    </xf>
    <xf numFmtId="174" fontId="40" fillId="6" borderId="0" xfId="13" applyNumberFormat="1" applyFont="1" applyFill="1" applyProtection="1"/>
    <xf numFmtId="174" fontId="40" fillId="6" borderId="11" xfId="13" applyNumberFormat="1" applyFont="1" applyFill="1" applyBorder="1" applyProtection="1"/>
    <xf numFmtId="0" fontId="33" fillId="0" borderId="0" xfId="12" applyAlignment="1" applyProtection="1">
      <alignment horizontal="left" indent="2"/>
    </xf>
    <xf numFmtId="0" fontId="33" fillId="6" borderId="0" xfId="12" applyFont="1" applyFill="1" applyProtection="1"/>
    <xf numFmtId="9" fontId="40" fillId="6" borderId="0" xfId="14" applyFont="1" applyFill="1" applyAlignment="1" applyProtection="1">
      <alignment horizontal="right"/>
    </xf>
    <xf numFmtId="0" fontId="35" fillId="0" borderId="0" xfId="12" applyFont="1" applyAlignment="1" applyProtection="1">
      <alignment horizontal="right"/>
    </xf>
    <xf numFmtId="9" fontId="35" fillId="6" borderId="13" xfId="2" applyFont="1" applyFill="1" applyBorder="1" applyAlignment="1" applyProtection="1">
      <alignment horizontal="right"/>
    </xf>
    <xf numFmtId="0" fontId="35" fillId="0" borderId="0" xfId="12" applyFont="1" applyBorder="1" applyProtection="1"/>
    <xf numFmtId="9" fontId="35" fillId="6" borderId="9" xfId="2" applyFont="1" applyFill="1" applyBorder="1" applyAlignment="1" applyProtection="1">
      <alignment horizontal="right"/>
    </xf>
    <xf numFmtId="174" fontId="40" fillId="6" borderId="13" xfId="13" applyNumberFormat="1" applyFont="1" applyFill="1" applyBorder="1" applyProtection="1"/>
    <xf numFmtId="174" fontId="29" fillId="6" borderId="9" xfId="13" applyNumberFormat="1" applyFont="1" applyFill="1" applyBorder="1" applyProtection="1"/>
    <xf numFmtId="0" fontId="44" fillId="0" borderId="0" xfId="12" applyFont="1" applyAlignment="1" applyProtection="1">
      <alignment vertical="top"/>
    </xf>
    <xf numFmtId="0" fontId="33" fillId="0" borderId="0" xfId="12" applyAlignment="1" applyProtection="1">
      <alignment wrapText="1"/>
    </xf>
    <xf numFmtId="0" fontId="35" fillId="6" borderId="0" xfId="12" applyFont="1" applyFill="1" applyAlignment="1" applyProtection="1">
      <alignment horizontal="center"/>
    </xf>
    <xf numFmtId="174" fontId="33" fillId="8" borderId="0" xfId="13" applyNumberFormat="1" applyFill="1" applyProtection="1">
      <protection locked="0"/>
    </xf>
    <xf numFmtId="173" fontId="33" fillId="8" borderId="0" xfId="14" applyNumberFormat="1" applyFill="1" applyAlignment="1" applyProtection="1">
      <alignment horizontal="center"/>
      <protection locked="0"/>
    </xf>
    <xf numFmtId="10" fontId="33" fillId="8" borderId="0" xfId="14" applyNumberFormat="1" applyFill="1" applyAlignment="1" applyProtection="1">
      <alignment horizontal="center"/>
      <protection locked="0"/>
    </xf>
    <xf numFmtId="0" fontId="40" fillId="8" borderId="0" xfId="0" applyFont="1" applyFill="1" applyAlignment="1" applyProtection="1">
      <alignment horizontal="left" indent="1"/>
      <protection locked="0"/>
    </xf>
    <xf numFmtId="0" fontId="33" fillId="8" borderId="0" xfId="12" applyFont="1" applyFill="1" applyAlignment="1" applyProtection="1">
      <alignment horizontal="left" indent="1"/>
      <protection locked="0"/>
    </xf>
    <xf numFmtId="1" fontId="28" fillId="0" borderId="29" xfId="0" applyNumberFormat="1" applyFont="1" applyFill="1" applyBorder="1" applyAlignment="1" applyProtection="1">
      <alignment horizontal="center" vertical="center" wrapText="1"/>
    </xf>
    <xf numFmtId="172" fontId="28" fillId="0" borderId="30" xfId="0" applyNumberFormat="1" applyFont="1" applyFill="1" applyBorder="1" applyAlignment="1" applyProtection="1">
      <alignment horizontal="center" vertical="center" wrapText="1"/>
    </xf>
    <xf numFmtId="172" fontId="28" fillId="0" borderId="31" xfId="0" applyNumberFormat="1" applyFont="1" applyFill="1" applyBorder="1" applyAlignment="1" applyProtection="1">
      <alignment horizontal="center" vertical="center" wrapText="1"/>
    </xf>
    <xf numFmtId="1" fontId="28" fillId="0" borderId="31" xfId="0" applyNumberFormat="1" applyFont="1" applyFill="1" applyBorder="1" applyAlignment="1" applyProtection="1">
      <alignment horizontal="center" vertical="center" wrapText="1"/>
    </xf>
    <xf numFmtId="2" fontId="28" fillId="0" borderId="31" xfId="0" applyNumberFormat="1" applyFont="1" applyFill="1" applyBorder="1" applyAlignment="1" applyProtection="1">
      <alignment horizontal="center" vertical="center" wrapText="1"/>
    </xf>
    <xf numFmtId="171" fontId="28" fillId="0" borderId="31" xfId="0" applyNumberFormat="1" applyFont="1" applyFill="1" applyBorder="1" applyAlignment="1" applyProtection="1">
      <alignment horizontal="center" vertical="center" wrapText="1"/>
    </xf>
    <xf numFmtId="171" fontId="28" fillId="0" borderId="32" xfId="0" applyNumberFormat="1" applyFont="1" applyFill="1" applyBorder="1" applyAlignment="1" applyProtection="1">
      <alignment horizontal="center" vertical="center" wrapText="1"/>
    </xf>
    <xf numFmtId="0" fontId="29" fillId="0" borderId="0" xfId="0" applyFont="1" applyAlignment="1">
      <alignment horizontal="left" indent="1"/>
    </xf>
    <xf numFmtId="0" fontId="2" fillId="0" borderId="0" xfId="0" applyFont="1" applyAlignment="1">
      <alignment horizontal="right" indent="2"/>
    </xf>
    <xf numFmtId="174" fontId="0" fillId="4" borderId="9" xfId="9" applyNumberFormat="1" applyFont="1" applyFill="1" applyBorder="1" applyProtection="1">
      <protection locked="0"/>
    </xf>
    <xf numFmtId="0" fontId="0" fillId="12" borderId="9" xfId="0" applyFill="1" applyBorder="1"/>
    <xf numFmtId="174" fontId="0" fillId="0" borderId="9" xfId="9" applyNumberFormat="1" applyFont="1" applyBorder="1"/>
    <xf numFmtId="0" fontId="2" fillId="0" borderId="0" xfId="0" applyFont="1" applyAlignment="1">
      <alignment horizontal="right" wrapText="1" indent="2"/>
    </xf>
    <xf numFmtId="174" fontId="0" fillId="0" borderId="0" xfId="0" applyNumberFormat="1"/>
    <xf numFmtId="174" fontId="0" fillId="0" borderId="9" xfId="0" applyNumberFormat="1" applyBorder="1"/>
    <xf numFmtId="0" fontId="2" fillId="4" borderId="26"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174" fontId="0" fillId="0" borderId="0" xfId="9" applyNumberFormat="1" applyFont="1" applyBorder="1"/>
    <xf numFmtId="174" fontId="2" fillId="0" borderId="0" xfId="9" applyNumberFormat="1" applyFont="1" applyBorder="1"/>
    <xf numFmtId="0" fontId="43" fillId="0" borderId="0" xfId="0" applyFont="1" applyProtection="1"/>
    <xf numFmtId="0" fontId="49" fillId="0" borderId="0" xfId="0" applyFont="1" applyProtection="1"/>
    <xf numFmtId="0" fontId="50" fillId="0" borderId="0" xfId="0" applyFont="1" applyAlignment="1" applyProtection="1">
      <alignment horizontal="right"/>
    </xf>
    <xf numFmtId="0" fontId="51" fillId="0" borderId="0" xfId="0" applyFont="1" applyProtection="1"/>
    <xf numFmtId="0" fontId="30" fillId="0" borderId="0" xfId="0" applyFont="1" applyAlignment="1" applyProtection="1">
      <alignment horizontal="right"/>
    </xf>
    <xf numFmtId="0" fontId="40" fillId="0" borderId="0" xfId="0" applyFont="1" applyProtection="1"/>
    <xf numFmtId="0" fontId="6" fillId="0" borderId="0" xfId="0" applyFont="1" applyAlignment="1" applyProtection="1">
      <alignment vertical="top"/>
    </xf>
    <xf numFmtId="0" fontId="34" fillId="0" borderId="37" xfId="0" applyFont="1" applyBorder="1" applyAlignment="1" applyProtection="1">
      <alignment horizontal="left"/>
    </xf>
    <xf numFmtId="0" fontId="0" fillId="0" borderId="38" xfId="0" applyBorder="1" applyProtection="1"/>
    <xf numFmtId="0" fontId="6" fillId="0" borderId="39" xfId="0" applyFont="1" applyBorder="1" applyProtection="1"/>
    <xf numFmtId="0" fontId="0" fillId="0" borderId="39" xfId="0" applyBorder="1" applyProtection="1"/>
    <xf numFmtId="174" fontId="40" fillId="0" borderId="40" xfId="13" applyNumberFormat="1" applyFont="1" applyBorder="1" applyProtection="1"/>
    <xf numFmtId="0" fontId="35" fillId="0" borderId="0" xfId="0" applyFont="1" applyAlignment="1" applyProtection="1">
      <alignment horizontal="center"/>
    </xf>
    <xf numFmtId="0" fontId="6" fillId="0" borderId="8" xfId="0" applyFont="1" applyBorder="1" applyProtection="1"/>
    <xf numFmtId="0" fontId="6" fillId="6" borderId="0" xfId="0" applyFont="1" applyFill="1" applyBorder="1" applyProtection="1"/>
    <xf numFmtId="0" fontId="0" fillId="6" borderId="0" xfId="0" applyFill="1" applyBorder="1" applyProtection="1"/>
    <xf numFmtId="174" fontId="40" fillId="6" borderId="21" xfId="13" applyNumberFormat="1" applyFont="1" applyFill="1" applyBorder="1" applyProtection="1"/>
    <xf numFmtId="0" fontId="0" fillId="0" borderId="41" xfId="0" applyBorder="1" applyProtection="1"/>
    <xf numFmtId="0" fontId="6" fillId="6" borderId="6" xfId="0" applyFont="1" applyFill="1" applyBorder="1" applyProtection="1"/>
    <xf numFmtId="0" fontId="0" fillId="6" borderId="6" xfId="0" applyFill="1" applyBorder="1" applyProtection="1"/>
    <xf numFmtId="174" fontId="40" fillId="6" borderId="42" xfId="13" applyNumberFormat="1" applyFont="1" applyFill="1" applyBorder="1" applyProtection="1"/>
    <xf numFmtId="0" fontId="0" fillId="0" borderId="0" xfId="0" applyBorder="1" applyProtection="1"/>
    <xf numFmtId="174" fontId="40" fillId="6" borderId="0" xfId="13" applyNumberFormat="1" applyFont="1" applyFill="1" applyBorder="1" applyProtection="1"/>
    <xf numFmtId="0" fontId="49" fillId="0" borderId="34" xfId="0" applyFont="1" applyBorder="1" applyProtection="1"/>
    <xf numFmtId="0" fontId="6" fillId="6" borderId="36" xfId="0" applyFont="1" applyFill="1" applyBorder="1" applyProtection="1"/>
    <xf numFmtId="0" fontId="5" fillId="6" borderId="39" xfId="0" applyFont="1" applyFill="1" applyBorder="1" applyProtection="1"/>
    <xf numFmtId="0" fontId="2" fillId="6" borderId="39" xfId="0" applyFont="1" applyFill="1" applyBorder="1" applyProtection="1"/>
    <xf numFmtId="174" fontId="5" fillId="6" borderId="40" xfId="13" applyNumberFormat="1" applyFont="1" applyFill="1" applyBorder="1" applyProtection="1"/>
    <xf numFmtId="0" fontId="0" fillId="0" borderId="8" xfId="0" applyBorder="1" applyProtection="1"/>
    <xf numFmtId="0" fontId="5" fillId="6" borderId="0" xfId="0" applyFont="1" applyFill="1" applyBorder="1" applyProtection="1"/>
    <xf numFmtId="0" fontId="2" fillId="6" borderId="0" xfId="0" applyFont="1" applyFill="1" applyBorder="1" applyProtection="1"/>
    <xf numFmtId="174" fontId="5" fillId="6" borderId="43" xfId="13" applyNumberFormat="1" applyFont="1" applyFill="1" applyBorder="1" applyProtection="1"/>
    <xf numFmtId="174" fontId="40" fillId="6" borderId="43" xfId="13" applyNumberFormat="1" applyFont="1" applyFill="1" applyBorder="1" applyProtection="1"/>
    <xf numFmtId="0" fontId="6" fillId="0" borderId="8" xfId="0" applyFont="1" applyFill="1" applyBorder="1" applyProtection="1"/>
    <xf numFmtId="0" fontId="6" fillId="0" borderId="41" xfId="0" applyFont="1" applyFill="1" applyBorder="1" applyProtection="1"/>
    <xf numFmtId="174" fontId="40" fillId="6" borderId="6" xfId="13" applyNumberFormat="1" applyFont="1" applyFill="1" applyBorder="1" applyProtection="1"/>
    <xf numFmtId="0" fontId="6" fillId="6" borderId="0" xfId="0" applyFont="1" applyFill="1" applyProtection="1"/>
    <xf numFmtId="0" fontId="0" fillId="6" borderId="0" xfId="0" applyFill="1" applyProtection="1"/>
    <xf numFmtId="0" fontId="34" fillId="0" borderId="7" xfId="0" applyFont="1" applyBorder="1" applyAlignment="1" applyProtection="1">
      <alignment horizontal="left"/>
    </xf>
    <xf numFmtId="0" fontId="6" fillId="6" borderId="39" xfId="0" applyFont="1" applyFill="1" applyBorder="1" applyProtection="1"/>
    <xf numFmtId="0" fontId="0" fillId="6" borderId="39" xfId="0" applyFill="1" applyBorder="1" applyProtection="1"/>
    <xf numFmtId="174" fontId="40" fillId="6" borderId="40" xfId="13" applyNumberFormat="1" applyFont="1" applyFill="1" applyBorder="1" applyProtection="1"/>
    <xf numFmtId="0" fontId="35" fillId="6" borderId="0" xfId="0" applyFont="1" applyFill="1" applyAlignment="1" applyProtection="1">
      <alignment horizontal="center"/>
    </xf>
    <xf numFmtId="177" fontId="40" fillId="6" borderId="21" xfId="13" applyNumberFormat="1" applyFont="1" applyFill="1" applyBorder="1" applyProtection="1"/>
    <xf numFmtId="0" fontId="52" fillId="6" borderId="0" xfId="0" quotePrefix="1" applyFont="1" applyFill="1" applyBorder="1" applyAlignment="1" applyProtection="1">
      <alignment horizontal="center" vertical="center" wrapText="1"/>
    </xf>
    <xf numFmtId="173"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xf>
    <xf numFmtId="10"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vertical="center" wrapText="1"/>
    </xf>
    <xf numFmtId="0" fontId="52" fillId="6" borderId="0" xfId="0" applyFont="1" applyFill="1" applyBorder="1" applyAlignment="1" applyProtection="1">
      <alignment horizontal="center" vertical="center"/>
    </xf>
    <xf numFmtId="0" fontId="6" fillId="0" borderId="41" xfId="0" applyFont="1" applyBorder="1" applyProtection="1"/>
    <xf numFmtId="174" fontId="40" fillId="0" borderId="0" xfId="13" applyNumberFormat="1" applyFont="1" applyProtection="1"/>
    <xf numFmtId="0" fontId="34" fillId="0" borderId="8" xfId="0" applyFont="1" applyBorder="1" applyAlignment="1" applyProtection="1">
      <alignment horizontal="left"/>
    </xf>
    <xf numFmtId="0" fontId="6" fillId="0" borderId="0" xfId="0" applyFont="1" applyBorder="1" applyProtection="1"/>
    <xf numFmtId="174" fontId="40" fillId="0" borderId="43" xfId="13" applyNumberFormat="1" applyFont="1" applyBorder="1" applyProtection="1"/>
    <xf numFmtId="0" fontId="6" fillId="0" borderId="6" xfId="0" applyFont="1" applyBorder="1" applyProtection="1"/>
    <xf numFmtId="0" fontId="0" fillId="0" borderId="6" xfId="0" applyBorder="1" applyProtection="1"/>
    <xf numFmtId="0" fontId="34" fillId="0" borderId="38" xfId="0" applyFont="1" applyBorder="1" applyAlignment="1" applyProtection="1">
      <alignment horizontal="left"/>
    </xf>
    <xf numFmtId="0" fontId="35" fillId="0" borderId="0" xfId="0" applyFont="1" applyBorder="1" applyAlignment="1" applyProtection="1">
      <alignment horizontal="center"/>
    </xf>
    <xf numFmtId="173" fontId="6" fillId="4" borderId="0" xfId="14" applyNumberFormat="1" applyFont="1" applyFill="1" applyBorder="1" applyAlignment="1" applyProtection="1">
      <alignment horizontal="center"/>
      <protection locked="0"/>
    </xf>
    <xf numFmtId="174" fontId="40" fillId="0" borderId="42" xfId="13" applyNumberFormat="1" applyFont="1" applyBorder="1" applyProtection="1"/>
    <xf numFmtId="174" fontId="40" fillId="4" borderId="43" xfId="13" applyNumberFormat="1" applyFont="1" applyFill="1" applyBorder="1" applyProtection="1">
      <protection locked="0"/>
    </xf>
    <xf numFmtId="174" fontId="40" fillId="6" borderId="16" xfId="13" applyNumberFormat="1" applyFont="1" applyFill="1" applyBorder="1" applyProtection="1"/>
    <xf numFmtId="0" fontId="54" fillId="0" borderId="8" xfId="0" applyFont="1" applyBorder="1" applyProtection="1"/>
    <xf numFmtId="0" fontId="6" fillId="0" borderId="38" xfId="0" applyFont="1" applyBorder="1" applyProtection="1"/>
    <xf numFmtId="0" fontId="35" fillId="0" borderId="39" xfId="0" applyFont="1" applyBorder="1" applyAlignment="1" applyProtection="1">
      <alignment horizontal="center"/>
    </xf>
    <xf numFmtId="174" fontId="40" fillId="14" borderId="40" xfId="13" applyNumberFormat="1" applyFont="1" applyFill="1" applyBorder="1" applyProtection="1"/>
    <xf numFmtId="174" fontId="40" fillId="14" borderId="43" xfId="13" applyNumberFormat="1" applyFont="1" applyFill="1" applyBorder="1" applyProtection="1"/>
    <xf numFmtId="174" fontId="40" fillId="14" borderId="21" xfId="13" applyNumberFormat="1" applyFont="1" applyFill="1" applyBorder="1" applyProtection="1"/>
    <xf numFmtId="0" fontId="40" fillId="0" borderId="0" xfId="0" applyFont="1"/>
    <xf numFmtId="0" fontId="0" fillId="0" borderId="0" xfId="0" applyBorder="1"/>
    <xf numFmtId="0" fontId="28" fillId="0" borderId="0" xfId="0" applyFont="1" applyAlignment="1" applyProtection="1">
      <alignment horizontal="left" wrapText="1"/>
    </xf>
    <xf numFmtId="0" fontId="56" fillId="0" borderId="0" xfId="0" applyFont="1" applyAlignment="1" applyProtection="1">
      <alignment horizontal="center" wrapText="1"/>
    </xf>
    <xf numFmtId="0" fontId="57" fillId="0" borderId="0" xfId="0" applyFont="1" applyAlignment="1" applyProtection="1">
      <alignment horizontal="center" wrapText="1"/>
    </xf>
    <xf numFmtId="0" fontId="59" fillId="0" borderId="0" xfId="0" applyFont="1" applyAlignment="1" applyProtection="1">
      <alignment horizontal="center" wrapText="1"/>
    </xf>
    <xf numFmtId="0" fontId="61" fillId="0" borderId="0" xfId="0" applyFont="1" applyAlignment="1" applyProtection="1">
      <alignment horizontal="center" wrapText="1"/>
    </xf>
    <xf numFmtId="0" fontId="28" fillId="0" borderId="0" xfId="0" applyFont="1" applyAlignment="1" applyProtection="1">
      <alignment horizontal="center"/>
    </xf>
    <xf numFmtId="0" fontId="0" fillId="0" borderId="0" xfId="0" applyAlignment="1" applyProtection="1">
      <alignment horizontal="center" vertical="center"/>
    </xf>
    <xf numFmtId="0" fontId="6" fillId="0" borderId="0" xfId="0" applyFont="1" applyFill="1" applyProtection="1"/>
    <xf numFmtId="0" fontId="6" fillId="0" borderId="0" xfId="0" applyFont="1" applyFill="1" applyBorder="1" applyProtection="1"/>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2" fillId="0" borderId="0" xfId="0" applyFont="1" applyFill="1" applyAlignment="1" applyProtection="1">
      <alignment horizontal="center" vertical="center"/>
    </xf>
    <xf numFmtId="0" fontId="24" fillId="0" borderId="25" xfId="0" applyFont="1" applyFill="1" applyBorder="1" applyAlignment="1" applyProtection="1"/>
    <xf numFmtId="0" fontId="24" fillId="0" borderId="26" xfId="0" applyFont="1" applyFill="1" applyBorder="1" applyAlignment="1" applyProtection="1"/>
    <xf numFmtId="0" fontId="24" fillId="0" borderId="27" xfId="0" applyFont="1" applyFill="1" applyBorder="1" applyAlignment="1" applyProtection="1"/>
    <xf numFmtId="0" fontId="24" fillId="0" borderId="22" xfId="0" applyFont="1" applyFill="1" applyBorder="1" applyAlignment="1" applyProtection="1"/>
    <xf numFmtId="0" fontId="24" fillId="0" borderId="23" xfId="0" applyFont="1" applyFill="1" applyBorder="1" applyAlignment="1" applyProtection="1"/>
    <xf numFmtId="0" fontId="24" fillId="0" borderId="24" xfId="0" applyFont="1" applyFill="1" applyBorder="1" applyAlignment="1" applyProtection="1"/>
    <xf numFmtId="0" fontId="2" fillId="0" borderId="0" xfId="0" applyFont="1" applyAlignment="1" applyProtection="1">
      <alignment horizontal="center" vertical="center"/>
    </xf>
    <xf numFmtId="0" fontId="24" fillId="0" borderId="22" xfId="0" applyFont="1" applyFill="1" applyBorder="1" applyAlignment="1" applyProtection="1">
      <alignment vertical="center"/>
    </xf>
    <xf numFmtId="0" fontId="24" fillId="0" borderId="23" xfId="0" applyFont="1" applyFill="1" applyBorder="1" applyAlignment="1" applyProtection="1">
      <alignment vertical="center"/>
    </xf>
    <xf numFmtId="0" fontId="24" fillId="0" borderId="24" xfId="0" applyFont="1" applyFill="1" applyBorder="1" applyAlignment="1" applyProtection="1">
      <alignment vertical="center"/>
    </xf>
    <xf numFmtId="0" fontId="24" fillId="0" borderId="0" xfId="0" applyFont="1" applyFill="1" applyBorder="1" applyAlignment="1" applyProtection="1"/>
    <xf numFmtId="0" fontId="24" fillId="0" borderId="0" xfId="0" applyFont="1" applyFill="1" applyBorder="1" applyProtection="1"/>
    <xf numFmtId="0" fontId="24" fillId="0" borderId="0" xfId="0" applyFont="1" applyProtection="1"/>
    <xf numFmtId="0" fontId="2" fillId="5" borderId="0" xfId="0" applyFont="1" applyFill="1" applyAlignment="1">
      <alignment horizontal="center" vertical="center"/>
    </xf>
    <xf numFmtId="0" fontId="2" fillId="0" borderId="0" xfId="0" applyFont="1" applyAlignment="1">
      <alignment horizontal="center" vertical="center"/>
    </xf>
    <xf numFmtId="174" fontId="0" fillId="0" borderId="44" xfId="9" applyNumberFormat="1" applyFont="1" applyBorder="1"/>
    <xf numFmtId="0" fontId="2" fillId="0" borderId="0" xfId="0" applyFont="1" applyAlignment="1">
      <alignment horizontal="right"/>
    </xf>
    <xf numFmtId="0" fontId="0" fillId="0" borderId="45" xfId="0" applyBorder="1"/>
    <xf numFmtId="174" fontId="2" fillId="0" borderId="12" xfId="9" applyNumberFormat="1" applyFont="1" applyBorder="1"/>
    <xf numFmtId="174" fontId="0" fillId="4" borderId="46" xfId="9" applyNumberFormat="1" applyFont="1" applyFill="1" applyBorder="1" applyProtection="1">
      <protection locked="0"/>
    </xf>
    <xf numFmtId="174" fontId="0" fillId="4" borderId="20" xfId="9" applyNumberFormat="1" applyFont="1" applyFill="1" applyBorder="1" applyProtection="1">
      <protection locked="0"/>
    </xf>
    <xf numFmtId="174" fontId="0" fillId="4" borderId="19" xfId="9" applyNumberFormat="1" applyFont="1" applyFill="1" applyBorder="1" applyProtection="1">
      <protection locked="0"/>
    </xf>
    <xf numFmtId="174" fontId="0" fillId="4" borderId="10" xfId="9" applyNumberFormat="1" applyFont="1" applyFill="1" applyBorder="1" applyProtection="1">
      <protection locked="0"/>
    </xf>
    <xf numFmtId="174" fontId="0" fillId="4" borderId="47" xfId="9" applyNumberFormat="1" applyFont="1" applyFill="1" applyBorder="1" applyProtection="1">
      <protection locked="0"/>
    </xf>
    <xf numFmtId="174" fontId="0" fillId="4" borderId="15" xfId="9" applyNumberFormat="1" applyFont="1" applyFill="1" applyBorder="1" applyProtection="1">
      <protection locked="0"/>
    </xf>
    <xf numFmtId="174" fontId="0" fillId="4" borderId="16" xfId="9" applyNumberFormat="1" applyFont="1" applyFill="1" applyBorder="1" applyProtection="1">
      <protection locked="0"/>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5" borderId="39" xfId="0" applyFont="1" applyFill="1" applyBorder="1" applyAlignment="1">
      <alignment horizontal="center" vertical="center"/>
    </xf>
    <xf numFmtId="0" fontId="2" fillId="5" borderId="38" xfId="0" applyFont="1" applyFill="1" applyBorder="1" applyAlignment="1">
      <alignment horizontal="center" vertical="center"/>
    </xf>
    <xf numFmtId="174" fontId="2" fillId="0" borderId="0" xfId="0" applyNumberFormat="1" applyFont="1"/>
    <xf numFmtId="174" fontId="0" fillId="0" borderId="0" xfId="0" applyNumberFormat="1" applyBorder="1"/>
    <xf numFmtId="0" fontId="47" fillId="0" borderId="0" xfId="0" applyFont="1" applyAlignment="1">
      <alignment horizontal="right" wrapText="1" indent="2"/>
    </xf>
    <xf numFmtId="174" fontId="0" fillId="0" borderId="21" xfId="0" applyNumberFormat="1" applyBorder="1"/>
    <xf numFmtId="174" fontId="0" fillId="0" borderId="20" xfId="0" applyNumberFormat="1" applyBorder="1"/>
    <xf numFmtId="174" fontId="0" fillId="0" borderId="48" xfId="0" applyNumberFormat="1" applyBorder="1"/>
    <xf numFmtId="174" fontId="0" fillId="0" borderId="19" xfId="0" applyNumberFormat="1" applyBorder="1"/>
    <xf numFmtId="174" fontId="0" fillId="0" borderId="11" xfId="0" applyNumberFormat="1" applyBorder="1"/>
    <xf numFmtId="0" fontId="0" fillId="0" borderId="43" xfId="0" applyBorder="1"/>
    <xf numFmtId="0" fontId="0" fillId="0" borderId="8" xfId="0" applyBorder="1"/>
    <xf numFmtId="174" fontId="0" fillId="0" borderId="16" xfId="9" applyNumberFormat="1" applyFont="1" applyBorder="1"/>
    <xf numFmtId="174" fontId="0" fillId="0" borderId="15" xfId="9" applyNumberFormat="1" applyFont="1" applyBorder="1"/>
    <xf numFmtId="174" fontId="0" fillId="0" borderId="10" xfId="9" applyNumberFormat="1" applyFont="1" applyBorder="1"/>
    <xf numFmtId="174" fontId="0" fillId="0" borderId="43" xfId="9" applyNumberFormat="1" applyFont="1" applyBorder="1"/>
    <xf numFmtId="174" fontId="0" fillId="0" borderId="8" xfId="9" applyNumberFormat="1" applyFont="1" applyBorder="1"/>
    <xf numFmtId="0" fontId="2" fillId="4" borderId="9" xfId="0" applyFont="1" applyFill="1" applyBorder="1" applyAlignment="1" applyProtection="1">
      <alignment horizontal="left" vertical="top" wrapText="1"/>
      <protection locked="0"/>
    </xf>
    <xf numFmtId="0" fontId="2" fillId="3" borderId="9" xfId="0" applyFont="1" applyFill="1" applyBorder="1" applyAlignment="1" applyProtection="1">
      <alignment horizontal="center" vertical="center" wrapText="1"/>
      <protection locked="0"/>
    </xf>
    <xf numFmtId="0" fontId="29" fillId="0" borderId="0" xfId="0" applyFont="1" applyAlignment="1" applyProtection="1">
      <alignment horizontal="left" indent="1"/>
    </xf>
    <xf numFmtId="0" fontId="47" fillId="0" borderId="0" xfId="0" applyFont="1" applyAlignment="1" applyProtection="1">
      <alignment horizontal="center"/>
    </xf>
    <xf numFmtId="0" fontId="2" fillId="0" borderId="0" xfId="0" applyFont="1" applyAlignment="1" applyProtection="1">
      <alignment horizontal="right" indent="2"/>
    </xf>
    <xf numFmtId="0" fontId="0" fillId="12" borderId="9" xfId="0" applyFill="1" applyBorder="1" applyProtection="1"/>
    <xf numFmtId="174" fontId="0" fillId="0" borderId="9" xfId="9" applyNumberFormat="1" applyFont="1" applyBorder="1" applyProtection="1"/>
    <xf numFmtId="0" fontId="2" fillId="0" borderId="0" xfId="0" applyFont="1" applyAlignment="1" applyProtection="1">
      <alignment horizontal="right" wrapText="1" indent="2"/>
    </xf>
    <xf numFmtId="174" fontId="0" fillId="0" borderId="0" xfId="0" applyNumberFormat="1" applyProtection="1"/>
    <xf numFmtId="174" fontId="0" fillId="0" borderId="9" xfId="0" applyNumberFormat="1" applyBorder="1" applyProtection="1"/>
    <xf numFmtId="174" fontId="14" fillId="0" borderId="0" xfId="9" applyNumberFormat="1" applyFont="1" applyBorder="1" applyProtection="1"/>
    <xf numFmtId="0" fontId="0" fillId="0" borderId="0" xfId="0" applyAlignment="1" applyProtection="1">
      <alignment horizontal="center"/>
    </xf>
    <xf numFmtId="174" fontId="0" fillId="0" borderId="0" xfId="9" applyNumberFormat="1" applyFont="1" applyBorder="1" applyProtection="1"/>
    <xf numFmtId="174" fontId="14" fillId="0" borderId="0" xfId="9" applyNumberFormat="1" applyFont="1" applyFill="1" applyBorder="1" applyProtection="1"/>
    <xf numFmtId="0" fontId="0" fillId="0" borderId="0" xfId="0" applyFill="1" applyBorder="1" applyAlignment="1" applyProtection="1">
      <alignment horizontal="center"/>
    </xf>
    <xf numFmtId="174" fontId="2" fillId="0" borderId="0" xfId="9" applyNumberFormat="1" applyFont="1" applyFill="1" applyBorder="1" applyAlignment="1" applyProtection="1">
      <alignment horizontal="left" vertical="top" wrapText="1"/>
    </xf>
    <xf numFmtId="174" fontId="0" fillId="0" borderId="0" xfId="9" applyNumberFormat="1" applyFont="1" applyFill="1" applyBorder="1" applyProtection="1"/>
    <xf numFmtId="0" fontId="35" fillId="0" borderId="8" xfId="0" applyFont="1" applyBorder="1" applyAlignment="1" applyProtection="1">
      <alignment horizontal="center"/>
    </xf>
    <xf numFmtId="0" fontId="6" fillId="0" borderId="0" xfId="0" applyFont="1" applyFill="1" applyAlignment="1" applyProtection="1">
      <alignment vertical="top"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0" fillId="0" borderId="9" xfId="0" applyBorder="1"/>
    <xf numFmtId="1" fontId="0" fillId="0" borderId="52" xfId="0" applyNumberFormat="1" applyBorder="1" applyProtection="1"/>
    <xf numFmtId="1" fontId="0" fillId="0" borderId="49" xfId="0" applyNumberFormat="1" applyBorder="1" applyProtection="1"/>
    <xf numFmtId="1" fontId="0" fillId="0" borderId="53" xfId="0" applyNumberFormat="1" applyBorder="1" applyProtection="1"/>
    <xf numFmtId="172" fontId="0" fillId="16" borderId="52" xfId="0" applyNumberFormat="1" applyFill="1" applyBorder="1" applyProtection="1">
      <protection locked="0"/>
    </xf>
    <xf numFmtId="172" fontId="0" fillId="16" borderId="49" xfId="0" applyNumberFormat="1" applyFill="1" applyBorder="1" applyProtection="1">
      <protection locked="0"/>
    </xf>
    <xf numFmtId="172" fontId="0" fillId="16" borderId="53" xfId="0" applyNumberFormat="1" applyFill="1" applyBorder="1" applyProtection="1">
      <protection locked="0"/>
    </xf>
    <xf numFmtId="2" fontId="0" fillId="16" borderId="52" xfId="0" applyNumberFormat="1" applyFill="1" applyBorder="1" applyAlignment="1" applyProtection="1">
      <alignment horizontal="center" vertical="center"/>
      <protection locked="0"/>
    </xf>
    <xf numFmtId="171" fontId="0" fillId="16" borderId="52" xfId="0" applyNumberFormat="1" applyFill="1" applyBorder="1" applyAlignment="1" applyProtection="1">
      <alignment horizontal="center" vertical="center"/>
      <protection locked="0"/>
    </xf>
    <xf numFmtId="171" fontId="0" fillId="16" borderId="25" xfId="0" applyNumberFormat="1" applyFill="1" applyBorder="1" applyAlignment="1" applyProtection="1">
      <alignment horizontal="center" vertical="center"/>
      <protection locked="0"/>
    </xf>
    <xf numFmtId="2" fontId="0" fillId="16" borderId="49" xfId="0" applyNumberFormat="1" applyFill="1" applyBorder="1" applyAlignment="1" applyProtection="1">
      <alignment horizontal="center" vertical="center"/>
      <protection locked="0"/>
    </xf>
    <xf numFmtId="171" fontId="0" fillId="16" borderId="49" xfId="0" applyNumberFormat="1" applyFill="1" applyBorder="1" applyAlignment="1" applyProtection="1">
      <alignment horizontal="center" vertical="center"/>
      <protection locked="0"/>
    </xf>
    <xf numFmtId="171" fontId="0" fillId="16" borderId="22" xfId="0" applyNumberFormat="1" applyFill="1" applyBorder="1" applyAlignment="1" applyProtection="1">
      <alignment horizontal="center" vertical="center"/>
      <protection locked="0"/>
    </xf>
    <xf numFmtId="2" fontId="0" fillId="16" borderId="53" xfId="0" applyNumberFormat="1" applyFill="1" applyBorder="1" applyAlignment="1" applyProtection="1">
      <alignment horizontal="center" vertical="center"/>
      <protection locked="0"/>
    </xf>
    <xf numFmtId="171" fontId="0" fillId="16" borderId="53" xfId="0" applyNumberFormat="1" applyFill="1" applyBorder="1" applyAlignment="1" applyProtection="1">
      <alignment horizontal="center" vertical="center"/>
      <protection locked="0"/>
    </xf>
    <xf numFmtId="171" fontId="0" fillId="16" borderId="50" xfId="0" applyNumberFormat="1" applyFill="1" applyBorder="1" applyAlignment="1" applyProtection="1">
      <alignment horizontal="center" vertical="center"/>
      <protection locked="0"/>
    </xf>
    <xf numFmtId="172" fontId="0" fillId="16" borderId="27" xfId="0" applyNumberFormat="1" applyFill="1" applyBorder="1" applyProtection="1">
      <protection locked="0"/>
    </xf>
    <xf numFmtId="172" fontId="0" fillId="16" borderId="24" xfId="0" applyNumberFormat="1" applyFill="1" applyBorder="1" applyProtection="1">
      <protection locked="0"/>
    </xf>
    <xf numFmtId="172" fontId="0" fillId="16" borderId="51" xfId="0" applyNumberFormat="1" applyFill="1" applyBorder="1" applyProtection="1">
      <protection locked="0"/>
    </xf>
    <xf numFmtId="1" fontId="0" fillId="9" borderId="54" xfId="0" applyNumberFormat="1" applyFill="1" applyBorder="1" applyAlignment="1" applyProtection="1">
      <alignment horizontal="center" vertical="center"/>
      <protection locked="0"/>
    </xf>
    <xf numFmtId="1" fontId="0" fillId="9" borderId="55" xfId="0" applyNumberFormat="1" applyFill="1" applyBorder="1" applyAlignment="1" applyProtection="1">
      <alignment horizontal="center" vertical="center"/>
      <protection locked="0"/>
    </xf>
    <xf numFmtId="0" fontId="0" fillId="0" borderId="13" xfId="0" applyBorder="1"/>
    <xf numFmtId="172" fontId="0" fillId="0" borderId="13" xfId="0" applyNumberFormat="1" applyBorder="1" applyAlignment="1">
      <alignment horizontal="center" vertical="center"/>
    </xf>
    <xf numFmtId="0" fontId="0" fillId="0" borderId="13" xfId="0" applyBorder="1" applyAlignment="1">
      <alignment horizontal="center" vertical="center"/>
    </xf>
    <xf numFmtId="4" fontId="0" fillId="0" borderId="13" xfId="0" applyNumberFormat="1" applyBorder="1" applyAlignment="1">
      <alignment horizontal="center" vertical="center"/>
    </xf>
    <xf numFmtId="165" fontId="0" fillId="0" borderId="13" xfId="0" applyNumberFormat="1" applyBorder="1" applyAlignment="1">
      <alignment horizontal="center" vertical="center"/>
    </xf>
    <xf numFmtId="3" fontId="0" fillId="0" borderId="13" xfId="0" applyNumberFormat="1" applyBorder="1"/>
    <xf numFmtId="173" fontId="0" fillId="0" borderId="13" xfId="0" applyNumberFormat="1" applyBorder="1" applyAlignment="1">
      <alignment horizontal="center" vertical="center"/>
    </xf>
    <xf numFmtId="172" fontId="0" fillId="0" borderId="11" xfId="0" applyNumberFormat="1" applyBorder="1" applyAlignment="1">
      <alignment horizontal="center" vertical="center"/>
    </xf>
    <xf numFmtId="4" fontId="0" fillId="0" borderId="11" xfId="0" applyNumberFormat="1" applyBorder="1" applyAlignment="1">
      <alignment horizontal="center" vertical="center"/>
    </xf>
    <xf numFmtId="165" fontId="0" fillId="0" borderId="11" xfId="0" applyNumberFormat="1" applyBorder="1" applyAlignment="1">
      <alignment horizontal="center" vertical="center"/>
    </xf>
    <xf numFmtId="3" fontId="0" fillId="0" borderId="11" xfId="0" applyNumberFormat="1" applyBorder="1"/>
    <xf numFmtId="172" fontId="2" fillId="0" borderId="11" xfId="0" applyNumberFormat="1" applyFont="1" applyBorder="1" applyAlignment="1">
      <alignment horizontal="center" vertical="center"/>
    </xf>
    <xf numFmtId="175" fontId="28" fillId="0" borderId="0" xfId="0" applyNumberFormat="1" applyFont="1" applyBorder="1" applyAlignment="1" applyProtection="1">
      <alignment horizontal="center" wrapText="1"/>
    </xf>
    <xf numFmtId="172" fontId="0" fillId="16" borderId="11" xfId="0" applyNumberFormat="1" applyFill="1" applyBorder="1" applyAlignment="1" applyProtection="1">
      <alignment horizontal="center" vertical="center"/>
      <protection locked="0"/>
    </xf>
    <xf numFmtId="175" fontId="2" fillId="0" borderId="11" xfId="0" applyNumberFormat="1" applyFont="1" applyBorder="1"/>
    <xf numFmtId="2" fontId="0" fillId="0" borderId="13" xfId="0" applyNumberFormat="1" applyBorder="1" applyAlignment="1">
      <alignment horizontal="center" vertical="center"/>
    </xf>
    <xf numFmtId="3" fontId="0" fillId="0" borderId="13" xfId="0" applyNumberFormat="1" applyBorder="1" applyAlignment="1">
      <alignment horizontal="center" vertical="center"/>
    </xf>
    <xf numFmtId="2" fontId="0" fillId="0" borderId="11" xfId="0" applyNumberFormat="1" applyBorder="1" applyAlignment="1">
      <alignment horizontal="center" vertical="center"/>
    </xf>
    <xf numFmtId="3" fontId="0" fillId="0" borderId="11" xfId="0" applyNumberFormat="1" applyBorder="1" applyAlignment="1">
      <alignment horizontal="center" vertical="center"/>
    </xf>
    <xf numFmtId="3" fontId="2" fillId="0" borderId="11" xfId="0" applyNumberFormat="1" applyFont="1" applyBorder="1" applyAlignment="1">
      <alignment horizontal="center" vertical="center"/>
    </xf>
    <xf numFmtId="10" fontId="0" fillId="0" borderId="13" xfId="0" applyNumberFormat="1" applyBorder="1" applyAlignment="1">
      <alignment horizontal="center" vertical="center"/>
    </xf>
    <xf numFmtId="10" fontId="0" fillId="0" borderId="11" xfId="0" applyNumberFormat="1" applyBorder="1" applyAlignment="1">
      <alignment horizontal="center" vertical="center"/>
    </xf>
    <xf numFmtId="10" fontId="2" fillId="0" borderId="11" xfId="0" applyNumberFormat="1" applyFont="1" applyBorder="1" applyAlignment="1">
      <alignment horizontal="center" vertical="center"/>
    </xf>
    <xf numFmtId="0" fontId="63" fillId="0" borderId="0" xfId="0" applyFont="1" applyAlignment="1">
      <alignment horizontal="center" vertical="center"/>
    </xf>
    <xf numFmtId="172" fontId="0" fillId="17" borderId="0" xfId="0" applyNumberFormat="1" applyFill="1" applyAlignment="1">
      <alignment horizontal="center" vertical="center"/>
    </xf>
    <xf numFmtId="0" fontId="64" fillId="0" borderId="0" xfId="0" applyFont="1"/>
    <xf numFmtId="171" fontId="0" fillId="0" borderId="13" xfId="0" applyNumberFormat="1" applyBorder="1" applyAlignment="1">
      <alignment horizontal="center" vertical="center"/>
    </xf>
    <xf numFmtId="171" fontId="0" fillId="0" borderId="11" xfId="0" applyNumberFormat="1" applyBorder="1" applyAlignment="1">
      <alignment horizontal="center" vertical="center"/>
    </xf>
    <xf numFmtId="166" fontId="17" fillId="7" borderId="20" xfId="6" applyNumberFormat="1" applyFont="1" applyFill="1" applyBorder="1" applyAlignment="1" applyProtection="1">
      <alignment horizontal="center" vertical="center"/>
    </xf>
    <xf numFmtId="166" fontId="17" fillId="5" borderId="10" xfId="6" applyNumberFormat="1" applyFont="1" applyFill="1" applyBorder="1" applyAlignment="1" applyProtection="1">
      <alignment horizontal="center" vertical="center"/>
    </xf>
    <xf numFmtId="166" fontId="17" fillId="5" borderId="12" xfId="6" applyNumberFormat="1" applyFont="1" applyFill="1" applyBorder="1" applyAlignment="1" applyProtection="1">
      <alignment horizontal="center" vertical="center"/>
    </xf>
    <xf numFmtId="166" fontId="12" fillId="0" borderId="9" xfId="6" applyNumberFormat="1" applyFont="1" applyFill="1" applyBorder="1" applyAlignment="1" applyProtection="1">
      <alignment horizontal="center" vertical="center"/>
    </xf>
    <xf numFmtId="166" fontId="21" fillId="0" borderId="9" xfId="6" applyNumberFormat="1" applyFont="1" applyFill="1" applyBorder="1" applyAlignment="1" applyProtection="1">
      <alignment horizontal="center" vertical="center"/>
    </xf>
    <xf numFmtId="166" fontId="17" fillId="0" borderId="9" xfId="6" applyNumberFormat="1" applyFont="1" applyFill="1" applyBorder="1" applyAlignment="1" applyProtection="1">
      <alignment horizontal="center" vertical="center"/>
    </xf>
    <xf numFmtId="166" fontId="17" fillId="7" borderId="9" xfId="6" applyNumberFormat="1" applyFont="1" applyFill="1" applyBorder="1" applyAlignment="1" applyProtection="1">
      <alignment horizontal="center" vertical="center"/>
    </xf>
    <xf numFmtId="166" fontId="12" fillId="0" borderId="9" xfId="5" applyNumberFormat="1" applyFont="1" applyFill="1" applyBorder="1" applyAlignment="1" applyProtection="1">
      <alignment horizontal="center" vertical="center"/>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7" fillId="8" borderId="1" xfId="1" applyNumberFormat="1" applyFill="1" applyBorder="1" applyAlignment="1" applyProtection="1">
      <alignment horizontal="left" vertical="center"/>
      <protection locked="0"/>
    </xf>
    <xf numFmtId="0" fontId="7" fillId="8" borderId="2" xfId="1" applyNumberFormat="1" applyFill="1" applyBorder="1" applyAlignment="1" applyProtection="1">
      <alignment horizontal="left" vertical="center"/>
      <protection locked="0"/>
    </xf>
    <xf numFmtId="0" fontId="7" fillId="8" borderId="3" xfId="1" applyNumberFormat="1" applyFill="1" applyBorder="1" applyAlignment="1" applyProtection="1">
      <alignment horizontal="left" vertical="center"/>
      <protection locked="0"/>
    </xf>
    <xf numFmtId="0" fontId="12" fillId="0" borderId="8"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0" xfId="0" applyFont="1" applyAlignment="1" applyProtection="1">
      <alignment horizontal="left" wrapText="1"/>
    </xf>
    <xf numFmtId="0" fontId="0" fillId="0" borderId="0" xfId="0" applyAlignment="1" applyProtection="1">
      <alignment horizontal="left" wrapText="1"/>
    </xf>
    <xf numFmtId="0" fontId="5" fillId="3" borderId="1"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center" wrapText="1" indent="2"/>
    </xf>
    <xf numFmtId="0" fontId="5" fillId="0" borderId="4" xfId="0" applyFont="1" applyBorder="1" applyAlignment="1" applyProtection="1">
      <alignment horizontal="right" vertical="center" wrapText="1" indent="2"/>
    </xf>
    <xf numFmtId="0" fontId="5" fillId="4" borderId="1" xfId="0" applyNumberFormat="1" applyFont="1" applyFill="1" applyBorder="1" applyAlignment="1" applyProtection="1">
      <alignment horizontal="center" vertical="center"/>
      <protection locked="0"/>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5" fillId="0" borderId="0" xfId="0" applyFont="1" applyBorder="1" applyAlignment="1" applyProtection="1">
      <alignment horizontal="right" vertical="center" wrapText="1" indent="2"/>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8" borderId="1" xfId="0" applyNumberFormat="1" applyFont="1" applyFill="1" applyBorder="1" applyAlignment="1" applyProtection="1">
      <alignment horizontal="center" vertical="center"/>
      <protection locked="0"/>
    </xf>
    <xf numFmtId="0" fontId="5" fillId="8" borderId="2" xfId="0" applyNumberFormat="1" applyFont="1" applyFill="1" applyBorder="1" applyAlignment="1" applyProtection="1">
      <alignment horizontal="center" vertical="center"/>
      <protection locked="0"/>
    </xf>
    <xf numFmtId="0" fontId="5" fillId="8" borderId="3" xfId="0" applyNumberFormat="1" applyFont="1" applyFill="1" applyBorder="1" applyAlignment="1" applyProtection="1">
      <alignment horizontal="center" vertical="center"/>
      <protection locked="0"/>
    </xf>
    <xf numFmtId="0" fontId="13" fillId="0" borderId="0" xfId="0" applyFont="1" applyFill="1" applyAlignment="1" applyProtection="1">
      <alignment horizontal="left" vertical="top" wrapText="1"/>
    </xf>
    <xf numFmtId="10" fontId="5" fillId="8" borderId="1" xfId="0" applyNumberFormat="1" applyFont="1" applyFill="1" applyBorder="1" applyAlignment="1" applyProtection="1">
      <alignment horizontal="center" vertical="center"/>
      <protection locked="0"/>
    </xf>
    <xf numFmtId="10" fontId="5" fillId="8" borderId="2" xfId="0" applyNumberFormat="1" applyFont="1" applyFill="1" applyBorder="1" applyAlignment="1" applyProtection="1">
      <alignment horizontal="center" vertical="center"/>
      <protection locked="0"/>
    </xf>
    <xf numFmtId="10" fontId="5" fillId="8" borderId="3" xfId="0" applyNumberFormat="1" applyFont="1" applyFill="1" applyBorder="1" applyAlignment="1" applyProtection="1">
      <alignment horizontal="center" vertical="center"/>
      <protection locked="0"/>
    </xf>
    <xf numFmtId="10" fontId="5" fillId="2" borderId="1" xfId="0" applyNumberFormat="1" applyFont="1" applyFill="1" applyBorder="1" applyAlignment="1" applyProtection="1">
      <alignment horizontal="center" vertical="center"/>
    </xf>
    <xf numFmtId="10" fontId="5" fillId="2" borderId="2" xfId="0" applyNumberFormat="1" applyFont="1" applyFill="1" applyBorder="1" applyAlignment="1" applyProtection="1">
      <alignment horizontal="center" vertical="center"/>
    </xf>
    <xf numFmtId="10" fontId="5" fillId="2" borderId="3"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0" fontId="9" fillId="0" borderId="6"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0" fillId="0" borderId="0" xfId="0" applyAlignment="1" applyProtection="1">
      <alignment horizontal="left"/>
    </xf>
    <xf numFmtId="0" fontId="24" fillId="9" borderId="22" xfId="0" applyFont="1" applyFill="1" applyBorder="1" applyAlignment="1" applyProtection="1">
      <alignment vertical="center"/>
      <protection locked="0"/>
    </xf>
    <xf numFmtId="0" fontId="24" fillId="9" borderId="23" xfId="0" applyFont="1" applyFill="1" applyBorder="1" applyAlignment="1" applyProtection="1">
      <alignment vertical="center"/>
      <protection locked="0"/>
    </xf>
    <xf numFmtId="0" fontId="24" fillId="9" borderId="24" xfId="0" applyFont="1" applyFill="1" applyBorder="1" applyAlignment="1" applyProtection="1">
      <alignment vertical="center"/>
      <protection locked="0"/>
    </xf>
    <xf numFmtId="0" fontId="24" fillId="9" borderId="22" xfId="0" applyFont="1" applyFill="1" applyBorder="1" applyAlignment="1" applyProtection="1">
      <protection locked="0"/>
    </xf>
    <xf numFmtId="0" fontId="24" fillId="9" borderId="23" xfId="0" applyFont="1" applyFill="1" applyBorder="1" applyAlignment="1" applyProtection="1">
      <protection locked="0"/>
    </xf>
    <xf numFmtId="0" fontId="24" fillId="9" borderId="24" xfId="0" applyFont="1" applyFill="1" applyBorder="1" applyAlignment="1" applyProtection="1">
      <protection locked="0"/>
    </xf>
    <xf numFmtId="49" fontId="5" fillId="0" borderId="0" xfId="0" applyNumberFormat="1" applyFont="1" applyAlignment="1" applyProtection="1">
      <alignment horizontal="left" vertical="top" wrapText="1"/>
    </xf>
    <xf numFmtId="0" fontId="2" fillId="9" borderId="50" xfId="0" applyFont="1" applyFill="1" applyBorder="1" applyAlignment="1" applyProtection="1">
      <alignment horizontal="left" vertical="center"/>
    </xf>
    <xf numFmtId="0" fontId="2" fillId="9" borderId="33" xfId="0" applyFont="1" applyFill="1" applyBorder="1" applyAlignment="1" applyProtection="1">
      <alignment horizontal="left" vertical="center"/>
    </xf>
    <xf numFmtId="0" fontId="2" fillId="9" borderId="51" xfId="0" applyFont="1" applyFill="1" applyBorder="1" applyAlignment="1" applyProtection="1">
      <alignment horizontal="left" vertical="center"/>
    </xf>
    <xf numFmtId="0" fontId="6" fillId="15" borderId="0" xfId="0" applyFont="1" applyFill="1" applyAlignment="1" applyProtection="1">
      <alignment horizontal="left" vertical="top" wrapText="1"/>
    </xf>
    <xf numFmtId="0" fontId="29" fillId="0" borderId="0" xfId="0" applyFont="1" applyAlignment="1" applyProtection="1">
      <alignment horizontal="left" vertical="top" wrapText="1"/>
    </xf>
    <xf numFmtId="0" fontId="30" fillId="0" borderId="0" xfId="0" applyFont="1" applyBorder="1" applyAlignment="1" applyProtection="1">
      <alignment horizontal="center" vertical="center"/>
    </xf>
    <xf numFmtId="0" fontId="30" fillId="0" borderId="6" xfId="0" applyFont="1" applyBorder="1" applyAlignment="1">
      <alignment horizontal="center" vertical="center"/>
    </xf>
    <xf numFmtId="0" fontId="38" fillId="0" borderId="6" xfId="12" applyFont="1" applyBorder="1" applyAlignment="1" applyProtection="1">
      <alignment horizontal="center" wrapText="1"/>
    </xf>
    <xf numFmtId="0" fontId="30" fillId="0" borderId="6" xfId="0" quotePrefix="1" applyFont="1" applyBorder="1" applyAlignment="1">
      <alignment horizontal="center" vertical="center" wrapText="1"/>
    </xf>
    <xf numFmtId="0" fontId="30" fillId="0" borderId="6" xfId="0" quotePrefix="1" applyFont="1" applyBorder="1" applyAlignment="1">
      <alignment horizontal="center" vertical="center"/>
    </xf>
    <xf numFmtId="10" fontId="2" fillId="0" borderId="0" xfId="0" applyNumberFormat="1" applyFont="1" applyAlignment="1">
      <alignment horizontal="left" vertical="top" wrapText="1"/>
    </xf>
    <xf numFmtId="0" fontId="30" fillId="0" borderId="6" xfId="0" applyFont="1" applyBorder="1" applyAlignment="1">
      <alignment horizontal="center" vertical="center" wrapText="1"/>
    </xf>
    <xf numFmtId="0" fontId="42" fillId="0" borderId="0" xfId="12" applyFont="1" applyAlignment="1" applyProtection="1">
      <alignment horizontal="center" vertical="center"/>
    </xf>
    <xf numFmtId="0" fontId="33" fillId="0" borderId="0" xfId="12" applyAlignment="1" applyProtection="1">
      <alignment horizontal="left" wrapText="1"/>
    </xf>
    <xf numFmtId="0" fontId="2" fillId="11" borderId="0" xfId="0" applyFont="1" applyFill="1" applyAlignment="1">
      <alignment horizontal="center"/>
    </xf>
    <xf numFmtId="0" fontId="48" fillId="11" borderId="34" xfId="0" applyFont="1" applyFill="1" applyBorder="1" applyAlignment="1">
      <alignment horizontal="center"/>
    </xf>
    <xf numFmtId="0" fontId="48" fillId="11" borderId="35" xfId="0" applyFont="1" applyFill="1" applyBorder="1" applyAlignment="1">
      <alignment horizontal="center"/>
    </xf>
    <xf numFmtId="0" fontId="48" fillId="11" borderId="36" xfId="0" applyFont="1" applyFill="1" applyBorder="1" applyAlignment="1">
      <alignment horizontal="center"/>
    </xf>
    <xf numFmtId="0" fontId="2" fillId="5" borderId="0" xfId="0" applyFont="1" applyFill="1" applyAlignment="1">
      <alignment horizontal="center" vertical="center"/>
    </xf>
    <xf numFmtId="0" fontId="2" fillId="5" borderId="13"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5"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48" fillId="13" borderId="34" xfId="0" applyFont="1" applyFill="1" applyBorder="1" applyAlignment="1" applyProtection="1">
      <alignment horizontal="center"/>
    </xf>
    <xf numFmtId="0" fontId="48" fillId="13" borderId="35" xfId="0" applyFont="1" applyFill="1" applyBorder="1" applyAlignment="1" applyProtection="1">
      <alignment horizontal="center"/>
    </xf>
    <xf numFmtId="0" fontId="48" fillId="13" borderId="36" xfId="0" applyFont="1" applyFill="1" applyBorder="1" applyAlignment="1" applyProtection="1">
      <alignment horizontal="center"/>
    </xf>
    <xf numFmtId="0" fontId="47" fillId="11" borderId="0" xfId="0" applyFont="1" applyFill="1" applyAlignment="1" applyProtection="1">
      <alignment horizontal="center" vertical="center"/>
    </xf>
    <xf numFmtId="0" fontId="47" fillId="11" borderId="0" xfId="0" applyFont="1" applyFill="1" applyAlignment="1" applyProtection="1">
      <alignment horizontal="center"/>
    </xf>
    <xf numFmtId="0" fontId="2" fillId="0" borderId="0" xfId="0" applyFont="1" applyAlignment="1" applyProtection="1">
      <alignment horizontal="center" wrapText="1"/>
    </xf>
    <xf numFmtId="0" fontId="2" fillId="5" borderId="0" xfId="0" applyFont="1" applyFill="1" applyAlignment="1" applyProtection="1">
      <alignment horizontal="center"/>
    </xf>
    <xf numFmtId="0" fontId="2" fillId="0" borderId="0" xfId="0" applyFont="1" applyAlignment="1" applyProtection="1">
      <alignment horizontal="center"/>
    </xf>
    <xf numFmtId="174" fontId="52" fillId="6" borderId="0" xfId="13" applyNumberFormat="1" applyFont="1" applyFill="1" applyBorder="1" applyAlignment="1" applyProtection="1">
      <alignment horizontal="center" vertical="center"/>
    </xf>
    <xf numFmtId="174" fontId="52" fillId="6" borderId="43" xfId="13" applyNumberFormat="1" applyFont="1" applyFill="1" applyBorder="1" applyAlignment="1" applyProtection="1">
      <alignment horizontal="center" vertical="center"/>
    </xf>
    <xf numFmtId="0" fontId="53" fillId="5" borderId="0" xfId="0" applyFont="1" applyFill="1" applyBorder="1" applyAlignment="1" applyProtection="1">
      <alignment horizontal="center"/>
    </xf>
    <xf numFmtId="174" fontId="52" fillId="6" borderId="8" xfId="13" applyNumberFormat="1" applyFont="1" applyFill="1" applyBorder="1" applyAlignment="1" applyProtection="1">
      <alignment horizontal="left" vertical="center" wrapText="1"/>
    </xf>
    <xf numFmtId="174" fontId="52" fillId="6" borderId="0" xfId="13" applyNumberFormat="1" applyFont="1" applyFill="1" applyBorder="1" applyAlignment="1" applyProtection="1">
      <alignment horizontal="left" vertical="center" wrapText="1"/>
    </xf>
    <xf numFmtId="0" fontId="55" fillId="0" borderId="0" xfId="0" applyFont="1" applyAlignment="1">
      <alignment horizontal="left" vertical="top"/>
    </xf>
  </cellXfs>
  <cellStyles count="15">
    <cellStyle name="Comma 2" xfId="10" xr:uid="{00000000-0005-0000-0000-000000000000}"/>
    <cellStyle name="Currency 2" xfId="9" xr:uid="{00000000-0005-0000-0000-000001000000}"/>
    <cellStyle name="Currency 3" xfId="13" xr:uid="{00000000-0005-0000-0000-000002000000}"/>
    <cellStyle name="Currency_Final - 2004 RAM for rate schedule - milton_2008_IRM_Model_Final Model_Version2.0" xfId="6" xr:uid="{00000000-0005-0000-0000-000003000000}"/>
    <cellStyle name="Hyperlink" xfId="1" builtinId="8"/>
    <cellStyle name="Normal" xfId="0" builtinId="0"/>
    <cellStyle name="Normal 6" xfId="12" xr:uid="{00000000-0005-0000-0000-000006000000}"/>
    <cellStyle name="Normal_14. Bill Impacts" xfId="5" xr:uid="{00000000-0005-0000-0000-000007000000}"/>
    <cellStyle name="Normal_3. Rate Class Selection" xfId="8" xr:uid="{00000000-0005-0000-0000-000008000000}"/>
    <cellStyle name="Normal_Core Model Version 0.1" xfId="11" xr:uid="{00000000-0005-0000-0000-000009000000}"/>
    <cellStyle name="Normal_lists" xfId="3" xr:uid="{00000000-0005-0000-0000-00000A000000}"/>
    <cellStyle name="Normal_lists_1" xfId="4" xr:uid="{00000000-0005-0000-0000-00000B000000}"/>
    <cellStyle name="Normal_Sheet1" xfId="7" xr:uid="{00000000-0005-0000-0000-00000C000000}"/>
    <cellStyle name="Percent" xfId="2" builtinId="5"/>
    <cellStyle name="Percent 4" xfId="14" xr:uid="{00000000-0005-0000-0000-00000E000000}"/>
  </cellStyles>
  <dxfs count="26">
    <dxf>
      <font>
        <color auto="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border>
        <left style="thin">
          <color auto="1"/>
        </left>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fill>
        <patternFill patternType="none">
          <bgColor auto="1"/>
        </patternFill>
      </fill>
      <border>
        <left/>
        <right/>
        <top/>
        <bottom/>
        <vertical/>
        <horizontal/>
      </border>
    </dxf>
    <dxf>
      <fill>
        <patternFill>
          <bgColor indexed="10"/>
        </patternFill>
      </fill>
    </dxf>
    <dxf>
      <fill>
        <patternFill>
          <bgColor indexed="10"/>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9524" y="19051"/>
          <a:ext cx="12804911" cy="1924049"/>
          <a:chOff x="9524" y="19051"/>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276225</xdr:colOff>
      <xdr:row>10</xdr:row>
      <xdr:rowOff>19049</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9539968" cy="1869620"/>
          <a:chOff x="9524" y="19051"/>
          <a:chExt cx="10364524" cy="1915766"/>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B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127420</xdr:colOff>
      <xdr:row>8</xdr:row>
      <xdr:rowOff>9525</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95250" y="344805"/>
          <a:ext cx="9298090"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5</xdr:col>
      <xdr:colOff>123825</xdr:colOff>
      <xdr:row>9</xdr:row>
      <xdr:rowOff>171037</xdr:rowOff>
    </xdr:to>
    <xdr:sp macro="" textlink="'1. Information Sheet'!AA1" fLocksText="0">
      <xdr:nvSpPr>
        <xdr:cNvPr id="7" name="TextBox 6">
          <a:extLst>
            <a:ext uri="{FF2B5EF4-FFF2-40B4-BE49-F238E27FC236}">
              <a16:creationId xmlns:a16="http://schemas.microsoft.com/office/drawing/2014/main" id="{00000000-0008-0000-0B00-000007000000}"/>
            </a:ext>
          </a:extLst>
        </xdr:cNvPr>
        <xdr:cNvSpPr txBox="1"/>
      </xdr:nvSpPr>
      <xdr:spPr>
        <a:xfrm>
          <a:off x="114300" y="1384935"/>
          <a:ext cx="9275445"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EE75E1D5-2A03-45D3-B963-293AAFC2F3F4}"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1261110</xdr:colOff>
      <xdr:row>9</xdr:row>
      <xdr:rowOff>66674</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0"/>
          <a:ext cx="9319260" cy="1924049"/>
          <a:chOff x="9524" y="19051"/>
          <a:chExt cx="10364524" cy="1915766"/>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C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1064680</xdr:colOff>
      <xdr:row>7</xdr:row>
      <xdr:rowOff>57150</xdr:rowOff>
    </xdr:to>
    <xdr:sp macro="" textlink="">
      <xdr:nvSpPr>
        <xdr:cNvPr id="6" name="Rectangle 5">
          <a:extLst>
            <a:ext uri="{FF2B5EF4-FFF2-40B4-BE49-F238E27FC236}">
              <a16:creationId xmlns:a16="http://schemas.microsoft.com/office/drawing/2014/main" id="{00000000-0008-0000-0C00-000006000000}"/>
            </a:ext>
          </a:extLst>
        </xdr:cNvPr>
        <xdr:cNvSpPr/>
      </xdr:nvSpPr>
      <xdr:spPr>
        <a:xfrm>
          <a:off x="95250" y="344805"/>
          <a:ext cx="9237130" cy="11220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6</xdr:row>
      <xdr:rowOff>152400</xdr:rowOff>
    </xdr:from>
    <xdr:to>
      <xdr:col>5</xdr:col>
      <xdr:colOff>1061085</xdr:colOff>
      <xdr:row>9</xdr:row>
      <xdr:rowOff>28162</xdr:rowOff>
    </xdr:to>
    <xdr:sp macro="" textlink="'1. Information Sheet'!AA1" fLocksText="0">
      <xdr:nvSpPr>
        <xdr:cNvPr id="7" name="TextBox 6">
          <a:extLst>
            <a:ext uri="{FF2B5EF4-FFF2-40B4-BE49-F238E27FC236}">
              <a16:creationId xmlns:a16="http://schemas.microsoft.com/office/drawing/2014/main" id="{00000000-0008-0000-0C00-000007000000}"/>
            </a:ext>
          </a:extLst>
        </xdr:cNvPr>
        <xdr:cNvSpPr txBox="1"/>
      </xdr:nvSpPr>
      <xdr:spPr>
        <a:xfrm>
          <a:off x="114300" y="1379220"/>
          <a:ext cx="9214485" cy="42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42F9C09-1404-4318-9CF1-7E942C1626E6}"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247650</xdr:colOff>
      <xdr:row>10</xdr:row>
      <xdr:rowOff>19049</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0"/>
          <a:ext cx="9286875" cy="1924049"/>
          <a:chOff x="9524" y="19051"/>
          <a:chExt cx="10364524" cy="1915766"/>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D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6</xdr:col>
      <xdr:colOff>98845</xdr:colOff>
      <xdr:row>8</xdr:row>
      <xdr:rowOff>9525</xdr:rowOff>
    </xdr:to>
    <xdr:sp macro="" textlink="">
      <xdr:nvSpPr>
        <xdr:cNvPr id="6" name="Rectangle 5">
          <a:extLst>
            <a:ext uri="{FF2B5EF4-FFF2-40B4-BE49-F238E27FC236}">
              <a16:creationId xmlns:a16="http://schemas.microsoft.com/office/drawing/2014/main" id="{00000000-0008-0000-0D00-000006000000}"/>
            </a:ext>
          </a:extLst>
        </xdr:cNvPr>
        <xdr:cNvSpPr/>
      </xdr:nvSpPr>
      <xdr:spPr>
        <a:xfrm>
          <a:off x="95250" y="344805"/>
          <a:ext cx="9307615"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6</xdr:col>
      <xdr:colOff>95250</xdr:colOff>
      <xdr:row>9</xdr:row>
      <xdr:rowOff>171037</xdr:rowOff>
    </xdr:to>
    <xdr:sp macro="" textlink="'1. Information Sheet'!AA1" fLocksText="0">
      <xdr:nvSpPr>
        <xdr:cNvPr id="7" name="TextBox 6">
          <a:extLst>
            <a:ext uri="{FF2B5EF4-FFF2-40B4-BE49-F238E27FC236}">
              <a16:creationId xmlns:a16="http://schemas.microsoft.com/office/drawing/2014/main" id="{00000000-0008-0000-0D00-000007000000}"/>
            </a:ext>
          </a:extLst>
        </xdr:cNvPr>
        <xdr:cNvSpPr txBox="1"/>
      </xdr:nvSpPr>
      <xdr:spPr>
        <a:xfrm>
          <a:off x="114300" y="1384935"/>
          <a:ext cx="9284970"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788DF7A1-DC0E-4308-A1C7-79B4E30E7A0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3311</xdr:colOff>
      <xdr:row>10</xdr:row>
      <xdr:rowOff>10767</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0" y="1"/>
          <a:ext cx="8585336" cy="1915766"/>
          <a:chOff x="200024" y="4499942"/>
          <a:chExt cx="8857420" cy="1915766"/>
        </a:xfrm>
      </xdr:grpSpPr>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300-000004000000}"/>
              </a:ext>
            </a:extLst>
          </xdr:cNvPr>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8D21B0-EA1B-4E8C-8500-FA082BE28C99}"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300-000005000000}"/>
              </a:ext>
            </a:extLst>
          </xdr:cNvPr>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3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xdr:from>
          <xdr:col>15</xdr:col>
          <xdr:colOff>352425</xdr:colOff>
          <xdr:row>15</xdr:row>
          <xdr:rowOff>85725</xdr:rowOff>
        </xdr:from>
        <xdr:to>
          <xdr:col>16</xdr:col>
          <xdr:colOff>476250</xdr:colOff>
          <xdr:row>16</xdr:row>
          <xdr:rowOff>171450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1332670</xdr:colOff>
      <xdr:row>10</xdr:row>
      <xdr:rowOff>1241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0" y="0"/>
          <a:ext cx="8857420" cy="1915766"/>
          <a:chOff x="200024" y="4499942"/>
          <a:chExt cx="8857420" cy="1915766"/>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4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A3C24FF-601E-400B-91DC-EAA337C0B5FB}"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400-000005000000}"/>
              </a:ext>
            </a:extLst>
          </xdr:cNvPr>
          <xdr:cNvSpPr/>
        </xdr:nvSpPr>
        <xdr:spPr>
          <a:xfrm>
            <a:off x="346760" y="484907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4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275395</xdr:colOff>
      <xdr:row>10</xdr:row>
      <xdr:rowOff>10766</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0" y="0"/>
          <a:ext cx="8857420" cy="1915766"/>
          <a:chOff x="200024" y="4499942"/>
          <a:chExt cx="8857420" cy="1915766"/>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5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5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5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5</xdr:col>
      <xdr:colOff>82990</xdr:colOff>
      <xdr:row>4</xdr:row>
      <xdr:rowOff>191741</xdr:rowOff>
    </xdr:to>
    <xdr:grpSp>
      <xdr:nvGrpSpPr>
        <xdr:cNvPr id="7" name="Group 6">
          <a:extLst>
            <a:ext uri="{FF2B5EF4-FFF2-40B4-BE49-F238E27FC236}">
              <a16:creationId xmlns:a16="http://schemas.microsoft.com/office/drawing/2014/main" id="{00000000-0008-0000-0600-000007000000}"/>
            </a:ext>
          </a:extLst>
        </xdr:cNvPr>
        <xdr:cNvGrpSpPr/>
      </xdr:nvGrpSpPr>
      <xdr:grpSpPr>
        <a:xfrm>
          <a:off x="57150" y="66675"/>
          <a:ext cx="8826940" cy="1839566"/>
          <a:chOff x="200024" y="4499942"/>
          <a:chExt cx="8857420" cy="1915766"/>
        </a:xfrm>
      </xdr:grpSpPr>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9" name="TextBox 8">
            <a:extLst>
              <a:ext uri="{FF2B5EF4-FFF2-40B4-BE49-F238E27FC236}">
                <a16:creationId xmlns:a16="http://schemas.microsoft.com/office/drawing/2014/main" id="{00000000-0008-0000-0600-000009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0" name="Rectangle 9">
            <a:extLst>
              <a:ext uri="{FF2B5EF4-FFF2-40B4-BE49-F238E27FC236}">
                <a16:creationId xmlns:a16="http://schemas.microsoft.com/office/drawing/2014/main" id="{00000000-0008-0000-0600-00000A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1" name="Pictur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a:extLst>
              <a:ext uri="{FF2B5EF4-FFF2-40B4-BE49-F238E27FC236}">
                <a16:creationId xmlns:a16="http://schemas.microsoft.com/office/drawing/2014/main" id="{00000000-0008-0000-0600-00000C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0" y="0"/>
          <a:ext cx="8857420" cy="1915766"/>
          <a:chOff x="200024" y="4499942"/>
          <a:chExt cx="8857420" cy="1915766"/>
        </a:xfrm>
      </xdr:grpSpPr>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700-000004000000}"/>
              </a:ext>
            </a:extLst>
          </xdr:cNvPr>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160D89-7702-44FB-BA40-F1EFB0EEB16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7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0"/>
          <a:ext cx="8871708" cy="1915766"/>
          <a:chOff x="200024" y="4499942"/>
          <a:chExt cx="8857420" cy="1915766"/>
        </a:xfrm>
      </xdr:grpSpPr>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800-000004000000}"/>
              </a:ext>
            </a:extLst>
          </xdr:cNvPr>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B350EA3-3DAF-48DC-BC08-0A7B8A8A092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8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8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7</xdr:row>
      <xdr:rowOff>9524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0" y="0"/>
          <a:ext cx="9991725" cy="1924049"/>
          <a:chOff x="9524" y="19051"/>
          <a:chExt cx="10364524" cy="1915766"/>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9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95250</xdr:colOff>
      <xdr:row>1</xdr:row>
      <xdr:rowOff>161925</xdr:rowOff>
    </xdr:from>
    <xdr:to>
      <xdr:col>5</xdr:col>
      <xdr:colOff>2461045</xdr:colOff>
      <xdr:row>5</xdr:row>
      <xdr:rowOff>0</xdr:rowOff>
    </xdr:to>
    <xdr:sp macro="" textlink="">
      <xdr:nvSpPr>
        <xdr:cNvPr id="6" name="Rectangle 5">
          <a:extLst>
            <a:ext uri="{FF2B5EF4-FFF2-40B4-BE49-F238E27FC236}">
              <a16:creationId xmlns:a16="http://schemas.microsoft.com/office/drawing/2014/main" id="{00000000-0008-0000-0900-000006000000}"/>
            </a:ext>
          </a:extLst>
        </xdr:cNvPr>
        <xdr:cNvSpPr/>
      </xdr:nvSpPr>
      <xdr:spPr>
        <a:xfrm>
          <a:off x="95250" y="352425"/>
          <a:ext cx="9947695" cy="115633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p>
      </xdr:txBody>
    </xdr:sp>
    <xdr:clientData/>
  </xdr:twoCellAnchor>
  <xdr:twoCellAnchor>
    <xdr:from>
      <xdr:col>0</xdr:col>
      <xdr:colOff>114300</xdr:colOff>
      <xdr:row>4</xdr:row>
      <xdr:rowOff>276225</xdr:rowOff>
    </xdr:from>
    <xdr:to>
      <xdr:col>5</xdr:col>
      <xdr:colOff>2457450</xdr:colOff>
      <xdr:row>6</xdr:row>
      <xdr:rowOff>161512</xdr:rowOff>
    </xdr:to>
    <xdr:sp macro="" textlink="'1. Information Sheet'!AA1" fLocksText="0">
      <xdr:nvSpPr>
        <xdr:cNvPr id="7" name="TextBox 6">
          <a:extLst>
            <a:ext uri="{FF2B5EF4-FFF2-40B4-BE49-F238E27FC236}">
              <a16:creationId xmlns:a16="http://schemas.microsoft.com/office/drawing/2014/main" id="{00000000-0008-0000-0900-000007000000}"/>
            </a:ext>
          </a:extLst>
        </xdr:cNvPr>
        <xdr:cNvSpPr txBox="1"/>
      </xdr:nvSpPr>
      <xdr:spPr>
        <a:xfrm>
          <a:off x="114300" y="1419225"/>
          <a:ext cx="9925050" cy="4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F25BC42C-6B66-46BC-9AA2-FC76FEABDE9E}"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a:t>
              </a:r>
              <a:r>
                <a:rPr lang="en-CA" sz="1200" b="1" i="0">
                  <a:latin typeface="Cambria Math" panose="02040503050406030204" pitchFamily="18" charset="0"/>
                </a:rPr>
                <a:t>(</a:t>
              </a:r>
              <a:r>
                <a:rPr lang="en-CA" sz="1200" b="1" i="0">
                  <a:latin typeface="Cambria Math"/>
                </a:rPr>
                <a:t>%</a:t>
              </a:r>
              <a:r>
                <a:rPr lang="en-CA" sz="1200" b="1" i="0">
                  <a:latin typeface="Cambria Math" panose="02040503050406030204" pitchFamily="18" charset="0"/>
                </a:rPr>
                <a:t>)</a:t>
              </a:r>
              <a:r>
                <a:rPr lang="en-CA" sz="1200" b="1" i="0">
                  <a:latin typeface="Cambria Math"/>
                </a:rPr>
                <a:t>=𝟏+</a:t>
              </a:r>
              <a:r>
                <a:rPr lang="en-CA" sz="1200" b="1" i="0">
                  <a:latin typeface="Cambria Math" panose="02040503050406030204" pitchFamily="18" charset="0"/>
                </a:rPr>
                <a:t>[(</a:t>
              </a:r>
              <a:r>
                <a:rPr lang="en-CA" sz="1200" b="1" i="0">
                  <a:latin typeface="Cambria Math"/>
                </a:rPr>
                <a:t>𝑹𝑩</a:t>
              </a:r>
              <a:r>
                <a:rPr lang="en-CA" sz="1200" b="1" i="0">
                  <a:latin typeface="Cambria Math" panose="02040503050406030204" pitchFamily="18" charset="0"/>
                </a:rPr>
                <a:t>/</a:t>
              </a:r>
              <a:r>
                <a:rPr lang="en-CA" sz="1200" b="1" i="0">
                  <a:latin typeface="Cambria Math"/>
                </a:rPr>
                <a:t>𝒅</a:t>
              </a:r>
              <a:r>
                <a:rPr lang="en-CA" sz="1200" b="1" i="0">
                  <a:latin typeface="Cambria Math" panose="02040503050406030204" pitchFamily="18" charset="0"/>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𝒈+𝑷𝑪𝑰×(𝟏+𝒈)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𝟏+𝑷𝑪𝑰</a:t>
              </a:r>
              <a:r>
                <a:rPr lang="en-CA" sz="1200" b="1" i="0">
                  <a:latin typeface="Cambria Math" panose="02040503050406030204" pitchFamily="18" charset="0"/>
                  <a:ea typeface="Cambria Math"/>
                </a:rPr>
                <a:t>))</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52387</xdr:colOff>
      <xdr:row>63</xdr:row>
      <xdr:rowOff>133351</xdr:rowOff>
    </xdr:from>
    <xdr:ext cx="1671638" cy="29449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absoluteAnchor>
    <xdr:pos x="0" y="0"/>
    <xdr:ext cx="9544050" cy="1811990"/>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9544050" cy="1811990"/>
          <a:chOff x="9524" y="19051"/>
          <a:chExt cx="10364524" cy="1915766"/>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A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absoluteAnchor>
  <xdr:absoluteAnchor>
    <xdr:pos x="95250" y="341219"/>
    <xdr:ext cx="9299995" cy="1102659"/>
    <xdr:sp macro="" textlink="">
      <xdr:nvSpPr>
        <xdr:cNvPr id="6" name="Rectangle 5">
          <a:extLst>
            <a:ext uri="{FF2B5EF4-FFF2-40B4-BE49-F238E27FC236}">
              <a16:creationId xmlns:a16="http://schemas.microsoft.com/office/drawing/2014/main" id="{00000000-0008-0000-0A00-000006000000}"/>
            </a:ext>
          </a:extLst>
        </xdr:cNvPr>
        <xdr:cNvSpPr/>
      </xdr:nvSpPr>
      <xdr:spPr>
        <a:xfrm>
          <a:off x="95250" y="341219"/>
          <a:ext cx="9299995" cy="110265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absoluteAnchor>
  <xdr:absoluteAnchor>
    <xdr:pos x="114300" y="1359834"/>
    <xdr:ext cx="9277350" cy="424850"/>
    <xdr:sp macro="" textlink="'1. Information Sheet'!AA1" fLocksText="0">
      <xdr:nvSpPr>
        <xdr:cNvPr id="7" name="TextBox 6">
          <a:extLst>
            <a:ext uri="{FF2B5EF4-FFF2-40B4-BE49-F238E27FC236}">
              <a16:creationId xmlns:a16="http://schemas.microsoft.com/office/drawing/2014/main" id="{00000000-0008-0000-0A00-000007000000}"/>
            </a:ext>
          </a:extLst>
        </xdr:cNvPr>
        <xdr:cNvSpPr txBox="1"/>
      </xdr:nvSpPr>
      <xdr:spPr>
        <a:xfrm>
          <a:off x="114300" y="1359834"/>
          <a:ext cx="9277350" cy="42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3BA1BBB5-6F14-4209-A561-74ACFD3C1AF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absolute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9"/>
  <dimension ref="A1:CK320"/>
  <sheetViews>
    <sheetView topLeftCell="AI1" workbookViewId="0">
      <selection activeCell="AL43" sqref="AL43"/>
    </sheetView>
  </sheetViews>
  <sheetFormatPr defaultRowHeight="15" x14ac:dyDescent="0.25"/>
  <cols>
    <col min="1" max="1" width="105.7109375" bestFit="1" customWidth="1"/>
    <col min="9" max="9" width="132.140625" bestFit="1" customWidth="1"/>
    <col min="11" max="11" width="2.28515625" customWidth="1"/>
    <col min="12" max="12" width="59.140625" bestFit="1" customWidth="1"/>
    <col min="20" max="20" width="8.85546875" style="94"/>
    <col min="23" max="23" width="35.42578125" bestFit="1" customWidth="1"/>
    <col min="26" max="26" width="90.28515625" bestFit="1" customWidth="1"/>
    <col min="27" max="27" width="110" bestFit="1" customWidth="1"/>
    <col min="38" max="39" width="83" bestFit="1" customWidth="1"/>
    <col min="41" max="41" width="63.85546875" style="39" customWidth="1"/>
    <col min="43" max="43" width="14.85546875" customWidth="1"/>
    <col min="46" max="46" width="56.42578125" customWidth="1"/>
  </cols>
  <sheetData>
    <row r="1" spans="1:89" x14ac:dyDescent="0.25">
      <c r="B1" t="s">
        <v>23</v>
      </c>
      <c r="C1">
        <f>COUNTA(B1:B17)</f>
        <v>4</v>
      </c>
      <c r="I1" t="s">
        <v>24</v>
      </c>
      <c r="L1" s="26" t="s">
        <v>25</v>
      </c>
      <c r="N1" s="26" t="s">
        <v>26</v>
      </c>
      <c r="O1" s="26" t="s">
        <v>27</v>
      </c>
      <c r="P1" s="26" t="s">
        <v>28</v>
      </c>
      <c r="T1" s="27"/>
      <c r="Z1" s="28" t="s">
        <v>29</v>
      </c>
      <c r="AA1" s="28" t="s">
        <v>30</v>
      </c>
      <c r="AB1" s="29" t="s">
        <v>31</v>
      </c>
      <c r="AL1" s="368" t="s">
        <v>860</v>
      </c>
      <c r="AO1" s="31" t="s">
        <v>33</v>
      </c>
      <c r="AP1" t="s">
        <v>34</v>
      </c>
      <c r="AT1" s="32" t="s">
        <v>35</v>
      </c>
      <c r="AU1" s="33"/>
      <c r="AV1" s="33"/>
      <c r="AW1" s="34"/>
      <c r="AX1" s="33"/>
      <c r="AY1" s="33"/>
      <c r="AZ1" s="423"/>
      <c r="BA1" s="423"/>
      <c r="BB1" s="34"/>
      <c r="BC1" s="35"/>
      <c r="BD1" s="35"/>
      <c r="BE1" s="36"/>
      <c r="CC1" s="37"/>
      <c r="CD1" s="38"/>
    </row>
    <row r="2" spans="1:89" s="39" customFormat="1" x14ac:dyDescent="0.25">
      <c r="A2" t="s">
        <v>36</v>
      </c>
      <c r="B2" t="s">
        <v>37</v>
      </c>
      <c r="C2"/>
      <c r="D2"/>
      <c r="E2"/>
      <c r="F2"/>
      <c r="G2"/>
      <c r="H2"/>
      <c r="I2" t="s">
        <v>38</v>
      </c>
      <c r="K2"/>
      <c r="L2" s="29" t="s">
        <v>39</v>
      </c>
      <c r="M2"/>
      <c r="N2" t="s">
        <v>40</v>
      </c>
      <c r="O2" t="s">
        <v>41</v>
      </c>
      <c r="P2" t="s">
        <v>40</v>
      </c>
      <c r="Q2"/>
      <c r="R2"/>
      <c r="T2" s="27"/>
      <c r="U2"/>
      <c r="V2"/>
      <c r="W2" s="40"/>
      <c r="X2" s="40"/>
      <c r="Y2" s="40"/>
      <c r="Z2" s="28" t="s">
        <v>42</v>
      </c>
      <c r="AA2" s="28" t="s">
        <v>43</v>
      </c>
      <c r="AB2" s="29" t="s">
        <v>39</v>
      </c>
      <c r="AC2" s="40"/>
      <c r="AD2" s="40"/>
      <c r="AE2" s="40"/>
      <c r="AF2" s="40"/>
      <c r="AG2" s="40"/>
      <c r="AH2" s="40"/>
      <c r="AI2" s="40"/>
      <c r="AJ2" s="40"/>
      <c r="AK2" s="40"/>
      <c r="AL2" s="368" t="s">
        <v>861</v>
      </c>
      <c r="AM2"/>
      <c r="AN2" s="40"/>
      <c r="AO2" s="41" t="s">
        <v>45</v>
      </c>
      <c r="AP2" t="s">
        <v>34</v>
      </c>
      <c r="AS2" s="40"/>
      <c r="AT2" s="42" t="s">
        <v>46</v>
      </c>
      <c r="AU2" s="43"/>
      <c r="AV2" s="44"/>
      <c r="AW2" s="45">
        <f>AU2*AV2</f>
        <v>0</v>
      </c>
      <c r="AX2" s="43">
        <f t="shared" ref="AX2:AY4" si="0">AU2</f>
        <v>0</v>
      </c>
      <c r="AY2" s="46">
        <f t="shared" si="0"/>
        <v>0</v>
      </c>
      <c r="AZ2" s="424">
        <f>AX2*AY2</f>
        <v>0</v>
      </c>
      <c r="BA2" s="424"/>
      <c r="BB2" s="47">
        <f>AZ2-AW2</f>
        <v>0</v>
      </c>
      <c r="BC2" s="48" t="e">
        <f>BB2/AW2</f>
        <v>#DIV/0!</v>
      </c>
      <c r="BD2" s="48"/>
      <c r="BE2" s="49"/>
      <c r="BF2" s="40"/>
      <c r="BG2" s="40"/>
      <c r="BH2" s="40"/>
      <c r="BI2" s="40"/>
      <c r="BJ2" s="40"/>
      <c r="BK2" s="40"/>
      <c r="BL2" s="40"/>
      <c r="BM2" s="40"/>
      <c r="BN2" s="40"/>
      <c r="BO2" s="40"/>
      <c r="BP2" s="40"/>
      <c r="BQ2" s="40"/>
      <c r="BR2" s="40"/>
      <c r="BS2" s="40"/>
      <c r="BT2" s="40"/>
      <c r="BU2" s="40"/>
      <c r="BV2" s="40"/>
      <c r="BW2" s="40"/>
      <c r="BX2" s="40"/>
      <c r="BY2" s="40"/>
      <c r="BZ2" s="40"/>
      <c r="CA2" s="40"/>
      <c r="CB2" s="40"/>
      <c r="CC2"/>
      <c r="CD2" s="38"/>
      <c r="CE2" s="40"/>
      <c r="CF2" s="40"/>
      <c r="CG2" s="40"/>
      <c r="CH2" s="40"/>
      <c r="CI2" s="40"/>
      <c r="CJ2" s="40"/>
      <c r="CK2" s="40"/>
    </row>
    <row r="3" spans="1:89" x14ac:dyDescent="0.25">
      <c r="A3" t="s">
        <v>47</v>
      </c>
      <c r="B3" t="s">
        <v>48</v>
      </c>
      <c r="I3" t="s">
        <v>49</v>
      </c>
      <c r="L3" s="29" t="s">
        <v>50</v>
      </c>
      <c r="N3" t="s">
        <v>41</v>
      </c>
      <c r="O3" t="s">
        <v>51</v>
      </c>
      <c r="P3" t="s">
        <v>52</v>
      </c>
      <c r="T3" s="27"/>
      <c r="W3" t="s">
        <v>53</v>
      </c>
      <c r="Z3" s="28" t="s">
        <v>54</v>
      </c>
      <c r="AA3" s="28" t="s">
        <v>55</v>
      </c>
      <c r="AB3" s="29" t="s">
        <v>50</v>
      </c>
      <c r="AL3" s="368" t="s">
        <v>862</v>
      </c>
      <c r="AO3" s="31" t="s">
        <v>45</v>
      </c>
      <c r="AP3" t="s">
        <v>34</v>
      </c>
      <c r="AT3" s="42" t="s">
        <v>57</v>
      </c>
      <c r="AU3" s="43"/>
      <c r="AV3" s="44"/>
      <c r="AW3" s="45">
        <f>AU3*AV3</f>
        <v>0</v>
      </c>
      <c r="AX3" s="43">
        <f t="shared" si="0"/>
        <v>0</v>
      </c>
      <c r="AY3" s="46">
        <f t="shared" si="0"/>
        <v>0</v>
      </c>
      <c r="AZ3" s="424">
        <f>AX3*AY3</f>
        <v>0</v>
      </c>
      <c r="BA3" s="424"/>
      <c r="BB3" s="47">
        <f>AZ3-AW3</f>
        <v>0</v>
      </c>
      <c r="BC3" s="48" t="e">
        <f>BB3/AW3</f>
        <v>#DIV/0!</v>
      </c>
      <c r="BD3" s="48"/>
      <c r="BE3" s="49"/>
      <c r="CC3" s="37"/>
      <c r="CD3" s="38"/>
    </row>
    <row r="4" spans="1:89" x14ac:dyDescent="0.25">
      <c r="A4" t="s">
        <v>58</v>
      </c>
      <c r="B4" t="s">
        <v>59</v>
      </c>
      <c r="I4" t="s">
        <v>60</v>
      </c>
      <c r="L4" s="29" t="s">
        <v>61</v>
      </c>
      <c r="N4" t="s">
        <v>51</v>
      </c>
      <c r="O4" t="s">
        <v>62</v>
      </c>
      <c r="T4" s="27"/>
      <c r="W4" t="s">
        <v>63</v>
      </c>
      <c r="Z4" s="28" t="s">
        <v>30</v>
      </c>
      <c r="AA4" s="28" t="s">
        <v>64</v>
      </c>
      <c r="AB4" s="29" t="s">
        <v>61</v>
      </c>
      <c r="AL4" s="368" t="s">
        <v>863</v>
      </c>
      <c r="AO4" s="31" t="s">
        <v>65</v>
      </c>
      <c r="AP4" t="s">
        <v>66</v>
      </c>
      <c r="AT4" s="42" t="s">
        <v>67</v>
      </c>
      <c r="AU4" s="50"/>
      <c r="AV4" s="43"/>
      <c r="AW4" s="45">
        <f>AU4*AV4</f>
        <v>0</v>
      </c>
      <c r="AX4" s="50">
        <f t="shared" si="0"/>
        <v>0</v>
      </c>
      <c r="AY4" s="51">
        <f t="shared" si="0"/>
        <v>0</v>
      </c>
      <c r="AZ4" s="424">
        <f>AX4*AY4</f>
        <v>0</v>
      </c>
      <c r="BA4" s="424"/>
      <c r="BB4" s="47">
        <f>AZ4-AW4</f>
        <v>0</v>
      </c>
      <c r="BC4" s="48" t="e">
        <f>BB4/AW4</f>
        <v>#DIV/0!</v>
      </c>
      <c r="BD4" s="48"/>
      <c r="BE4" s="49"/>
      <c r="CD4" s="38"/>
    </row>
    <row r="5" spans="1:89" x14ac:dyDescent="0.25">
      <c r="A5" t="s">
        <v>68</v>
      </c>
      <c r="I5" t="s">
        <v>69</v>
      </c>
      <c r="L5" s="29" t="s">
        <v>70</v>
      </c>
      <c r="N5" t="s">
        <v>62</v>
      </c>
      <c r="T5" s="27"/>
      <c r="W5" t="s">
        <v>71</v>
      </c>
      <c r="Z5" s="28" t="s">
        <v>72</v>
      </c>
      <c r="AA5" s="28" t="s">
        <v>73</v>
      </c>
      <c r="AB5" s="29" t="s">
        <v>70</v>
      </c>
      <c r="AL5" s="368" t="s">
        <v>886</v>
      </c>
      <c r="AO5" s="31" t="s">
        <v>75</v>
      </c>
      <c r="AP5" t="s">
        <v>66</v>
      </c>
      <c r="AT5" s="32" t="s">
        <v>76</v>
      </c>
      <c r="AU5" s="33"/>
      <c r="AV5" s="33"/>
      <c r="AW5" s="34">
        <f>SUM(AW2:AW4)</f>
        <v>0</v>
      </c>
      <c r="AX5" s="33"/>
      <c r="AY5" s="33"/>
      <c r="AZ5" s="423">
        <f>SUM(AZ2:BA4)</f>
        <v>0</v>
      </c>
      <c r="BA5" s="423"/>
      <c r="BB5" s="34">
        <f>AZ5-AW5</f>
        <v>0</v>
      </c>
      <c r="BC5" s="52" t="e">
        <f>BB5/AW5</f>
        <v>#DIV/0!</v>
      </c>
      <c r="BD5" s="35"/>
      <c r="BE5" s="36"/>
      <c r="CD5" s="38"/>
    </row>
    <row r="6" spans="1:89" x14ac:dyDescent="0.25">
      <c r="A6" t="s">
        <v>77</v>
      </c>
      <c r="I6" t="s">
        <v>78</v>
      </c>
      <c r="L6" s="29" t="s">
        <v>79</v>
      </c>
      <c r="T6" s="27"/>
      <c r="W6" t="s">
        <v>80</v>
      </c>
      <c r="Z6" s="28" t="s">
        <v>81</v>
      </c>
      <c r="AA6" s="28" t="s">
        <v>82</v>
      </c>
      <c r="AB6" s="29" t="s">
        <v>79</v>
      </c>
      <c r="AL6" s="368" t="s">
        <v>32</v>
      </c>
      <c r="AO6" s="31" t="s">
        <v>84</v>
      </c>
      <c r="AP6" t="s">
        <v>34</v>
      </c>
      <c r="AT6" s="53" t="s">
        <v>85</v>
      </c>
      <c r="AU6" s="43"/>
      <c r="AV6" s="54"/>
      <c r="AW6" s="45">
        <f>AU6*AV6</f>
        <v>0</v>
      </c>
      <c r="AX6" s="43">
        <f>AU6</f>
        <v>0</v>
      </c>
      <c r="AY6" s="46">
        <f>AV6</f>
        <v>0</v>
      </c>
      <c r="AZ6" s="422">
        <f>AX6*AY6</f>
        <v>0</v>
      </c>
      <c r="BA6" s="422"/>
      <c r="BB6" s="47">
        <f>AZ6-AW6</f>
        <v>0</v>
      </c>
      <c r="BC6" s="48" t="e">
        <f>BB6/AW6</f>
        <v>#DIV/0!</v>
      </c>
      <c r="BD6" s="55"/>
      <c r="BE6" s="56"/>
      <c r="CD6" s="38"/>
    </row>
    <row r="7" spans="1:89" x14ac:dyDescent="0.25">
      <c r="A7" t="s">
        <v>86</v>
      </c>
      <c r="I7" t="s">
        <v>87</v>
      </c>
      <c r="L7" s="57"/>
      <c r="T7" s="27"/>
      <c r="Z7" s="28"/>
      <c r="AA7" s="28"/>
      <c r="AL7" s="368" t="s">
        <v>44</v>
      </c>
      <c r="AO7" s="31" t="s">
        <v>88</v>
      </c>
      <c r="AP7" t="s">
        <v>34</v>
      </c>
      <c r="AT7" s="58"/>
      <c r="AU7" s="59"/>
      <c r="AV7" s="59"/>
      <c r="AW7" s="60"/>
      <c r="AX7" s="59"/>
      <c r="AY7" s="59"/>
      <c r="AZ7" s="418"/>
      <c r="BA7" s="419"/>
      <c r="BB7" s="61"/>
      <c r="BC7" s="62"/>
      <c r="BD7" s="63"/>
      <c r="BE7" s="64"/>
      <c r="CC7" s="37"/>
      <c r="CD7" s="38"/>
    </row>
    <row r="8" spans="1:89" x14ac:dyDescent="0.25">
      <c r="A8" t="s">
        <v>89</v>
      </c>
      <c r="I8" t="s">
        <v>90</v>
      </c>
      <c r="L8" s="29" t="s">
        <v>91</v>
      </c>
      <c r="T8" s="27"/>
      <c r="W8" t="s">
        <v>92</v>
      </c>
      <c r="Z8" s="28" t="s">
        <v>93</v>
      </c>
      <c r="AA8" s="28" t="s">
        <v>94</v>
      </c>
      <c r="AB8" s="29" t="s">
        <v>91</v>
      </c>
      <c r="AL8" s="368" t="s">
        <v>56</v>
      </c>
      <c r="AO8" s="31" t="s">
        <v>96</v>
      </c>
      <c r="AP8" t="s">
        <v>34</v>
      </c>
      <c r="AT8" s="53" t="s">
        <v>97</v>
      </c>
      <c r="AU8" s="65"/>
      <c r="AV8" s="65"/>
      <c r="AW8" s="47"/>
      <c r="AX8" s="66"/>
      <c r="AY8" s="66"/>
      <c r="AZ8" s="420"/>
      <c r="BA8" s="420"/>
      <c r="BB8" s="47">
        <f>AZ8-AW8</f>
        <v>0</v>
      </c>
      <c r="BC8" s="48"/>
      <c r="BD8" s="48"/>
      <c r="BE8" s="49"/>
      <c r="CD8" s="38"/>
    </row>
    <row r="9" spans="1:89" x14ac:dyDescent="0.25">
      <c r="A9" t="s">
        <v>98</v>
      </c>
      <c r="I9" t="s">
        <v>99</v>
      </c>
      <c r="L9" s="57" t="s">
        <v>100</v>
      </c>
      <c r="T9" s="27"/>
      <c r="W9" t="s">
        <v>101</v>
      </c>
      <c r="Z9" s="28" t="s">
        <v>102</v>
      </c>
      <c r="AA9" s="28" t="s">
        <v>103</v>
      </c>
      <c r="AL9" s="368" t="s">
        <v>74</v>
      </c>
      <c r="AO9" s="31" t="s">
        <v>105</v>
      </c>
      <c r="AP9" t="s">
        <v>34</v>
      </c>
      <c r="AT9" s="67" t="s">
        <v>106</v>
      </c>
      <c r="AU9" s="68"/>
      <c r="AV9" s="69"/>
      <c r="AW9" s="47">
        <f>AV9*AW8</f>
        <v>0</v>
      </c>
      <c r="AX9" s="68"/>
      <c r="AY9" s="69">
        <f>AV9</f>
        <v>0</v>
      </c>
      <c r="AZ9" s="420">
        <f>AY9*AZ8</f>
        <v>0</v>
      </c>
      <c r="BA9" s="420"/>
      <c r="BB9" s="47">
        <f>AZ9-AW9</f>
        <v>0</v>
      </c>
      <c r="BC9" s="48" t="e">
        <f>BB9/AW9</f>
        <v>#DIV/0!</v>
      </c>
      <c r="BD9" s="48"/>
      <c r="BE9" s="49"/>
      <c r="CC9" s="37"/>
      <c r="CD9" s="38"/>
    </row>
    <row r="10" spans="1:89" x14ac:dyDescent="0.25">
      <c r="A10" t="s">
        <v>107</v>
      </c>
      <c r="I10" t="s">
        <v>108</v>
      </c>
      <c r="L10" s="57" t="s">
        <v>109</v>
      </c>
      <c r="T10" s="27"/>
      <c r="W10" t="s">
        <v>110</v>
      </c>
      <c r="Z10" s="28" t="s">
        <v>111</v>
      </c>
      <c r="AA10" s="28" t="s">
        <v>112</v>
      </c>
      <c r="AL10" s="368" t="s">
        <v>83</v>
      </c>
      <c r="AO10" s="31" t="s">
        <v>114</v>
      </c>
      <c r="AP10" t="s">
        <v>34</v>
      </c>
      <c r="AT10" s="67" t="s">
        <v>115</v>
      </c>
      <c r="AU10" s="70"/>
      <c r="AV10" s="70"/>
      <c r="AW10" s="47">
        <f>AW9+AW8</f>
        <v>0</v>
      </c>
      <c r="AX10" s="70"/>
      <c r="AY10" s="70"/>
      <c r="AZ10" s="420">
        <f>AZ9+AZ8</f>
        <v>0</v>
      </c>
      <c r="BA10" s="420"/>
      <c r="BB10" s="47">
        <f>AZ10-AW10</f>
        <v>0</v>
      </c>
      <c r="BC10" s="48" t="e">
        <f>BB10/AW10</f>
        <v>#DIV/0!</v>
      </c>
      <c r="BD10" s="48"/>
      <c r="BE10" s="49"/>
      <c r="CD10" s="38"/>
    </row>
    <row r="11" spans="1:89" x14ac:dyDescent="0.25">
      <c r="A11" t="s">
        <v>116</v>
      </c>
      <c r="I11" t="s">
        <v>117</v>
      </c>
      <c r="L11" s="57" t="s">
        <v>118</v>
      </c>
      <c r="T11" s="27"/>
      <c r="W11" t="s">
        <v>119</v>
      </c>
      <c r="Z11" s="28" t="s">
        <v>120</v>
      </c>
      <c r="AA11" s="28" t="s">
        <v>111</v>
      </c>
      <c r="AL11" s="368" t="s">
        <v>95</v>
      </c>
      <c r="AO11" s="31" t="s">
        <v>121</v>
      </c>
      <c r="AP11" t="s">
        <v>34</v>
      </c>
      <c r="AT11" s="67" t="s">
        <v>122</v>
      </c>
      <c r="AU11" s="65"/>
      <c r="AV11" s="71"/>
      <c r="AW11" s="72">
        <f>-0.1*AW10</f>
        <v>0</v>
      </c>
      <c r="AX11" s="66"/>
      <c r="AY11" s="73">
        <f>AV11</f>
        <v>0</v>
      </c>
      <c r="AZ11" s="421">
        <f>-0.1*AZ10</f>
        <v>0</v>
      </c>
      <c r="BA11" s="421"/>
      <c r="BB11" s="47">
        <f>AZ11-AW11</f>
        <v>0</v>
      </c>
      <c r="BC11" s="48" t="e">
        <f>BB11/AW11</f>
        <v>#DIV/0!</v>
      </c>
      <c r="BD11" s="48"/>
      <c r="BE11" s="49"/>
      <c r="CD11" s="38"/>
    </row>
    <row r="12" spans="1:89" ht="15.75" thickBot="1" x14ac:dyDescent="0.3">
      <c r="A12" t="s">
        <v>123</v>
      </c>
      <c r="I12" t="s">
        <v>124</v>
      </c>
      <c r="L12" s="57" t="s">
        <v>125</v>
      </c>
      <c r="T12" s="27"/>
      <c r="W12" t="s">
        <v>126</v>
      </c>
      <c r="Z12" s="28" t="s">
        <v>127</v>
      </c>
      <c r="AA12" s="28" t="s">
        <v>128</v>
      </c>
      <c r="AL12" s="368" t="s">
        <v>104</v>
      </c>
      <c r="AO12" s="31" t="s">
        <v>130</v>
      </c>
      <c r="AP12" t="s">
        <v>34</v>
      </c>
      <c r="AT12" s="74" t="s">
        <v>131</v>
      </c>
      <c r="AU12" s="75"/>
      <c r="AV12" s="75"/>
      <c r="AW12" s="76">
        <f>AW10+AW11</f>
        <v>0</v>
      </c>
      <c r="AX12" s="75"/>
      <c r="AY12" s="75"/>
      <c r="AZ12" s="417">
        <f>AZ10+AZ11</f>
        <v>0</v>
      </c>
      <c r="BA12" s="417"/>
      <c r="BB12" s="77">
        <f>AZ12-AW12</f>
        <v>0</v>
      </c>
      <c r="BC12" s="78" t="e">
        <f>BB12/AW12</f>
        <v>#DIV/0!</v>
      </c>
      <c r="BD12" s="79"/>
      <c r="BE12" s="80"/>
      <c r="CC12" s="37"/>
      <c r="CD12" s="38"/>
    </row>
    <row r="13" spans="1:89" x14ac:dyDescent="0.25">
      <c r="A13" t="s">
        <v>132</v>
      </c>
      <c r="I13" t="s">
        <v>133</v>
      </c>
      <c r="L13" s="57"/>
      <c r="T13" s="27"/>
      <c r="Z13" s="28"/>
      <c r="AA13" s="28"/>
      <c r="AL13" s="368" t="s">
        <v>113</v>
      </c>
      <c r="AO13" s="31" t="s">
        <v>135</v>
      </c>
      <c r="AP13" t="s">
        <v>34</v>
      </c>
      <c r="AT13" s="58"/>
      <c r="AU13" s="59"/>
      <c r="AV13" s="59"/>
      <c r="AW13" s="60"/>
      <c r="AX13" s="59"/>
      <c r="AY13" s="59"/>
      <c r="AZ13" s="418"/>
      <c r="BA13" s="419"/>
      <c r="BB13" s="61"/>
      <c r="BC13" s="62"/>
      <c r="BD13" s="63"/>
      <c r="BE13" s="64"/>
      <c r="CC13" s="37"/>
      <c r="CD13" s="38"/>
    </row>
    <row r="14" spans="1:89" x14ac:dyDescent="0.25">
      <c r="A14" t="s">
        <v>45</v>
      </c>
      <c r="I14" t="s">
        <v>136</v>
      </c>
      <c r="L14" s="57" t="s">
        <v>137</v>
      </c>
      <c r="T14" s="27"/>
      <c r="W14" t="s">
        <v>138</v>
      </c>
      <c r="Z14" s="28" t="s">
        <v>139</v>
      </c>
      <c r="AA14" s="28" t="s">
        <v>140</v>
      </c>
      <c r="AL14" s="368" t="s">
        <v>129</v>
      </c>
      <c r="AO14" s="31" t="s">
        <v>141</v>
      </c>
      <c r="AP14" t="s">
        <v>34</v>
      </c>
      <c r="AT14" s="53" t="s">
        <v>142</v>
      </c>
      <c r="AU14" s="65"/>
      <c r="AV14" s="65"/>
      <c r="AW14" s="47"/>
      <c r="AX14" s="66"/>
      <c r="AY14" s="66"/>
      <c r="AZ14" s="420"/>
      <c r="BA14" s="420"/>
      <c r="BB14" s="47">
        <f>AZ14-AW14</f>
        <v>0</v>
      </c>
      <c r="BC14" s="48"/>
      <c r="BD14" s="48"/>
      <c r="BE14" s="49"/>
      <c r="CD14" s="38"/>
    </row>
    <row r="15" spans="1:89" x14ac:dyDescent="0.25">
      <c r="A15" t="s">
        <v>143</v>
      </c>
      <c r="I15" t="s">
        <v>144</v>
      </c>
      <c r="L15" s="29" t="s">
        <v>31</v>
      </c>
      <c r="T15" s="27"/>
      <c r="W15" t="s">
        <v>145</v>
      </c>
      <c r="Z15" s="28" t="s">
        <v>146</v>
      </c>
      <c r="AA15" s="28" t="s">
        <v>147</v>
      </c>
      <c r="AL15" s="368" t="s">
        <v>134</v>
      </c>
      <c r="AM15" s="81"/>
      <c r="AO15" s="31" t="s">
        <v>148</v>
      </c>
      <c r="AP15" t="s">
        <v>34</v>
      </c>
      <c r="AT15" s="67" t="s">
        <v>106</v>
      </c>
      <c r="AU15" s="68"/>
      <c r="AV15" s="69"/>
      <c r="AW15" s="47">
        <f>AV15*AW14</f>
        <v>0</v>
      </c>
      <c r="AX15" s="68"/>
      <c r="AY15" s="69">
        <f>AV15</f>
        <v>0</v>
      </c>
      <c r="AZ15" s="420">
        <f>AY15*AZ14</f>
        <v>0</v>
      </c>
      <c r="BA15" s="420"/>
      <c r="BB15" s="47">
        <f>AZ15-AW15</f>
        <v>0</v>
      </c>
      <c r="BC15" s="48" t="e">
        <f>BB15/AW15</f>
        <v>#DIV/0!</v>
      </c>
      <c r="BD15" s="48"/>
      <c r="BE15" s="49"/>
      <c r="CD15" s="38"/>
    </row>
    <row r="16" spans="1:89" ht="30" x14ac:dyDescent="0.25">
      <c r="A16" t="s">
        <v>149</v>
      </c>
      <c r="I16" s="82" t="s">
        <v>150</v>
      </c>
      <c r="T16" s="27"/>
      <c r="W16" t="s">
        <v>151</v>
      </c>
      <c r="Z16" s="28" t="s">
        <v>152</v>
      </c>
      <c r="AA16" s="28" t="s">
        <v>153</v>
      </c>
      <c r="AL16" s="368" t="s">
        <v>887</v>
      </c>
      <c r="AM16" s="81"/>
      <c r="AO16" s="31" t="s">
        <v>154</v>
      </c>
      <c r="AP16" t="s">
        <v>34</v>
      </c>
      <c r="AT16" s="67" t="s">
        <v>115</v>
      </c>
      <c r="AU16" s="70"/>
      <c r="AV16" s="70"/>
      <c r="AW16" s="47">
        <f>AW15+AW14</f>
        <v>0</v>
      </c>
      <c r="AX16" s="70"/>
      <c r="AY16" s="70"/>
      <c r="AZ16" s="420">
        <f>AZ15+AZ14</f>
        <v>0</v>
      </c>
      <c r="BA16" s="420"/>
      <c r="BB16" s="47">
        <f>AZ16-AW16</f>
        <v>0</v>
      </c>
      <c r="BC16" s="48" t="e">
        <f>BB16/AW16</f>
        <v>#DIV/0!</v>
      </c>
      <c r="BD16" s="48"/>
      <c r="BE16" s="49"/>
      <c r="CD16" s="38"/>
    </row>
    <row r="17" spans="1:82" x14ac:dyDescent="0.25">
      <c r="A17" t="s">
        <v>141</v>
      </c>
      <c r="I17" t="s">
        <v>155</v>
      </c>
      <c r="T17" s="27"/>
      <c r="W17" t="s">
        <v>156</v>
      </c>
      <c r="Z17" s="28" t="s">
        <v>157</v>
      </c>
      <c r="AA17" s="28" t="s">
        <v>158</v>
      </c>
      <c r="AL17" s="368" t="s">
        <v>888</v>
      </c>
      <c r="AM17" s="81"/>
      <c r="AO17" s="31" t="s">
        <v>159</v>
      </c>
      <c r="AP17" t="s">
        <v>34</v>
      </c>
      <c r="AT17" s="67" t="s">
        <v>122</v>
      </c>
      <c r="AU17" s="65"/>
      <c r="AV17" s="71"/>
      <c r="AW17" s="72">
        <f>-0.1*AW16</f>
        <v>0</v>
      </c>
      <c r="AX17" s="66"/>
      <c r="AY17" s="73">
        <f>AV17</f>
        <v>0</v>
      </c>
      <c r="AZ17" s="421">
        <f>-0.1*AZ16</f>
        <v>0</v>
      </c>
      <c r="BA17" s="421"/>
      <c r="BB17" s="47">
        <f>AZ17-AW17</f>
        <v>0</v>
      </c>
      <c r="BC17" s="48" t="e">
        <f>BB17/AW17</f>
        <v>#DIV/0!</v>
      </c>
      <c r="BD17" s="48"/>
      <c r="BE17" s="49"/>
      <c r="CC17" s="37"/>
      <c r="CD17" s="38"/>
    </row>
    <row r="18" spans="1:82" ht="15.75" thickBot="1" x14ac:dyDescent="0.3">
      <c r="A18" t="s">
        <v>148</v>
      </c>
      <c r="I18" t="s">
        <v>160</v>
      </c>
      <c r="T18" s="27"/>
      <c r="W18" t="s">
        <v>161</v>
      </c>
      <c r="Z18" s="28" t="s">
        <v>162</v>
      </c>
      <c r="AA18" s="28" t="s">
        <v>163</v>
      </c>
      <c r="AL18" s="368" t="s">
        <v>864</v>
      </c>
      <c r="AM18" s="81"/>
      <c r="AO18" s="31" t="s">
        <v>164</v>
      </c>
      <c r="AP18" t="s">
        <v>34</v>
      </c>
      <c r="AT18" s="74" t="s">
        <v>165</v>
      </c>
      <c r="AU18" s="75"/>
      <c r="AV18" s="75"/>
      <c r="AW18" s="76">
        <f>AW16+AW17</f>
        <v>0</v>
      </c>
      <c r="AX18" s="75"/>
      <c r="AY18" s="75"/>
      <c r="AZ18" s="417">
        <f>AZ16+AZ17</f>
        <v>0</v>
      </c>
      <c r="BA18" s="417"/>
      <c r="BB18" s="77">
        <f>AZ18-AW18</f>
        <v>0</v>
      </c>
      <c r="BC18" s="78" t="e">
        <f>BB18/AW18</f>
        <v>#DIV/0!</v>
      </c>
      <c r="BD18" s="79"/>
      <c r="BE18" s="80"/>
      <c r="CD18" s="38"/>
    </row>
    <row r="19" spans="1:82" x14ac:dyDescent="0.25">
      <c r="A19" t="s">
        <v>166</v>
      </c>
      <c r="I19" t="s">
        <v>167</v>
      </c>
      <c r="T19" s="27"/>
      <c r="W19" t="s">
        <v>168</v>
      </c>
      <c r="Z19" s="28" t="s">
        <v>169</v>
      </c>
      <c r="AA19" s="28" t="s">
        <v>170</v>
      </c>
      <c r="AL19" s="368" t="s">
        <v>865</v>
      </c>
      <c r="AM19" s="81"/>
      <c r="AO19" s="31" t="s">
        <v>171</v>
      </c>
      <c r="AP19" t="s">
        <v>34</v>
      </c>
      <c r="CD19" s="38"/>
    </row>
    <row r="20" spans="1:82" x14ac:dyDescent="0.25">
      <c r="A20" t="s">
        <v>172</v>
      </c>
      <c r="I20" t="s">
        <v>173</v>
      </c>
      <c r="T20" s="27"/>
      <c r="W20" t="s">
        <v>174</v>
      </c>
      <c r="Z20" s="83" t="s">
        <v>175</v>
      </c>
      <c r="AA20" s="28" t="s">
        <v>176</v>
      </c>
      <c r="AL20" s="368" t="s">
        <v>866</v>
      </c>
      <c r="AO20" s="31" t="s">
        <v>178</v>
      </c>
      <c r="AP20" t="s">
        <v>34</v>
      </c>
      <c r="CD20" s="38"/>
    </row>
    <row r="21" spans="1:82" x14ac:dyDescent="0.25">
      <c r="A21" t="s">
        <v>179</v>
      </c>
      <c r="I21" t="s">
        <v>180</v>
      </c>
      <c r="S21" s="57"/>
      <c r="T21" s="27"/>
      <c r="W21" t="s">
        <v>181</v>
      </c>
      <c r="Z21" s="28" t="s">
        <v>182</v>
      </c>
      <c r="AA21" s="28" t="s">
        <v>183</v>
      </c>
      <c r="AL21" s="368" t="s">
        <v>867</v>
      </c>
      <c r="AO21" s="31" t="s">
        <v>184</v>
      </c>
      <c r="AP21" t="s">
        <v>34</v>
      </c>
      <c r="CC21" s="37"/>
      <c r="CD21" s="38"/>
    </row>
    <row r="22" spans="1:82" x14ac:dyDescent="0.25">
      <c r="A22" t="s">
        <v>185</v>
      </c>
      <c r="I22" t="s">
        <v>186</v>
      </c>
      <c r="T22" s="27"/>
      <c r="W22" t="s">
        <v>187</v>
      </c>
      <c r="Z22" s="28" t="s">
        <v>188</v>
      </c>
      <c r="AA22" s="28" t="s">
        <v>189</v>
      </c>
      <c r="AL22" s="368" t="s">
        <v>177</v>
      </c>
      <c r="AO22" s="31" t="s">
        <v>191</v>
      </c>
      <c r="AP22" t="s">
        <v>34</v>
      </c>
      <c r="CD22" s="38"/>
    </row>
    <row r="23" spans="1:82" x14ac:dyDescent="0.25">
      <c r="A23" t="s">
        <v>192</v>
      </c>
      <c r="I23" t="s">
        <v>193</v>
      </c>
      <c r="T23" s="27"/>
      <c r="W23" t="s">
        <v>194</v>
      </c>
      <c r="Z23" s="28" t="s">
        <v>195</v>
      </c>
      <c r="AA23" s="28" t="s">
        <v>196</v>
      </c>
      <c r="AL23" s="368" t="s">
        <v>868</v>
      </c>
      <c r="AO23" s="31" t="s">
        <v>198</v>
      </c>
      <c r="AP23" t="s">
        <v>34</v>
      </c>
      <c r="CD23" s="38"/>
    </row>
    <row r="24" spans="1:82" x14ac:dyDescent="0.25">
      <c r="A24" t="s">
        <v>199</v>
      </c>
      <c r="I24" t="s">
        <v>200</v>
      </c>
      <c r="T24" s="27"/>
      <c r="W24" t="s">
        <v>201</v>
      </c>
      <c r="Z24" s="28" t="s">
        <v>202</v>
      </c>
      <c r="AA24" s="28" t="s">
        <v>203</v>
      </c>
      <c r="AL24" s="368" t="s">
        <v>869</v>
      </c>
      <c r="AO24" s="31" t="s">
        <v>149</v>
      </c>
      <c r="AP24" t="s">
        <v>34</v>
      </c>
      <c r="CD24" s="38"/>
    </row>
    <row r="25" spans="1:82" x14ac:dyDescent="0.25">
      <c r="A25" t="s">
        <v>205</v>
      </c>
      <c r="I25" t="s">
        <v>206</v>
      </c>
      <c r="T25" s="27"/>
      <c r="W25" t="s">
        <v>207</v>
      </c>
      <c r="Z25" s="28" t="s">
        <v>208</v>
      </c>
      <c r="AA25" s="28" t="s">
        <v>209</v>
      </c>
      <c r="AL25" s="368" t="s">
        <v>870</v>
      </c>
      <c r="AO25" s="31" t="s">
        <v>211</v>
      </c>
      <c r="AP25" t="s">
        <v>34</v>
      </c>
      <c r="CC25" s="37"/>
      <c r="CD25" s="38"/>
    </row>
    <row r="26" spans="1:82" x14ac:dyDescent="0.25">
      <c r="A26" t="s">
        <v>212</v>
      </c>
      <c r="B26" t="s">
        <v>213</v>
      </c>
      <c r="I26" t="s">
        <v>214</v>
      </c>
      <c r="T26" s="27"/>
      <c r="W26" t="s">
        <v>215</v>
      </c>
      <c r="Z26" s="83" t="s">
        <v>216</v>
      </c>
      <c r="AA26" s="28" t="s">
        <v>217</v>
      </c>
      <c r="AL26" s="368" t="s">
        <v>190</v>
      </c>
      <c r="AO26" s="31" t="s">
        <v>219</v>
      </c>
      <c r="AP26" t="s">
        <v>34</v>
      </c>
      <c r="CD26" s="38"/>
    </row>
    <row r="27" spans="1:82" x14ac:dyDescent="0.25">
      <c r="A27" t="s">
        <v>220</v>
      </c>
      <c r="B27" t="s">
        <v>221</v>
      </c>
      <c r="I27" t="s">
        <v>222</v>
      </c>
      <c r="T27" s="27"/>
      <c r="W27" t="s">
        <v>223</v>
      </c>
      <c r="Z27" s="28" t="s">
        <v>224</v>
      </c>
      <c r="AA27" s="28" t="s">
        <v>225</v>
      </c>
      <c r="AL27" s="368" t="s">
        <v>197</v>
      </c>
      <c r="AO27" s="31" t="s">
        <v>89</v>
      </c>
      <c r="AP27" t="s">
        <v>34</v>
      </c>
      <c r="CD27" s="38"/>
    </row>
    <row r="28" spans="1:82" x14ac:dyDescent="0.25">
      <c r="A28" t="s">
        <v>226</v>
      </c>
      <c r="B28" t="s">
        <v>227</v>
      </c>
      <c r="I28" t="s">
        <v>228</v>
      </c>
      <c r="T28" s="27"/>
      <c r="W28" t="s">
        <v>229</v>
      </c>
      <c r="Z28" s="28" t="s">
        <v>230</v>
      </c>
      <c r="AA28" s="28" t="s">
        <v>231</v>
      </c>
      <c r="AL28" s="368" t="s">
        <v>204</v>
      </c>
      <c r="AO28" s="31" t="s">
        <v>232</v>
      </c>
      <c r="AP28" t="s">
        <v>34</v>
      </c>
      <c r="CD28" s="38"/>
    </row>
    <row r="29" spans="1:82" x14ac:dyDescent="0.25">
      <c r="A29" t="s">
        <v>33</v>
      </c>
      <c r="B29" t="s">
        <v>233</v>
      </c>
      <c r="I29" t="s">
        <v>234</v>
      </c>
      <c r="T29" s="27"/>
      <c r="W29" t="s">
        <v>235</v>
      </c>
      <c r="Z29" s="28" t="s">
        <v>236</v>
      </c>
      <c r="AA29" s="28" t="s">
        <v>237</v>
      </c>
      <c r="AL29" s="368" t="s">
        <v>210</v>
      </c>
      <c r="AO29" s="31" t="s">
        <v>238</v>
      </c>
      <c r="AP29" t="s">
        <v>34</v>
      </c>
      <c r="CC29" s="37"/>
      <c r="CD29" s="38"/>
    </row>
    <row r="30" spans="1:82" x14ac:dyDescent="0.25">
      <c r="A30" t="s">
        <v>239</v>
      </c>
      <c r="B30" t="s">
        <v>240</v>
      </c>
      <c r="I30" t="s">
        <v>241</v>
      </c>
      <c r="T30" s="27"/>
      <c r="W30" t="s">
        <v>242</v>
      </c>
      <c r="Z30" s="28" t="s">
        <v>243</v>
      </c>
      <c r="AA30" s="28" t="s">
        <v>157</v>
      </c>
      <c r="AL30" s="368" t="s">
        <v>218</v>
      </c>
      <c r="AO30" s="31" t="s">
        <v>245</v>
      </c>
      <c r="AP30" t="s">
        <v>34</v>
      </c>
      <c r="CD30" s="38"/>
    </row>
    <row r="31" spans="1:82" x14ac:dyDescent="0.25">
      <c r="A31" t="s">
        <v>246</v>
      </c>
      <c r="B31" t="s">
        <v>247</v>
      </c>
      <c r="I31" t="s">
        <v>248</v>
      </c>
      <c r="T31" s="27"/>
      <c r="W31" t="s">
        <v>249</v>
      </c>
      <c r="Z31" s="83" t="s">
        <v>250</v>
      </c>
      <c r="AA31" s="28" t="s">
        <v>251</v>
      </c>
      <c r="AL31" s="368" t="s">
        <v>871</v>
      </c>
      <c r="AO31" s="31" t="s">
        <v>252</v>
      </c>
      <c r="AP31" t="s">
        <v>34</v>
      </c>
      <c r="CD31" s="38"/>
    </row>
    <row r="32" spans="1:82" x14ac:dyDescent="0.25">
      <c r="A32" t="s">
        <v>253</v>
      </c>
      <c r="B32" t="s">
        <v>254</v>
      </c>
      <c r="I32" t="s">
        <v>255</v>
      </c>
      <c r="T32" s="27"/>
      <c r="W32" t="s">
        <v>256</v>
      </c>
      <c r="Z32" s="28" t="s">
        <v>257</v>
      </c>
      <c r="AA32" s="28" t="s">
        <v>258</v>
      </c>
      <c r="AL32" s="368" t="s">
        <v>244</v>
      </c>
      <c r="AO32" s="31" t="s">
        <v>260</v>
      </c>
      <c r="AP32" t="s">
        <v>34</v>
      </c>
      <c r="CD32" s="38"/>
    </row>
    <row r="33" spans="1:82" x14ac:dyDescent="0.25">
      <c r="A33" t="s">
        <v>261</v>
      </c>
      <c r="B33" t="s">
        <v>262</v>
      </c>
      <c r="I33" t="s">
        <v>263</v>
      </c>
      <c r="T33" s="27"/>
      <c r="W33" t="s">
        <v>264</v>
      </c>
      <c r="Z33" s="28" t="s">
        <v>265</v>
      </c>
      <c r="AA33" s="28" t="s">
        <v>188</v>
      </c>
      <c r="AL33" s="368" t="s">
        <v>872</v>
      </c>
      <c r="AO33" s="31" t="s">
        <v>220</v>
      </c>
      <c r="AP33" t="s">
        <v>34</v>
      </c>
      <c r="CC33" s="37"/>
      <c r="CD33" s="38"/>
    </row>
    <row r="34" spans="1:82" x14ac:dyDescent="0.25">
      <c r="A34" t="s">
        <v>267</v>
      </c>
      <c r="B34" t="s">
        <v>268</v>
      </c>
      <c r="I34" t="s">
        <v>269</v>
      </c>
      <c r="T34" s="27"/>
      <c r="W34" t="s">
        <v>270</v>
      </c>
      <c r="Z34" s="28" t="s">
        <v>271</v>
      </c>
      <c r="AA34" s="28" t="s">
        <v>272</v>
      </c>
      <c r="AL34" s="368" t="s">
        <v>259</v>
      </c>
      <c r="AO34" s="31" t="s">
        <v>274</v>
      </c>
      <c r="AP34" t="s">
        <v>34</v>
      </c>
      <c r="CD34" s="38"/>
    </row>
    <row r="35" spans="1:82" x14ac:dyDescent="0.25">
      <c r="A35" t="s">
        <v>275</v>
      </c>
      <c r="B35" t="s">
        <v>276</v>
      </c>
      <c r="I35" t="s">
        <v>277</v>
      </c>
      <c r="T35" s="27"/>
      <c r="Z35" s="28" t="s">
        <v>278</v>
      </c>
      <c r="AA35" s="28" t="s">
        <v>195</v>
      </c>
      <c r="AL35" s="368" t="s">
        <v>266</v>
      </c>
      <c r="AO35" s="31" t="s">
        <v>280</v>
      </c>
      <c r="AP35" t="s">
        <v>34</v>
      </c>
      <c r="CD35" s="38"/>
    </row>
    <row r="36" spans="1:82" x14ac:dyDescent="0.25">
      <c r="A36" t="s">
        <v>281</v>
      </c>
      <c r="B36" t="s">
        <v>282</v>
      </c>
      <c r="I36" t="s">
        <v>283</v>
      </c>
      <c r="T36" s="27"/>
      <c r="Z36" s="28" t="s">
        <v>284</v>
      </c>
      <c r="AA36" s="28" t="s">
        <v>285</v>
      </c>
      <c r="AL36" s="368" t="s">
        <v>273</v>
      </c>
      <c r="AM36" s="85"/>
      <c r="AO36" s="31" t="s">
        <v>286</v>
      </c>
      <c r="AP36" t="s">
        <v>34</v>
      </c>
      <c r="CD36" s="38"/>
    </row>
    <row r="37" spans="1:82" x14ac:dyDescent="0.25">
      <c r="A37" t="s">
        <v>287</v>
      </c>
      <c r="B37" t="s">
        <v>288</v>
      </c>
      <c r="I37" t="s">
        <v>289</v>
      </c>
      <c r="T37" s="27"/>
      <c r="Z37" s="28"/>
      <c r="AA37" s="28" t="s">
        <v>290</v>
      </c>
      <c r="AL37" s="368" t="s">
        <v>873</v>
      </c>
      <c r="AO37" s="31" t="s">
        <v>226</v>
      </c>
      <c r="AP37" t="s">
        <v>34</v>
      </c>
      <c r="CC37" s="37"/>
      <c r="CD37" s="38"/>
    </row>
    <row r="38" spans="1:82" x14ac:dyDescent="0.25">
      <c r="A38" t="s">
        <v>291</v>
      </c>
      <c r="I38" t="s">
        <v>292</v>
      </c>
      <c r="T38" s="27"/>
      <c r="Z38" s="28"/>
      <c r="AA38" s="28" t="s">
        <v>293</v>
      </c>
      <c r="AL38" s="368" t="s">
        <v>874</v>
      </c>
      <c r="AO38" s="31" t="s">
        <v>295</v>
      </c>
      <c r="AP38" t="s">
        <v>34</v>
      </c>
      <c r="CD38" s="38"/>
    </row>
    <row r="39" spans="1:82" x14ac:dyDescent="0.25">
      <c r="A39" t="s">
        <v>296</v>
      </c>
      <c r="I39" t="s">
        <v>297</v>
      </c>
      <c r="T39" s="27"/>
      <c r="Z39" s="28"/>
      <c r="AA39" s="28" t="s">
        <v>216</v>
      </c>
      <c r="AL39" s="368" t="s">
        <v>875</v>
      </c>
      <c r="AO39" s="31" t="s">
        <v>299</v>
      </c>
      <c r="AP39" t="s">
        <v>66</v>
      </c>
      <c r="CD39" s="38"/>
    </row>
    <row r="40" spans="1:82" x14ac:dyDescent="0.25">
      <c r="A40" t="s">
        <v>300</v>
      </c>
      <c r="I40" t="s">
        <v>301</v>
      </c>
      <c r="T40" s="27"/>
      <c r="Z40" s="28"/>
      <c r="AA40" s="28" t="s">
        <v>302</v>
      </c>
      <c r="AL40" s="368" t="s">
        <v>889</v>
      </c>
      <c r="AO40" s="31" t="s">
        <v>304</v>
      </c>
      <c r="AP40" t="s">
        <v>66</v>
      </c>
      <c r="CD40" s="38"/>
    </row>
    <row r="41" spans="1:82" x14ac:dyDescent="0.25">
      <c r="A41" t="s">
        <v>305</v>
      </c>
      <c r="I41" t="s">
        <v>306</v>
      </c>
      <c r="T41" s="27"/>
      <c r="Z41" s="28"/>
      <c r="AA41" s="28" t="s">
        <v>307</v>
      </c>
      <c r="AL41" s="368" t="s">
        <v>279</v>
      </c>
      <c r="AO41" s="31" t="s">
        <v>309</v>
      </c>
      <c r="AP41" t="s">
        <v>34</v>
      </c>
      <c r="CC41" s="37"/>
      <c r="CD41" s="38"/>
    </row>
    <row r="42" spans="1:82" x14ac:dyDescent="0.25">
      <c r="A42" t="s">
        <v>310</v>
      </c>
      <c r="I42" t="s">
        <v>311</v>
      </c>
      <c r="T42" s="27"/>
      <c r="Z42" s="28"/>
      <c r="AA42" s="28" t="s">
        <v>312</v>
      </c>
      <c r="AL42" s="368" t="s">
        <v>876</v>
      </c>
      <c r="AO42" s="31" t="s">
        <v>313</v>
      </c>
      <c r="AP42" t="s">
        <v>34</v>
      </c>
      <c r="CD42" s="38"/>
    </row>
    <row r="43" spans="1:82" x14ac:dyDescent="0.25">
      <c r="A43" t="s">
        <v>314</v>
      </c>
      <c r="I43" t="s">
        <v>315</v>
      </c>
      <c r="T43" s="27"/>
      <c r="Z43" s="28"/>
      <c r="AA43" s="28" t="s">
        <v>316</v>
      </c>
      <c r="AL43" s="368" t="s">
        <v>294</v>
      </c>
      <c r="AO43" s="31" t="s">
        <v>318</v>
      </c>
      <c r="AP43" t="s">
        <v>34</v>
      </c>
      <c r="CD43" s="38"/>
    </row>
    <row r="44" spans="1:82" ht="30" x14ac:dyDescent="0.25">
      <c r="A44" t="s">
        <v>121</v>
      </c>
      <c r="I44" s="82" t="s">
        <v>319</v>
      </c>
      <c r="T44" s="27"/>
      <c r="Z44" s="28"/>
      <c r="AA44" s="28" t="s">
        <v>320</v>
      </c>
      <c r="AL44" s="368" t="s">
        <v>298</v>
      </c>
      <c r="AO44" s="31" t="s">
        <v>321</v>
      </c>
      <c r="AP44" t="s">
        <v>34</v>
      </c>
      <c r="CD44" s="38"/>
    </row>
    <row r="45" spans="1:82" x14ac:dyDescent="0.25">
      <c r="A45" t="s">
        <v>322</v>
      </c>
      <c r="I45" t="s">
        <v>323</v>
      </c>
      <c r="T45" s="27"/>
      <c r="Z45" s="28"/>
      <c r="AA45" s="28" t="s">
        <v>324</v>
      </c>
      <c r="AL45" s="368" t="s">
        <v>303</v>
      </c>
      <c r="AO45" s="31" t="s">
        <v>325</v>
      </c>
      <c r="AP45" t="s">
        <v>34</v>
      </c>
      <c r="CC45" s="37"/>
      <c r="CD45" s="38"/>
    </row>
    <row r="46" spans="1:82" x14ac:dyDescent="0.25">
      <c r="A46" t="s">
        <v>326</v>
      </c>
      <c r="I46" t="s">
        <v>327</v>
      </c>
      <c r="T46" s="27"/>
      <c r="Z46" s="28"/>
      <c r="AA46" s="28" t="s">
        <v>328</v>
      </c>
      <c r="AL46" s="368" t="s">
        <v>308</v>
      </c>
      <c r="AO46" s="31" t="s">
        <v>330</v>
      </c>
      <c r="AP46" t="s">
        <v>34</v>
      </c>
      <c r="CD46" s="38"/>
    </row>
    <row r="47" spans="1:82" x14ac:dyDescent="0.25">
      <c r="A47" t="s">
        <v>331</v>
      </c>
      <c r="I47" t="s">
        <v>332</v>
      </c>
      <c r="T47" s="27"/>
      <c r="Z47" s="28"/>
      <c r="AA47" s="28" t="s">
        <v>243</v>
      </c>
      <c r="AL47" s="368" t="s">
        <v>877</v>
      </c>
      <c r="AO47" s="31" t="s">
        <v>334</v>
      </c>
      <c r="AP47" t="s">
        <v>34</v>
      </c>
      <c r="CD47" s="38"/>
    </row>
    <row r="48" spans="1:82" x14ac:dyDescent="0.25">
      <c r="A48" t="s">
        <v>309</v>
      </c>
      <c r="I48" t="s">
        <v>335</v>
      </c>
      <c r="T48" s="27"/>
      <c r="Z48" s="28"/>
      <c r="AA48" s="28" t="s">
        <v>336</v>
      </c>
      <c r="AL48" s="368" t="s">
        <v>317</v>
      </c>
      <c r="AO48" s="31" t="s">
        <v>338</v>
      </c>
      <c r="AP48" t="s">
        <v>66</v>
      </c>
      <c r="CD48" s="38"/>
    </row>
    <row r="49" spans="1:82" x14ac:dyDescent="0.25">
      <c r="A49" t="s">
        <v>339</v>
      </c>
      <c r="I49" t="s">
        <v>340</v>
      </c>
      <c r="T49" s="27"/>
      <c r="Z49" s="28"/>
      <c r="AA49" s="28" t="s">
        <v>341</v>
      </c>
      <c r="AL49" s="368" t="s">
        <v>329</v>
      </c>
      <c r="AO49" s="31" t="s">
        <v>342</v>
      </c>
      <c r="AP49" t="s">
        <v>66</v>
      </c>
      <c r="CC49" s="37"/>
      <c r="CD49" s="38"/>
    </row>
    <row r="50" spans="1:82" x14ac:dyDescent="0.25">
      <c r="A50" t="s">
        <v>343</v>
      </c>
      <c r="I50" t="s">
        <v>344</v>
      </c>
      <c r="T50" s="27"/>
      <c r="Z50" s="28"/>
      <c r="AA50" s="28" t="s">
        <v>345</v>
      </c>
      <c r="AL50" s="368" t="s">
        <v>878</v>
      </c>
      <c r="AO50" s="31" t="s">
        <v>347</v>
      </c>
      <c r="AP50" t="s">
        <v>66</v>
      </c>
      <c r="CC50" s="37"/>
      <c r="CD50" s="38"/>
    </row>
    <row r="51" spans="1:82" x14ac:dyDescent="0.25">
      <c r="I51" t="s">
        <v>348</v>
      </c>
      <c r="T51" s="27"/>
      <c r="Z51" s="28"/>
      <c r="AA51" s="28" t="s">
        <v>349</v>
      </c>
      <c r="AL51" s="368" t="s">
        <v>879</v>
      </c>
      <c r="AO51" s="31" t="s">
        <v>351</v>
      </c>
      <c r="AP51" t="s">
        <v>66</v>
      </c>
      <c r="CD51" s="38"/>
    </row>
    <row r="52" spans="1:82" x14ac:dyDescent="0.25">
      <c r="I52" t="s">
        <v>352</v>
      </c>
      <c r="T52" s="27"/>
      <c r="Z52" s="28"/>
      <c r="AA52" s="28" t="s">
        <v>353</v>
      </c>
      <c r="AL52" s="368" t="s">
        <v>333</v>
      </c>
      <c r="AO52" s="31" t="s">
        <v>355</v>
      </c>
      <c r="AP52" t="s">
        <v>66</v>
      </c>
      <c r="CD52" s="38"/>
    </row>
    <row r="53" spans="1:82" ht="30" x14ac:dyDescent="0.25">
      <c r="I53" s="82" t="s">
        <v>356</v>
      </c>
      <c r="T53" s="27"/>
      <c r="Z53" s="28"/>
      <c r="AA53" s="28" t="s">
        <v>357</v>
      </c>
      <c r="AL53" s="368" t="s">
        <v>337</v>
      </c>
      <c r="AO53" s="31" t="s">
        <v>359</v>
      </c>
      <c r="AP53" t="s">
        <v>34</v>
      </c>
      <c r="CC53" s="37"/>
      <c r="CD53" s="38"/>
    </row>
    <row r="54" spans="1:82" ht="30" x14ac:dyDescent="0.25">
      <c r="I54" s="82" t="s">
        <v>360</v>
      </c>
      <c r="T54" s="27"/>
      <c r="Z54" s="28"/>
      <c r="AA54" s="28" t="s">
        <v>361</v>
      </c>
      <c r="AL54" s="368" t="s">
        <v>346</v>
      </c>
      <c r="AO54" s="31" t="s">
        <v>363</v>
      </c>
      <c r="AP54" t="s">
        <v>34</v>
      </c>
      <c r="CD54" s="38"/>
    </row>
    <row r="55" spans="1:82" x14ac:dyDescent="0.25">
      <c r="I55" t="s">
        <v>364</v>
      </c>
      <c r="T55" s="27"/>
      <c r="Z55" s="28"/>
      <c r="AA55" s="28" t="s">
        <v>365</v>
      </c>
      <c r="AL55" s="368" t="s">
        <v>350</v>
      </c>
      <c r="AO55" s="31" t="s">
        <v>367</v>
      </c>
      <c r="AP55" t="s">
        <v>34</v>
      </c>
      <c r="CD55" s="86"/>
    </row>
    <row r="56" spans="1:82" x14ac:dyDescent="0.25">
      <c r="I56" t="s">
        <v>368</v>
      </c>
      <c r="T56" s="27"/>
      <c r="Z56" s="28"/>
      <c r="AA56" s="28" t="s">
        <v>369</v>
      </c>
      <c r="AL56" s="368" t="s">
        <v>354</v>
      </c>
      <c r="AO56" s="31" t="s">
        <v>371</v>
      </c>
      <c r="AP56" t="s">
        <v>34</v>
      </c>
      <c r="CC56" s="37"/>
      <c r="CD56" s="38"/>
    </row>
    <row r="57" spans="1:82" ht="30" x14ac:dyDescent="0.25">
      <c r="I57" s="82" t="s">
        <v>372</v>
      </c>
      <c r="T57" s="27"/>
      <c r="Z57" s="28"/>
      <c r="AA57" s="28" t="s">
        <v>373</v>
      </c>
      <c r="AL57" s="368" t="s">
        <v>358</v>
      </c>
      <c r="AO57" s="31" t="s">
        <v>116</v>
      </c>
      <c r="AP57" t="s">
        <v>34</v>
      </c>
      <c r="CD57" s="38"/>
    </row>
    <row r="58" spans="1:82" x14ac:dyDescent="0.25">
      <c r="I58" t="s">
        <v>375</v>
      </c>
      <c r="T58" s="27"/>
      <c r="Z58" s="28"/>
      <c r="AA58" s="28" t="s">
        <v>265</v>
      </c>
      <c r="AL58" s="368" t="s">
        <v>362</v>
      </c>
      <c r="AO58" s="31" t="s">
        <v>172</v>
      </c>
      <c r="AP58" t="s">
        <v>34</v>
      </c>
      <c r="CC58" s="37"/>
      <c r="CD58" s="38"/>
    </row>
    <row r="59" spans="1:82" x14ac:dyDescent="0.25">
      <c r="I59" t="s">
        <v>377</v>
      </c>
      <c r="T59" s="27"/>
      <c r="Z59" s="28"/>
      <c r="AA59" s="28" t="s">
        <v>271</v>
      </c>
      <c r="AL59" s="368" t="s">
        <v>366</v>
      </c>
      <c r="AO59" s="31" t="s">
        <v>179</v>
      </c>
      <c r="AP59" t="s">
        <v>34</v>
      </c>
      <c r="CD59" s="38"/>
    </row>
    <row r="60" spans="1:82" ht="30" x14ac:dyDescent="0.25">
      <c r="I60" s="82" t="s">
        <v>379</v>
      </c>
      <c r="T60" s="27"/>
      <c r="Z60" s="28"/>
      <c r="AA60" s="28" t="s">
        <v>380</v>
      </c>
      <c r="AL60" s="368" t="s">
        <v>370</v>
      </c>
      <c r="AO60" s="31" t="s">
        <v>166</v>
      </c>
      <c r="AP60" t="s">
        <v>34</v>
      </c>
      <c r="CD60" s="38"/>
    </row>
    <row r="61" spans="1:82" x14ac:dyDescent="0.25">
      <c r="I61" t="s">
        <v>382</v>
      </c>
      <c r="T61" s="27"/>
      <c r="Z61" s="28"/>
      <c r="AA61" s="28" t="s">
        <v>383</v>
      </c>
      <c r="AL61" s="368" t="s">
        <v>374</v>
      </c>
      <c r="AO61" s="31" t="s">
        <v>385</v>
      </c>
      <c r="AP61" t="s">
        <v>34</v>
      </c>
      <c r="CC61" s="37"/>
      <c r="CD61" s="38"/>
    </row>
    <row r="62" spans="1:82" x14ac:dyDescent="0.25">
      <c r="I62" t="s">
        <v>386</v>
      </c>
      <c r="T62" s="27"/>
      <c r="Z62" s="28"/>
      <c r="AA62" s="28" t="s">
        <v>387</v>
      </c>
      <c r="AL62" s="368" t="s">
        <v>376</v>
      </c>
      <c r="AO62" s="31" t="s">
        <v>388</v>
      </c>
      <c r="AP62" t="s">
        <v>40</v>
      </c>
      <c r="CD62" s="38"/>
    </row>
    <row r="63" spans="1:82" x14ac:dyDescent="0.25">
      <c r="I63" t="s">
        <v>389</v>
      </c>
      <c r="T63" s="87"/>
      <c r="Z63" s="28"/>
      <c r="AA63" s="28" t="s">
        <v>390</v>
      </c>
      <c r="AL63" s="368" t="s">
        <v>378</v>
      </c>
      <c r="AO63" s="31" t="s">
        <v>77</v>
      </c>
      <c r="AP63" t="s">
        <v>66</v>
      </c>
      <c r="CC63" s="37"/>
    </row>
    <row r="64" spans="1:82" x14ac:dyDescent="0.25">
      <c r="I64" t="s">
        <v>391</v>
      </c>
      <c r="T64" s="87"/>
      <c r="Z64" s="28"/>
      <c r="AA64" s="28" t="s">
        <v>392</v>
      </c>
      <c r="AL64" s="368" t="s">
        <v>381</v>
      </c>
      <c r="AO64" s="31" t="s">
        <v>394</v>
      </c>
      <c r="AP64" t="s">
        <v>66</v>
      </c>
      <c r="CC64" s="37"/>
    </row>
    <row r="65" spans="9:82" x14ac:dyDescent="0.25">
      <c r="I65" t="s">
        <v>395</v>
      </c>
      <c r="T65" s="87"/>
      <c r="Z65" s="28"/>
      <c r="AA65" s="28" t="s">
        <v>396</v>
      </c>
      <c r="AL65" s="368" t="s">
        <v>384</v>
      </c>
      <c r="AO65" s="31" t="s">
        <v>398</v>
      </c>
      <c r="AP65" t="s">
        <v>66</v>
      </c>
      <c r="CD65" s="38"/>
    </row>
    <row r="66" spans="9:82" x14ac:dyDescent="0.25">
      <c r="I66" t="s">
        <v>399</v>
      </c>
      <c r="T66" s="27"/>
      <c r="Z66" s="28"/>
      <c r="AA66" s="28" t="s">
        <v>400</v>
      </c>
      <c r="AL66" s="368" t="s">
        <v>880</v>
      </c>
      <c r="AO66" s="31" t="s">
        <v>401</v>
      </c>
      <c r="AP66" t="s">
        <v>66</v>
      </c>
      <c r="CC66" s="37"/>
      <c r="CD66" s="38"/>
    </row>
    <row r="67" spans="9:82" x14ac:dyDescent="0.25">
      <c r="I67" t="s">
        <v>402</v>
      </c>
      <c r="T67" s="87"/>
      <c r="Z67" s="28"/>
      <c r="AA67" s="28" t="s">
        <v>403</v>
      </c>
      <c r="AL67" s="368" t="s">
        <v>881</v>
      </c>
      <c r="AO67" s="31" t="s">
        <v>405</v>
      </c>
      <c r="AP67" t="s">
        <v>66</v>
      </c>
      <c r="CC67" s="37"/>
      <c r="CD67" s="38"/>
    </row>
    <row r="68" spans="9:82" x14ac:dyDescent="0.25">
      <c r="I68" t="s">
        <v>406</v>
      </c>
      <c r="T68" s="87"/>
      <c r="Z68" s="28"/>
      <c r="AA68" s="28" t="s">
        <v>407</v>
      </c>
      <c r="AL68" s="368" t="s">
        <v>393</v>
      </c>
      <c r="AO68" s="31" t="s">
        <v>409</v>
      </c>
      <c r="AP68" t="s">
        <v>66</v>
      </c>
      <c r="CD68" s="38"/>
    </row>
    <row r="69" spans="9:82" ht="30" x14ac:dyDescent="0.25">
      <c r="I69" s="82" t="s">
        <v>410</v>
      </c>
      <c r="T69" s="27"/>
      <c r="Z69" s="28"/>
      <c r="AA69" s="28" t="s">
        <v>411</v>
      </c>
      <c r="AL69" s="368" t="s">
        <v>397</v>
      </c>
      <c r="AO69" s="31" t="s">
        <v>413</v>
      </c>
      <c r="AP69" t="s">
        <v>66</v>
      </c>
      <c r="CC69" s="37"/>
      <c r="CD69" s="38"/>
    </row>
    <row r="70" spans="9:82" ht="30" x14ac:dyDescent="0.25">
      <c r="I70" s="82" t="s">
        <v>414</v>
      </c>
      <c r="T70" s="27"/>
      <c r="Z70" s="28"/>
      <c r="AA70" s="28" t="s">
        <v>415</v>
      </c>
      <c r="AL70" s="368" t="s">
        <v>404</v>
      </c>
      <c r="AO70" s="31" t="s">
        <v>417</v>
      </c>
      <c r="AP70" t="s">
        <v>66</v>
      </c>
      <c r="CC70" s="37"/>
      <c r="CD70" s="38"/>
    </row>
    <row r="71" spans="9:82" ht="30" x14ac:dyDescent="0.25">
      <c r="I71" s="82" t="s">
        <v>418</v>
      </c>
      <c r="T71" s="27"/>
      <c r="Z71" s="28"/>
      <c r="AA71" s="28" t="s">
        <v>419</v>
      </c>
      <c r="AL71" s="368" t="s">
        <v>408</v>
      </c>
      <c r="AO71" s="31" t="s">
        <v>420</v>
      </c>
      <c r="AP71" t="s">
        <v>66</v>
      </c>
      <c r="CD71" s="38"/>
    </row>
    <row r="72" spans="9:82" ht="30" x14ac:dyDescent="0.25">
      <c r="I72" s="82" t="s">
        <v>421</v>
      </c>
      <c r="T72" s="27"/>
      <c r="AL72" s="368" t="s">
        <v>412</v>
      </c>
      <c r="AO72" s="31" t="s">
        <v>423</v>
      </c>
      <c r="AP72" t="s">
        <v>66</v>
      </c>
      <c r="CC72" s="37"/>
      <c r="CD72" s="38"/>
    </row>
    <row r="73" spans="9:82" ht="30" x14ac:dyDescent="0.25">
      <c r="I73" s="82" t="s">
        <v>424</v>
      </c>
      <c r="T73" s="27"/>
      <c r="AL73" s="368" t="s">
        <v>416</v>
      </c>
      <c r="AO73" s="31" t="s">
        <v>425</v>
      </c>
      <c r="AP73" t="s">
        <v>66</v>
      </c>
      <c r="CC73" s="37"/>
      <c r="CD73" s="38"/>
    </row>
    <row r="74" spans="9:82" ht="30" x14ac:dyDescent="0.25">
      <c r="I74" s="82" t="s">
        <v>426</v>
      </c>
      <c r="T74" s="27"/>
      <c r="AL74" s="368" t="s">
        <v>422</v>
      </c>
      <c r="AO74" s="31" t="s">
        <v>427</v>
      </c>
      <c r="AP74" t="s">
        <v>66</v>
      </c>
      <c r="CD74" s="38"/>
    </row>
    <row r="75" spans="9:82" ht="30" x14ac:dyDescent="0.25">
      <c r="I75" s="82" t="s">
        <v>428</v>
      </c>
      <c r="T75" s="27"/>
      <c r="AL75" s="30"/>
      <c r="AO75" s="31" t="s">
        <v>429</v>
      </c>
      <c r="AP75" t="s">
        <v>66</v>
      </c>
      <c r="CC75" s="37"/>
      <c r="CD75" s="38"/>
    </row>
    <row r="76" spans="9:82" ht="30" x14ac:dyDescent="0.25">
      <c r="I76" s="82" t="s">
        <v>430</v>
      </c>
      <c r="T76" s="27"/>
      <c r="AL76" s="30"/>
      <c r="AM76" s="82"/>
      <c r="AO76" s="31" t="s">
        <v>431</v>
      </c>
      <c r="AP76" t="s">
        <v>66</v>
      </c>
      <c r="CC76" s="37"/>
    </row>
    <row r="77" spans="9:82" ht="30" x14ac:dyDescent="0.25">
      <c r="I77" s="82" t="s">
        <v>432</v>
      </c>
      <c r="T77" s="88"/>
      <c r="AL77" s="30"/>
      <c r="AO77" s="31" t="s">
        <v>343</v>
      </c>
      <c r="AP77" t="s">
        <v>66</v>
      </c>
      <c r="CD77" s="38"/>
    </row>
    <row r="78" spans="9:82" ht="30" x14ac:dyDescent="0.25">
      <c r="I78" s="82" t="s">
        <v>433</v>
      </c>
      <c r="T78" s="27"/>
      <c r="AL78" s="30"/>
      <c r="AM78" s="89"/>
      <c r="AO78" s="31" t="s">
        <v>434</v>
      </c>
      <c r="AP78" t="s">
        <v>66</v>
      </c>
      <c r="CC78" s="37"/>
      <c r="CD78" s="38"/>
    </row>
    <row r="79" spans="9:82" ht="30" x14ac:dyDescent="0.25">
      <c r="I79" s="82" t="s">
        <v>435</v>
      </c>
      <c r="T79" s="27"/>
      <c r="AL79" s="30"/>
      <c r="AM79" s="90"/>
      <c r="AO79" s="31" t="s">
        <v>436</v>
      </c>
      <c r="AP79" t="s">
        <v>66</v>
      </c>
      <c r="CC79" s="37"/>
    </row>
    <row r="80" spans="9:82" ht="30" x14ac:dyDescent="0.25">
      <c r="I80" s="82" t="s">
        <v>437</v>
      </c>
      <c r="T80" s="27"/>
      <c r="AL80" s="30"/>
      <c r="AM80" s="90"/>
      <c r="AO80" s="31" t="s">
        <v>132</v>
      </c>
      <c r="AP80" t="s">
        <v>34</v>
      </c>
    </row>
    <row r="81" spans="9:82" ht="30" x14ac:dyDescent="0.25">
      <c r="I81" s="82" t="s">
        <v>438</v>
      </c>
      <c r="T81" s="27"/>
      <c r="AL81" s="30"/>
      <c r="AM81" s="90"/>
      <c r="AO81" s="31" t="s">
        <v>439</v>
      </c>
      <c r="AP81" t="s">
        <v>66</v>
      </c>
      <c r="CC81" s="37"/>
    </row>
    <row r="82" spans="9:82" ht="30" x14ac:dyDescent="0.25">
      <c r="I82" s="82" t="s">
        <v>440</v>
      </c>
      <c r="T82" s="27"/>
      <c r="AL82" s="30"/>
      <c r="AM82" s="90"/>
      <c r="AO82" s="31" t="s">
        <v>441</v>
      </c>
      <c r="AP82" t="s">
        <v>66</v>
      </c>
      <c r="CC82" s="37"/>
    </row>
    <row r="83" spans="9:82" ht="30" x14ac:dyDescent="0.25">
      <c r="I83" s="82" t="s">
        <v>442</v>
      </c>
      <c r="T83" s="27"/>
      <c r="AL83" s="30"/>
      <c r="AM83" s="90"/>
      <c r="AO83" s="31" t="s">
        <v>443</v>
      </c>
      <c r="AP83" t="s">
        <v>66</v>
      </c>
      <c r="CD83" s="38"/>
    </row>
    <row r="84" spans="9:82" ht="30" x14ac:dyDescent="0.25">
      <c r="I84" s="82" t="s">
        <v>444</v>
      </c>
      <c r="T84" s="27"/>
      <c r="AL84" s="30"/>
      <c r="AM84" s="84"/>
      <c r="AO84" s="31" t="s">
        <v>445</v>
      </c>
      <c r="AP84" t="s">
        <v>66</v>
      </c>
      <c r="CC84" s="37"/>
      <c r="CD84" s="38"/>
    </row>
    <row r="85" spans="9:82" ht="30" x14ac:dyDescent="0.25">
      <c r="I85" s="82" t="s">
        <v>446</v>
      </c>
      <c r="T85" s="27"/>
      <c r="AL85" s="84"/>
      <c r="AM85" s="84"/>
      <c r="AO85" s="31" t="s">
        <v>447</v>
      </c>
      <c r="AP85" t="s">
        <v>66</v>
      </c>
      <c r="CC85" s="37"/>
      <c r="CD85" s="38"/>
    </row>
    <row r="86" spans="9:82" ht="30" x14ac:dyDescent="0.25">
      <c r="I86" s="82" t="s">
        <v>448</v>
      </c>
      <c r="T86" s="27"/>
      <c r="AL86" s="84"/>
      <c r="AM86" s="84"/>
      <c r="AO86" s="31" t="s">
        <v>449</v>
      </c>
      <c r="AP86" t="s">
        <v>66</v>
      </c>
      <c r="CD86" s="38"/>
    </row>
    <row r="87" spans="9:82" ht="30" x14ac:dyDescent="0.25">
      <c r="I87" s="82" t="s">
        <v>450</v>
      </c>
      <c r="T87" s="27"/>
      <c r="AL87" s="84"/>
      <c r="AM87" s="84"/>
      <c r="AO87" s="31" t="s">
        <v>451</v>
      </c>
      <c r="AP87" t="s">
        <v>66</v>
      </c>
      <c r="CC87" s="37"/>
      <c r="CD87" s="38"/>
    </row>
    <row r="88" spans="9:82" ht="30" x14ac:dyDescent="0.25">
      <c r="I88" s="82" t="s">
        <v>452</v>
      </c>
      <c r="T88" s="27"/>
      <c r="AM88" s="84"/>
      <c r="AO88" s="31" t="s">
        <v>453</v>
      </c>
      <c r="AP88" t="s">
        <v>34</v>
      </c>
      <c r="CC88" s="37"/>
      <c r="CD88" s="38"/>
    </row>
    <row r="89" spans="9:82" ht="30" x14ac:dyDescent="0.25">
      <c r="I89" s="82" t="s">
        <v>454</v>
      </c>
      <c r="T89" s="27"/>
      <c r="AO89" s="31" t="s">
        <v>455</v>
      </c>
      <c r="AP89" t="s">
        <v>34</v>
      </c>
      <c r="CD89" s="38"/>
    </row>
    <row r="90" spans="9:82" ht="30" x14ac:dyDescent="0.25">
      <c r="I90" s="82" t="s">
        <v>456</v>
      </c>
      <c r="T90" s="27"/>
      <c r="AO90" s="31" t="s">
        <v>457</v>
      </c>
      <c r="AP90" t="s">
        <v>34</v>
      </c>
      <c r="CC90" s="37"/>
      <c r="CD90" s="38"/>
    </row>
    <row r="91" spans="9:82" ht="30" x14ac:dyDescent="0.25">
      <c r="I91" s="82" t="s">
        <v>458</v>
      </c>
      <c r="T91" s="27"/>
      <c r="AO91" s="31" t="s">
        <v>459</v>
      </c>
      <c r="AP91" t="s">
        <v>34</v>
      </c>
      <c r="CC91" s="37"/>
      <c r="CD91" s="38"/>
    </row>
    <row r="92" spans="9:82" ht="30" x14ac:dyDescent="0.25">
      <c r="I92" s="82" t="s">
        <v>460</v>
      </c>
      <c r="T92" s="27"/>
      <c r="AO92" s="31" t="s">
        <v>143</v>
      </c>
      <c r="AP92" t="s">
        <v>34</v>
      </c>
      <c r="CD92" s="38"/>
    </row>
    <row r="93" spans="9:82" ht="30" x14ac:dyDescent="0.25">
      <c r="I93" s="82" t="s">
        <v>461</v>
      </c>
      <c r="T93" s="91"/>
      <c r="AO93" s="31" t="s">
        <v>462</v>
      </c>
      <c r="AP93" t="s">
        <v>34</v>
      </c>
      <c r="CC93" s="37"/>
      <c r="CD93" s="38"/>
    </row>
    <row r="94" spans="9:82" ht="30" x14ac:dyDescent="0.25">
      <c r="I94" s="82" t="s">
        <v>463</v>
      </c>
      <c r="T94" s="27"/>
      <c r="AO94" s="31" t="s">
        <v>464</v>
      </c>
      <c r="AP94" t="s">
        <v>34</v>
      </c>
      <c r="CC94" s="37"/>
    </row>
    <row r="95" spans="9:82" x14ac:dyDescent="0.25">
      <c r="I95" t="s">
        <v>465</v>
      </c>
      <c r="T95" s="27"/>
      <c r="AO95" s="31" t="s">
        <v>466</v>
      </c>
      <c r="AP95" t="s">
        <v>34</v>
      </c>
    </row>
    <row r="96" spans="9:82" x14ac:dyDescent="0.25">
      <c r="I96" t="s">
        <v>467</v>
      </c>
      <c r="T96" s="27"/>
      <c r="AO96" s="31" t="s">
        <v>468</v>
      </c>
      <c r="AP96" t="s">
        <v>34</v>
      </c>
    </row>
    <row r="97" spans="9:42" x14ac:dyDescent="0.25">
      <c r="I97" t="s">
        <v>469</v>
      </c>
      <c r="T97" s="88"/>
      <c r="AO97" s="31" t="s">
        <v>68</v>
      </c>
      <c r="AP97" t="s">
        <v>34</v>
      </c>
    </row>
    <row r="98" spans="9:42" x14ac:dyDescent="0.25">
      <c r="I98" t="s">
        <v>470</v>
      </c>
      <c r="T98" s="27"/>
      <c r="AO98" s="31" t="s">
        <v>471</v>
      </c>
      <c r="AP98" t="s">
        <v>34</v>
      </c>
    </row>
    <row r="99" spans="9:42" x14ac:dyDescent="0.25">
      <c r="I99" t="s">
        <v>472</v>
      </c>
      <c r="T99" s="27"/>
      <c r="AO99" s="31" t="s">
        <v>123</v>
      </c>
      <c r="AP99" t="s">
        <v>66</v>
      </c>
    </row>
    <row r="100" spans="9:42" x14ac:dyDescent="0.25">
      <c r="I100" t="s">
        <v>473</v>
      </c>
      <c r="T100" s="27"/>
      <c r="AO100" s="31" t="s">
        <v>474</v>
      </c>
      <c r="AP100" t="s">
        <v>34</v>
      </c>
    </row>
    <row r="101" spans="9:42" x14ac:dyDescent="0.25">
      <c r="I101" t="s">
        <v>475</v>
      </c>
      <c r="T101" s="27"/>
      <c r="AO101" s="31" t="s">
        <v>476</v>
      </c>
      <c r="AP101" t="s">
        <v>66</v>
      </c>
    </row>
    <row r="102" spans="9:42" x14ac:dyDescent="0.25">
      <c r="I102" t="s">
        <v>477</v>
      </c>
      <c r="T102" s="27"/>
      <c r="AO102" s="39" t="s">
        <v>478</v>
      </c>
      <c r="AP102" t="s">
        <v>34</v>
      </c>
    </row>
    <row r="103" spans="9:42" x14ac:dyDescent="0.25">
      <c r="I103" t="s">
        <v>479</v>
      </c>
      <c r="T103" s="27"/>
      <c r="AO103" s="39" t="s">
        <v>480</v>
      </c>
      <c r="AP103" t="s">
        <v>66</v>
      </c>
    </row>
    <row r="104" spans="9:42" x14ac:dyDescent="0.25">
      <c r="I104" t="s">
        <v>481</v>
      </c>
      <c r="T104" s="27"/>
    </row>
    <row r="105" spans="9:42" x14ac:dyDescent="0.25">
      <c r="I105" t="s">
        <v>482</v>
      </c>
      <c r="T105" s="27"/>
    </row>
    <row r="106" spans="9:42" x14ac:dyDescent="0.25">
      <c r="I106" t="s">
        <v>483</v>
      </c>
      <c r="T106" s="27"/>
    </row>
    <row r="107" spans="9:42" x14ac:dyDescent="0.25">
      <c r="I107" t="s">
        <v>484</v>
      </c>
      <c r="T107" s="27"/>
    </row>
    <row r="108" spans="9:42" ht="30" x14ac:dyDescent="0.25">
      <c r="I108" s="82" t="s">
        <v>485</v>
      </c>
      <c r="T108" s="27"/>
    </row>
    <row r="109" spans="9:42" ht="30" x14ac:dyDescent="0.25">
      <c r="I109" s="82" t="s">
        <v>486</v>
      </c>
      <c r="T109" s="27"/>
      <c r="AO109"/>
    </row>
    <row r="110" spans="9:42" ht="30" x14ac:dyDescent="0.25">
      <c r="I110" s="82" t="s">
        <v>487</v>
      </c>
      <c r="T110" s="27"/>
      <c r="AO110"/>
    </row>
    <row r="111" spans="9:42" ht="30" x14ac:dyDescent="0.25">
      <c r="I111" s="82" t="s">
        <v>488</v>
      </c>
      <c r="T111" s="27"/>
      <c r="AO111"/>
    </row>
    <row r="112" spans="9:42" x14ac:dyDescent="0.25">
      <c r="I112" t="s">
        <v>489</v>
      </c>
      <c r="T112" s="27"/>
      <c r="AO112"/>
    </row>
    <row r="113" spans="9:41" x14ac:dyDescent="0.25">
      <c r="I113" t="s">
        <v>490</v>
      </c>
      <c r="T113" s="91"/>
      <c r="AO113"/>
    </row>
    <row r="114" spans="9:41" x14ac:dyDescent="0.25">
      <c r="I114" t="s">
        <v>491</v>
      </c>
      <c r="T114" s="27"/>
      <c r="AO114"/>
    </row>
    <row r="115" spans="9:41" ht="30" x14ac:dyDescent="0.25">
      <c r="I115" s="82" t="s">
        <v>492</v>
      </c>
      <c r="T115" s="27"/>
      <c r="AO115"/>
    </row>
    <row r="116" spans="9:41" ht="30" x14ac:dyDescent="0.25">
      <c r="I116" s="82" t="s">
        <v>493</v>
      </c>
      <c r="T116" s="27"/>
      <c r="AO116"/>
    </row>
    <row r="117" spans="9:41" ht="30" x14ac:dyDescent="0.25">
      <c r="I117" s="82" t="s">
        <v>494</v>
      </c>
      <c r="T117" s="88"/>
      <c r="AO117"/>
    </row>
    <row r="118" spans="9:41" ht="30" x14ac:dyDescent="0.25">
      <c r="I118" s="82" t="s">
        <v>495</v>
      </c>
      <c r="T118" s="27"/>
      <c r="AO118"/>
    </row>
    <row r="119" spans="9:41" ht="30" x14ac:dyDescent="0.25">
      <c r="I119" s="82" t="s">
        <v>496</v>
      </c>
      <c r="T119" s="27"/>
      <c r="AO119"/>
    </row>
    <row r="120" spans="9:41" ht="30" x14ac:dyDescent="0.25">
      <c r="I120" s="82" t="s">
        <v>497</v>
      </c>
      <c r="T120" s="27"/>
      <c r="AO120"/>
    </row>
    <row r="121" spans="9:41" ht="30" x14ac:dyDescent="0.25">
      <c r="I121" s="82" t="s">
        <v>498</v>
      </c>
      <c r="T121" s="27"/>
      <c r="AO121"/>
    </row>
    <row r="122" spans="9:41" x14ac:dyDescent="0.25">
      <c r="I122" t="s">
        <v>499</v>
      </c>
      <c r="T122" s="27"/>
      <c r="AO122"/>
    </row>
    <row r="123" spans="9:41" x14ac:dyDescent="0.25">
      <c r="I123" t="s">
        <v>500</v>
      </c>
      <c r="T123" s="27"/>
      <c r="AO123"/>
    </row>
    <row r="124" spans="9:41" x14ac:dyDescent="0.25">
      <c r="I124" t="s">
        <v>501</v>
      </c>
      <c r="T124" s="27"/>
      <c r="AO124"/>
    </row>
    <row r="125" spans="9:41" ht="30" x14ac:dyDescent="0.25">
      <c r="I125" s="82" t="s">
        <v>502</v>
      </c>
      <c r="T125" s="27"/>
      <c r="AO125"/>
    </row>
    <row r="126" spans="9:41" x14ac:dyDescent="0.25">
      <c r="I126" t="s">
        <v>503</v>
      </c>
      <c r="T126" s="27"/>
      <c r="AO126"/>
    </row>
    <row r="127" spans="9:41" x14ac:dyDescent="0.25">
      <c r="I127" t="s">
        <v>504</v>
      </c>
      <c r="T127" s="27"/>
      <c r="AO127"/>
    </row>
    <row r="128" spans="9:41" x14ac:dyDescent="0.25">
      <c r="I128" t="s">
        <v>505</v>
      </c>
      <c r="T128" s="27"/>
      <c r="AO128"/>
    </row>
    <row r="129" spans="9:41" x14ac:dyDescent="0.25">
      <c r="I129" t="s">
        <v>506</v>
      </c>
      <c r="T129" s="27"/>
      <c r="AO129"/>
    </row>
    <row r="130" spans="9:41" x14ac:dyDescent="0.25">
      <c r="I130" t="s">
        <v>507</v>
      </c>
      <c r="T130" s="27"/>
      <c r="AO130"/>
    </row>
    <row r="131" spans="9:41" x14ac:dyDescent="0.25">
      <c r="I131" t="s">
        <v>508</v>
      </c>
      <c r="T131" s="27"/>
      <c r="AO131"/>
    </row>
    <row r="132" spans="9:41" ht="30" x14ac:dyDescent="0.25">
      <c r="I132" s="82" t="s">
        <v>509</v>
      </c>
      <c r="T132" s="27"/>
      <c r="AO132"/>
    </row>
    <row r="133" spans="9:41" ht="30" x14ac:dyDescent="0.25">
      <c r="I133" s="82" t="s">
        <v>509</v>
      </c>
      <c r="T133" s="91"/>
      <c r="AO133"/>
    </row>
    <row r="134" spans="9:41" ht="30" x14ac:dyDescent="0.25">
      <c r="I134" s="82" t="s">
        <v>510</v>
      </c>
      <c r="T134" s="27"/>
      <c r="AO134"/>
    </row>
    <row r="135" spans="9:41" ht="30" x14ac:dyDescent="0.25">
      <c r="I135" s="82" t="s">
        <v>511</v>
      </c>
      <c r="T135" s="27"/>
      <c r="AO135"/>
    </row>
    <row r="136" spans="9:41" x14ac:dyDescent="0.25">
      <c r="I136" t="s">
        <v>512</v>
      </c>
      <c r="T136" s="27"/>
      <c r="AO136"/>
    </row>
    <row r="137" spans="9:41" x14ac:dyDescent="0.25">
      <c r="I137" t="s">
        <v>513</v>
      </c>
      <c r="T137" s="87"/>
      <c r="AO137"/>
    </row>
    <row r="138" spans="9:41" ht="30" x14ac:dyDescent="0.25">
      <c r="I138" s="82" t="s">
        <v>514</v>
      </c>
      <c r="T138" s="88"/>
      <c r="AO138"/>
    </row>
    <row r="139" spans="9:41" ht="30" x14ac:dyDescent="0.25">
      <c r="I139" s="82" t="s">
        <v>514</v>
      </c>
      <c r="T139" s="27"/>
      <c r="AO139"/>
    </row>
    <row r="140" spans="9:41" ht="30" x14ac:dyDescent="0.25">
      <c r="I140" s="82" t="s">
        <v>515</v>
      </c>
      <c r="T140" s="27"/>
      <c r="AO140"/>
    </row>
    <row r="141" spans="9:41" ht="30" x14ac:dyDescent="0.25">
      <c r="I141" s="82" t="s">
        <v>516</v>
      </c>
      <c r="T141" s="27"/>
      <c r="AO141"/>
    </row>
    <row r="142" spans="9:41" x14ac:dyDescent="0.25">
      <c r="I142" t="s">
        <v>517</v>
      </c>
      <c r="T142" s="27"/>
      <c r="AO142"/>
    </row>
    <row r="143" spans="9:41" ht="30" x14ac:dyDescent="0.25">
      <c r="I143" s="82" t="s">
        <v>518</v>
      </c>
      <c r="T143" s="27"/>
      <c r="AO143"/>
    </row>
    <row r="144" spans="9:41" ht="30" x14ac:dyDescent="0.25">
      <c r="I144" s="82" t="s">
        <v>519</v>
      </c>
      <c r="T144" s="27"/>
      <c r="AO144"/>
    </row>
    <row r="145" spans="9:41" x14ac:dyDescent="0.25">
      <c r="I145" t="s">
        <v>520</v>
      </c>
      <c r="T145" s="27"/>
      <c r="AO145"/>
    </row>
    <row r="146" spans="9:41" ht="45" x14ac:dyDescent="0.25">
      <c r="I146" s="82" t="s">
        <v>521</v>
      </c>
      <c r="T146" s="27"/>
      <c r="AO146"/>
    </row>
    <row r="147" spans="9:41" ht="30" x14ac:dyDescent="0.25">
      <c r="I147" s="82" t="s">
        <v>522</v>
      </c>
      <c r="T147" s="27"/>
      <c r="AO147"/>
    </row>
    <row r="148" spans="9:41" ht="30" x14ac:dyDescent="0.25">
      <c r="I148" s="82" t="s">
        <v>523</v>
      </c>
      <c r="T148" s="27"/>
      <c r="AO148"/>
    </row>
    <row r="149" spans="9:41" ht="30" x14ac:dyDescent="0.25">
      <c r="I149" s="82" t="s">
        <v>524</v>
      </c>
      <c r="T149" s="27"/>
      <c r="AO149"/>
    </row>
    <row r="150" spans="9:41" ht="30" x14ac:dyDescent="0.25">
      <c r="I150" s="82" t="s">
        <v>525</v>
      </c>
      <c r="T150" s="27"/>
      <c r="AO150"/>
    </row>
    <row r="151" spans="9:41" ht="30" x14ac:dyDescent="0.25">
      <c r="I151" s="82" t="s">
        <v>526</v>
      </c>
      <c r="T151" s="27"/>
      <c r="AO151"/>
    </row>
    <row r="152" spans="9:41" ht="30" x14ac:dyDescent="0.25">
      <c r="I152" s="82" t="s">
        <v>527</v>
      </c>
      <c r="T152" s="27"/>
      <c r="AO152"/>
    </row>
    <row r="153" spans="9:41" ht="30" x14ac:dyDescent="0.25">
      <c r="I153" s="82" t="s">
        <v>528</v>
      </c>
      <c r="T153" s="27"/>
      <c r="AO153"/>
    </row>
    <row r="154" spans="9:41" ht="30" x14ac:dyDescent="0.25">
      <c r="I154" s="82" t="s">
        <v>529</v>
      </c>
      <c r="T154" s="91"/>
      <c r="AO154"/>
    </row>
    <row r="155" spans="9:41" x14ac:dyDescent="0.25">
      <c r="I155" t="s">
        <v>530</v>
      </c>
      <c r="T155" s="27"/>
      <c r="AO155"/>
    </row>
    <row r="156" spans="9:41" ht="30" x14ac:dyDescent="0.25">
      <c r="I156" s="82" t="s">
        <v>531</v>
      </c>
      <c r="T156" s="27"/>
      <c r="AO156"/>
    </row>
    <row r="157" spans="9:41" ht="30" x14ac:dyDescent="0.25">
      <c r="I157" s="82" t="s">
        <v>532</v>
      </c>
      <c r="T157" s="27"/>
      <c r="AO157"/>
    </row>
    <row r="158" spans="9:41" ht="30" x14ac:dyDescent="0.25">
      <c r="I158" s="82" t="s">
        <v>533</v>
      </c>
      <c r="T158" s="88"/>
      <c r="AO158"/>
    </row>
    <row r="159" spans="9:41" ht="30" x14ac:dyDescent="0.25">
      <c r="I159" s="82" t="s">
        <v>534</v>
      </c>
      <c r="T159" s="27"/>
      <c r="AO159"/>
    </row>
    <row r="160" spans="9:41" ht="30" x14ac:dyDescent="0.25">
      <c r="I160" s="92" t="s">
        <v>535</v>
      </c>
      <c r="T160" s="27"/>
      <c r="AO160"/>
    </row>
    <row r="161" spans="9:41" x14ac:dyDescent="0.25">
      <c r="I161" t="s">
        <v>536</v>
      </c>
      <c r="T161" s="27"/>
      <c r="AO161"/>
    </row>
    <row r="162" spans="9:41" x14ac:dyDescent="0.25">
      <c r="I162" t="s">
        <v>537</v>
      </c>
      <c r="T162" s="27"/>
      <c r="AO162"/>
    </row>
    <row r="163" spans="9:41" x14ac:dyDescent="0.25">
      <c r="I163" t="s">
        <v>538</v>
      </c>
      <c r="T163" s="27"/>
      <c r="AO163"/>
    </row>
    <row r="164" spans="9:41" x14ac:dyDescent="0.25">
      <c r="I164" t="s">
        <v>539</v>
      </c>
      <c r="T164" s="27"/>
      <c r="AO164"/>
    </row>
    <row r="165" spans="9:41" x14ac:dyDescent="0.25">
      <c r="I165" t="s">
        <v>540</v>
      </c>
      <c r="T165" s="27"/>
      <c r="AO165"/>
    </row>
    <row r="166" spans="9:41" x14ac:dyDescent="0.25">
      <c r="I166" t="s">
        <v>541</v>
      </c>
      <c r="T166" s="27"/>
      <c r="AO166"/>
    </row>
    <row r="167" spans="9:41" x14ac:dyDescent="0.25">
      <c r="I167" t="s">
        <v>542</v>
      </c>
      <c r="T167" s="27"/>
      <c r="AO167"/>
    </row>
    <row r="168" spans="9:41" x14ac:dyDescent="0.25">
      <c r="I168" t="s">
        <v>543</v>
      </c>
      <c r="T168" s="27"/>
      <c r="AO168"/>
    </row>
    <row r="169" spans="9:41" x14ac:dyDescent="0.25">
      <c r="I169" t="s">
        <v>544</v>
      </c>
      <c r="T169" s="27"/>
      <c r="AO169"/>
    </row>
    <row r="170" spans="9:41" x14ac:dyDescent="0.25">
      <c r="I170" t="s">
        <v>545</v>
      </c>
      <c r="T170" s="27"/>
      <c r="AO170"/>
    </row>
    <row r="171" spans="9:41" x14ac:dyDescent="0.25">
      <c r="I171" t="s">
        <v>546</v>
      </c>
      <c r="T171" s="27"/>
      <c r="AO171"/>
    </row>
    <row r="172" spans="9:41" x14ac:dyDescent="0.25">
      <c r="I172" t="s">
        <v>547</v>
      </c>
      <c r="T172" s="27"/>
      <c r="AO172"/>
    </row>
    <row r="173" spans="9:41" x14ac:dyDescent="0.25">
      <c r="I173" t="s">
        <v>548</v>
      </c>
      <c r="T173" s="27"/>
      <c r="AO173"/>
    </row>
    <row r="174" spans="9:41" x14ac:dyDescent="0.25">
      <c r="I174" t="s">
        <v>549</v>
      </c>
      <c r="T174" s="91"/>
      <c r="AO174"/>
    </row>
    <row r="175" spans="9:41" x14ac:dyDescent="0.25">
      <c r="I175" t="s">
        <v>550</v>
      </c>
      <c r="T175" s="27"/>
      <c r="AO175"/>
    </row>
    <row r="176" spans="9:41" x14ac:dyDescent="0.25">
      <c r="I176" t="s">
        <v>551</v>
      </c>
      <c r="T176" s="27"/>
      <c r="AO176"/>
    </row>
    <row r="177" spans="1:41" ht="30" x14ac:dyDescent="0.25">
      <c r="I177" s="82" t="s">
        <v>552</v>
      </c>
      <c r="T177" s="27"/>
      <c r="AO177"/>
    </row>
    <row r="178" spans="1:41" x14ac:dyDescent="0.25">
      <c r="I178" t="s">
        <v>553</v>
      </c>
      <c r="T178" s="88"/>
      <c r="AO178"/>
    </row>
    <row r="179" spans="1:41" x14ac:dyDescent="0.25">
      <c r="I179" t="s">
        <v>554</v>
      </c>
      <c r="T179" s="27"/>
      <c r="AO179"/>
    </row>
    <row r="180" spans="1:41" x14ac:dyDescent="0.25">
      <c r="I180" t="s">
        <v>555</v>
      </c>
      <c r="T180" s="27"/>
      <c r="AO180"/>
    </row>
    <row r="181" spans="1:41" x14ac:dyDescent="0.25">
      <c r="I181" t="s">
        <v>556</v>
      </c>
      <c r="T181" s="27"/>
      <c r="AO181"/>
    </row>
    <row r="182" spans="1:41" x14ac:dyDescent="0.25">
      <c r="I182" t="s">
        <v>557</v>
      </c>
      <c r="T182" s="27"/>
      <c r="AO182"/>
    </row>
    <row r="183" spans="1:41" x14ac:dyDescent="0.25">
      <c r="I183" t="s">
        <v>558</v>
      </c>
      <c r="T183" s="27"/>
      <c r="AO183"/>
    </row>
    <row r="184" spans="1:41" x14ac:dyDescent="0.25">
      <c r="I184" t="s">
        <v>559</v>
      </c>
      <c r="T184" s="27"/>
      <c r="AO184"/>
    </row>
    <row r="185" spans="1:41" x14ac:dyDescent="0.25">
      <c r="I185" t="s">
        <v>560</v>
      </c>
      <c r="T185" s="27"/>
      <c r="AO185"/>
    </row>
    <row r="186" spans="1:41" ht="30" x14ac:dyDescent="0.25">
      <c r="I186" s="82" t="s">
        <v>561</v>
      </c>
      <c r="T186" s="27"/>
      <c r="AO186"/>
    </row>
    <row r="187" spans="1:41" ht="30" x14ac:dyDescent="0.25">
      <c r="I187" s="82" t="s">
        <v>562</v>
      </c>
      <c r="T187" s="27"/>
      <c r="AO187"/>
    </row>
    <row r="188" spans="1:41" ht="30" x14ac:dyDescent="0.25">
      <c r="I188" s="82" t="s">
        <v>563</v>
      </c>
      <c r="T188" s="27"/>
      <c r="AO188"/>
    </row>
    <row r="189" spans="1:41" ht="30" x14ac:dyDescent="0.25">
      <c r="I189" s="82" t="s">
        <v>564</v>
      </c>
      <c r="T189" s="27"/>
      <c r="AO189"/>
    </row>
    <row r="190" spans="1:41" ht="30" x14ac:dyDescent="0.25">
      <c r="A190" s="93"/>
      <c r="I190" s="82" t="s">
        <v>565</v>
      </c>
      <c r="T190" s="27"/>
      <c r="AO190"/>
    </row>
    <row r="191" spans="1:41" x14ac:dyDescent="0.25">
      <c r="A191" s="93"/>
      <c r="I191" t="s">
        <v>566</v>
      </c>
      <c r="T191" s="27"/>
      <c r="AO191"/>
    </row>
    <row r="192" spans="1:41" x14ac:dyDescent="0.25">
      <c r="I192" t="s">
        <v>567</v>
      </c>
      <c r="T192" s="27"/>
      <c r="AO192"/>
    </row>
    <row r="193" spans="1:41" x14ac:dyDescent="0.25">
      <c r="I193" t="s">
        <v>568</v>
      </c>
      <c r="T193" s="27"/>
      <c r="AO193"/>
    </row>
    <row r="194" spans="1:41" x14ac:dyDescent="0.25">
      <c r="I194" t="s">
        <v>569</v>
      </c>
      <c r="T194" s="91"/>
      <c r="AO194"/>
    </row>
    <row r="195" spans="1:41" x14ac:dyDescent="0.25">
      <c r="A195" s="93"/>
      <c r="I195" t="s">
        <v>570</v>
      </c>
      <c r="T195" s="27"/>
      <c r="AO195"/>
    </row>
    <row r="196" spans="1:41" x14ac:dyDescent="0.25">
      <c r="A196" s="93"/>
      <c r="I196" t="s">
        <v>571</v>
      </c>
      <c r="AO196"/>
    </row>
    <row r="197" spans="1:41" x14ac:dyDescent="0.25">
      <c r="I197" t="s">
        <v>572</v>
      </c>
      <c r="AO197"/>
    </row>
    <row r="198" spans="1:41" ht="14.25" customHeight="1" x14ac:dyDescent="0.25">
      <c r="A198" s="93"/>
      <c r="I198" t="s">
        <v>573</v>
      </c>
      <c r="AO198"/>
    </row>
    <row r="199" spans="1:41" ht="30" x14ac:dyDescent="0.25">
      <c r="A199" s="95"/>
      <c r="I199" s="82" t="s">
        <v>574</v>
      </c>
      <c r="AO199"/>
    </row>
    <row r="200" spans="1:41" x14ac:dyDescent="0.25">
      <c r="I200" t="s">
        <v>57</v>
      </c>
      <c r="AO200"/>
    </row>
    <row r="201" spans="1:41" ht="45" x14ac:dyDescent="0.25">
      <c r="I201" s="82" t="s">
        <v>575</v>
      </c>
      <c r="AO201"/>
    </row>
    <row r="202" spans="1:41" x14ac:dyDescent="0.25">
      <c r="I202" t="s">
        <v>576</v>
      </c>
      <c r="AO202"/>
    </row>
    <row r="203" spans="1:41" x14ac:dyDescent="0.25">
      <c r="I203" t="s">
        <v>577</v>
      </c>
      <c r="AO203"/>
    </row>
    <row r="204" spans="1:41" x14ac:dyDescent="0.25">
      <c r="I204" t="s">
        <v>578</v>
      </c>
      <c r="AO204"/>
    </row>
    <row r="205" spans="1:41" x14ac:dyDescent="0.25">
      <c r="I205" t="s">
        <v>579</v>
      </c>
      <c r="AO205"/>
    </row>
    <row r="206" spans="1:41" x14ac:dyDescent="0.25">
      <c r="I206" t="s">
        <v>580</v>
      </c>
      <c r="AO206"/>
    </row>
    <row r="207" spans="1:41" x14ac:dyDescent="0.25">
      <c r="I207" t="s">
        <v>581</v>
      </c>
      <c r="AO207"/>
    </row>
    <row r="208" spans="1:41" x14ac:dyDescent="0.25">
      <c r="I208" t="s">
        <v>582</v>
      </c>
      <c r="AO208"/>
    </row>
    <row r="209" spans="9:41" x14ac:dyDescent="0.25">
      <c r="I209" t="s">
        <v>583</v>
      </c>
      <c r="AO209"/>
    </row>
    <row r="210" spans="9:41" x14ac:dyDescent="0.25">
      <c r="I210" s="96" t="s">
        <v>584</v>
      </c>
      <c r="AO210"/>
    </row>
    <row r="211" spans="9:41" ht="45" x14ac:dyDescent="0.25">
      <c r="I211" s="82" t="s">
        <v>585</v>
      </c>
      <c r="AO211"/>
    </row>
    <row r="212" spans="9:41" ht="45" x14ac:dyDescent="0.25">
      <c r="I212" s="82" t="s">
        <v>586</v>
      </c>
      <c r="AO212"/>
    </row>
    <row r="213" spans="9:41" ht="30" x14ac:dyDescent="0.25">
      <c r="I213" s="82" t="s">
        <v>587</v>
      </c>
      <c r="AO213"/>
    </row>
    <row r="214" spans="9:41" x14ac:dyDescent="0.25">
      <c r="I214" t="s">
        <v>588</v>
      </c>
      <c r="AO214"/>
    </row>
    <row r="215" spans="9:41" x14ac:dyDescent="0.25">
      <c r="I215" s="97"/>
      <c r="AO215"/>
    </row>
    <row r="216" spans="9:41" x14ac:dyDescent="0.25">
      <c r="I216" s="97"/>
      <c r="AO216"/>
    </row>
    <row r="217" spans="9:41" x14ac:dyDescent="0.25">
      <c r="I217" s="98"/>
      <c r="AO217"/>
    </row>
    <row r="218" spans="9:41" x14ac:dyDescent="0.25">
      <c r="I218" s="99"/>
      <c r="AO218"/>
    </row>
    <row r="219" spans="9:41" x14ac:dyDescent="0.25">
      <c r="I219" s="97"/>
      <c r="AO219"/>
    </row>
    <row r="220" spans="9:41" x14ac:dyDescent="0.25">
      <c r="I220" s="97"/>
      <c r="AO220"/>
    </row>
    <row r="221" spans="9:41" x14ac:dyDescent="0.25">
      <c r="I221" s="97"/>
      <c r="AO221"/>
    </row>
    <row r="222" spans="9:41" x14ac:dyDescent="0.25">
      <c r="I222" s="97"/>
      <c r="AO222"/>
    </row>
    <row r="223" spans="9:41" x14ac:dyDescent="0.25">
      <c r="I223" s="99"/>
      <c r="AO223"/>
    </row>
    <row r="224" spans="9:41" x14ac:dyDescent="0.25">
      <c r="I224" s="99"/>
      <c r="AO224"/>
    </row>
    <row r="225" spans="9:41" x14ac:dyDescent="0.25">
      <c r="I225" s="97"/>
      <c r="AO225"/>
    </row>
    <row r="226" spans="9:41" x14ac:dyDescent="0.25">
      <c r="I226" s="99"/>
      <c r="AO226"/>
    </row>
    <row r="227" spans="9:41" x14ac:dyDescent="0.25">
      <c r="I227" s="57"/>
      <c r="AO227"/>
    </row>
    <row r="228" spans="9:41" x14ac:dyDescent="0.25">
      <c r="I228" s="57"/>
      <c r="AO228"/>
    </row>
    <row r="229" spans="9:41" x14ac:dyDescent="0.25">
      <c r="I229" s="57"/>
      <c r="AO229"/>
    </row>
    <row r="230" spans="9:41" x14ac:dyDescent="0.25">
      <c r="I230" s="57"/>
      <c r="AO230"/>
    </row>
    <row r="231" spans="9:41" x14ac:dyDescent="0.25">
      <c r="I231" s="57"/>
      <c r="AO231"/>
    </row>
    <row r="232" spans="9:41" x14ac:dyDescent="0.25">
      <c r="I232" s="57"/>
      <c r="AO232"/>
    </row>
    <row r="233" spans="9:41" x14ac:dyDescent="0.25">
      <c r="I233" s="57"/>
      <c r="AO233"/>
    </row>
    <row r="234" spans="9:41" x14ac:dyDescent="0.25">
      <c r="I234" s="57"/>
      <c r="AO234"/>
    </row>
    <row r="235" spans="9:41" x14ac:dyDescent="0.25">
      <c r="I235" s="57"/>
      <c r="AO235"/>
    </row>
    <row r="236" spans="9:41" x14ac:dyDescent="0.25">
      <c r="I236" s="57"/>
      <c r="AO236"/>
    </row>
    <row r="237" spans="9:41" x14ac:dyDescent="0.25">
      <c r="I237" s="57"/>
      <c r="AO237"/>
    </row>
    <row r="238" spans="9:41" x14ac:dyDescent="0.25">
      <c r="I238" s="57"/>
      <c r="AO238"/>
    </row>
    <row r="239" spans="9:41" x14ac:dyDescent="0.25">
      <c r="I239" s="57"/>
      <c r="AO239"/>
    </row>
    <row r="240" spans="9:41" x14ac:dyDescent="0.25">
      <c r="I240" s="57"/>
      <c r="AO240"/>
    </row>
    <row r="241" spans="9:41" x14ac:dyDescent="0.25">
      <c r="I241" s="57"/>
      <c r="AO241"/>
    </row>
    <row r="242" spans="9:41" x14ac:dyDescent="0.25">
      <c r="I242" s="57"/>
      <c r="AO242"/>
    </row>
    <row r="243" spans="9:41" x14ac:dyDescent="0.25">
      <c r="I243" s="57"/>
      <c r="AO243"/>
    </row>
    <row r="244" spans="9:41" x14ac:dyDescent="0.25">
      <c r="I244" s="57"/>
      <c r="AO244"/>
    </row>
    <row r="245" spans="9:41" x14ac:dyDescent="0.25">
      <c r="AO245"/>
    </row>
    <row r="246" spans="9:41" x14ac:dyDescent="0.25">
      <c r="AO246"/>
    </row>
    <row r="247" spans="9:41" x14ac:dyDescent="0.25">
      <c r="AO247"/>
    </row>
    <row r="248" spans="9:41" x14ac:dyDescent="0.25">
      <c r="AO248"/>
    </row>
    <row r="249" spans="9:41" x14ac:dyDescent="0.25">
      <c r="AO249"/>
    </row>
    <row r="250" spans="9:41" x14ac:dyDescent="0.25">
      <c r="AO250"/>
    </row>
    <row r="251" spans="9:41" x14ac:dyDescent="0.25">
      <c r="AO251"/>
    </row>
    <row r="252" spans="9:41" x14ac:dyDescent="0.25">
      <c r="AO252"/>
    </row>
    <row r="253" spans="9:41" x14ac:dyDescent="0.25">
      <c r="AO253"/>
    </row>
    <row r="254" spans="9:41" x14ac:dyDescent="0.25">
      <c r="AO254"/>
    </row>
    <row r="255" spans="9:41" x14ac:dyDescent="0.25">
      <c r="AO255"/>
    </row>
    <row r="256" spans="9:41" x14ac:dyDescent="0.25">
      <c r="AO256"/>
    </row>
    <row r="257" spans="41:41" x14ac:dyDescent="0.25">
      <c r="AO257"/>
    </row>
    <row r="258" spans="41:41" x14ac:dyDescent="0.25">
      <c r="AO258"/>
    </row>
    <row r="259" spans="41:41" x14ac:dyDescent="0.25">
      <c r="AO259"/>
    </row>
    <row r="260" spans="41:41" x14ac:dyDescent="0.25">
      <c r="AO260"/>
    </row>
    <row r="261" spans="41:41" x14ac:dyDescent="0.25">
      <c r="AO261"/>
    </row>
    <row r="262" spans="41:41" x14ac:dyDescent="0.25">
      <c r="AO262"/>
    </row>
    <row r="263" spans="41:41" x14ac:dyDescent="0.25">
      <c r="AO263"/>
    </row>
    <row r="264" spans="41:41" x14ac:dyDescent="0.25">
      <c r="AO264"/>
    </row>
    <row r="265" spans="41:41" x14ac:dyDescent="0.25">
      <c r="AO265"/>
    </row>
    <row r="266" spans="41:41" x14ac:dyDescent="0.25">
      <c r="AO266"/>
    </row>
    <row r="267" spans="41:41" x14ac:dyDescent="0.25">
      <c r="AO267"/>
    </row>
    <row r="268" spans="41:41" x14ac:dyDescent="0.25">
      <c r="AO268"/>
    </row>
    <row r="269" spans="41:41" x14ac:dyDescent="0.25">
      <c r="AO269"/>
    </row>
    <row r="270" spans="41:41" x14ac:dyDescent="0.25">
      <c r="AO270"/>
    </row>
    <row r="271" spans="41:41" x14ac:dyDescent="0.25">
      <c r="AO271"/>
    </row>
    <row r="272" spans="41:41" x14ac:dyDescent="0.25">
      <c r="AO272"/>
    </row>
    <row r="273" spans="41:41" x14ac:dyDescent="0.25">
      <c r="AO273"/>
    </row>
    <row r="274" spans="41:41" x14ac:dyDescent="0.25">
      <c r="AO274"/>
    </row>
    <row r="275" spans="41:41" x14ac:dyDescent="0.25">
      <c r="AO275"/>
    </row>
    <row r="276" spans="41:41" x14ac:dyDescent="0.25">
      <c r="AO276"/>
    </row>
    <row r="277" spans="41:41" x14ac:dyDescent="0.25">
      <c r="AO277"/>
    </row>
    <row r="278" spans="41:41" x14ac:dyDescent="0.25">
      <c r="AO278"/>
    </row>
    <row r="279" spans="41:41" x14ac:dyDescent="0.25">
      <c r="AO279"/>
    </row>
    <row r="280" spans="41:41" x14ac:dyDescent="0.25">
      <c r="AO280"/>
    </row>
    <row r="281" spans="41:41" x14ac:dyDescent="0.25">
      <c r="AO281"/>
    </row>
    <row r="282" spans="41:41" x14ac:dyDescent="0.25">
      <c r="AO282"/>
    </row>
    <row r="283" spans="41:41" x14ac:dyDescent="0.25">
      <c r="AO283"/>
    </row>
    <row r="284" spans="41:41" x14ac:dyDescent="0.25">
      <c r="AO284"/>
    </row>
    <row r="285" spans="41:41" x14ac:dyDescent="0.25">
      <c r="AO285"/>
    </row>
    <row r="286" spans="41:41" x14ac:dyDescent="0.25">
      <c r="AO286"/>
    </row>
    <row r="287" spans="41:41" x14ac:dyDescent="0.25">
      <c r="AO287"/>
    </row>
    <row r="288" spans="41:41" x14ac:dyDescent="0.25">
      <c r="AO288"/>
    </row>
    <row r="289" spans="41:41" x14ac:dyDescent="0.25">
      <c r="AO289"/>
    </row>
    <row r="290" spans="41:41" x14ac:dyDescent="0.25">
      <c r="AO290"/>
    </row>
    <row r="291" spans="41:41" x14ac:dyDescent="0.25">
      <c r="AO291"/>
    </row>
    <row r="292" spans="41:41" x14ac:dyDescent="0.25">
      <c r="AO292"/>
    </row>
    <row r="293" spans="41:41" x14ac:dyDescent="0.25">
      <c r="AO293"/>
    </row>
    <row r="294" spans="41:41" x14ac:dyDescent="0.25">
      <c r="AO294"/>
    </row>
    <row r="295" spans="41:41" x14ac:dyDescent="0.25">
      <c r="AO295"/>
    </row>
    <row r="296" spans="41:41" x14ac:dyDescent="0.25">
      <c r="AO296"/>
    </row>
    <row r="297" spans="41:41" x14ac:dyDescent="0.25">
      <c r="AO297"/>
    </row>
    <row r="298" spans="41:41" x14ac:dyDescent="0.25">
      <c r="AO298" s="93"/>
    </row>
    <row r="299" spans="41:41" x14ac:dyDescent="0.25">
      <c r="AO299" s="93"/>
    </row>
    <row r="300" spans="41:41" x14ac:dyDescent="0.25">
      <c r="AO300"/>
    </row>
    <row r="301" spans="41:41" x14ac:dyDescent="0.25">
      <c r="AO301"/>
    </row>
    <row r="302" spans="41:41" x14ac:dyDescent="0.25">
      <c r="AO302"/>
    </row>
    <row r="303" spans="41:41" x14ac:dyDescent="0.25">
      <c r="AO303" s="93"/>
    </row>
    <row r="304" spans="41:41" x14ac:dyDescent="0.25">
      <c r="AO304" s="93"/>
    </row>
    <row r="305" spans="41:41" x14ac:dyDescent="0.25">
      <c r="AO305"/>
    </row>
    <row r="306" spans="41:41" x14ac:dyDescent="0.25">
      <c r="AO306" s="93"/>
    </row>
    <row r="307" spans="41:41" x14ac:dyDescent="0.25">
      <c r="AO307" s="95"/>
    </row>
    <row r="308" spans="41:41" x14ac:dyDescent="0.25">
      <c r="AO308"/>
    </row>
    <row r="309" spans="41:41" x14ac:dyDescent="0.25">
      <c r="AO309"/>
    </row>
    <row r="310" spans="41:41" x14ac:dyDescent="0.25">
      <c r="AO310"/>
    </row>
    <row r="311" spans="41:41" x14ac:dyDescent="0.25">
      <c r="AO311"/>
    </row>
    <row r="312" spans="41:41" x14ac:dyDescent="0.25">
      <c r="AO312"/>
    </row>
    <row r="313" spans="41:41" x14ac:dyDescent="0.25">
      <c r="AO313"/>
    </row>
    <row r="314" spans="41:41" x14ac:dyDescent="0.25">
      <c r="AO314"/>
    </row>
    <row r="315" spans="41:41" x14ac:dyDescent="0.25">
      <c r="AO315"/>
    </row>
    <row r="316" spans="41:41" x14ac:dyDescent="0.25">
      <c r="AO316"/>
    </row>
    <row r="317" spans="41:41" x14ac:dyDescent="0.25">
      <c r="AO317"/>
    </row>
    <row r="318" spans="41:41" x14ac:dyDescent="0.25">
      <c r="AO318"/>
    </row>
    <row r="319" spans="41:41" x14ac:dyDescent="0.25">
      <c r="AO319"/>
    </row>
    <row r="320" spans="41:41" x14ac:dyDescent="0.25">
      <c r="AO320"/>
    </row>
  </sheetData>
  <sheetProtection algorithmName="SHA-512" hashValue="5UpFevChJ2qeRL2ktD8dnaXqTIBs8Jn+UK6wHViU2PVQJCr9clV6DN9mz6RIdER+3XULg6kn0MEmeRcHHHbYmw==" saltValue="18Fppkb3aoc+E0P/ZvAB2w==" spinCount="100000" sheet="1" objects="1" scenarios="1"/>
  <mergeCells count="18">
    <mergeCell ref="AZ6:BA6"/>
    <mergeCell ref="AZ1:BA1"/>
    <mergeCell ref="AZ2:BA2"/>
    <mergeCell ref="AZ3:BA3"/>
    <mergeCell ref="AZ4:BA4"/>
    <mergeCell ref="AZ5:BA5"/>
    <mergeCell ref="AZ18:BA18"/>
    <mergeCell ref="AZ7:BA7"/>
    <mergeCell ref="AZ8:BA8"/>
    <mergeCell ref="AZ9:BA9"/>
    <mergeCell ref="AZ10:BA10"/>
    <mergeCell ref="AZ11:BA11"/>
    <mergeCell ref="AZ12:BA12"/>
    <mergeCell ref="AZ13:BA13"/>
    <mergeCell ref="AZ14:BA14"/>
    <mergeCell ref="AZ15:BA15"/>
    <mergeCell ref="AZ16:BA16"/>
    <mergeCell ref="AZ17:BA17"/>
  </mergeCells>
  <dataValidations count="1">
    <dataValidation allowBlank="1" showInputMessage="1" showErrorMessage="1" sqref="I67" xr:uid="{00000000-0002-0000-0000-000000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F89"/>
  <sheetViews>
    <sheetView showGridLines="0" tabSelected="1" zoomScaleNormal="100" workbookViewId="0">
      <selection activeCell="B9" sqref="B9"/>
    </sheetView>
  </sheetViews>
  <sheetFormatPr defaultColWidth="9.140625" defaultRowHeight="15" customHeight="1" x14ac:dyDescent="0.2"/>
  <cols>
    <col min="1" max="1" width="4.140625" style="127" customWidth="1"/>
    <col min="2" max="2" width="13.7109375" style="127" customWidth="1"/>
    <col min="3" max="3" width="61.7109375" style="127" customWidth="1"/>
    <col min="4" max="4" width="3.5703125" style="127" customWidth="1"/>
    <col min="5" max="5" width="27.5703125" style="127" customWidth="1"/>
    <col min="6" max="6" width="39.140625" style="127" bestFit="1" customWidth="1"/>
    <col min="7" max="7" width="3.5703125" style="127" customWidth="1"/>
    <col min="8" max="15" width="9.140625" style="127" customWidth="1"/>
    <col min="16" max="16" width="3.5703125" style="127" customWidth="1"/>
    <col min="17" max="16384" width="9.140625" style="127"/>
  </cols>
  <sheetData>
    <row r="1" spans="1:6" x14ac:dyDescent="0.2">
      <c r="A1" s="125"/>
      <c r="B1" s="125"/>
      <c r="C1" s="125"/>
      <c r="D1" s="125"/>
      <c r="E1" s="125"/>
      <c r="F1" s="125"/>
    </row>
    <row r="2" spans="1:6" s="125" customFormat="1" ht="18" x14ac:dyDescent="0.25">
      <c r="C2" s="128"/>
    </row>
    <row r="3" spans="1:6" s="125" customFormat="1" ht="29.25" customHeight="1" x14ac:dyDescent="0.25">
      <c r="C3" s="128"/>
    </row>
    <row r="4" spans="1:6" s="125" customFormat="1" ht="29.25" customHeight="1" x14ac:dyDescent="0.25">
      <c r="C4" s="128"/>
    </row>
    <row r="5" spans="1:6" s="125" customFormat="1" ht="29.25" customHeight="1" x14ac:dyDescent="0.25">
      <c r="C5" s="128"/>
    </row>
    <row r="6" spans="1:6" s="125" customFormat="1" x14ac:dyDescent="0.2"/>
    <row r="7" spans="1:6" s="125" customFormat="1" x14ac:dyDescent="0.2"/>
    <row r="8" spans="1:6" s="125" customFormat="1" ht="15.75" x14ac:dyDescent="0.25">
      <c r="A8" s="162" t="s">
        <v>724</v>
      </c>
    </row>
    <row r="9" spans="1:6" s="125" customFormat="1" ht="23.25" x14ac:dyDescent="0.2">
      <c r="C9" s="484" t="str">
        <f>IF('1. Information Sheet'!F26 = "COS", "Preliminary Materiality Threshold Calculation", "Final Materiality Threshold Calculation")</f>
        <v>Final Materiality Threshold Calculation</v>
      </c>
      <c r="D9" s="484"/>
      <c r="E9" s="484"/>
    </row>
    <row r="10" spans="1:6" s="125" customFormat="1" ht="15.75" customHeight="1" x14ac:dyDescent="0.4">
      <c r="C10" s="163"/>
    </row>
    <row r="11" spans="1:6" s="125" customFormat="1" x14ac:dyDescent="0.2"/>
    <row r="12" spans="1:6" s="125" customFormat="1" x14ac:dyDescent="0.2"/>
    <row r="13" spans="1:6" s="125" customFormat="1" ht="23.25" customHeight="1" x14ac:dyDescent="0.25">
      <c r="C13" s="129" t="s">
        <v>725</v>
      </c>
      <c r="E13" s="184">
        <f>IF('1. Information Sheet'!F26="COS",'1. Information Sheet'!M26,'1. Information Sheet'!F34)</f>
        <v>2013</v>
      </c>
    </row>
    <row r="14" spans="1:6" s="125" customFormat="1" ht="15.75" x14ac:dyDescent="0.25">
      <c r="C14" s="129" t="s">
        <v>726</v>
      </c>
      <c r="E14" s="184">
        <f>IF('1. Information Sheet'!F26="CoS", "COS",'1. Information Sheet'!F28)</f>
        <v>7</v>
      </c>
      <c r="F14" s="162"/>
    </row>
    <row r="15" spans="1:6" s="125" customFormat="1" x14ac:dyDescent="0.2">
      <c r="E15" s="164"/>
    </row>
    <row r="16" spans="1:6" s="125" customFormat="1" ht="15.75" x14ac:dyDescent="0.25">
      <c r="C16" s="165" t="s">
        <v>16</v>
      </c>
      <c r="D16" s="166"/>
      <c r="E16" s="167">
        <f>'1. Information Sheet'!F46</f>
        <v>1.2E-2</v>
      </c>
      <c r="F16" s="162"/>
    </row>
    <row r="17" spans="3:6" s="125" customFormat="1" ht="15.75" x14ac:dyDescent="0.25">
      <c r="C17" s="129" t="s">
        <v>727</v>
      </c>
    </row>
    <row r="18" spans="3:6" s="125" customFormat="1" ht="21" customHeight="1" x14ac:dyDescent="0.25">
      <c r="C18" s="168" t="str">
        <f>'1. Information Sheet'!F48</f>
        <v>Revenues Based on 2018 Actual Distribution Demand</v>
      </c>
      <c r="E18" s="169">
        <f>'4. Growth Factor - NUM_CALC2'!N24</f>
        <v>132802853.22483614</v>
      </c>
      <c r="F18" s="129"/>
    </row>
    <row r="19" spans="3:6" s="125" customFormat="1" ht="12.75" customHeight="1" x14ac:dyDescent="0.25">
      <c r="C19" s="168" t="str">
        <f>'1. Information Sheet'!F49</f>
        <v>Revenues Based on 2013 Board-Approved Distribution Demand</v>
      </c>
      <c r="E19" s="169">
        <f>'6. Growth Factor - DEN_CALC'!N24</f>
        <v>133185701.55039999</v>
      </c>
      <c r="F19" s="129"/>
    </row>
    <row r="20" spans="3:6" s="125" customFormat="1" ht="15.75" x14ac:dyDescent="0.25">
      <c r="C20" s="165" t="s">
        <v>728</v>
      </c>
      <c r="D20" s="166"/>
      <c r="E20" s="167">
        <f>IF(ISERROR(E18/E19-1),0,(E18/E19-1)/('1. Information Sheet'!I48-'1. Information Sheet'!I49))</f>
        <v>-5.7490904970600718E-4</v>
      </c>
      <c r="F20" s="162"/>
    </row>
    <row r="21" spans="3:6" s="125" customFormat="1" ht="15.75" x14ac:dyDescent="0.25">
      <c r="C21" s="165" t="s">
        <v>729</v>
      </c>
      <c r="D21" s="166"/>
      <c r="E21" s="170">
        <v>0.1</v>
      </c>
      <c r="F21" s="129"/>
    </row>
    <row r="22" spans="3:6" s="125" customFormat="1" ht="24.75" customHeight="1" x14ac:dyDescent="0.25">
      <c r="C22" s="129" t="s">
        <v>618</v>
      </c>
      <c r="E22" s="164"/>
    </row>
    <row r="23" spans="3:6" s="125" customFormat="1" x14ac:dyDescent="0.2">
      <c r="C23" s="125" t="s">
        <v>730</v>
      </c>
      <c r="E23" s="171">
        <f>'5. Rev_Requ_Check'!C10</f>
        <v>541300088</v>
      </c>
    </row>
    <row r="24" spans="3:6" s="125" customFormat="1" x14ac:dyDescent="0.2">
      <c r="C24" s="134" t="s">
        <v>731</v>
      </c>
      <c r="E24" s="171">
        <f>'5. Rev_Requ_Check'!C11</f>
        <v>4371726</v>
      </c>
    </row>
    <row r="25" spans="3:6" s="125" customFormat="1" x14ac:dyDescent="0.2">
      <c r="C25" s="134" t="s">
        <v>732</v>
      </c>
      <c r="E25" s="171">
        <f>'5. Rev_Requ_Check'!C12</f>
        <v>46257875</v>
      </c>
    </row>
    <row r="26" spans="3:6" s="125" customFormat="1" x14ac:dyDescent="0.2">
      <c r="C26" s="134" t="s">
        <v>733</v>
      </c>
      <c r="E26" s="171">
        <f>'5. Rev_Requ_Check'!C13</f>
        <v>-1026755</v>
      </c>
    </row>
    <row r="27" spans="3:6" s="125" customFormat="1" x14ac:dyDescent="0.2">
      <c r="C27" s="134" t="s">
        <v>734</v>
      </c>
      <c r="E27" s="171">
        <f>'5. Rev_Requ_Check'!C14</f>
        <v>0</v>
      </c>
    </row>
    <row r="28" spans="3:6" s="125" customFormat="1" x14ac:dyDescent="0.2">
      <c r="C28" s="134" t="s">
        <v>735</v>
      </c>
      <c r="E28" s="171">
        <f>'5. Rev_Requ_Check'!C15</f>
        <v>-4371726</v>
      </c>
    </row>
    <row r="29" spans="3:6" s="125" customFormat="1" x14ac:dyDescent="0.2">
      <c r="C29" s="125" t="s">
        <v>736</v>
      </c>
      <c r="E29" s="171">
        <f>'5. Rev_Requ_Check'!C16</f>
        <v>586531208</v>
      </c>
    </row>
    <row r="30" spans="3:6" s="125" customFormat="1" x14ac:dyDescent="0.2">
      <c r="E30" s="171"/>
    </row>
    <row r="31" spans="3:6" s="125" customFormat="1" x14ac:dyDescent="0.2">
      <c r="C31" s="125" t="s">
        <v>630</v>
      </c>
      <c r="E31" s="172">
        <f>(E23+E29)/2</f>
        <v>563915648</v>
      </c>
    </row>
    <row r="32" spans="3:6" s="125" customFormat="1" x14ac:dyDescent="0.2">
      <c r="E32" s="171"/>
    </row>
    <row r="33" spans="3:6" s="125" customFormat="1" x14ac:dyDescent="0.2">
      <c r="C33" s="134" t="s">
        <v>737</v>
      </c>
      <c r="E33" s="171">
        <f>'5. Rev_Requ_Check'!C19</f>
        <v>45750490</v>
      </c>
    </row>
    <row r="34" spans="3:6" s="125" customFormat="1" ht="15.75" x14ac:dyDescent="0.25">
      <c r="C34" s="173" t="s">
        <v>738</v>
      </c>
      <c r="E34" s="171">
        <f>'5. Rev_Requ_Check'!C20</f>
        <v>28721695</v>
      </c>
      <c r="F34" s="129"/>
    </row>
    <row r="35" spans="3:6" s="125" customFormat="1" x14ac:dyDescent="0.2">
      <c r="C35" s="173" t="s">
        <v>739</v>
      </c>
      <c r="E35" s="171">
        <f>'5. Rev_Requ_Check'!C21</f>
        <v>0</v>
      </c>
    </row>
    <row r="36" spans="3:6" s="125" customFormat="1" x14ac:dyDescent="0.2">
      <c r="C36" s="173" t="s">
        <v>740</v>
      </c>
      <c r="E36" s="171">
        <f>'5. Rev_Requ_Check'!C22</f>
        <v>-1026755</v>
      </c>
    </row>
    <row r="37" spans="3:6" s="125" customFormat="1" x14ac:dyDescent="0.2">
      <c r="C37" s="134" t="s">
        <v>741</v>
      </c>
      <c r="E37" s="171">
        <f>'5. Rev_Requ_Check'!C23</f>
        <v>73445430</v>
      </c>
    </row>
    <row r="38" spans="3:6" s="125" customFormat="1" x14ac:dyDescent="0.2">
      <c r="C38" s="134"/>
      <c r="E38" s="171"/>
    </row>
    <row r="39" spans="3:6" s="125" customFormat="1" x14ac:dyDescent="0.2">
      <c r="C39" s="125" t="s">
        <v>642</v>
      </c>
      <c r="E39" s="172">
        <f>(E33+E37)/2</f>
        <v>59597960</v>
      </c>
    </row>
    <row r="40" spans="3:6" s="125" customFormat="1" x14ac:dyDescent="0.2">
      <c r="E40" s="171"/>
    </row>
    <row r="41" spans="3:6" s="125" customFormat="1" ht="15.75" x14ac:dyDescent="0.25">
      <c r="C41" s="129" t="s">
        <v>644</v>
      </c>
      <c r="E41" s="172">
        <f>E31-E39</f>
        <v>504317688</v>
      </c>
      <c r="F41" s="129"/>
    </row>
    <row r="42" spans="3:6" s="125" customFormat="1" x14ac:dyDescent="0.2">
      <c r="E42" s="174"/>
    </row>
    <row r="43" spans="3:6" s="125" customFormat="1" x14ac:dyDescent="0.2">
      <c r="E43" s="174"/>
    </row>
    <row r="44" spans="3:6" s="125" customFormat="1" ht="15.75" x14ac:dyDescent="0.25">
      <c r="C44" s="129" t="s">
        <v>646</v>
      </c>
      <c r="E44" s="174"/>
    </row>
    <row r="45" spans="3:6" s="125" customFormat="1" x14ac:dyDescent="0.2">
      <c r="C45" s="134" t="s">
        <v>647</v>
      </c>
      <c r="E45" s="171">
        <f>'5. Rev_Requ_Check'!C29</f>
        <v>786215891</v>
      </c>
    </row>
    <row r="46" spans="3:6" s="125" customFormat="1" x14ac:dyDescent="0.2">
      <c r="C46" s="134" t="s">
        <v>649</v>
      </c>
      <c r="E46" s="175">
        <f>'5. Rev_Requ_Check'!C30</f>
        <v>0.13500000000000001</v>
      </c>
    </row>
    <row r="47" spans="3:6" s="125" customFormat="1" ht="15.75" x14ac:dyDescent="0.25">
      <c r="C47" s="129" t="s">
        <v>646</v>
      </c>
      <c r="E47" s="172">
        <f>E45*E46</f>
        <v>106139145.28500001</v>
      </c>
      <c r="F47" s="129"/>
    </row>
    <row r="48" spans="3:6" s="125" customFormat="1" x14ac:dyDescent="0.2">
      <c r="E48" s="174"/>
    </row>
    <row r="49" spans="3:6" s="125" customFormat="1" ht="16.5" thickBot="1" x14ac:dyDescent="0.3">
      <c r="C49" s="129" t="s">
        <v>652</v>
      </c>
      <c r="E49" s="152">
        <f>E41+E47</f>
        <v>610456833.28499997</v>
      </c>
      <c r="F49" s="162"/>
    </row>
    <row r="50" spans="3:6" s="125" customFormat="1" x14ac:dyDescent="0.2">
      <c r="E50" s="174"/>
      <c r="F50" s="134"/>
    </row>
    <row r="51" spans="3:6" s="125" customFormat="1" ht="15.75" x14ac:dyDescent="0.25">
      <c r="C51" s="129" t="s">
        <v>742</v>
      </c>
      <c r="D51" s="176"/>
      <c r="E51" s="145">
        <f>E34</f>
        <v>28721695</v>
      </c>
      <c r="F51" s="162"/>
    </row>
    <row r="52" spans="3:6" s="125" customFormat="1" x14ac:dyDescent="0.2">
      <c r="E52" s="174"/>
    </row>
    <row r="53" spans="3:6" s="125" customFormat="1" ht="15.75" x14ac:dyDescent="0.25">
      <c r="C53" s="129" t="s">
        <v>743</v>
      </c>
      <c r="E53" s="177"/>
      <c r="F53" s="178"/>
    </row>
    <row r="54" spans="3:6" s="125" customFormat="1" ht="15.75" x14ac:dyDescent="0.25">
      <c r="C54" s="141" t="str">
        <f>CONCATENATE("    Price Cap IR Year ",E13+1)</f>
        <v xml:space="preserve">    Price Cap IR Year 2014</v>
      </c>
      <c r="E54" s="179">
        <f>IF(ISERROR(1+((RB/d)*(g+PCI*(1+g)))*((1+g)*(1+PCI))^(1-1) + 10%), 0, 1+((RB/d)*(g+PCI*(1+g)))*((1+g)*(1+PCI))^(1-1) + 10%)</f>
        <v>1.342684610208926</v>
      </c>
      <c r="F54" s="129"/>
    </row>
    <row r="55" spans="3:6" s="125" customFormat="1" ht="15.75" x14ac:dyDescent="0.25">
      <c r="C55" s="141" t="str">
        <f>CONCATENATE("    Price Cap IR Year ",E13+2)</f>
        <v xml:space="preserve">    Price Cap IR Year 2015</v>
      </c>
      <c r="E55" s="179">
        <f>IF(ISERROR(1+((RB/d)*(g+PCI*(1+g)))*((1+g)*(1+PCI))^(2-1) + 10%), 0, 1+((RB/d)*(g+PCI*(1+g)))*((1+g)*(1+PCI))^(2-1) + 10%)</f>
        <v>1.345455629693856</v>
      </c>
      <c r="F55" s="129"/>
    </row>
    <row r="56" spans="3:6" s="125" customFormat="1" ht="15.75" x14ac:dyDescent="0.25">
      <c r="C56" s="141" t="str">
        <f>CONCATENATE("    Price Cap IR Year ",E13+3)</f>
        <v xml:space="preserve">    Price Cap IR Year 2016</v>
      </c>
      <c r="E56" s="179">
        <f>IF(ISERROR(1+((RB/d)*(g+PCI*(1+g)))*((1+g)*(1+PCI))^(3-1) + 10%), 0, 1+((RB/d)*(g+PCI*(1+g)))*((1+g)*(1+PCI))^(3-1) + 10%)</f>
        <v>1.3482582892114163</v>
      </c>
    </row>
    <row r="57" spans="3:6" s="125" customFormat="1" ht="15.75" x14ac:dyDescent="0.25">
      <c r="C57" s="141" t="str">
        <f>CONCATENATE("    Price Cap IR Year ",E13+4)</f>
        <v xml:space="preserve">    Price Cap IR Year 2017</v>
      </c>
      <c r="E57" s="179">
        <f>IF(ISERROR(1+((RB/d)*(g+PCI*(1+g)))*((1+g)*(1+PCI))^(4-1) + 10%), 0, 1+((RB/d)*(g+PCI*(1+g)))*((1+g)*(1+PCI))^(4-1) + 10%)</f>
        <v>1.3510929500335755</v>
      </c>
    </row>
    <row r="58" spans="3:6" s="125" customFormat="1" ht="15.75" x14ac:dyDescent="0.25">
      <c r="C58" s="141" t="str">
        <f>CONCATENATE("    Price Cap IR Year ",E13+5)</f>
        <v xml:space="preserve">    Price Cap IR Year 2018</v>
      </c>
      <c r="E58" s="179">
        <f>IF(ISERROR(1+((RB/d)*(g+PCI*(1+g)))*((1+g)*(1+PCI))^(5-1) + 10%), 0, 1+((RB/d)*(g+PCI*(1+g)))*((1+g)*(1+PCI))^(5-1) + 10%)</f>
        <v>1.3539599775573752</v>
      </c>
    </row>
    <row r="59" spans="3:6" s="125" customFormat="1" ht="15.75" x14ac:dyDescent="0.25">
      <c r="C59" s="141" t="str">
        <f>CONCATENATE("    Price Cap IR Year ",E13+6)</f>
        <v xml:space="preserve">    Price Cap IR Year 2019</v>
      </c>
      <c r="E59" s="179">
        <f>IF(ISERROR(1+((RB/d)*(g+PCI*(1+g)))*((1+g)*(1+PCI))^(6-1) + 10%), 0, 1+((RB/d)*(g+PCI*(1+g)))*((1+g)*(1+PCI))^(6-1) + 10%)</f>
        <v>1.3568597413520305</v>
      </c>
    </row>
    <row r="60" spans="3:6" s="125" customFormat="1" ht="15.75" x14ac:dyDescent="0.25">
      <c r="C60" s="141" t="str">
        <f>CONCATENATE("    Price Cap IR Year ",E13+7)</f>
        <v xml:space="preserve">    Price Cap IR Year 2020</v>
      </c>
      <c r="E60" s="179">
        <f>IF(ISERROR(1+((RB/d)*(g+PCI*(1+g)))*((1+g)*(1+PCI))^(7-1) + 10%), 0, 1+((RB/d)*(g+PCI*(1+g)))*((1+g)*(1+PCI))^(7-1) + 10%)</f>
        <v>1.3597926152065689</v>
      </c>
    </row>
    <row r="61" spans="3:6" s="125" customFormat="1" ht="15.75" x14ac:dyDescent="0.25">
      <c r="C61" s="141" t="str">
        <f>CONCATENATE("    Price Cap IR Year ",E13+8)</f>
        <v xml:space="preserve">    Price Cap IR Year 2021</v>
      </c>
      <c r="E61" s="179">
        <f>IF(ISERROR(1+((RB/d)*(g+PCI*(1+g)))*((1+g)*(1+PCI))^(8-1) + 10%), 0, 1+((RB/d)*(g+PCI*(1+g)))*((1+g)*(1+PCI))^(8-1) + 10%)</f>
        <v>1.3627589771780122</v>
      </c>
    </row>
    <row r="62" spans="3:6" s="125" customFormat="1" ht="15.75" x14ac:dyDescent="0.25">
      <c r="C62" s="141" t="str">
        <f>CONCATENATE("    Price Cap IR Year ",E13+9)</f>
        <v xml:space="preserve">    Price Cap IR Year 2022</v>
      </c>
      <c r="E62" s="179">
        <f>IF(ISERROR(1+((RB/d)*(g+PCI*(1+g)))*((1+g)*(1+PCI))^(9-1) + 10%), 0, 1+((RB/d)*(g+PCI*(1+g)))*((1+g)*(1+PCI))^(9-1) + 10%)</f>
        <v>1.3657592096401108</v>
      </c>
    </row>
    <row r="63" spans="3:6" s="125" customFormat="1" ht="15.75" x14ac:dyDescent="0.25">
      <c r="C63" s="141" t="str">
        <f>CONCATENATE("    Price Cap IR Year ",E13+10)</f>
        <v xml:space="preserve">    Price Cap IR Year 2023</v>
      </c>
      <c r="E63" s="179">
        <f>IF(ISERROR(1+((RB/d)*(g+PCI*(1+g)))*((1+g)*(1+PCI))^(10-1) + 10%), 0, 1+((RB/d)*(g+PCI*(1+g)))*((1+g)*(1+PCI))^(10-1) + 10%)</f>
        <v>1.3687936993326315</v>
      </c>
    </row>
    <row r="64" spans="3:6" s="125" customFormat="1" ht="15.75" x14ac:dyDescent="0.25">
      <c r="C64" s="129"/>
      <c r="E64" s="174"/>
    </row>
    <row r="65" spans="2:6" s="125" customFormat="1" ht="15.75" x14ac:dyDescent="0.25">
      <c r="C65" s="129" t="s">
        <v>744</v>
      </c>
      <c r="E65" s="180"/>
      <c r="F65" s="178"/>
    </row>
    <row r="66" spans="2:6" s="125" customFormat="1" ht="15.75" x14ac:dyDescent="0.25">
      <c r="C66" s="125" t="str">
        <f>C54</f>
        <v xml:space="preserve">    Price Cap IR Year 2014</v>
      </c>
      <c r="E66" s="181">
        <f t="shared" ref="E66:E75" si="0">IF(ISERROR(d*E54), "", d*E54)</f>
        <v>38564177.855614662</v>
      </c>
    </row>
    <row r="67" spans="2:6" s="125" customFormat="1" ht="15.75" x14ac:dyDescent="0.25">
      <c r="C67" s="125" t="str">
        <f>C55</f>
        <v xml:space="preserve">    Price Cap IR Year 2015</v>
      </c>
      <c r="E67" s="181">
        <f t="shared" si="0"/>
        <v>38643766.232099876</v>
      </c>
    </row>
    <row r="68" spans="2:6" s="125" customFormat="1" ht="15.75" x14ac:dyDescent="0.25">
      <c r="C68" s="125" t="str">
        <f>C56</f>
        <v xml:space="preserve">    Price Cap IR Year 2016</v>
      </c>
      <c r="E68" s="181">
        <f t="shared" si="0"/>
        <v>38724263.363952093</v>
      </c>
    </row>
    <row r="69" spans="2:6" s="125" customFormat="1" ht="15.75" x14ac:dyDescent="0.25">
      <c r="C69" s="125" t="str">
        <f>C57</f>
        <v xml:space="preserve">    Price Cap IR Year 2017</v>
      </c>
      <c r="E69" s="181">
        <f t="shared" si="0"/>
        <v>38805679.627514593</v>
      </c>
    </row>
    <row r="70" spans="2:6" s="125" customFormat="1" ht="15.75" x14ac:dyDescent="0.25">
      <c r="C70" s="125" t="str">
        <f t="shared" ref="C70:C75" si="1">C58</f>
        <v xml:space="preserve">    Price Cap IR Year 2018</v>
      </c>
      <c r="E70" s="181">
        <f t="shared" si="0"/>
        <v>38888025.517609775</v>
      </c>
    </row>
    <row r="71" spans="2:6" s="125" customFormat="1" ht="15.75" x14ac:dyDescent="0.25">
      <c r="C71" s="125" t="str">
        <f t="shared" si="1"/>
        <v xml:space="preserve">    Price Cap IR Year 2019</v>
      </c>
      <c r="E71" s="181">
        <f t="shared" si="0"/>
        <v>38971311.648891903</v>
      </c>
    </row>
    <row r="72" spans="2:6" s="125" customFormat="1" ht="15.75" x14ac:dyDescent="0.25">
      <c r="C72" s="125" t="str">
        <f t="shared" si="1"/>
        <v xml:space="preserve">    Price Cap IR Year 2020</v>
      </c>
      <c r="E72" s="181">
        <f t="shared" si="0"/>
        <v>39055548.757215433</v>
      </c>
    </row>
    <row r="73" spans="2:6" s="125" customFormat="1" ht="15.75" x14ac:dyDescent="0.25">
      <c r="C73" s="125" t="str">
        <f t="shared" si="1"/>
        <v xml:space="preserve">    Price Cap IR Year 2021</v>
      </c>
      <c r="E73" s="181">
        <f t="shared" si="0"/>
        <v>39140747.701018825</v>
      </c>
    </row>
    <row r="74" spans="2:6" s="125" customFormat="1" ht="15.75" x14ac:dyDescent="0.25">
      <c r="C74" s="125" t="str">
        <f t="shared" si="1"/>
        <v xml:space="preserve">    Price Cap IR Year 2022</v>
      </c>
      <c r="E74" s="181">
        <f t="shared" si="0"/>
        <v>39226919.462724321</v>
      </c>
    </row>
    <row r="75" spans="2:6" s="125" customFormat="1" ht="15.75" x14ac:dyDescent="0.25">
      <c r="C75" s="125" t="str">
        <f t="shared" si="1"/>
        <v xml:space="preserve">    Price Cap IR Year 2023</v>
      </c>
      <c r="E75" s="181">
        <f t="shared" si="0"/>
        <v>39314075.150153548</v>
      </c>
    </row>
    <row r="76" spans="2:6" s="125" customFormat="1" x14ac:dyDescent="0.2"/>
    <row r="77" spans="2:6" s="125" customFormat="1" ht="44.25" customHeight="1" x14ac:dyDescent="0.2">
      <c r="B77" s="182" t="s">
        <v>745</v>
      </c>
      <c r="C77" s="485" t="s">
        <v>746</v>
      </c>
      <c r="D77" s="485"/>
      <c r="E77" s="485"/>
      <c r="F77" s="485"/>
    </row>
    <row r="78" spans="2:6" s="125" customFormat="1" x14ac:dyDescent="0.2">
      <c r="F78" s="183"/>
    </row>
    <row r="79" spans="2:6" s="125" customFormat="1" x14ac:dyDescent="0.2"/>
    <row r="80" spans="2:6" s="125" customFormat="1" x14ac:dyDescent="0.2"/>
    <row r="81" s="125" customFormat="1" x14ac:dyDescent="0.2"/>
    <row r="82" s="125" customFormat="1" x14ac:dyDescent="0.2"/>
    <row r="83" s="125" customFormat="1" x14ac:dyDescent="0.2"/>
    <row r="84" s="125" customFormat="1" x14ac:dyDescent="0.2"/>
    <row r="85" s="125" customFormat="1" x14ac:dyDescent="0.2"/>
    <row r="86" s="125" customFormat="1" x14ac:dyDescent="0.2"/>
    <row r="87" s="125" customFormat="1" x14ac:dyDescent="0.2"/>
    <row r="88" s="125" customFormat="1" x14ac:dyDescent="0.2"/>
    <row r="89" s="125" customFormat="1" x14ac:dyDescent="0.2"/>
  </sheetData>
  <sheetProtection algorithmName="SHA-512" hashValue="JIOIQ/+2n9m8EowYJxYGOeaa5LAvE/2NMuYS8qGP8BXXEeOrO+4Wgd8aXe/tjdTpg/HnSagapm2VVTqjvSpkuQ==" saltValue="oLehhUw/UP9MsDC37Wjz2Q==" spinCount="100000" sheet="1" objects="1" scenarios="1"/>
  <mergeCells count="2">
    <mergeCell ref="C9:E9"/>
    <mergeCell ref="C77:F77"/>
  </mergeCells>
  <printOptions horizontalCentered="1"/>
  <pageMargins left="0.35433070866141703" right="0.39370078740157499" top="0.33" bottom="0.35" header="0.28999999999999998" footer="0.17"/>
  <pageSetup scale="65" orientation="landscape" r:id="rId1"/>
  <headerFooter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1:M110"/>
  <sheetViews>
    <sheetView showGridLines="0" zoomScale="85" zoomScaleNormal="85" workbookViewId="0"/>
  </sheetViews>
  <sheetFormatPr defaultRowHeight="15" x14ac:dyDescent="0.25"/>
  <cols>
    <col min="1" max="1" width="60.85546875" customWidth="1"/>
    <col min="2" max="2" width="16.28515625" customWidth="1"/>
    <col min="3" max="6" width="18.7109375" customWidth="1"/>
    <col min="7" max="7" width="20.7109375" bestFit="1" customWidth="1"/>
    <col min="8" max="8" width="20.7109375" customWidth="1"/>
    <col min="9" max="9" width="14.28515625" bestFit="1" customWidth="1"/>
    <col min="10" max="10" width="20.7109375" bestFit="1" customWidth="1"/>
    <col min="11" max="11" width="20.7109375" customWidth="1"/>
    <col min="12" max="12" width="14.28515625" bestFit="1" customWidth="1"/>
    <col min="13" max="13" width="20.7109375" bestFit="1" customWidth="1"/>
    <col min="14" max="14" width="20.7109375" customWidth="1"/>
    <col min="15" max="15" width="12.5703125" bestFit="1" customWidth="1"/>
  </cols>
  <sheetData>
    <row r="11" spans="1:12" ht="15.75" x14ac:dyDescent="0.25">
      <c r="A11" s="197" t="s">
        <v>750</v>
      </c>
    </row>
    <row r="12" spans="1:12" ht="16.5" thickBot="1" x14ac:dyDescent="0.3">
      <c r="A12" s="197"/>
    </row>
    <row r="13" spans="1:12" ht="15.75" thickBot="1" x14ac:dyDescent="0.3">
      <c r="B13" s="118" t="s">
        <v>751</v>
      </c>
      <c r="C13" s="486" t="s">
        <v>752</v>
      </c>
      <c r="D13" s="486"/>
      <c r="E13" s="486"/>
      <c r="F13" s="486"/>
      <c r="G13" s="487" t="s">
        <v>853</v>
      </c>
      <c r="H13" s="488"/>
      <c r="I13" s="488"/>
      <c r="J13" s="488"/>
      <c r="K13" s="488"/>
      <c r="L13" s="489"/>
    </row>
    <row r="14" spans="1:12" ht="15.75" customHeight="1" x14ac:dyDescent="0.25">
      <c r="B14" s="310" t="s">
        <v>753</v>
      </c>
      <c r="C14" s="309" t="s">
        <v>754</v>
      </c>
      <c r="D14" s="310" t="s">
        <v>755</v>
      </c>
      <c r="E14" s="309" t="s">
        <v>756</v>
      </c>
      <c r="F14" s="310" t="s">
        <v>757</v>
      </c>
      <c r="G14" s="325" t="s">
        <v>758</v>
      </c>
      <c r="H14" s="323" t="s">
        <v>759</v>
      </c>
      <c r="I14" s="324" t="s">
        <v>760</v>
      </c>
      <c r="J14" s="327" t="s">
        <v>761</v>
      </c>
      <c r="K14" s="324" t="s">
        <v>762</v>
      </c>
      <c r="L14" s="322" t="s">
        <v>763</v>
      </c>
    </row>
    <row r="15" spans="1:12" ht="15.75" customHeight="1" x14ac:dyDescent="0.25">
      <c r="B15" s="310">
        <f>'1. Information Sheet'!K26</f>
        <v>0</v>
      </c>
      <c r="C15" s="309">
        <f t="shared" ref="C15:L15" si="0">B15+1</f>
        <v>1</v>
      </c>
      <c r="D15" s="310">
        <f t="shared" si="0"/>
        <v>2</v>
      </c>
      <c r="E15" s="309">
        <f t="shared" si="0"/>
        <v>3</v>
      </c>
      <c r="F15" s="310">
        <f t="shared" si="0"/>
        <v>4</v>
      </c>
      <c r="G15" s="325">
        <f t="shared" si="0"/>
        <v>5</v>
      </c>
      <c r="H15" s="323">
        <f t="shared" si="0"/>
        <v>6</v>
      </c>
      <c r="I15" s="324">
        <f t="shared" si="0"/>
        <v>7</v>
      </c>
      <c r="J15" s="323">
        <f t="shared" si="0"/>
        <v>8</v>
      </c>
      <c r="K15" s="324">
        <f t="shared" si="0"/>
        <v>9</v>
      </c>
      <c r="L15" s="322">
        <f t="shared" si="0"/>
        <v>10</v>
      </c>
    </row>
    <row r="16" spans="1:12" x14ac:dyDescent="0.25">
      <c r="A16" s="198" t="s">
        <v>764</v>
      </c>
      <c r="B16" s="199"/>
      <c r="C16" s="199"/>
      <c r="D16" s="199"/>
      <c r="E16" s="199"/>
      <c r="F16" s="318"/>
      <c r="G16" s="320"/>
      <c r="H16" s="199"/>
      <c r="I16" s="199"/>
      <c r="J16" s="199"/>
      <c r="K16" s="199"/>
      <c r="L16" s="321"/>
    </row>
    <row r="17" spans="1:13" x14ac:dyDescent="0.25">
      <c r="A17" s="198"/>
      <c r="G17" s="339"/>
      <c r="H17" s="280"/>
      <c r="I17" s="280"/>
      <c r="J17" s="280"/>
      <c r="K17" s="280"/>
      <c r="L17" s="338"/>
    </row>
    <row r="18" spans="1:13" x14ac:dyDescent="0.25">
      <c r="A18" s="198" t="s">
        <v>765</v>
      </c>
      <c r="B18" s="200"/>
      <c r="C18" s="201">
        <f>IF('8. Threshold Test'!$E$66="", 0, '8. Threshold Test'!$E$66)</f>
        <v>38564177.855614662</v>
      </c>
      <c r="D18" s="201">
        <f>IF('8. Threshold Test'!$E$67="", 0, '8. Threshold Test'!$E$67)</f>
        <v>38643766.232099876</v>
      </c>
      <c r="E18" s="201">
        <f>IF('8. Threshold Test'!$E$68="", 0, '8. Threshold Test'!$E$68)</f>
        <v>38724263.363952093</v>
      </c>
      <c r="F18" s="342">
        <f>IF('8. Threshold Test'!$E$69="", 0, '8. Threshold Test'!$E$69)</f>
        <v>38805679.627514593</v>
      </c>
      <c r="G18" s="341">
        <f>IF('8. Threshold Test'!$E$70="", 0, '8. Threshold Test'!$E$70)</f>
        <v>38888025.517609775</v>
      </c>
      <c r="H18" s="201">
        <f>IF('8. Threshold Test'!$E$71="", 0, '8. Threshold Test'!$E$71)</f>
        <v>38971311.648891903</v>
      </c>
      <c r="I18" s="201">
        <f>IF('8. Threshold Test'!$E$72="", 0, '8. Threshold Test'!$E$72)</f>
        <v>39055548.757215433</v>
      </c>
      <c r="J18" s="201">
        <f>IF('8. Threshold Test'!$E$73="", 0, '8. Threshold Test'!$E$73)</f>
        <v>39140747.701018825</v>
      </c>
      <c r="K18" s="201">
        <f>IF('8. Threshold Test'!$E$74="", 0, '8. Threshold Test'!$E$74)</f>
        <v>39226919.462724321</v>
      </c>
      <c r="L18" s="340">
        <f>IF('8. Threshold Test'!$E$75="", 0, '8. Threshold Test'!$E$75)</f>
        <v>39314075.150153548</v>
      </c>
    </row>
    <row r="19" spans="1:13" x14ac:dyDescent="0.25">
      <c r="A19" s="198"/>
      <c r="B19" s="89"/>
      <c r="C19" s="208"/>
      <c r="D19" s="208"/>
      <c r="E19" s="208"/>
      <c r="F19" s="208"/>
      <c r="G19" s="344"/>
      <c r="H19" s="208"/>
      <c r="I19" s="208"/>
      <c r="J19" s="208"/>
      <c r="K19" s="208"/>
      <c r="L19" s="343"/>
    </row>
    <row r="20" spans="1:13" ht="30" x14ac:dyDescent="0.25">
      <c r="A20" s="202" t="s">
        <v>855</v>
      </c>
      <c r="B20" s="200"/>
      <c r="C20" s="201">
        <f t="shared" ref="C20:L20" si="1">MAX(0,C16-C18)</f>
        <v>0</v>
      </c>
      <c r="D20" s="201">
        <f t="shared" si="1"/>
        <v>0</v>
      </c>
      <c r="E20" s="201">
        <f t="shared" si="1"/>
        <v>0</v>
      </c>
      <c r="F20" s="342">
        <f t="shared" si="1"/>
        <v>0</v>
      </c>
      <c r="G20" s="341">
        <f t="shared" si="1"/>
        <v>0</v>
      </c>
      <c r="H20" s="201">
        <f t="shared" si="1"/>
        <v>0</v>
      </c>
      <c r="I20" s="201">
        <f t="shared" si="1"/>
        <v>0</v>
      </c>
      <c r="J20" s="201">
        <f t="shared" si="1"/>
        <v>0</v>
      </c>
      <c r="K20" s="201">
        <f t="shared" si="1"/>
        <v>0</v>
      </c>
      <c r="L20" s="340">
        <f t="shared" si="1"/>
        <v>0</v>
      </c>
    </row>
    <row r="21" spans="1:13" x14ac:dyDescent="0.25">
      <c r="A21" s="118"/>
      <c r="G21" s="339"/>
      <c r="H21" s="280"/>
      <c r="I21" s="280"/>
      <c r="J21" s="280"/>
      <c r="K21" s="280"/>
      <c r="L21" s="338"/>
    </row>
    <row r="22" spans="1:13" ht="30.75" thickBot="1" x14ac:dyDescent="0.3">
      <c r="A22" s="202" t="s">
        <v>766</v>
      </c>
      <c r="B22" s="203"/>
      <c r="C22" s="204">
        <f t="shared" ref="C22:L22" si="2">IF(C18&gt;C16,0,C16-C18)</f>
        <v>0</v>
      </c>
      <c r="D22" s="204">
        <f t="shared" si="2"/>
        <v>0</v>
      </c>
      <c r="E22" s="204">
        <f t="shared" si="2"/>
        <v>0</v>
      </c>
      <c r="F22" s="337">
        <f t="shared" si="2"/>
        <v>0</v>
      </c>
      <c r="G22" s="336">
        <f t="shared" si="2"/>
        <v>0</v>
      </c>
      <c r="H22" s="335">
        <f t="shared" si="2"/>
        <v>0</v>
      </c>
      <c r="I22" s="334">
        <f t="shared" si="2"/>
        <v>0</v>
      </c>
      <c r="J22" s="334">
        <f t="shared" si="2"/>
        <v>0</v>
      </c>
      <c r="K22" s="334">
        <f t="shared" si="2"/>
        <v>0</v>
      </c>
      <c r="L22" s="333">
        <f t="shared" si="2"/>
        <v>0</v>
      </c>
    </row>
    <row r="23" spans="1:13" x14ac:dyDescent="0.25">
      <c r="A23" s="202"/>
      <c r="B23" s="203"/>
      <c r="C23" s="331"/>
      <c r="D23" s="331"/>
      <c r="E23" s="331"/>
      <c r="F23" s="331"/>
      <c r="G23" s="330"/>
    </row>
    <row r="24" spans="1:13" ht="15.75" thickBot="1" x14ac:dyDescent="0.3">
      <c r="A24" s="332" t="s">
        <v>854</v>
      </c>
      <c r="B24" s="203"/>
      <c r="C24" s="331"/>
      <c r="D24" s="331"/>
      <c r="E24" s="331"/>
      <c r="F24" s="331"/>
      <c r="G24" s="330"/>
    </row>
    <row r="25" spans="1:13" ht="15.75" thickBot="1" x14ac:dyDescent="0.3">
      <c r="A25" s="118"/>
      <c r="B25" s="118" t="str">
        <f>B13</f>
        <v>Cost of Service</v>
      </c>
      <c r="C25" s="486" t="str">
        <f>C13</f>
        <v>Price Cap IR</v>
      </c>
      <c r="D25" s="486"/>
      <c r="E25" s="486"/>
      <c r="F25" s="486"/>
      <c r="G25" s="487" t="s">
        <v>853</v>
      </c>
      <c r="H25" s="488"/>
      <c r="I25" s="488"/>
      <c r="J25" s="488"/>
      <c r="K25" s="488"/>
      <c r="L25" s="489"/>
    </row>
    <row r="26" spans="1:13" x14ac:dyDescent="0.25">
      <c r="A26" s="118" t="s">
        <v>767</v>
      </c>
      <c r="B26" s="310" t="s">
        <v>753</v>
      </c>
      <c r="C26" s="309" t="s">
        <v>754</v>
      </c>
      <c r="D26" s="310" t="s">
        <v>755</v>
      </c>
      <c r="E26" s="309" t="s">
        <v>756</v>
      </c>
      <c r="F26" s="310" t="s">
        <v>757</v>
      </c>
      <c r="G26" s="329" t="s">
        <v>758</v>
      </c>
      <c r="H26" s="327" t="s">
        <v>759</v>
      </c>
      <c r="I26" s="328" t="s">
        <v>760</v>
      </c>
      <c r="J26" s="327" t="s">
        <v>761</v>
      </c>
      <c r="K26" s="309" t="s">
        <v>762</v>
      </c>
      <c r="L26" s="326" t="s">
        <v>763</v>
      </c>
      <c r="M26" s="490" t="s">
        <v>769</v>
      </c>
    </row>
    <row r="27" spans="1:13" x14ac:dyDescent="0.25">
      <c r="A27" s="118"/>
      <c r="B27" s="310">
        <f t="shared" ref="B27:L27" si="3">B15</f>
        <v>0</v>
      </c>
      <c r="C27" s="309">
        <f t="shared" si="3"/>
        <v>1</v>
      </c>
      <c r="D27" s="310">
        <f t="shared" si="3"/>
        <v>2</v>
      </c>
      <c r="E27" s="309">
        <f t="shared" si="3"/>
        <v>3</v>
      </c>
      <c r="F27" s="310">
        <f t="shared" si="3"/>
        <v>4</v>
      </c>
      <c r="G27" s="325">
        <f t="shared" si="3"/>
        <v>5</v>
      </c>
      <c r="H27" s="323">
        <f t="shared" si="3"/>
        <v>6</v>
      </c>
      <c r="I27" s="324">
        <f t="shared" si="3"/>
        <v>7</v>
      </c>
      <c r="J27" s="323">
        <f t="shared" si="3"/>
        <v>8</v>
      </c>
      <c r="K27" s="309">
        <f t="shared" si="3"/>
        <v>9</v>
      </c>
      <c r="L27" s="322">
        <f t="shared" si="3"/>
        <v>10</v>
      </c>
      <c r="M27" s="491"/>
    </row>
    <row r="28" spans="1:13" x14ac:dyDescent="0.25">
      <c r="A28" s="205"/>
      <c r="B28" s="200"/>
      <c r="C28" s="199"/>
      <c r="D28" s="199"/>
      <c r="E28" s="199"/>
      <c r="F28" s="318"/>
      <c r="G28" s="320"/>
      <c r="H28" s="199"/>
      <c r="I28" s="199"/>
      <c r="J28" s="318"/>
      <c r="K28" s="199"/>
      <c r="L28" s="321"/>
      <c r="M28" s="314">
        <f t="shared" ref="M28:M47" si="4">SUM(C28:F28)</f>
        <v>0</v>
      </c>
    </row>
    <row r="29" spans="1:13" x14ac:dyDescent="0.25">
      <c r="A29" s="206"/>
      <c r="B29" s="200"/>
      <c r="C29" s="199"/>
      <c r="D29" s="199"/>
      <c r="E29" s="199"/>
      <c r="F29" s="318"/>
      <c r="G29" s="320"/>
      <c r="H29" s="199"/>
      <c r="I29" s="199"/>
      <c r="J29" s="318"/>
      <c r="K29" s="199"/>
      <c r="L29" s="321"/>
      <c r="M29" s="314">
        <f t="shared" si="4"/>
        <v>0</v>
      </c>
    </row>
    <row r="30" spans="1:13" x14ac:dyDescent="0.25">
      <c r="A30" s="206"/>
      <c r="B30" s="200"/>
      <c r="C30" s="199"/>
      <c r="D30" s="199"/>
      <c r="E30" s="199"/>
      <c r="F30" s="318"/>
      <c r="G30" s="320"/>
      <c r="H30" s="199"/>
      <c r="I30" s="199"/>
      <c r="J30" s="318"/>
      <c r="K30" s="199"/>
      <c r="L30" s="321"/>
      <c r="M30" s="314">
        <f t="shared" si="4"/>
        <v>0</v>
      </c>
    </row>
    <row r="31" spans="1:13" x14ac:dyDescent="0.25">
      <c r="A31" s="206"/>
      <c r="B31" s="200"/>
      <c r="C31" s="199"/>
      <c r="D31" s="199"/>
      <c r="E31" s="199"/>
      <c r="F31" s="318"/>
      <c r="G31" s="320"/>
      <c r="H31" s="199"/>
      <c r="I31" s="199"/>
      <c r="J31" s="318"/>
      <c r="K31" s="199"/>
      <c r="L31" s="321"/>
      <c r="M31" s="314">
        <f t="shared" si="4"/>
        <v>0</v>
      </c>
    </row>
    <row r="32" spans="1:13" x14ac:dyDescent="0.25">
      <c r="A32" s="206"/>
      <c r="B32" s="200"/>
      <c r="C32" s="199"/>
      <c r="D32" s="199"/>
      <c r="E32" s="199"/>
      <c r="F32" s="318"/>
      <c r="G32" s="320"/>
      <c r="H32" s="199"/>
      <c r="I32" s="199"/>
      <c r="J32" s="318"/>
      <c r="K32" s="199"/>
      <c r="L32" s="321"/>
      <c r="M32" s="314">
        <f t="shared" si="4"/>
        <v>0</v>
      </c>
    </row>
    <row r="33" spans="1:13" x14ac:dyDescent="0.25">
      <c r="A33" s="206"/>
      <c r="B33" s="200"/>
      <c r="C33" s="199"/>
      <c r="D33" s="199"/>
      <c r="E33" s="199"/>
      <c r="F33" s="318"/>
      <c r="G33" s="320"/>
      <c r="H33" s="199"/>
      <c r="I33" s="199"/>
      <c r="J33" s="318"/>
      <c r="K33" s="199"/>
      <c r="L33" s="321"/>
      <c r="M33" s="314">
        <f t="shared" si="4"/>
        <v>0</v>
      </c>
    </row>
    <row r="34" spans="1:13" x14ac:dyDescent="0.25">
      <c r="A34" s="206"/>
      <c r="B34" s="200"/>
      <c r="C34" s="199"/>
      <c r="D34" s="199"/>
      <c r="E34" s="199"/>
      <c r="F34" s="318"/>
      <c r="G34" s="320"/>
      <c r="H34" s="199"/>
      <c r="I34" s="199"/>
      <c r="J34" s="318"/>
      <c r="K34" s="199"/>
      <c r="L34" s="321"/>
      <c r="M34" s="314">
        <f t="shared" si="4"/>
        <v>0</v>
      </c>
    </row>
    <row r="35" spans="1:13" x14ac:dyDescent="0.25">
      <c r="A35" s="206"/>
      <c r="B35" s="200"/>
      <c r="C35" s="199"/>
      <c r="D35" s="199"/>
      <c r="E35" s="199"/>
      <c r="F35" s="318"/>
      <c r="G35" s="320"/>
      <c r="H35" s="199"/>
      <c r="I35" s="199"/>
      <c r="J35" s="318"/>
      <c r="K35" s="199"/>
      <c r="L35" s="321"/>
      <c r="M35" s="314">
        <f t="shared" si="4"/>
        <v>0</v>
      </c>
    </row>
    <row r="36" spans="1:13" x14ac:dyDescent="0.25">
      <c r="A36" s="206"/>
      <c r="B36" s="200"/>
      <c r="C36" s="199"/>
      <c r="D36" s="199"/>
      <c r="E36" s="199"/>
      <c r="F36" s="318"/>
      <c r="G36" s="320"/>
      <c r="H36" s="199"/>
      <c r="I36" s="199"/>
      <c r="J36" s="318"/>
      <c r="K36" s="199"/>
      <c r="L36" s="321"/>
      <c r="M36" s="314">
        <f t="shared" si="4"/>
        <v>0</v>
      </c>
    </row>
    <row r="37" spans="1:13" x14ac:dyDescent="0.25">
      <c r="A37" s="206"/>
      <c r="B37" s="200"/>
      <c r="C37" s="199"/>
      <c r="D37" s="199"/>
      <c r="E37" s="199"/>
      <c r="F37" s="318"/>
      <c r="G37" s="320"/>
      <c r="H37" s="199"/>
      <c r="I37" s="199"/>
      <c r="J37" s="318"/>
      <c r="K37" s="199"/>
      <c r="L37" s="321"/>
      <c r="M37" s="314">
        <f t="shared" si="4"/>
        <v>0</v>
      </c>
    </row>
    <row r="38" spans="1:13" x14ac:dyDescent="0.25">
      <c r="A38" s="206"/>
      <c r="B38" s="200"/>
      <c r="C38" s="199"/>
      <c r="D38" s="199"/>
      <c r="E38" s="199"/>
      <c r="F38" s="318"/>
      <c r="G38" s="320"/>
      <c r="H38" s="199"/>
      <c r="I38" s="199"/>
      <c r="J38" s="318"/>
      <c r="K38" s="199"/>
      <c r="L38" s="321"/>
      <c r="M38" s="314">
        <f t="shared" si="4"/>
        <v>0</v>
      </c>
    </row>
    <row r="39" spans="1:13" x14ac:dyDescent="0.25">
      <c r="A39" s="206"/>
      <c r="B39" s="200"/>
      <c r="C39" s="199"/>
      <c r="D39" s="199"/>
      <c r="E39" s="199"/>
      <c r="F39" s="318"/>
      <c r="G39" s="320"/>
      <c r="H39" s="199"/>
      <c r="I39" s="199"/>
      <c r="J39" s="318"/>
      <c r="K39" s="199"/>
      <c r="L39" s="321"/>
      <c r="M39" s="314">
        <f t="shared" si="4"/>
        <v>0</v>
      </c>
    </row>
    <row r="40" spans="1:13" x14ac:dyDescent="0.25">
      <c r="A40" s="206"/>
      <c r="B40" s="200"/>
      <c r="C40" s="199"/>
      <c r="D40" s="199"/>
      <c r="E40" s="199"/>
      <c r="F40" s="318"/>
      <c r="G40" s="320"/>
      <c r="H40" s="199"/>
      <c r="I40" s="199"/>
      <c r="J40" s="318"/>
      <c r="K40" s="199"/>
      <c r="L40" s="321"/>
      <c r="M40" s="314">
        <f t="shared" si="4"/>
        <v>0</v>
      </c>
    </row>
    <row r="41" spans="1:13" x14ac:dyDescent="0.25">
      <c r="A41" s="206"/>
      <c r="B41" s="200"/>
      <c r="C41" s="199"/>
      <c r="D41" s="199"/>
      <c r="E41" s="199"/>
      <c r="F41" s="318"/>
      <c r="G41" s="320"/>
      <c r="H41" s="199"/>
      <c r="I41" s="199"/>
      <c r="J41" s="318"/>
      <c r="K41" s="199"/>
      <c r="L41" s="321"/>
      <c r="M41" s="314">
        <f t="shared" si="4"/>
        <v>0</v>
      </c>
    </row>
    <row r="42" spans="1:13" x14ac:dyDescent="0.25">
      <c r="A42" s="206"/>
      <c r="B42" s="200"/>
      <c r="C42" s="199"/>
      <c r="D42" s="199"/>
      <c r="E42" s="199"/>
      <c r="F42" s="318"/>
      <c r="G42" s="320"/>
      <c r="H42" s="199"/>
      <c r="I42" s="199"/>
      <c r="J42" s="318"/>
      <c r="K42" s="199"/>
      <c r="L42" s="321"/>
      <c r="M42" s="314">
        <f t="shared" si="4"/>
        <v>0</v>
      </c>
    </row>
    <row r="43" spans="1:13" x14ac:dyDescent="0.25">
      <c r="A43" s="206"/>
      <c r="B43" s="200"/>
      <c r="C43" s="199"/>
      <c r="D43" s="199"/>
      <c r="E43" s="199"/>
      <c r="F43" s="318"/>
      <c r="G43" s="320"/>
      <c r="H43" s="199"/>
      <c r="I43" s="199"/>
      <c r="J43" s="318"/>
      <c r="K43" s="199"/>
      <c r="L43" s="321"/>
      <c r="M43" s="314">
        <f t="shared" si="4"/>
        <v>0</v>
      </c>
    </row>
    <row r="44" spans="1:13" x14ac:dyDescent="0.25">
      <c r="A44" s="206"/>
      <c r="B44" s="200"/>
      <c r="C44" s="199"/>
      <c r="D44" s="199"/>
      <c r="E44" s="199"/>
      <c r="F44" s="318"/>
      <c r="G44" s="320"/>
      <c r="H44" s="199"/>
      <c r="I44" s="199"/>
      <c r="J44" s="318"/>
      <c r="K44" s="199"/>
      <c r="L44" s="321"/>
      <c r="M44" s="314">
        <f t="shared" si="4"/>
        <v>0</v>
      </c>
    </row>
    <row r="45" spans="1:13" x14ac:dyDescent="0.25">
      <c r="A45" s="206"/>
      <c r="B45" s="200"/>
      <c r="C45" s="199"/>
      <c r="D45" s="199"/>
      <c r="E45" s="199"/>
      <c r="F45" s="318"/>
      <c r="G45" s="320"/>
      <c r="H45" s="199"/>
      <c r="I45" s="199"/>
      <c r="J45" s="318"/>
      <c r="K45" s="199"/>
      <c r="L45" s="321"/>
      <c r="M45" s="314">
        <f t="shared" si="4"/>
        <v>0</v>
      </c>
    </row>
    <row r="46" spans="1:13" x14ac:dyDescent="0.25">
      <c r="A46" s="206"/>
      <c r="B46" s="200"/>
      <c r="C46" s="199"/>
      <c r="D46" s="199"/>
      <c r="E46" s="199"/>
      <c r="F46" s="318"/>
      <c r="G46" s="320"/>
      <c r="H46" s="199"/>
      <c r="I46" s="199"/>
      <c r="J46" s="199"/>
      <c r="K46" s="199"/>
      <c r="L46" s="319"/>
      <c r="M46" s="314">
        <f t="shared" si="4"/>
        <v>0</v>
      </c>
    </row>
    <row r="47" spans="1:13" ht="15.75" thickBot="1" x14ac:dyDescent="0.3">
      <c r="A47" s="207"/>
      <c r="B47" s="200"/>
      <c r="C47" s="199"/>
      <c r="D47" s="199"/>
      <c r="E47" s="199"/>
      <c r="F47" s="318"/>
      <c r="G47" s="317"/>
      <c r="H47" s="316"/>
      <c r="I47" s="316"/>
      <c r="J47" s="316"/>
      <c r="K47" s="316"/>
      <c r="L47" s="315"/>
      <c r="M47" s="314">
        <f t="shared" si="4"/>
        <v>0</v>
      </c>
    </row>
    <row r="48" spans="1:13" x14ac:dyDescent="0.25">
      <c r="B48" s="313"/>
    </row>
    <row r="49" spans="1:12" x14ac:dyDescent="0.25">
      <c r="A49" s="198" t="s">
        <v>852</v>
      </c>
      <c r="B49" s="311"/>
      <c r="C49" s="201">
        <f t="shared" ref="C49:L49" si="5">SUM(C28:C47)</f>
        <v>0</v>
      </c>
      <c r="D49" s="201">
        <f t="shared" si="5"/>
        <v>0</v>
      </c>
      <c r="E49" s="201">
        <f t="shared" si="5"/>
        <v>0</v>
      </c>
      <c r="F49" s="201">
        <f t="shared" si="5"/>
        <v>0</v>
      </c>
      <c r="G49" s="201">
        <f t="shared" si="5"/>
        <v>0</v>
      </c>
      <c r="H49" s="201">
        <f t="shared" si="5"/>
        <v>0</v>
      </c>
      <c r="I49" s="201">
        <f t="shared" si="5"/>
        <v>0</v>
      </c>
      <c r="J49" s="201">
        <f t="shared" si="5"/>
        <v>0</v>
      </c>
      <c r="K49" s="201">
        <f t="shared" si="5"/>
        <v>0</v>
      </c>
      <c r="L49" s="201">
        <f t="shared" si="5"/>
        <v>0</v>
      </c>
    </row>
    <row r="50" spans="1:12" x14ac:dyDescent="0.25">
      <c r="A50" s="198"/>
      <c r="B50" s="208"/>
      <c r="C50" s="208"/>
      <c r="D50" s="208"/>
      <c r="E50" s="208"/>
      <c r="F50" s="208"/>
      <c r="G50" s="209"/>
    </row>
    <row r="51" spans="1:12" x14ac:dyDescent="0.25">
      <c r="A51" s="312" t="s">
        <v>771</v>
      </c>
      <c r="B51" s="311"/>
      <c r="C51" s="201">
        <f t="shared" ref="C51:L51" si="6">MIN(C49,C22)</f>
        <v>0</v>
      </c>
      <c r="D51" s="201">
        <f t="shared" si="6"/>
        <v>0</v>
      </c>
      <c r="E51" s="201">
        <f t="shared" si="6"/>
        <v>0</v>
      </c>
      <c r="F51" s="201">
        <f t="shared" si="6"/>
        <v>0</v>
      </c>
      <c r="G51" s="201">
        <f t="shared" si="6"/>
        <v>0</v>
      </c>
      <c r="H51" s="201">
        <f t="shared" si="6"/>
        <v>0</v>
      </c>
      <c r="I51" s="201">
        <f t="shared" si="6"/>
        <v>0</v>
      </c>
      <c r="J51" s="201">
        <f t="shared" si="6"/>
        <v>0</v>
      </c>
      <c r="K51" s="201">
        <f t="shared" si="6"/>
        <v>0</v>
      </c>
      <c r="L51" s="201">
        <f t="shared" si="6"/>
        <v>0</v>
      </c>
    </row>
    <row r="108" spans="2:7" x14ac:dyDescent="0.25">
      <c r="B108" s="280"/>
      <c r="G108" s="280"/>
    </row>
    <row r="110" spans="2:7" x14ac:dyDescent="0.25">
      <c r="G110" s="280"/>
    </row>
  </sheetData>
  <sheetProtection algorithmName="SHA-512" hashValue="KAdOSD4HFFZq2Ghi+ExK6PMZpnaoCOX+oMQEX/mbySAUgCOMt0BW4xSud5U9OZ3sPUJhzYu7jBuQoTyjNZo64w==" saltValue="HXRJnc4PBh7VT5ILtbCmAQ==" spinCount="100000" sheet="1" objects="1" scenarios="1"/>
  <mergeCells count="5">
    <mergeCell ref="C13:F13"/>
    <mergeCell ref="G13:L13"/>
    <mergeCell ref="C25:F25"/>
    <mergeCell ref="G25:L25"/>
    <mergeCell ref="M26:M27"/>
  </mergeCells>
  <pageMargins left="0.70866141732283472" right="0.70866141732283472" top="0.74803149606299213" bottom="0.74803149606299213" header="0.31496062992125984" footer="0.31496062992125984"/>
  <pageSetup scale="3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1:O131"/>
  <sheetViews>
    <sheetView showGridLines="0" zoomScale="70" zoomScaleNormal="70" workbookViewId="0"/>
  </sheetViews>
  <sheetFormatPr defaultColWidth="8.85546875" defaultRowHeight="15" x14ac:dyDescent="0.25"/>
  <cols>
    <col min="1" max="1" width="61.140625" style="1" customWidth="1"/>
    <col min="2" max="3" width="16.28515625" style="1" customWidth="1"/>
    <col min="4" max="4" width="20.7109375" style="1" bestFit="1" customWidth="1"/>
    <col min="5" max="5" width="20.7109375" style="1" customWidth="1"/>
    <col min="6" max="6" width="16.28515625" style="1" customWidth="1"/>
    <col min="7" max="7" width="20.7109375" style="1" bestFit="1" customWidth="1"/>
    <col min="8" max="8" width="20.7109375" style="1" customWidth="1"/>
    <col min="9" max="9" width="14.28515625" style="1" bestFit="1" customWidth="1"/>
    <col min="10" max="10" width="20.7109375" style="1" bestFit="1" customWidth="1"/>
    <col min="11" max="11" width="20.7109375" style="1" customWidth="1"/>
    <col min="12" max="12" width="14.28515625" style="1" bestFit="1" customWidth="1"/>
    <col min="13" max="13" width="18.85546875" style="1" bestFit="1" customWidth="1"/>
    <col min="14" max="14" width="20.7109375" style="1" customWidth="1"/>
    <col min="15" max="15" width="12.5703125" style="1" bestFit="1" customWidth="1"/>
    <col min="16" max="16384" width="8.85546875" style="1"/>
  </cols>
  <sheetData>
    <row r="11" spans="1:15" ht="15.75" x14ac:dyDescent="0.25">
      <c r="A11" s="347" t="s">
        <v>882</v>
      </c>
    </row>
    <row r="12" spans="1:15" ht="15.75" x14ac:dyDescent="0.25">
      <c r="A12" s="347"/>
    </row>
    <row r="13" spans="1:15" x14ac:dyDescent="0.25">
      <c r="C13" s="348" t="s">
        <v>751</v>
      </c>
      <c r="D13" s="501" t="s">
        <v>752</v>
      </c>
      <c r="E13" s="501"/>
      <c r="F13" s="501"/>
      <c r="G13" s="501" t="s">
        <v>752</v>
      </c>
      <c r="H13" s="501"/>
      <c r="I13" s="501"/>
      <c r="J13" s="501" t="s">
        <v>752</v>
      </c>
      <c r="K13" s="501"/>
      <c r="L13" s="501"/>
      <c r="M13" s="501" t="s">
        <v>752</v>
      </c>
      <c r="N13" s="501"/>
      <c r="O13" s="501"/>
    </row>
    <row r="14" spans="1:15" x14ac:dyDescent="0.25">
      <c r="C14" s="366" t="s">
        <v>753</v>
      </c>
      <c r="D14" s="494" t="s">
        <v>754</v>
      </c>
      <c r="E14" s="494"/>
      <c r="F14" s="494"/>
      <c r="G14" s="495" t="s">
        <v>755</v>
      </c>
      <c r="H14" s="495"/>
      <c r="I14" s="495"/>
      <c r="J14" s="494" t="s">
        <v>756</v>
      </c>
      <c r="K14" s="494"/>
      <c r="L14" s="494"/>
      <c r="M14" s="496" t="s">
        <v>757</v>
      </c>
      <c r="N14" s="496"/>
      <c r="O14" s="496"/>
    </row>
    <row r="15" spans="1:15" x14ac:dyDescent="0.25">
      <c r="C15" s="366">
        <f>'1. Information Sheet'!F34</f>
        <v>2013</v>
      </c>
      <c r="D15" s="494">
        <f>C15+1</f>
        <v>2014</v>
      </c>
      <c r="E15" s="494"/>
      <c r="F15" s="494"/>
      <c r="G15" s="496">
        <f>D15+1</f>
        <v>2015</v>
      </c>
      <c r="H15" s="496"/>
      <c r="I15" s="496"/>
      <c r="J15" s="494">
        <f>G15+1</f>
        <v>2016</v>
      </c>
      <c r="K15" s="494"/>
      <c r="L15" s="494"/>
      <c r="M15" s="496">
        <f>J15+1</f>
        <v>2017</v>
      </c>
      <c r="N15" s="496"/>
      <c r="O15" s="496"/>
    </row>
    <row r="16" spans="1:15" ht="15" customHeight="1" x14ac:dyDescent="0.25">
      <c r="A16" s="349" t="s">
        <v>883</v>
      </c>
      <c r="B16" s="502"/>
      <c r="C16" s="199"/>
      <c r="D16" s="199"/>
      <c r="G16" s="199"/>
      <c r="J16" s="199"/>
      <c r="M16" s="199"/>
    </row>
    <row r="17" spans="1:15" x14ac:dyDescent="0.25">
      <c r="A17" s="349"/>
      <c r="B17" s="502"/>
    </row>
    <row r="18" spans="1:15" x14ac:dyDescent="0.25">
      <c r="A18" s="349" t="s">
        <v>765</v>
      </c>
      <c r="B18" s="502"/>
      <c r="C18" s="350"/>
      <c r="D18" s="351">
        <f>IF('8. Threshold Test'!$E$66="", 0, '8. Threshold Test'!$E$66)</f>
        <v>38564177.855614662</v>
      </c>
      <c r="G18" s="351">
        <f>IF('8. Threshold Test'!$E$67="", 0, '8. Threshold Test'!$E$67)</f>
        <v>38643766.232099876</v>
      </c>
      <c r="J18" s="351">
        <f>IF('8. Threshold Test'!$E$68="", 0, '8. Threshold Test'!$E$68)</f>
        <v>38724263.363952093</v>
      </c>
      <c r="M18" s="351">
        <f>IF('8. Threshold Test'!$E$69="", 0, '8. Threshold Test'!$E$69)</f>
        <v>38805679.627514593</v>
      </c>
    </row>
    <row r="19" spans="1:15" x14ac:dyDescent="0.25">
      <c r="A19" s="6"/>
      <c r="B19" s="502"/>
    </row>
    <row r="20" spans="1:15" ht="30" x14ac:dyDescent="0.25">
      <c r="A20" s="352" t="s">
        <v>766</v>
      </c>
      <c r="B20" s="349"/>
      <c r="C20" s="353"/>
      <c r="D20" s="354">
        <f>IF(D18&gt;D16,0,D16-D18)</f>
        <v>0</v>
      </c>
      <c r="G20" s="354">
        <f>IF(G18&gt;G16,0,G16-G18)</f>
        <v>0</v>
      </c>
      <c r="J20" s="354">
        <f>IF(J18&gt;J16,0,J16-J18)</f>
        <v>0</v>
      </c>
      <c r="M20" s="354">
        <f>IF(M18&gt;M16,0,M16-M18)</f>
        <v>0</v>
      </c>
    </row>
    <row r="21" spans="1:15" x14ac:dyDescent="0.25">
      <c r="A21" s="352"/>
      <c r="B21" s="349"/>
      <c r="C21" s="353"/>
      <c r="D21" s="355"/>
      <c r="G21" s="355"/>
      <c r="J21" s="355"/>
      <c r="M21" s="355"/>
    </row>
    <row r="22" spans="1:15" x14ac:dyDescent="0.25">
      <c r="A22" s="6"/>
      <c r="B22" s="6"/>
      <c r="C22" s="366" t="s">
        <v>753</v>
      </c>
      <c r="D22" s="503" t="s">
        <v>754</v>
      </c>
      <c r="E22" s="503"/>
      <c r="F22" s="503"/>
      <c r="G22" s="504" t="s">
        <v>755</v>
      </c>
      <c r="H22" s="504"/>
      <c r="I22" s="504"/>
      <c r="J22" s="503" t="s">
        <v>756</v>
      </c>
      <c r="K22" s="503"/>
      <c r="L22" s="503"/>
      <c r="M22" s="504" t="s">
        <v>757</v>
      </c>
      <c r="N22" s="504"/>
      <c r="O22" s="504"/>
    </row>
    <row r="23" spans="1:15" x14ac:dyDescent="0.25">
      <c r="A23" s="6"/>
      <c r="B23" s="6"/>
      <c r="C23" s="356">
        <f>C15</f>
        <v>2013</v>
      </c>
      <c r="D23" s="494">
        <f>D15</f>
        <v>2014</v>
      </c>
      <c r="E23" s="494"/>
      <c r="F23" s="494"/>
      <c r="G23" s="495">
        <f>G15</f>
        <v>2015</v>
      </c>
      <c r="H23" s="495"/>
      <c r="I23" s="495"/>
      <c r="J23" s="494">
        <f>J15</f>
        <v>2016</v>
      </c>
      <c r="K23" s="494"/>
      <c r="L23" s="494"/>
      <c r="M23" s="495">
        <f>M15</f>
        <v>2017</v>
      </c>
      <c r="N23" s="495"/>
      <c r="O23" s="495"/>
    </row>
    <row r="24" spans="1:15" x14ac:dyDescent="0.25">
      <c r="A24" s="6" t="s">
        <v>767</v>
      </c>
      <c r="B24" s="366" t="s">
        <v>768</v>
      </c>
      <c r="C24" s="366"/>
      <c r="D24" s="367" t="s">
        <v>772</v>
      </c>
      <c r="E24" s="366" t="s">
        <v>773</v>
      </c>
      <c r="F24" s="366" t="s">
        <v>774</v>
      </c>
      <c r="G24" s="367" t="s">
        <v>772</v>
      </c>
      <c r="H24" s="366" t="s">
        <v>773</v>
      </c>
      <c r="I24" s="366" t="s">
        <v>774</v>
      </c>
      <c r="J24" s="367" t="s">
        <v>772</v>
      </c>
      <c r="K24" s="366" t="s">
        <v>773</v>
      </c>
      <c r="L24" s="366" t="s">
        <v>774</v>
      </c>
      <c r="M24" s="367" t="s">
        <v>772</v>
      </c>
      <c r="N24" s="366" t="s">
        <v>773</v>
      </c>
      <c r="O24" s="366" t="s">
        <v>774</v>
      </c>
    </row>
    <row r="25" spans="1:15" x14ac:dyDescent="0.25">
      <c r="A25" s="345"/>
      <c r="B25" s="346"/>
      <c r="C25" s="350"/>
      <c r="D25" s="199"/>
      <c r="E25" s="199"/>
      <c r="F25" s="199"/>
      <c r="G25" s="199"/>
      <c r="H25" s="199"/>
      <c r="I25" s="199"/>
      <c r="J25" s="199"/>
      <c r="K25" s="199"/>
      <c r="L25" s="199"/>
      <c r="M25" s="199"/>
      <c r="N25" s="199"/>
      <c r="O25" s="199"/>
    </row>
    <row r="26" spans="1:15" x14ac:dyDescent="0.25">
      <c r="A26" s="345"/>
      <c r="B26" s="346"/>
      <c r="C26" s="350"/>
      <c r="D26" s="199"/>
      <c r="E26" s="199"/>
      <c r="F26" s="199"/>
      <c r="G26" s="199"/>
      <c r="H26" s="199"/>
      <c r="I26" s="199"/>
      <c r="J26" s="199"/>
      <c r="K26" s="199"/>
      <c r="L26" s="199"/>
      <c r="M26" s="199"/>
      <c r="N26" s="199"/>
      <c r="O26" s="199"/>
    </row>
    <row r="27" spans="1:15" x14ac:dyDescent="0.25">
      <c r="A27" s="345"/>
      <c r="B27" s="346"/>
      <c r="C27" s="350"/>
      <c r="D27" s="199"/>
      <c r="E27" s="199"/>
      <c r="F27" s="199"/>
      <c r="G27" s="199"/>
      <c r="H27" s="199"/>
      <c r="I27" s="199"/>
      <c r="J27" s="199"/>
      <c r="K27" s="199"/>
      <c r="L27" s="199"/>
      <c r="M27" s="199"/>
      <c r="N27" s="199"/>
      <c r="O27" s="199"/>
    </row>
    <row r="28" spans="1:15" x14ac:dyDescent="0.25">
      <c r="A28" s="345"/>
      <c r="B28" s="346"/>
      <c r="C28" s="350"/>
      <c r="D28" s="199"/>
      <c r="E28" s="199"/>
      <c r="F28" s="199"/>
      <c r="G28" s="199"/>
      <c r="H28" s="199"/>
      <c r="I28" s="199"/>
      <c r="J28" s="199"/>
      <c r="K28" s="199"/>
      <c r="L28" s="199"/>
      <c r="M28" s="199"/>
      <c r="N28" s="199"/>
      <c r="O28" s="199"/>
    </row>
    <row r="29" spans="1:15" x14ac:dyDescent="0.25">
      <c r="A29" s="345"/>
      <c r="B29" s="346"/>
      <c r="C29" s="350"/>
      <c r="D29" s="199"/>
      <c r="E29" s="199"/>
      <c r="F29" s="199"/>
      <c r="G29" s="199"/>
      <c r="H29" s="199"/>
      <c r="I29" s="199"/>
      <c r="J29" s="199"/>
      <c r="K29" s="199"/>
      <c r="L29" s="199"/>
      <c r="M29" s="199"/>
      <c r="N29" s="199"/>
      <c r="O29" s="199"/>
    </row>
    <row r="30" spans="1:15" x14ac:dyDescent="0.25">
      <c r="A30" s="345"/>
      <c r="B30" s="346"/>
      <c r="C30" s="350"/>
      <c r="D30" s="199"/>
      <c r="E30" s="199"/>
      <c r="F30" s="199"/>
      <c r="G30" s="199"/>
      <c r="H30" s="199"/>
      <c r="I30" s="199"/>
      <c r="J30" s="199"/>
      <c r="K30" s="199"/>
      <c r="L30" s="199"/>
      <c r="M30" s="199"/>
      <c r="N30" s="199"/>
      <c r="O30" s="199"/>
    </row>
    <row r="31" spans="1:15" x14ac:dyDescent="0.25">
      <c r="A31" s="345"/>
      <c r="B31" s="346"/>
      <c r="C31" s="350"/>
      <c r="D31" s="199"/>
      <c r="E31" s="199"/>
      <c r="F31" s="199"/>
      <c r="G31" s="199"/>
      <c r="H31" s="199"/>
      <c r="I31" s="199"/>
      <c r="J31" s="199"/>
      <c r="K31" s="199"/>
      <c r="L31" s="199"/>
      <c r="M31" s="199"/>
      <c r="N31" s="199"/>
      <c r="O31" s="199"/>
    </row>
    <row r="32" spans="1:15" x14ac:dyDescent="0.25">
      <c r="A32" s="345"/>
      <c r="B32" s="346"/>
      <c r="C32" s="350"/>
      <c r="D32" s="199"/>
      <c r="E32" s="199"/>
      <c r="F32" s="199"/>
      <c r="G32" s="199"/>
      <c r="H32" s="199"/>
      <c r="I32" s="199"/>
      <c r="J32" s="199"/>
      <c r="K32" s="199"/>
      <c r="L32" s="199"/>
      <c r="M32" s="199"/>
      <c r="N32" s="199"/>
      <c r="O32" s="199"/>
    </row>
    <row r="33" spans="1:15" x14ac:dyDescent="0.25">
      <c r="A33" s="345"/>
      <c r="B33" s="346"/>
      <c r="C33" s="350"/>
      <c r="D33" s="199"/>
      <c r="E33" s="199"/>
      <c r="F33" s="199"/>
      <c r="G33" s="199"/>
      <c r="H33" s="199"/>
      <c r="I33" s="199"/>
      <c r="J33" s="199"/>
      <c r="K33" s="199"/>
      <c r="L33" s="199"/>
      <c r="M33" s="199"/>
      <c r="N33" s="199"/>
      <c r="O33" s="199"/>
    </row>
    <row r="34" spans="1:15" x14ac:dyDescent="0.25">
      <c r="A34" s="345"/>
      <c r="B34" s="346"/>
      <c r="C34" s="350"/>
      <c r="D34" s="199"/>
      <c r="E34" s="199"/>
      <c r="F34" s="199"/>
      <c r="G34" s="199"/>
      <c r="H34" s="199"/>
      <c r="I34" s="199"/>
      <c r="J34" s="199"/>
      <c r="K34" s="199"/>
      <c r="L34" s="199"/>
      <c r="M34" s="199"/>
      <c r="N34" s="199"/>
      <c r="O34" s="199"/>
    </row>
    <row r="35" spans="1:15" x14ac:dyDescent="0.25">
      <c r="A35" s="345"/>
      <c r="B35" s="346"/>
      <c r="C35" s="350"/>
      <c r="D35" s="199"/>
      <c r="E35" s="199"/>
      <c r="F35" s="199"/>
      <c r="G35" s="199"/>
      <c r="H35" s="199"/>
      <c r="I35" s="199"/>
      <c r="J35" s="199"/>
      <c r="K35" s="199"/>
      <c r="L35" s="199"/>
      <c r="M35" s="199"/>
      <c r="N35" s="199"/>
      <c r="O35" s="199"/>
    </row>
    <row r="36" spans="1:15" x14ac:dyDescent="0.25">
      <c r="A36" s="345"/>
      <c r="B36" s="346"/>
      <c r="C36" s="350"/>
      <c r="D36" s="199"/>
      <c r="E36" s="199"/>
      <c r="F36" s="199"/>
      <c r="G36" s="199"/>
      <c r="H36" s="199"/>
      <c r="I36" s="199"/>
      <c r="J36" s="199"/>
      <c r="K36" s="199"/>
      <c r="L36" s="199"/>
      <c r="M36" s="199"/>
      <c r="N36" s="199"/>
      <c r="O36" s="199"/>
    </row>
    <row r="37" spans="1:15" x14ac:dyDescent="0.25">
      <c r="A37" s="345"/>
      <c r="B37" s="346"/>
      <c r="C37" s="350"/>
      <c r="D37" s="199"/>
      <c r="E37" s="199"/>
      <c r="F37" s="199"/>
      <c r="G37" s="199"/>
      <c r="H37" s="199"/>
      <c r="I37" s="199"/>
      <c r="J37" s="199"/>
      <c r="K37" s="199"/>
      <c r="L37" s="199"/>
      <c r="M37" s="199"/>
      <c r="N37" s="199"/>
      <c r="O37" s="199"/>
    </row>
    <row r="38" spans="1:15" x14ac:dyDescent="0.25">
      <c r="A38" s="345"/>
      <c r="B38" s="346"/>
      <c r="C38" s="350"/>
      <c r="D38" s="199"/>
      <c r="E38" s="199"/>
      <c r="F38" s="199"/>
      <c r="G38" s="199"/>
      <c r="H38" s="199"/>
      <c r="I38" s="199"/>
      <c r="J38" s="199"/>
      <c r="K38" s="199"/>
      <c r="L38" s="199"/>
      <c r="M38" s="199"/>
      <c r="N38" s="199"/>
      <c r="O38" s="199"/>
    </row>
    <row r="39" spans="1:15" x14ac:dyDescent="0.25">
      <c r="A39" s="345"/>
      <c r="B39" s="346"/>
      <c r="C39" s="350"/>
      <c r="D39" s="199"/>
      <c r="E39" s="199"/>
      <c r="F39" s="199"/>
      <c r="G39" s="199"/>
      <c r="H39" s="199"/>
      <c r="I39" s="199"/>
      <c r="J39" s="199"/>
      <c r="K39" s="199"/>
      <c r="L39" s="199"/>
      <c r="M39" s="199"/>
      <c r="N39" s="199"/>
      <c r="O39" s="199"/>
    </row>
    <row r="40" spans="1:15" x14ac:dyDescent="0.25">
      <c r="A40" s="345"/>
      <c r="B40" s="346"/>
      <c r="C40" s="350"/>
      <c r="D40" s="199"/>
      <c r="E40" s="199"/>
      <c r="F40" s="199"/>
      <c r="G40" s="199"/>
      <c r="H40" s="199"/>
      <c r="I40" s="199"/>
      <c r="J40" s="199"/>
      <c r="K40" s="199"/>
      <c r="L40" s="199"/>
      <c r="M40" s="199"/>
      <c r="N40" s="199"/>
      <c r="O40" s="199"/>
    </row>
    <row r="41" spans="1:15" x14ac:dyDescent="0.25">
      <c r="A41" s="345"/>
      <c r="B41" s="346"/>
      <c r="C41" s="350"/>
      <c r="D41" s="199"/>
      <c r="E41" s="199"/>
      <c r="F41" s="199"/>
      <c r="G41" s="199"/>
      <c r="H41" s="199"/>
      <c r="I41" s="199"/>
      <c r="J41" s="199"/>
      <c r="K41" s="199"/>
      <c r="L41" s="199"/>
      <c r="M41" s="199"/>
      <c r="N41" s="199"/>
      <c r="O41" s="199"/>
    </row>
    <row r="42" spans="1:15" x14ac:dyDescent="0.25">
      <c r="A42" s="345"/>
      <c r="B42" s="346"/>
      <c r="C42" s="350"/>
      <c r="D42" s="199"/>
      <c r="E42" s="199"/>
      <c r="F42" s="199"/>
      <c r="G42" s="199"/>
      <c r="H42" s="199"/>
      <c r="I42" s="199"/>
      <c r="J42" s="199"/>
      <c r="K42" s="199"/>
      <c r="L42" s="199"/>
      <c r="M42" s="199"/>
      <c r="N42" s="199"/>
      <c r="O42" s="199"/>
    </row>
    <row r="43" spans="1:15" x14ac:dyDescent="0.25">
      <c r="A43" s="345"/>
      <c r="B43" s="346"/>
      <c r="C43" s="350"/>
      <c r="D43" s="199"/>
      <c r="E43" s="199"/>
      <c r="F43" s="199"/>
      <c r="G43" s="199"/>
      <c r="H43" s="199"/>
      <c r="I43" s="199"/>
      <c r="J43" s="199"/>
      <c r="K43" s="199"/>
      <c r="L43" s="199"/>
      <c r="M43" s="199"/>
      <c r="N43" s="199"/>
      <c r="O43" s="199"/>
    </row>
    <row r="44" spans="1:15" x14ac:dyDescent="0.25">
      <c r="A44" s="345"/>
      <c r="B44" s="346"/>
      <c r="C44" s="350"/>
      <c r="D44" s="199"/>
      <c r="E44" s="199"/>
      <c r="F44" s="199"/>
      <c r="G44" s="199"/>
      <c r="H44" s="199"/>
      <c r="I44" s="199"/>
      <c r="J44" s="199"/>
      <c r="K44" s="199"/>
      <c r="L44" s="199"/>
      <c r="M44" s="199"/>
      <c r="N44" s="199"/>
      <c r="O44" s="199"/>
    </row>
    <row r="46" spans="1:15" x14ac:dyDescent="0.25">
      <c r="A46" s="349" t="s">
        <v>770</v>
      </c>
      <c r="B46" s="349"/>
      <c r="D46" s="351">
        <f>SUM(D25:D44)</f>
        <v>0</v>
      </c>
      <c r="E46" s="351">
        <f t="shared" ref="E46:O46" si="0">SUM(E25:E44)</f>
        <v>0</v>
      </c>
      <c r="F46" s="351">
        <f t="shared" si="0"/>
        <v>0</v>
      </c>
      <c r="G46" s="351">
        <f t="shared" si="0"/>
        <v>0</v>
      </c>
      <c r="H46" s="351">
        <f t="shared" si="0"/>
        <v>0</v>
      </c>
      <c r="I46" s="351">
        <f t="shared" si="0"/>
        <v>0</v>
      </c>
      <c r="J46" s="351">
        <f t="shared" si="0"/>
        <v>0</v>
      </c>
      <c r="K46" s="351">
        <f t="shared" si="0"/>
        <v>0</v>
      </c>
      <c r="L46" s="351">
        <f t="shared" si="0"/>
        <v>0</v>
      </c>
      <c r="M46" s="351">
        <f t="shared" si="0"/>
        <v>0</v>
      </c>
      <c r="N46" s="351">
        <f t="shared" si="0"/>
        <v>0</v>
      </c>
      <c r="O46" s="351">
        <f t="shared" si="0"/>
        <v>0</v>
      </c>
    </row>
    <row r="47" spans="1:15" x14ac:dyDescent="0.25">
      <c r="A47" s="349"/>
      <c r="B47" s="349"/>
      <c r="D47" s="357"/>
      <c r="E47" s="357"/>
      <c r="F47" s="357"/>
      <c r="G47" s="357"/>
      <c r="H47" s="357"/>
      <c r="I47" s="357"/>
      <c r="J47" s="357"/>
      <c r="K47" s="357"/>
      <c r="L47" s="357"/>
      <c r="M47" s="357"/>
      <c r="N47" s="357"/>
      <c r="O47" s="357"/>
    </row>
    <row r="48" spans="1:15" x14ac:dyDescent="0.25">
      <c r="A48" s="349" t="s">
        <v>771</v>
      </c>
      <c r="B48" s="349"/>
      <c r="D48" s="351">
        <f>MIN(D46,D20)</f>
        <v>0</v>
      </c>
      <c r="E48" s="357"/>
      <c r="F48" s="357"/>
      <c r="G48" s="351">
        <f>MIN(G46,G20)</f>
        <v>0</v>
      </c>
      <c r="H48" s="357"/>
      <c r="I48" s="357"/>
      <c r="J48" s="351">
        <f>MIN(J46,J20)</f>
        <v>0</v>
      </c>
      <c r="K48" s="357"/>
      <c r="L48" s="357"/>
      <c r="M48" s="351">
        <f>MIN(M46,M20)</f>
        <v>0</v>
      </c>
      <c r="N48" s="357"/>
      <c r="O48" s="357"/>
    </row>
    <row r="49" spans="1:15" ht="15.75" thickBot="1" x14ac:dyDescent="0.3"/>
    <row r="50" spans="1:15" ht="15" customHeight="1" thickBot="1" x14ac:dyDescent="0.3">
      <c r="A50" s="437" t="s">
        <v>884</v>
      </c>
      <c r="B50" s="437"/>
      <c r="D50" s="497" t="s">
        <v>856</v>
      </c>
      <c r="E50" s="498"/>
      <c r="F50" s="498"/>
      <c r="G50" s="497" t="s">
        <v>856</v>
      </c>
      <c r="H50" s="498"/>
      <c r="I50" s="499"/>
      <c r="J50" s="497" t="s">
        <v>856</v>
      </c>
      <c r="K50" s="498"/>
      <c r="L50" s="498"/>
      <c r="M50" s="497" t="s">
        <v>856</v>
      </c>
      <c r="N50" s="498"/>
      <c r="O50" s="499"/>
    </row>
    <row r="51" spans="1:15" x14ac:dyDescent="0.25">
      <c r="A51" s="437"/>
      <c r="B51" s="437"/>
    </row>
    <row r="52" spans="1:15" x14ac:dyDescent="0.25">
      <c r="A52" s="437"/>
      <c r="B52" s="437"/>
      <c r="D52" s="501" t="s">
        <v>752</v>
      </c>
      <c r="E52" s="501"/>
      <c r="F52" s="501"/>
      <c r="G52" s="501" t="s">
        <v>752</v>
      </c>
      <c r="H52" s="501"/>
      <c r="I52" s="501"/>
      <c r="J52" s="501" t="s">
        <v>752</v>
      </c>
      <c r="K52" s="501"/>
      <c r="L52" s="501"/>
      <c r="M52" s="501" t="s">
        <v>752</v>
      </c>
      <c r="N52" s="501"/>
      <c r="O52" s="501"/>
    </row>
    <row r="53" spans="1:15" x14ac:dyDescent="0.25">
      <c r="A53" s="437"/>
      <c r="B53" s="437"/>
      <c r="D53" s="494" t="s">
        <v>758</v>
      </c>
      <c r="E53" s="494"/>
      <c r="F53" s="494"/>
      <c r="G53" s="495" t="s">
        <v>759</v>
      </c>
      <c r="H53" s="495"/>
      <c r="I53" s="495"/>
      <c r="J53" s="494" t="s">
        <v>760</v>
      </c>
      <c r="K53" s="494"/>
      <c r="L53" s="494"/>
      <c r="M53" s="496" t="s">
        <v>761</v>
      </c>
      <c r="N53" s="496"/>
      <c r="O53" s="496"/>
    </row>
    <row r="54" spans="1:15" x14ac:dyDescent="0.25">
      <c r="D54" s="494">
        <f>M15+1</f>
        <v>2018</v>
      </c>
      <c r="E54" s="494"/>
      <c r="F54" s="494"/>
      <c r="G54" s="495">
        <f>D54+1</f>
        <v>2019</v>
      </c>
      <c r="H54" s="495"/>
      <c r="I54" s="495"/>
      <c r="J54" s="494">
        <f>G54+1</f>
        <v>2020</v>
      </c>
      <c r="K54" s="494"/>
      <c r="L54" s="494"/>
      <c r="M54" s="495">
        <f>J54+1</f>
        <v>2021</v>
      </c>
      <c r="N54" s="495"/>
      <c r="O54" s="495"/>
    </row>
    <row r="55" spans="1:15" x14ac:dyDescent="0.25">
      <c r="A55" s="349" t="s">
        <v>764</v>
      </c>
      <c r="B55" s="502"/>
      <c r="D55" s="199"/>
      <c r="G55" s="199"/>
      <c r="J55" s="199"/>
      <c r="M55" s="199"/>
    </row>
    <row r="56" spans="1:15" x14ac:dyDescent="0.25">
      <c r="A56" s="349"/>
      <c r="B56" s="502"/>
    </row>
    <row r="57" spans="1:15" x14ac:dyDescent="0.25">
      <c r="A57" s="349" t="s">
        <v>765</v>
      </c>
      <c r="B57" s="502"/>
      <c r="D57" s="351">
        <f>IF('8. Threshold Test'!$E$70="", 0, '8. Threshold Test'!$E$70)</f>
        <v>38888025.517609775</v>
      </c>
      <c r="G57" s="351">
        <f>IF('8. Threshold Test'!$E$71="", 0, '8. Threshold Test'!$E$71)</f>
        <v>38971311.648891903</v>
      </c>
      <c r="J57" s="351">
        <f>IF('8. Threshold Test'!$E$72="", 0, '8. Threshold Test'!$E$72)</f>
        <v>39055548.757215433</v>
      </c>
      <c r="M57" s="351">
        <f>IF('8. Threshold Test'!$E$73="", 0, '8. Threshold Test'!$E$73)</f>
        <v>39140747.701018825</v>
      </c>
    </row>
    <row r="58" spans="1:15" x14ac:dyDescent="0.25">
      <c r="A58" s="6"/>
      <c r="B58" s="502"/>
    </row>
    <row r="59" spans="1:15" ht="30" x14ac:dyDescent="0.25">
      <c r="A59" s="352" t="s">
        <v>766</v>
      </c>
      <c r="B59" s="349"/>
      <c r="C59" s="353"/>
      <c r="D59" s="354">
        <f t="shared" ref="D59" si="1">IF(D57&gt;D55,0,D55-D57)</f>
        <v>0</v>
      </c>
      <c r="G59" s="354">
        <f t="shared" ref="G59" si="2">IF(G57&gt;G55,0,G55-G57)</f>
        <v>0</v>
      </c>
      <c r="J59" s="354">
        <f t="shared" ref="J59" si="3">IF(J57&gt;J55,0,J55-J57)</f>
        <v>0</v>
      </c>
      <c r="M59" s="354">
        <f t="shared" ref="M59" si="4">IF(M57&gt;M55,0,M55-M57)</f>
        <v>0</v>
      </c>
    </row>
    <row r="60" spans="1:15" x14ac:dyDescent="0.25">
      <c r="A60" s="352"/>
      <c r="B60" s="349"/>
      <c r="C60" s="353"/>
      <c r="D60" s="355"/>
      <c r="G60" s="355"/>
      <c r="J60" s="355"/>
      <c r="M60" s="355"/>
    </row>
    <row r="61" spans="1:15" x14ac:dyDescent="0.25">
      <c r="A61" s="6"/>
      <c r="B61" s="6"/>
      <c r="C61" s="353"/>
      <c r="D61" s="494" t="str">
        <f>D53</f>
        <v>Year 5</v>
      </c>
      <c r="E61" s="494"/>
      <c r="F61" s="494"/>
      <c r="G61" s="495" t="str">
        <f>G53</f>
        <v>Year 6</v>
      </c>
      <c r="H61" s="495"/>
      <c r="I61" s="495"/>
      <c r="J61" s="494" t="str">
        <f>J53</f>
        <v>Year 7</v>
      </c>
      <c r="K61" s="494"/>
      <c r="L61" s="494"/>
      <c r="M61" s="495" t="str">
        <f>M53</f>
        <v>Year 8</v>
      </c>
      <c r="N61" s="495"/>
      <c r="O61" s="495"/>
    </row>
    <row r="62" spans="1:15" x14ac:dyDescent="0.25">
      <c r="A62" s="6"/>
      <c r="B62" s="6"/>
      <c r="C62" s="353"/>
      <c r="D62" s="494">
        <f>D54</f>
        <v>2018</v>
      </c>
      <c r="E62" s="494"/>
      <c r="F62" s="494"/>
      <c r="G62" s="495">
        <f>G54</f>
        <v>2019</v>
      </c>
      <c r="H62" s="495"/>
      <c r="I62" s="495"/>
      <c r="J62" s="494">
        <f>J54</f>
        <v>2020</v>
      </c>
      <c r="K62" s="494"/>
      <c r="L62" s="494"/>
      <c r="M62" s="495">
        <f>M54</f>
        <v>2021</v>
      </c>
      <c r="N62" s="495"/>
      <c r="O62" s="495"/>
    </row>
    <row r="63" spans="1:15" x14ac:dyDescent="0.25">
      <c r="A63" s="6" t="s">
        <v>767</v>
      </c>
      <c r="B63" s="366" t="s">
        <v>768</v>
      </c>
      <c r="C63" s="353"/>
      <c r="D63" s="367" t="s">
        <v>772</v>
      </c>
      <c r="E63" s="366" t="s">
        <v>773</v>
      </c>
      <c r="F63" s="366" t="s">
        <v>774</v>
      </c>
      <c r="G63" s="367" t="s">
        <v>772</v>
      </c>
      <c r="H63" s="366" t="s">
        <v>773</v>
      </c>
      <c r="I63" s="366" t="s">
        <v>774</v>
      </c>
      <c r="J63" s="367" t="s">
        <v>772</v>
      </c>
      <c r="K63" s="366" t="s">
        <v>773</v>
      </c>
      <c r="L63" s="366" t="s">
        <v>774</v>
      </c>
      <c r="M63" s="367" t="s">
        <v>772</v>
      </c>
      <c r="N63" s="366" t="s">
        <v>773</v>
      </c>
      <c r="O63" s="366" t="s">
        <v>774</v>
      </c>
    </row>
    <row r="64" spans="1:15" x14ac:dyDescent="0.25">
      <c r="A64" s="345"/>
      <c r="B64" s="346"/>
      <c r="C64" s="350"/>
      <c r="D64" s="199"/>
      <c r="E64" s="199"/>
      <c r="F64" s="199"/>
      <c r="G64" s="199"/>
      <c r="H64" s="199"/>
      <c r="I64" s="199"/>
      <c r="J64" s="199"/>
      <c r="K64" s="199"/>
      <c r="L64" s="199"/>
      <c r="M64" s="199"/>
      <c r="N64" s="199"/>
      <c r="O64" s="199"/>
    </row>
    <row r="65" spans="1:15" x14ac:dyDescent="0.25">
      <c r="A65" s="345"/>
      <c r="B65" s="346"/>
      <c r="C65" s="350"/>
      <c r="D65" s="199"/>
      <c r="E65" s="199"/>
      <c r="F65" s="199"/>
      <c r="G65" s="199"/>
      <c r="H65" s="199"/>
      <c r="I65" s="199"/>
      <c r="J65" s="199"/>
      <c r="K65" s="199"/>
      <c r="L65" s="199"/>
      <c r="M65" s="199"/>
      <c r="N65" s="199"/>
      <c r="O65" s="199"/>
    </row>
    <row r="66" spans="1:15" x14ac:dyDescent="0.25">
      <c r="A66" s="345"/>
      <c r="B66" s="346"/>
      <c r="C66" s="350"/>
      <c r="D66" s="199"/>
      <c r="E66" s="199"/>
      <c r="F66" s="199"/>
      <c r="G66" s="199"/>
      <c r="H66" s="199"/>
      <c r="I66" s="199"/>
      <c r="J66" s="199"/>
      <c r="K66" s="199"/>
      <c r="L66" s="199"/>
      <c r="M66" s="199"/>
      <c r="N66" s="199"/>
      <c r="O66" s="199"/>
    </row>
    <row r="67" spans="1:15" x14ac:dyDescent="0.25">
      <c r="A67" s="345"/>
      <c r="B67" s="346"/>
      <c r="C67" s="350"/>
      <c r="D67" s="199"/>
      <c r="E67" s="199"/>
      <c r="F67" s="199"/>
      <c r="G67" s="199"/>
      <c r="H67" s="199"/>
      <c r="I67" s="199"/>
      <c r="J67" s="199"/>
      <c r="K67" s="199"/>
      <c r="L67" s="199"/>
      <c r="M67" s="199"/>
      <c r="N67" s="199"/>
      <c r="O67" s="199"/>
    </row>
    <row r="68" spans="1:15" x14ac:dyDescent="0.25">
      <c r="A68" s="345"/>
      <c r="B68" s="346"/>
      <c r="C68" s="350"/>
      <c r="D68" s="199"/>
      <c r="E68" s="199"/>
      <c r="F68" s="199"/>
      <c r="G68" s="199"/>
      <c r="H68" s="199"/>
      <c r="I68" s="199"/>
      <c r="J68" s="199"/>
      <c r="K68" s="199"/>
      <c r="L68" s="199"/>
      <c r="M68" s="199"/>
      <c r="N68" s="199"/>
      <c r="O68" s="199"/>
    </row>
    <row r="69" spans="1:15" x14ac:dyDescent="0.25">
      <c r="A69" s="345"/>
      <c r="B69" s="346"/>
      <c r="C69" s="350"/>
      <c r="D69" s="199"/>
      <c r="E69" s="199"/>
      <c r="F69" s="199"/>
      <c r="G69" s="199"/>
      <c r="H69" s="199"/>
      <c r="I69" s="199"/>
      <c r="J69" s="199"/>
      <c r="K69" s="199"/>
      <c r="L69" s="199"/>
      <c r="M69" s="199"/>
      <c r="N69" s="199"/>
      <c r="O69" s="199"/>
    </row>
    <row r="70" spans="1:15" x14ac:dyDescent="0.25">
      <c r="A70" s="345"/>
      <c r="B70" s="346"/>
      <c r="C70" s="350"/>
      <c r="D70" s="199"/>
      <c r="E70" s="199"/>
      <c r="F70" s="199"/>
      <c r="G70" s="199"/>
      <c r="H70" s="199"/>
      <c r="I70" s="199"/>
      <c r="J70" s="199"/>
      <c r="K70" s="199"/>
      <c r="L70" s="199"/>
      <c r="M70" s="199"/>
      <c r="N70" s="199"/>
      <c r="O70" s="199"/>
    </row>
    <row r="71" spans="1:15" x14ac:dyDescent="0.25">
      <c r="A71" s="345"/>
      <c r="B71" s="346"/>
      <c r="C71" s="350"/>
      <c r="D71" s="199"/>
      <c r="E71" s="199"/>
      <c r="F71" s="199"/>
      <c r="G71" s="199"/>
      <c r="H71" s="199"/>
      <c r="I71" s="199"/>
      <c r="J71" s="199"/>
      <c r="K71" s="199"/>
      <c r="L71" s="199"/>
      <c r="M71" s="199"/>
      <c r="N71" s="199"/>
      <c r="O71" s="199"/>
    </row>
    <row r="72" spans="1:15" x14ac:dyDescent="0.25">
      <c r="A72" s="345"/>
      <c r="B72" s="346"/>
      <c r="C72" s="350"/>
      <c r="D72" s="199"/>
      <c r="E72" s="199"/>
      <c r="F72" s="199"/>
      <c r="G72" s="199"/>
      <c r="H72" s="199"/>
      <c r="I72" s="199"/>
      <c r="J72" s="199"/>
      <c r="K72" s="199"/>
      <c r="L72" s="199"/>
      <c r="M72" s="199"/>
      <c r="N72" s="199"/>
      <c r="O72" s="199"/>
    </row>
    <row r="73" spans="1:15" x14ac:dyDescent="0.25">
      <c r="A73" s="345"/>
      <c r="B73" s="346"/>
      <c r="C73" s="350"/>
      <c r="D73" s="199"/>
      <c r="E73" s="199"/>
      <c r="F73" s="199"/>
      <c r="G73" s="199"/>
      <c r="H73" s="199"/>
      <c r="I73" s="199"/>
      <c r="J73" s="199"/>
      <c r="K73" s="199"/>
      <c r="L73" s="199"/>
      <c r="M73" s="199"/>
      <c r="N73" s="199"/>
      <c r="O73" s="199"/>
    </row>
    <row r="74" spans="1:15" x14ac:dyDescent="0.25">
      <c r="A74" s="345"/>
      <c r="B74" s="346"/>
      <c r="C74" s="350"/>
      <c r="D74" s="199"/>
      <c r="E74" s="199"/>
      <c r="F74" s="199"/>
      <c r="G74" s="199"/>
      <c r="H74" s="199"/>
      <c r="I74" s="199"/>
      <c r="J74" s="199"/>
      <c r="K74" s="199"/>
      <c r="L74" s="199"/>
      <c r="M74" s="199"/>
      <c r="N74" s="199"/>
      <c r="O74" s="199"/>
    </row>
    <row r="75" spans="1:15" x14ac:dyDescent="0.25">
      <c r="A75" s="345"/>
      <c r="B75" s="346"/>
      <c r="C75" s="350"/>
      <c r="D75" s="199"/>
      <c r="E75" s="199"/>
      <c r="F75" s="199"/>
      <c r="G75" s="199"/>
      <c r="H75" s="199"/>
      <c r="I75" s="199"/>
      <c r="J75" s="199"/>
      <c r="K75" s="199"/>
      <c r="L75" s="199"/>
      <c r="M75" s="199"/>
      <c r="N75" s="199"/>
      <c r="O75" s="199"/>
    </row>
    <row r="76" spans="1:15" x14ac:dyDescent="0.25">
      <c r="A76" s="345"/>
      <c r="B76" s="346"/>
      <c r="C76" s="350"/>
      <c r="D76" s="199"/>
      <c r="E76" s="199"/>
      <c r="F76" s="199"/>
      <c r="G76" s="199"/>
      <c r="H76" s="199"/>
      <c r="I76" s="199"/>
      <c r="J76" s="199"/>
      <c r="K76" s="199"/>
      <c r="L76" s="199"/>
      <c r="M76" s="199"/>
      <c r="N76" s="199"/>
      <c r="O76" s="199"/>
    </row>
    <row r="77" spans="1:15" x14ac:dyDescent="0.25">
      <c r="A77" s="345"/>
      <c r="B77" s="346"/>
      <c r="C77" s="350"/>
      <c r="D77" s="199"/>
      <c r="E77" s="199"/>
      <c r="F77" s="199"/>
      <c r="G77" s="199"/>
      <c r="H77" s="199"/>
      <c r="I77" s="199"/>
      <c r="J77" s="199"/>
      <c r="K77" s="199"/>
      <c r="L77" s="199"/>
      <c r="M77" s="199"/>
      <c r="N77" s="199"/>
      <c r="O77" s="199"/>
    </row>
    <row r="78" spans="1:15" x14ac:dyDescent="0.25">
      <c r="A78" s="345"/>
      <c r="B78" s="346"/>
      <c r="C78" s="350"/>
      <c r="D78" s="199"/>
      <c r="E78" s="199"/>
      <c r="F78" s="199"/>
      <c r="G78" s="199"/>
      <c r="H78" s="199"/>
      <c r="I78" s="199"/>
      <c r="J78" s="199"/>
      <c r="K78" s="199"/>
      <c r="L78" s="199"/>
      <c r="M78" s="199"/>
      <c r="N78" s="199"/>
      <c r="O78" s="199"/>
    </row>
    <row r="79" spans="1:15" x14ac:dyDescent="0.25">
      <c r="A79" s="345"/>
      <c r="B79" s="346"/>
      <c r="C79" s="350"/>
      <c r="D79" s="199"/>
      <c r="E79" s="199"/>
      <c r="F79" s="199"/>
      <c r="G79" s="199"/>
      <c r="H79" s="199"/>
      <c r="I79" s="199"/>
      <c r="J79" s="199"/>
      <c r="K79" s="199"/>
      <c r="L79" s="199"/>
      <c r="M79" s="199"/>
      <c r="N79" s="199"/>
      <c r="O79" s="199"/>
    </row>
    <row r="80" spans="1:15" x14ac:dyDescent="0.25">
      <c r="A80" s="345"/>
      <c r="B80" s="346"/>
      <c r="C80" s="350"/>
      <c r="D80" s="199"/>
      <c r="E80" s="199"/>
      <c r="F80" s="199"/>
      <c r="G80" s="199"/>
      <c r="H80" s="199"/>
      <c r="I80" s="199"/>
      <c r="J80" s="199"/>
      <c r="K80" s="199"/>
      <c r="L80" s="199"/>
      <c r="M80" s="199"/>
      <c r="N80" s="199"/>
      <c r="O80" s="199"/>
    </row>
    <row r="81" spans="1:15" x14ac:dyDescent="0.25">
      <c r="A81" s="345"/>
      <c r="B81" s="346"/>
      <c r="C81" s="350"/>
      <c r="D81" s="199"/>
      <c r="E81" s="199"/>
      <c r="F81" s="199"/>
      <c r="G81" s="199"/>
      <c r="H81" s="199"/>
      <c r="I81" s="199"/>
      <c r="J81" s="199"/>
      <c r="K81" s="199"/>
      <c r="L81" s="199"/>
      <c r="M81" s="199"/>
      <c r="N81" s="199"/>
      <c r="O81" s="199"/>
    </row>
    <row r="82" spans="1:15" x14ac:dyDescent="0.25">
      <c r="A82" s="345"/>
      <c r="B82" s="346"/>
      <c r="C82" s="350"/>
      <c r="D82" s="199"/>
      <c r="E82" s="199"/>
      <c r="F82" s="199"/>
      <c r="G82" s="199"/>
      <c r="H82" s="199"/>
      <c r="I82" s="199"/>
      <c r="J82" s="199"/>
      <c r="K82" s="199"/>
      <c r="L82" s="199"/>
      <c r="M82" s="199"/>
      <c r="N82" s="199"/>
      <c r="O82" s="199"/>
    </row>
    <row r="83" spans="1:15" x14ac:dyDescent="0.25">
      <c r="A83" s="345"/>
      <c r="B83" s="346"/>
      <c r="C83" s="350"/>
      <c r="D83" s="199"/>
      <c r="E83" s="199"/>
      <c r="F83" s="199"/>
      <c r="G83" s="199"/>
      <c r="H83" s="199"/>
      <c r="I83" s="199"/>
      <c r="J83" s="199"/>
      <c r="K83" s="199"/>
      <c r="L83" s="199"/>
      <c r="M83" s="199"/>
      <c r="N83" s="199"/>
      <c r="O83" s="199"/>
    </row>
    <row r="85" spans="1:15" x14ac:dyDescent="0.25">
      <c r="A85" s="349" t="s">
        <v>770</v>
      </c>
      <c r="B85" s="349"/>
      <c r="D85" s="351">
        <f t="shared" ref="D85:O85" si="5">SUM(D64:D83)</f>
        <v>0</v>
      </c>
      <c r="E85" s="351">
        <f t="shared" si="5"/>
        <v>0</v>
      </c>
      <c r="F85" s="351">
        <f t="shared" si="5"/>
        <v>0</v>
      </c>
      <c r="G85" s="351">
        <f t="shared" si="5"/>
        <v>0</v>
      </c>
      <c r="H85" s="351">
        <f t="shared" si="5"/>
        <v>0</v>
      </c>
      <c r="I85" s="351">
        <f t="shared" si="5"/>
        <v>0</v>
      </c>
      <c r="J85" s="351">
        <f t="shared" si="5"/>
        <v>0</v>
      </c>
      <c r="K85" s="351">
        <f t="shared" si="5"/>
        <v>0</v>
      </c>
      <c r="L85" s="351">
        <f t="shared" si="5"/>
        <v>0</v>
      </c>
      <c r="M85" s="351">
        <f t="shared" si="5"/>
        <v>0</v>
      </c>
      <c r="N85" s="351">
        <f t="shared" si="5"/>
        <v>0</v>
      </c>
      <c r="O85" s="351">
        <f t="shared" si="5"/>
        <v>0</v>
      </c>
    </row>
    <row r="86" spans="1:15" x14ac:dyDescent="0.25">
      <c r="A86" s="349"/>
      <c r="B86" s="349"/>
      <c r="D86" s="357"/>
      <c r="E86" s="357"/>
      <c r="F86" s="357"/>
      <c r="G86" s="357"/>
      <c r="H86" s="357"/>
      <c r="I86" s="357"/>
      <c r="J86" s="357"/>
      <c r="K86" s="357"/>
      <c r="L86" s="357"/>
      <c r="M86" s="357"/>
      <c r="N86" s="357"/>
      <c r="O86" s="357"/>
    </row>
    <row r="87" spans="1:15" x14ac:dyDescent="0.25">
      <c r="A87" s="349" t="s">
        <v>771</v>
      </c>
      <c r="B87" s="349"/>
      <c r="D87" s="351">
        <f>MIN(D85,D59)</f>
        <v>0</v>
      </c>
      <c r="E87" s="357"/>
      <c r="F87" s="357"/>
      <c r="G87" s="351">
        <f>MIN(G85,G59)</f>
        <v>0</v>
      </c>
      <c r="H87" s="357"/>
      <c r="I87" s="357"/>
      <c r="J87" s="351">
        <f>MIN(J85,J59)</f>
        <v>0</v>
      </c>
      <c r="K87" s="357"/>
      <c r="L87" s="357"/>
      <c r="M87" s="351">
        <f>MIN(M85,M59)</f>
        <v>0</v>
      </c>
      <c r="N87" s="357"/>
      <c r="O87" s="357"/>
    </row>
    <row r="88" spans="1:15" ht="15.75" thickBot="1" x14ac:dyDescent="0.3"/>
    <row r="89" spans="1:15" ht="15.75" thickBot="1" x14ac:dyDescent="0.3">
      <c r="A89" s="437" t="s">
        <v>884</v>
      </c>
      <c r="B89" s="437"/>
      <c r="D89" s="497" t="str">
        <f>D50</f>
        <v>Price Cap IR (Deferred Rebasing) (if necessary)</v>
      </c>
      <c r="E89" s="498"/>
      <c r="F89" s="498"/>
      <c r="G89" s="497" t="str">
        <f>G50</f>
        <v>Price Cap IR (Deferred Rebasing) (if necessary)</v>
      </c>
      <c r="H89" s="498"/>
      <c r="I89" s="499"/>
      <c r="J89" s="492"/>
      <c r="K89" s="492"/>
      <c r="L89" s="492"/>
      <c r="M89" s="493"/>
      <c r="N89" s="493"/>
      <c r="O89" s="493"/>
    </row>
    <row r="90" spans="1:15" x14ac:dyDescent="0.25">
      <c r="A90" s="437"/>
      <c r="B90" s="437"/>
      <c r="J90" s="492"/>
      <c r="K90" s="492"/>
      <c r="L90" s="492"/>
      <c r="M90" s="493"/>
      <c r="N90" s="493"/>
      <c r="O90" s="493"/>
    </row>
    <row r="91" spans="1:15" x14ac:dyDescent="0.25">
      <c r="A91" s="437"/>
      <c r="B91" s="437"/>
      <c r="D91" s="500" t="s">
        <v>752</v>
      </c>
      <c r="E91" s="500"/>
      <c r="F91" s="500"/>
      <c r="G91" s="500" t="s">
        <v>752</v>
      </c>
      <c r="H91" s="500"/>
      <c r="I91" s="500"/>
      <c r="J91" s="492"/>
      <c r="K91" s="492"/>
      <c r="L91" s="492"/>
      <c r="M91" s="493"/>
      <c r="N91" s="493"/>
      <c r="O91" s="493"/>
    </row>
    <row r="92" spans="1:15" x14ac:dyDescent="0.25">
      <c r="A92" s="437"/>
      <c r="B92" s="437"/>
      <c r="D92" s="494" t="s">
        <v>762</v>
      </c>
      <c r="E92" s="494"/>
      <c r="F92" s="494"/>
      <c r="G92" s="495" t="s">
        <v>763</v>
      </c>
      <c r="H92" s="495"/>
      <c r="I92" s="495"/>
      <c r="J92" s="492"/>
      <c r="K92" s="492"/>
      <c r="L92" s="492"/>
      <c r="M92" s="493"/>
      <c r="N92" s="493"/>
      <c r="O92" s="493"/>
    </row>
    <row r="93" spans="1:15" x14ac:dyDescent="0.25">
      <c r="D93" s="494">
        <f>M54+1</f>
        <v>2022</v>
      </c>
      <c r="E93" s="494"/>
      <c r="F93" s="494"/>
      <c r="G93" s="495">
        <f>D93+1</f>
        <v>2023</v>
      </c>
      <c r="H93" s="495"/>
      <c r="I93" s="495"/>
      <c r="J93" s="492"/>
      <c r="K93" s="492"/>
      <c r="L93" s="492"/>
      <c r="M93" s="493"/>
      <c r="N93" s="493"/>
      <c r="O93" s="493"/>
    </row>
    <row r="94" spans="1:15" x14ac:dyDescent="0.25">
      <c r="A94" s="349" t="s">
        <v>764</v>
      </c>
      <c r="B94" s="502"/>
      <c r="D94" s="199"/>
      <c r="G94" s="199"/>
      <c r="J94" s="358"/>
      <c r="K94" s="292"/>
      <c r="L94" s="292"/>
      <c r="M94" s="358"/>
      <c r="N94" s="292"/>
      <c r="O94" s="292"/>
    </row>
    <row r="95" spans="1:15" x14ac:dyDescent="0.25">
      <c r="A95" s="349"/>
      <c r="B95" s="502"/>
      <c r="J95" s="292"/>
      <c r="K95" s="292"/>
      <c r="L95" s="292"/>
      <c r="M95" s="292"/>
      <c r="N95" s="292"/>
      <c r="O95" s="292"/>
    </row>
    <row r="96" spans="1:15" x14ac:dyDescent="0.25">
      <c r="A96" s="349" t="s">
        <v>765</v>
      </c>
      <c r="B96" s="502"/>
      <c r="D96" s="351">
        <f>IF('8. Threshold Test'!$E$73="", 0, '8. Threshold Test'!$E$73)</f>
        <v>39140747.701018825</v>
      </c>
      <c r="G96" s="351">
        <f>IF('8. Threshold Test'!$E$73="", 0, '8. Threshold Test'!$E$73)</f>
        <v>39140747.701018825</v>
      </c>
      <c r="J96" s="358"/>
      <c r="K96" s="292"/>
      <c r="L96" s="292"/>
      <c r="M96" s="358"/>
      <c r="N96" s="292"/>
      <c r="O96" s="292"/>
    </row>
    <row r="97" spans="1:15" x14ac:dyDescent="0.25">
      <c r="A97" s="6"/>
      <c r="B97" s="502"/>
      <c r="J97" s="292"/>
      <c r="K97" s="292"/>
      <c r="L97" s="292"/>
      <c r="M97" s="292"/>
      <c r="N97" s="292"/>
      <c r="O97" s="292"/>
    </row>
    <row r="98" spans="1:15" ht="30" x14ac:dyDescent="0.25">
      <c r="A98" s="352" t="s">
        <v>766</v>
      </c>
      <c r="B98" s="349"/>
      <c r="C98" s="353"/>
      <c r="D98" s="354">
        <f t="shared" ref="D98" si="6">IF(D96&gt;D94,0,D94-D96)</f>
        <v>0</v>
      </c>
      <c r="G98" s="354">
        <f t="shared" ref="G98" si="7">IF(G96&gt;G94,0,G94-G96)</f>
        <v>0</v>
      </c>
      <c r="J98" s="358"/>
      <c r="K98" s="292"/>
      <c r="L98" s="292"/>
      <c r="M98" s="358"/>
      <c r="N98" s="292"/>
      <c r="O98" s="292"/>
    </row>
    <row r="99" spans="1:15" x14ac:dyDescent="0.25">
      <c r="A99" s="352"/>
      <c r="B99" s="349"/>
      <c r="C99" s="353"/>
      <c r="D99" s="355"/>
      <c r="G99" s="355"/>
      <c r="J99" s="358"/>
      <c r="K99" s="292"/>
      <c r="L99" s="359"/>
      <c r="M99" s="358"/>
      <c r="N99" s="292"/>
      <c r="O99" s="292"/>
    </row>
    <row r="100" spans="1:15" x14ac:dyDescent="0.25">
      <c r="A100" s="6"/>
      <c r="B100" s="6"/>
      <c r="C100" s="353"/>
      <c r="D100" s="494" t="str">
        <f>D92</f>
        <v>Year 9</v>
      </c>
      <c r="E100" s="494"/>
      <c r="F100" s="494"/>
      <c r="G100" s="495" t="str">
        <f>G92</f>
        <v>Year 10</v>
      </c>
      <c r="H100" s="495"/>
      <c r="I100" s="495"/>
      <c r="J100" s="492"/>
      <c r="K100" s="492"/>
      <c r="L100" s="492"/>
      <c r="M100" s="492"/>
      <c r="N100" s="492"/>
      <c r="O100" s="492"/>
    </row>
    <row r="101" spans="1:15" x14ac:dyDescent="0.25">
      <c r="A101" s="6"/>
      <c r="B101" s="6"/>
      <c r="C101" s="353"/>
      <c r="D101" s="494">
        <f>D93</f>
        <v>2022</v>
      </c>
      <c r="E101" s="494"/>
      <c r="F101" s="494"/>
      <c r="G101" s="495">
        <f>G93</f>
        <v>2023</v>
      </c>
      <c r="H101" s="495"/>
      <c r="I101" s="495"/>
      <c r="J101" s="492"/>
      <c r="K101" s="492"/>
      <c r="L101" s="492"/>
      <c r="M101" s="492"/>
      <c r="N101" s="492"/>
      <c r="O101" s="492"/>
    </row>
    <row r="102" spans="1:15" x14ac:dyDescent="0.25">
      <c r="A102" s="6" t="s">
        <v>767</v>
      </c>
      <c r="B102" s="366" t="s">
        <v>768</v>
      </c>
      <c r="C102" s="353"/>
      <c r="D102" s="367" t="s">
        <v>772</v>
      </c>
      <c r="E102" s="366" t="s">
        <v>773</v>
      </c>
      <c r="F102" s="366" t="s">
        <v>774</v>
      </c>
      <c r="G102" s="367" t="s">
        <v>772</v>
      </c>
      <c r="H102" s="366" t="s">
        <v>773</v>
      </c>
      <c r="I102" s="366" t="s">
        <v>774</v>
      </c>
      <c r="J102" s="365"/>
      <c r="K102" s="364"/>
      <c r="L102" s="364"/>
      <c r="M102" s="365"/>
      <c r="N102" s="364"/>
      <c r="O102" s="364"/>
    </row>
    <row r="103" spans="1:15" x14ac:dyDescent="0.25">
      <c r="A103" s="345"/>
      <c r="B103" s="346"/>
      <c r="C103" s="350"/>
      <c r="D103" s="199"/>
      <c r="E103" s="199"/>
      <c r="F103" s="199"/>
      <c r="G103" s="199"/>
      <c r="H103" s="199"/>
      <c r="I103" s="199"/>
      <c r="J103" s="360"/>
      <c r="K103" s="361"/>
      <c r="L103" s="361"/>
      <c r="M103" s="360"/>
      <c r="N103" s="361"/>
      <c r="O103" s="361"/>
    </row>
    <row r="104" spans="1:15" x14ac:dyDescent="0.25">
      <c r="A104" s="345"/>
      <c r="B104" s="346"/>
      <c r="C104" s="350"/>
      <c r="D104" s="199"/>
      <c r="E104" s="199"/>
      <c r="F104" s="199"/>
      <c r="G104" s="199"/>
      <c r="H104" s="199"/>
      <c r="I104" s="199"/>
      <c r="J104" s="360"/>
      <c r="K104" s="361"/>
      <c r="L104" s="361"/>
      <c r="M104" s="360"/>
      <c r="N104" s="361"/>
      <c r="O104" s="361"/>
    </row>
    <row r="105" spans="1:15" x14ac:dyDescent="0.25">
      <c r="A105" s="345"/>
      <c r="B105" s="346"/>
      <c r="C105" s="350"/>
      <c r="D105" s="199"/>
      <c r="E105" s="199"/>
      <c r="F105" s="199"/>
      <c r="G105" s="199"/>
      <c r="H105" s="199"/>
      <c r="I105" s="199"/>
      <c r="J105" s="360"/>
      <c r="K105" s="361"/>
      <c r="L105" s="361"/>
      <c r="M105" s="360"/>
      <c r="N105" s="361"/>
      <c r="O105" s="361"/>
    </row>
    <row r="106" spans="1:15" x14ac:dyDescent="0.25">
      <c r="A106" s="345"/>
      <c r="B106" s="346"/>
      <c r="C106" s="350"/>
      <c r="D106" s="199"/>
      <c r="E106" s="199"/>
      <c r="F106" s="199"/>
      <c r="G106" s="199"/>
      <c r="H106" s="199"/>
      <c r="I106" s="199"/>
      <c r="J106" s="360"/>
      <c r="K106" s="361"/>
      <c r="L106" s="361"/>
      <c r="M106" s="360"/>
      <c r="N106" s="361"/>
      <c r="O106" s="361"/>
    </row>
    <row r="107" spans="1:15" x14ac:dyDescent="0.25">
      <c r="A107" s="345"/>
      <c r="B107" s="346"/>
      <c r="C107" s="350"/>
      <c r="D107" s="199"/>
      <c r="E107" s="199"/>
      <c r="F107" s="199"/>
      <c r="G107" s="199"/>
      <c r="H107" s="199"/>
      <c r="I107" s="199"/>
      <c r="J107" s="360"/>
      <c r="K107" s="361"/>
      <c r="L107" s="361"/>
      <c r="M107" s="360"/>
      <c r="N107" s="361"/>
      <c r="O107" s="361"/>
    </row>
    <row r="108" spans="1:15" x14ac:dyDescent="0.25">
      <c r="A108" s="345"/>
      <c r="B108" s="346"/>
      <c r="C108" s="350"/>
      <c r="D108" s="199"/>
      <c r="E108" s="199"/>
      <c r="F108" s="199"/>
      <c r="G108" s="199"/>
      <c r="H108" s="199"/>
      <c r="I108" s="199"/>
      <c r="J108" s="360"/>
      <c r="K108" s="361"/>
      <c r="L108" s="361"/>
      <c r="M108" s="360"/>
      <c r="N108" s="361"/>
      <c r="O108" s="361"/>
    </row>
    <row r="109" spans="1:15" x14ac:dyDescent="0.25">
      <c r="A109" s="345"/>
      <c r="B109" s="346"/>
      <c r="C109" s="350"/>
      <c r="D109" s="199"/>
      <c r="E109" s="199"/>
      <c r="F109" s="199"/>
      <c r="G109" s="199"/>
      <c r="H109" s="199"/>
      <c r="I109" s="199"/>
      <c r="J109" s="360"/>
      <c r="K109" s="361"/>
      <c r="L109" s="361"/>
      <c r="M109" s="360"/>
      <c r="N109" s="361"/>
      <c r="O109" s="361"/>
    </row>
    <row r="110" spans="1:15" x14ac:dyDescent="0.25">
      <c r="A110" s="345"/>
      <c r="B110" s="346"/>
      <c r="C110" s="350"/>
      <c r="D110" s="199"/>
      <c r="E110" s="199"/>
      <c r="F110" s="199"/>
      <c r="G110" s="199"/>
      <c r="H110" s="199"/>
      <c r="I110" s="199"/>
      <c r="J110" s="360"/>
      <c r="K110" s="361"/>
      <c r="L110" s="361"/>
      <c r="M110" s="360"/>
      <c r="N110" s="361"/>
      <c r="O110" s="361"/>
    </row>
    <row r="111" spans="1:15" x14ac:dyDescent="0.25">
      <c r="A111" s="345"/>
      <c r="B111" s="346"/>
      <c r="C111" s="350"/>
      <c r="D111" s="199"/>
      <c r="E111" s="199"/>
      <c r="F111" s="199"/>
      <c r="G111" s="199"/>
      <c r="H111" s="199"/>
      <c r="I111" s="199"/>
      <c r="J111" s="360"/>
      <c r="K111" s="361"/>
      <c r="L111" s="361"/>
      <c r="M111" s="360"/>
      <c r="N111" s="361"/>
      <c r="O111" s="361"/>
    </row>
    <row r="112" spans="1:15" x14ac:dyDescent="0.25">
      <c r="A112" s="345"/>
      <c r="B112" s="346"/>
      <c r="C112" s="350"/>
      <c r="D112" s="199"/>
      <c r="E112" s="199"/>
      <c r="F112" s="199"/>
      <c r="G112" s="199"/>
      <c r="H112" s="199"/>
      <c r="I112" s="199"/>
      <c r="J112" s="360"/>
      <c r="K112" s="361"/>
      <c r="L112" s="361"/>
      <c r="M112" s="360"/>
      <c r="N112" s="361"/>
      <c r="O112" s="361"/>
    </row>
    <row r="113" spans="1:15" x14ac:dyDescent="0.25">
      <c r="A113" s="345"/>
      <c r="B113" s="346"/>
      <c r="C113" s="350"/>
      <c r="D113" s="199"/>
      <c r="E113" s="199"/>
      <c r="F113" s="199"/>
      <c r="G113" s="199"/>
      <c r="H113" s="199"/>
      <c r="I113" s="199"/>
      <c r="J113" s="360"/>
      <c r="K113" s="361"/>
      <c r="L113" s="361"/>
      <c r="M113" s="360"/>
      <c r="N113" s="361"/>
      <c r="O113" s="361"/>
    </row>
    <row r="114" spans="1:15" x14ac:dyDescent="0.25">
      <c r="A114" s="345"/>
      <c r="B114" s="346"/>
      <c r="C114" s="350"/>
      <c r="D114" s="199"/>
      <c r="E114" s="199"/>
      <c r="F114" s="199"/>
      <c r="G114" s="199"/>
      <c r="H114" s="199"/>
      <c r="I114" s="199"/>
      <c r="J114" s="360"/>
      <c r="K114" s="361"/>
      <c r="L114" s="361"/>
      <c r="M114" s="360"/>
      <c r="N114" s="361"/>
      <c r="O114" s="361"/>
    </row>
    <row r="115" spans="1:15" x14ac:dyDescent="0.25">
      <c r="A115" s="345"/>
      <c r="B115" s="346"/>
      <c r="C115" s="350"/>
      <c r="D115" s="199"/>
      <c r="E115" s="199"/>
      <c r="F115" s="199"/>
      <c r="G115" s="199"/>
      <c r="H115" s="199"/>
      <c r="I115" s="199"/>
      <c r="J115" s="360"/>
      <c r="K115" s="361"/>
      <c r="L115" s="361"/>
      <c r="M115" s="360"/>
      <c r="N115" s="361"/>
      <c r="O115" s="361"/>
    </row>
    <row r="116" spans="1:15" x14ac:dyDescent="0.25">
      <c r="A116" s="345"/>
      <c r="B116" s="346"/>
      <c r="C116" s="350"/>
      <c r="D116" s="199"/>
      <c r="E116" s="199"/>
      <c r="F116" s="199"/>
      <c r="G116" s="199"/>
      <c r="H116" s="199"/>
      <c r="I116" s="199"/>
      <c r="J116" s="360"/>
      <c r="K116" s="361"/>
      <c r="L116" s="361"/>
      <c r="M116" s="360"/>
      <c r="N116" s="361"/>
      <c r="O116" s="361"/>
    </row>
    <row r="117" spans="1:15" x14ac:dyDescent="0.25">
      <c r="A117" s="345"/>
      <c r="B117" s="346"/>
      <c r="C117" s="350"/>
      <c r="D117" s="199"/>
      <c r="E117" s="199"/>
      <c r="F117" s="199"/>
      <c r="G117" s="199"/>
      <c r="H117" s="199"/>
      <c r="I117" s="199"/>
      <c r="J117" s="360"/>
      <c r="K117" s="361"/>
      <c r="L117" s="361"/>
      <c r="M117" s="360"/>
      <c r="N117" s="361"/>
      <c r="O117" s="361"/>
    </row>
    <row r="118" spans="1:15" x14ac:dyDescent="0.25">
      <c r="A118" s="345"/>
      <c r="B118" s="346"/>
      <c r="C118" s="350"/>
      <c r="D118" s="199"/>
      <c r="E118" s="199"/>
      <c r="F118" s="199"/>
      <c r="G118" s="199"/>
      <c r="H118" s="199"/>
      <c r="I118" s="199"/>
      <c r="J118" s="360"/>
      <c r="K118" s="361"/>
      <c r="L118" s="361"/>
      <c r="M118" s="360"/>
      <c r="N118" s="361"/>
      <c r="O118" s="361"/>
    </row>
    <row r="119" spans="1:15" x14ac:dyDescent="0.25">
      <c r="A119" s="345"/>
      <c r="B119" s="346"/>
      <c r="C119" s="350"/>
      <c r="D119" s="199"/>
      <c r="E119" s="199"/>
      <c r="F119" s="199"/>
      <c r="G119" s="199"/>
      <c r="H119" s="199"/>
      <c r="I119" s="199"/>
      <c r="J119" s="360"/>
      <c r="K119" s="361"/>
      <c r="L119" s="361"/>
      <c r="M119" s="360"/>
      <c r="N119" s="361"/>
      <c r="O119" s="361"/>
    </row>
    <row r="120" spans="1:15" x14ac:dyDescent="0.25">
      <c r="A120" s="345"/>
      <c r="B120" s="346"/>
      <c r="C120" s="350"/>
      <c r="D120" s="199"/>
      <c r="E120" s="199"/>
      <c r="F120" s="199"/>
      <c r="G120" s="199"/>
      <c r="H120" s="199"/>
      <c r="I120" s="199"/>
      <c r="J120" s="360"/>
      <c r="K120" s="361"/>
      <c r="L120" s="361"/>
      <c r="M120" s="360"/>
      <c r="N120" s="361"/>
      <c r="O120" s="361"/>
    </row>
    <row r="121" spans="1:15" x14ac:dyDescent="0.25">
      <c r="A121" s="345"/>
      <c r="B121" s="346"/>
      <c r="C121" s="350"/>
      <c r="D121" s="199"/>
      <c r="E121" s="199"/>
      <c r="F121" s="199"/>
      <c r="G121" s="199"/>
      <c r="H121" s="199"/>
      <c r="I121" s="199"/>
      <c r="J121" s="360"/>
      <c r="K121" s="361"/>
      <c r="L121" s="361"/>
      <c r="M121" s="360"/>
      <c r="N121" s="361"/>
      <c r="O121" s="361"/>
    </row>
    <row r="122" spans="1:15" x14ac:dyDescent="0.25">
      <c r="A122" s="345"/>
      <c r="B122" s="346"/>
      <c r="C122" s="350"/>
      <c r="D122" s="199"/>
      <c r="E122" s="199"/>
      <c r="F122" s="199"/>
      <c r="G122" s="199"/>
      <c r="H122" s="199"/>
      <c r="I122" s="199"/>
      <c r="J122" s="360"/>
      <c r="K122" s="361"/>
      <c r="L122" s="361"/>
      <c r="M122" s="360"/>
      <c r="N122" s="361"/>
      <c r="O122" s="361"/>
    </row>
    <row r="123" spans="1:15" x14ac:dyDescent="0.25">
      <c r="J123" s="292"/>
      <c r="K123" s="292"/>
      <c r="L123" s="292"/>
      <c r="M123" s="292"/>
      <c r="N123" s="292"/>
      <c r="O123" s="292"/>
    </row>
    <row r="124" spans="1:15" x14ac:dyDescent="0.25">
      <c r="A124" s="349" t="s">
        <v>770</v>
      </c>
      <c r="B124" s="349"/>
      <c r="D124" s="351">
        <f t="shared" ref="D124:I124" si="8">SUM(D103:D122)</f>
        <v>0</v>
      </c>
      <c r="E124" s="351">
        <f t="shared" si="8"/>
        <v>0</v>
      </c>
      <c r="F124" s="351">
        <f t="shared" si="8"/>
        <v>0</v>
      </c>
      <c r="G124" s="351">
        <f t="shared" si="8"/>
        <v>0</v>
      </c>
      <c r="H124" s="351">
        <f t="shared" si="8"/>
        <v>0</v>
      </c>
      <c r="I124" s="351">
        <f t="shared" si="8"/>
        <v>0</v>
      </c>
      <c r="J124" s="361"/>
      <c r="K124" s="361"/>
      <c r="L124" s="361"/>
      <c r="M124" s="361"/>
      <c r="N124" s="361"/>
      <c r="O124" s="361"/>
    </row>
    <row r="125" spans="1:15" x14ac:dyDescent="0.25">
      <c r="J125" s="292"/>
      <c r="K125" s="292"/>
      <c r="L125" s="292"/>
      <c r="M125" s="292"/>
      <c r="N125" s="292"/>
      <c r="O125" s="292"/>
    </row>
    <row r="126" spans="1:15" x14ac:dyDescent="0.25">
      <c r="A126" s="349" t="s">
        <v>771</v>
      </c>
      <c r="B126" s="349"/>
      <c r="D126" s="351">
        <f>MIN(D124,D98)</f>
        <v>0</v>
      </c>
      <c r="E126" s="357"/>
      <c r="F126" s="357"/>
      <c r="G126" s="351">
        <f>MIN(G124,G98)</f>
        <v>0</v>
      </c>
      <c r="H126" s="357"/>
      <c r="I126" s="357"/>
      <c r="N126" s="357"/>
      <c r="O126" s="357"/>
    </row>
    <row r="128" spans="1:15" x14ac:dyDescent="0.25">
      <c r="A128" s="437" t="s">
        <v>884</v>
      </c>
      <c r="B128" s="437"/>
    </row>
    <row r="129" spans="1:2" x14ac:dyDescent="0.25">
      <c r="A129" s="437"/>
      <c r="B129" s="437"/>
    </row>
    <row r="130" spans="1:2" x14ac:dyDescent="0.25">
      <c r="A130" s="437"/>
      <c r="B130" s="437"/>
    </row>
    <row r="131" spans="1:2" x14ac:dyDescent="0.25">
      <c r="A131" s="437"/>
      <c r="B131" s="437"/>
    </row>
  </sheetData>
  <sheetProtection algorithmName="SHA-512" hashValue="xr5dWiwzQiAhj4EKj8UCelAyYl+j6RR/N/7qbAvd8f9+2GSlWwWq87hs29SM1dmdJqpmFC916lEdRWuCfOHokQ==" saltValue="kMUwDnPjOs79ahy7fOWXTA==" spinCount="100000" sheet="1" objects="1" scenarios="1"/>
  <mergeCells count="76">
    <mergeCell ref="A50:B53"/>
    <mergeCell ref="A89:B92"/>
    <mergeCell ref="A128:B131"/>
    <mergeCell ref="J89:L89"/>
    <mergeCell ref="M89:O89"/>
    <mergeCell ref="M90:O90"/>
    <mergeCell ref="D62:F62"/>
    <mergeCell ref="G62:I62"/>
    <mergeCell ref="J62:L62"/>
    <mergeCell ref="M62:O62"/>
    <mergeCell ref="B55:B58"/>
    <mergeCell ref="D61:F61"/>
    <mergeCell ref="G61:I61"/>
    <mergeCell ref="J61:L61"/>
    <mergeCell ref="M61:O61"/>
    <mergeCell ref="D101:F101"/>
    <mergeCell ref="B16:B19"/>
    <mergeCell ref="D22:F22"/>
    <mergeCell ref="G22:I22"/>
    <mergeCell ref="J22:L22"/>
    <mergeCell ref="M22:O22"/>
    <mergeCell ref="M23:O23"/>
    <mergeCell ref="G54:I54"/>
    <mergeCell ref="J54:L54"/>
    <mergeCell ref="M54:O54"/>
    <mergeCell ref="J52:L52"/>
    <mergeCell ref="M52:O52"/>
    <mergeCell ref="G101:I101"/>
    <mergeCell ref="J101:L101"/>
    <mergeCell ref="M101:O101"/>
    <mergeCell ref="D92:F92"/>
    <mergeCell ref="G92:I92"/>
    <mergeCell ref="J92:L92"/>
    <mergeCell ref="M92:O92"/>
    <mergeCell ref="D93:F93"/>
    <mergeCell ref="G93:I93"/>
    <mergeCell ref="J93:L93"/>
    <mergeCell ref="M93:O93"/>
    <mergeCell ref="B94:B97"/>
    <mergeCell ref="D100:F100"/>
    <mergeCell ref="G100:I100"/>
    <mergeCell ref="J100:L100"/>
    <mergeCell ref="M100:O100"/>
    <mergeCell ref="M13:O13"/>
    <mergeCell ref="D50:F50"/>
    <mergeCell ref="G50:I50"/>
    <mergeCell ref="J50:L50"/>
    <mergeCell ref="M50:O50"/>
    <mergeCell ref="D14:F14"/>
    <mergeCell ref="G14:I14"/>
    <mergeCell ref="J14:L14"/>
    <mergeCell ref="M14:O14"/>
    <mergeCell ref="D15:F15"/>
    <mergeCell ref="G15:I15"/>
    <mergeCell ref="J15:L15"/>
    <mergeCell ref="M15:O15"/>
    <mergeCell ref="D23:F23"/>
    <mergeCell ref="G23:I23"/>
    <mergeCell ref="J23:L23"/>
    <mergeCell ref="D52:F52"/>
    <mergeCell ref="G52:I52"/>
    <mergeCell ref="D13:F13"/>
    <mergeCell ref="G13:I13"/>
    <mergeCell ref="J13:L13"/>
    <mergeCell ref="J91:L91"/>
    <mergeCell ref="M91:O91"/>
    <mergeCell ref="J90:L90"/>
    <mergeCell ref="D53:F53"/>
    <mergeCell ref="G53:I53"/>
    <mergeCell ref="J53:L53"/>
    <mergeCell ref="M53:O53"/>
    <mergeCell ref="D54:F54"/>
    <mergeCell ref="D89:F89"/>
    <mergeCell ref="G89:I89"/>
    <mergeCell ref="G91:I91"/>
    <mergeCell ref="D91:F91"/>
  </mergeCells>
  <dataValidations count="1">
    <dataValidation type="list" allowBlank="1" showInputMessage="1" showErrorMessage="1" sqref="B103:B122 B64:B83 B25:B44" xr:uid="{00000000-0002-0000-0B00-000000000000}">
      <formula1>"Approved ACM, New ICM"</formula1>
    </dataValidation>
  </dataValidations>
  <pageMargins left="0.70866141732283472" right="0.70866141732283472" top="0.74803149606299213" bottom="0.74803149606299213" header="0.31496062992125984" footer="0.31496062992125984"/>
  <pageSetup scale="39"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24" id="{D43789FA-D99F-41F8-A06F-7459E53E1A8F}">
            <xm:f>'1. Information Sheet'!$F$28&lt;2</xm:f>
            <x14:dxf>
              <font>
                <color theme="0"/>
              </font>
              <fill>
                <patternFill patternType="none">
                  <bgColor auto="1"/>
                </patternFill>
              </fill>
              <border>
                <left/>
                <right/>
                <top/>
                <bottom/>
                <vertical/>
                <horizontal/>
              </border>
            </x14:dxf>
          </x14:cfRule>
          <xm:sqref>G13:I48</xm:sqref>
        </x14:conditionalFormatting>
        <x14:conditionalFormatting xmlns:xm="http://schemas.microsoft.com/office/excel/2006/main">
          <x14:cfRule type="expression" priority="23" id="{4CF67041-1D19-4EA8-9E28-E40302CA7752}">
            <xm:f>AND('1. Information Sheet'!$F$28&gt;0, '1. Information Sheet'!$F$28&lt;2)</xm:f>
            <x14:dxf>
              <font>
                <color theme="0"/>
              </font>
              <border>
                <left style="thin">
                  <color auto="1"/>
                </left>
                <right/>
                <top/>
                <bottom/>
                <vertical/>
                <horizontal/>
              </border>
            </x14:dxf>
          </x14:cfRule>
          <xm:sqref>G25:G44 G46</xm:sqref>
        </x14:conditionalFormatting>
        <x14:conditionalFormatting xmlns:xm="http://schemas.microsoft.com/office/excel/2006/main">
          <x14:cfRule type="expression" priority="22" id="{A5DB0674-4FA7-421F-816F-3127108A740B}">
            <xm:f>'1. Information Sheet'!$F$28&lt;3</xm:f>
            <x14:dxf>
              <font>
                <color theme="0"/>
              </font>
              <fill>
                <patternFill patternType="none">
                  <bgColor auto="1"/>
                </patternFill>
              </fill>
              <border>
                <left/>
                <right/>
                <top/>
                <bottom/>
                <vertical/>
                <horizontal/>
              </border>
            </x14:dxf>
          </x14:cfRule>
          <xm:sqref>J13:L48</xm:sqref>
        </x14:conditionalFormatting>
        <x14:conditionalFormatting xmlns:xm="http://schemas.microsoft.com/office/excel/2006/main">
          <x14:cfRule type="expression" priority="21" id="{E2C2F390-DF54-4956-9A16-FE6465C4A4A4}">
            <xm:f>AND('1. Information Sheet'!$F$28&gt;1,'1. Information Sheet'!$F$28&lt;3)</xm:f>
            <x14:dxf>
              <font>
                <color theme="0"/>
              </font>
              <border>
                <left style="thin">
                  <color auto="1"/>
                </left>
              </border>
            </x14:dxf>
          </x14:cfRule>
          <xm:sqref>J25:J44 J46</xm:sqref>
        </x14:conditionalFormatting>
        <x14:conditionalFormatting xmlns:xm="http://schemas.microsoft.com/office/excel/2006/main">
          <x14:cfRule type="expression" priority="19" id="{4D761BFB-53F1-4000-9A82-C9743C17B569}">
            <xm:f>AND('1. Information Sheet'!$F$28&gt;2, '1. Information Sheet'!$F$28&lt;4)</xm:f>
            <x14:dxf>
              <font>
                <color theme="0"/>
              </font>
              <border>
                <left style="thin">
                  <color auto="1"/>
                </left>
                <right/>
                <top/>
                <bottom/>
                <vertical/>
                <horizontal/>
              </border>
            </x14:dxf>
          </x14:cfRule>
          <xm:sqref>M25:M44 M46</xm:sqref>
        </x14:conditionalFormatting>
        <x14:conditionalFormatting xmlns:xm="http://schemas.microsoft.com/office/excel/2006/main">
          <x14:cfRule type="expression" priority="20" id="{A348BDBE-1E9F-4FAF-9697-B067F56F68CA}">
            <xm:f>'1. Information Sheet'!$F$28&lt;4</xm:f>
            <x14:dxf>
              <font>
                <color theme="0"/>
              </font>
              <fill>
                <patternFill patternType="none">
                  <bgColor auto="1"/>
                </patternFill>
              </fill>
              <border>
                <left/>
                <right/>
                <top/>
                <bottom/>
                <vertical/>
                <horizontal/>
              </border>
            </x14:dxf>
          </x14:cfRule>
          <xm:sqref>M13:O48</xm:sqref>
        </x14:conditionalFormatting>
        <x14:conditionalFormatting xmlns:xm="http://schemas.microsoft.com/office/excel/2006/main">
          <x14:cfRule type="expression" priority="25" id="{A9EC1FF4-F2CB-4EA4-ACC0-8BD1F3764905}">
            <xm:f>'1. Information Sheet'!$F$28&lt;5</xm:f>
            <x14:dxf>
              <font>
                <color theme="0"/>
              </font>
              <fill>
                <patternFill patternType="none">
                  <bgColor auto="1"/>
                </patternFill>
              </fill>
              <border>
                <left/>
                <right/>
                <top/>
                <bottom/>
                <vertical/>
                <horizontal/>
              </border>
            </x14:dxf>
          </x14:cfRule>
          <xm:sqref>A50 A54:F87 C50:F53</xm:sqref>
        </x14:conditionalFormatting>
        <x14:conditionalFormatting xmlns:xm="http://schemas.microsoft.com/office/excel/2006/main">
          <x14:cfRule type="expression" priority="16" id="{261D04F4-3F80-4811-A383-BEAC401748C9}">
            <xm:f>AND('1. Information Sheet'!$F$28&gt;4, '1. Information Sheet'!$F$28&lt;6)</xm:f>
            <x14:dxf>
              <font>
                <color theme="0"/>
              </font>
              <fill>
                <patternFill patternType="none">
                  <bgColor auto="1"/>
                </patternFill>
              </fill>
              <border>
                <left style="thin">
                  <color auto="1"/>
                </left>
                <right/>
                <top/>
                <bottom/>
                <vertical/>
                <horizontal/>
              </border>
            </x14:dxf>
          </x14:cfRule>
          <xm:sqref>G64:G83 G85 G50</xm:sqref>
        </x14:conditionalFormatting>
        <x14:conditionalFormatting xmlns:xm="http://schemas.microsoft.com/office/excel/2006/main">
          <x14:cfRule type="expression" priority="17" id="{0EAE023B-B033-4DE4-A037-38E476722950}">
            <xm:f>'1. Information Sheet'!$F$28&lt;6</xm:f>
            <x14:dxf>
              <font>
                <color theme="0"/>
              </font>
              <fill>
                <patternFill patternType="none">
                  <bgColor auto="1"/>
                </patternFill>
              </fill>
              <border>
                <left/>
                <right/>
                <top/>
                <bottom/>
                <vertical/>
                <horizontal/>
              </border>
            </x14:dxf>
          </x14:cfRule>
          <xm:sqref>G50:I87</xm:sqref>
        </x14:conditionalFormatting>
        <x14:conditionalFormatting xmlns:xm="http://schemas.microsoft.com/office/excel/2006/main">
          <x14:cfRule type="expression" priority="14" id="{5FE3BC10-6BD5-47F5-9374-BDD6A6915E56}">
            <xm:f>AND('1. Information Sheet'!$F$28&gt;5, '1. Information Sheet'!$F$28&lt;7)</xm:f>
            <x14:dxf>
              <font>
                <color theme="0"/>
              </font>
              <fill>
                <patternFill patternType="none">
                  <bgColor auto="1"/>
                </patternFill>
              </fill>
              <border>
                <left style="thin">
                  <color auto="1"/>
                </left>
                <right/>
                <top/>
                <bottom/>
                <vertical/>
                <horizontal/>
              </border>
            </x14:dxf>
          </x14:cfRule>
          <xm:sqref>J64:J83 J85 J50</xm:sqref>
        </x14:conditionalFormatting>
        <x14:conditionalFormatting xmlns:xm="http://schemas.microsoft.com/office/excel/2006/main">
          <x14:cfRule type="expression" priority="15" id="{BE4A1225-BE0B-4058-8FD7-BF3A71481BB9}">
            <xm:f>'1. Information Sheet'!$F$28&lt;7</xm:f>
            <x14:dxf>
              <font>
                <color theme="0"/>
              </font>
              <fill>
                <patternFill patternType="none">
                  <bgColor auto="1"/>
                </patternFill>
              </fill>
              <border>
                <left/>
                <right/>
                <top/>
                <bottom/>
                <vertical/>
                <horizontal/>
              </border>
            </x14:dxf>
          </x14:cfRule>
          <xm:sqref>J50:L87</xm:sqref>
        </x14:conditionalFormatting>
        <x14:conditionalFormatting xmlns:xm="http://schemas.microsoft.com/office/excel/2006/main">
          <x14:cfRule type="expression" priority="12" id="{652BF4BB-815D-4046-AA0D-0B49F9BC9171}">
            <xm:f>AND('1. Information Sheet'!$F$28&gt;6, '1. Information Sheet'!$F$28&lt;8)</xm:f>
            <x14:dxf>
              <font>
                <color theme="0"/>
              </font>
              <fill>
                <patternFill patternType="none">
                  <bgColor auto="1"/>
                </patternFill>
              </fill>
              <border>
                <left style="thin">
                  <color auto="1"/>
                </left>
                <right/>
                <top/>
                <bottom/>
                <vertical/>
                <horizontal/>
              </border>
            </x14:dxf>
          </x14:cfRule>
          <xm:sqref>M64:M83 M85 M50</xm:sqref>
        </x14:conditionalFormatting>
        <x14:conditionalFormatting xmlns:xm="http://schemas.microsoft.com/office/excel/2006/main">
          <x14:cfRule type="expression" priority="13" id="{85A06D91-B8E8-42AF-A9C5-1B41B668CC40}">
            <xm:f>'1. Information Sheet'!$F$28&lt;8</xm:f>
            <x14:dxf>
              <font>
                <color theme="0"/>
              </font>
              <fill>
                <patternFill patternType="none">
                  <bgColor auto="1"/>
                </patternFill>
              </fill>
              <border>
                <left/>
                <right/>
                <top/>
                <bottom/>
                <vertical/>
                <horizontal/>
              </border>
            </x14:dxf>
          </x14:cfRule>
          <xm:sqref>M50:O87</xm:sqref>
        </x14:conditionalFormatting>
        <x14:conditionalFormatting xmlns:xm="http://schemas.microsoft.com/office/excel/2006/main">
          <x14:cfRule type="expression" priority="11" id="{98FE007D-FCEA-4B2E-8E54-CCCD9B561D6A}">
            <xm:f>'1. Information Sheet'!$F$28&lt;9</xm:f>
            <x14:dxf>
              <font>
                <color theme="0"/>
              </font>
              <fill>
                <patternFill patternType="none">
                  <bgColor auto="1"/>
                </patternFill>
              </fill>
              <border>
                <left/>
                <right/>
                <top/>
                <bottom/>
                <vertical/>
                <horizontal/>
              </border>
            </x14:dxf>
          </x14:cfRule>
          <xm:sqref>A93:F126 C89:F92</xm:sqref>
        </x14:conditionalFormatting>
        <x14:conditionalFormatting xmlns:xm="http://schemas.microsoft.com/office/excel/2006/main">
          <x14:cfRule type="expression" priority="8" id="{1C2B7DA7-FB31-4DEB-950C-BD256123060E}">
            <xm:f>AND('1. Information Sheet'!$F$28&gt;8, '1. Information Sheet'!$F$28&lt;10)</xm:f>
            <x14:dxf>
              <font>
                <color theme="0"/>
              </font>
              <fill>
                <patternFill patternType="none">
                  <bgColor auto="1"/>
                </patternFill>
              </fill>
              <border>
                <left style="thin">
                  <color auto="1"/>
                </left>
                <right/>
                <top/>
                <bottom/>
                <vertical/>
                <horizontal/>
              </border>
            </x14:dxf>
          </x14:cfRule>
          <xm:sqref>G103:G122 G89 G124</xm:sqref>
        </x14:conditionalFormatting>
        <x14:conditionalFormatting xmlns:xm="http://schemas.microsoft.com/office/excel/2006/main">
          <x14:cfRule type="expression" priority="10" id="{585F37FC-BAE6-4726-BED7-5DA213673072}">
            <xm:f>'1. Information Sheet'!$F$28&lt;10</xm:f>
            <x14:dxf>
              <font>
                <color theme="0"/>
              </font>
              <fill>
                <patternFill patternType="none">
                  <bgColor auto="1"/>
                </patternFill>
              </fill>
              <border>
                <left/>
                <right/>
                <top/>
                <bottom/>
                <vertical/>
                <horizontal/>
              </border>
            </x14:dxf>
          </x14:cfRule>
          <xm:sqref>G89:I126</xm:sqref>
        </x14:conditionalFormatting>
        <x14:conditionalFormatting xmlns:xm="http://schemas.microsoft.com/office/excel/2006/main">
          <x14:cfRule type="expression" priority="3" id="{D5F941D3-0686-4D74-B572-C18225254D82}">
            <xm:f>'1. Information Sheet'!$F$28&gt;8</xm:f>
            <x14:dxf>
              <font>
                <color theme="0"/>
              </font>
            </x14:dxf>
          </x14:cfRule>
          <x14:cfRule type="expression" priority="4" id="{CA0EEF7B-8D76-430D-A458-B723C8CA0F51}">
            <xm:f>AND('1. Information Sheet'!$F$28&lt;9, '1. Information Sheet'!$F$28&gt;4)</xm:f>
            <x14:dxf>
              <font>
                <color theme="1"/>
              </font>
            </x14:dxf>
          </x14:cfRule>
          <x14:cfRule type="expression" priority="7" id="{2A025B34-62DC-4313-B6BD-0BA0F128A72E}">
            <xm:f>'1. Information Sheet'!$F$28&lt;5</xm:f>
            <x14:dxf>
              <font>
                <color theme="0"/>
              </font>
              <fill>
                <patternFill patternType="none">
                  <bgColor auto="1"/>
                </patternFill>
              </fill>
              <border>
                <left/>
                <right/>
                <top/>
                <bottom/>
                <vertical/>
                <horizontal/>
              </border>
            </x14:dxf>
          </x14:cfRule>
          <xm:sqref>A89</xm:sqref>
        </x14:conditionalFormatting>
        <x14:conditionalFormatting xmlns:xm="http://schemas.microsoft.com/office/excel/2006/main">
          <x14:cfRule type="expression" priority="1" id="{E06A501B-3E9D-4003-B34F-EE5ACCA47D2A}">
            <xm:f>'1. Information Sheet'!$F$28&lt;9</xm:f>
            <x14:dxf>
              <font>
                <color theme="0"/>
              </font>
            </x14:dxf>
          </x14:cfRule>
          <x14:cfRule type="expression" priority="2" id="{09E9FE2D-3612-4C40-BCAF-9769E5CB7457}">
            <xm:f>'1. Information Sheet'!$F$28&gt;8</xm:f>
            <x14:dxf>
              <font>
                <color theme="1"/>
              </font>
            </x14:dxf>
          </x14:cfRule>
          <x14:cfRule type="expression" priority="6" id="{78F076D4-D4B6-43F2-8DA6-12AA8BFBD170}">
            <xm:f>'1. Information Sheet'!$F$28&lt;5</xm:f>
            <x14:dxf>
              <font>
                <color theme="0"/>
              </font>
              <fill>
                <patternFill patternType="none">
                  <bgColor auto="1"/>
                </patternFill>
              </fill>
              <border>
                <left/>
                <right/>
                <top/>
                <bottom/>
                <vertical/>
                <horizontal/>
              </border>
            </x14:dxf>
          </x14:cfRule>
          <xm:sqref>A128</xm:sqref>
        </x14:conditionalFormatting>
        <x14:conditionalFormatting xmlns:xm="http://schemas.microsoft.com/office/excel/2006/main">
          <x14:cfRule type="expression" priority="5" id="{5B8D277D-B633-4B67-BD49-10C4B74B5D24}">
            <xm:f>'1. Information Sheet'!$F$28&gt;4</xm:f>
            <x14:dxf>
              <font>
                <color theme="0"/>
              </font>
            </x14:dxf>
          </x14:cfRule>
          <x14:cfRule type="expression" priority="18" id="{42C1639C-07A6-497D-B13D-6043DF2F00A0}">
            <xm:f>'1. Information Sheet'!$F$28&lt;5</xm:f>
            <x14:dxf>
              <font>
                <color auto="1"/>
              </font>
            </x14:dxf>
          </x14:cfRule>
          <xm:sqref>A50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B6:J96"/>
  <sheetViews>
    <sheetView showGridLines="0" zoomScaleNormal="100" workbookViewId="0"/>
  </sheetViews>
  <sheetFormatPr defaultRowHeight="15" x14ac:dyDescent="0.25"/>
  <cols>
    <col min="2" max="2" width="60.5703125" customWidth="1"/>
    <col min="3" max="3" width="16.7109375" style="102" customWidth="1"/>
    <col min="4" max="4" width="4.5703125" bestFit="1" customWidth="1"/>
    <col min="5" max="5" width="29.85546875" customWidth="1"/>
    <col min="6" max="6" width="27.85546875" customWidth="1"/>
  </cols>
  <sheetData>
    <row r="6" spans="2:6" ht="26.25" x14ac:dyDescent="0.4">
      <c r="B6" s="210"/>
      <c r="C6" s="12"/>
      <c r="D6" s="1"/>
      <c r="E6" s="1"/>
      <c r="F6" s="1"/>
    </row>
    <row r="7" spans="2:6" x14ac:dyDescent="0.25">
      <c r="B7" s="1"/>
      <c r="C7" s="12"/>
      <c r="D7" s="1"/>
      <c r="E7" s="1"/>
      <c r="F7" s="1"/>
    </row>
    <row r="8" spans="2:6" x14ac:dyDescent="0.25">
      <c r="B8" s="1"/>
      <c r="C8" s="12"/>
      <c r="D8" s="1"/>
      <c r="E8" s="1"/>
      <c r="F8" s="1"/>
    </row>
    <row r="9" spans="2:6" x14ac:dyDescent="0.25">
      <c r="B9" s="1"/>
      <c r="C9" s="12"/>
      <c r="D9" s="1"/>
      <c r="E9" s="1"/>
      <c r="F9" s="1"/>
    </row>
    <row r="10" spans="2:6" x14ac:dyDescent="0.25">
      <c r="B10" s="1"/>
      <c r="C10" s="12"/>
      <c r="D10" s="1"/>
      <c r="E10" s="1"/>
      <c r="F10" s="1"/>
    </row>
    <row r="11" spans="2:6" x14ac:dyDescent="0.25">
      <c r="B11" s="1"/>
      <c r="C11" s="12"/>
      <c r="D11" s="1"/>
      <c r="E11" s="1"/>
      <c r="F11" s="1"/>
    </row>
    <row r="12" spans="2:6" ht="18.75" x14ac:dyDescent="0.3">
      <c r="B12" s="211" t="s">
        <v>775</v>
      </c>
      <c r="C12" s="212" t="s">
        <v>776</v>
      </c>
      <c r="D12" s="213"/>
      <c r="E12" s="214">
        <f>'1. Information Sheet'!M26</f>
        <v>2020</v>
      </c>
      <c r="F12" s="215"/>
    </row>
    <row r="13" spans="2:6" x14ac:dyDescent="0.25">
      <c r="B13" s="216"/>
      <c r="C13" s="216"/>
      <c r="D13" s="216"/>
      <c r="E13" s="216"/>
    </row>
    <row r="14" spans="2:6" x14ac:dyDescent="0.25">
      <c r="C14"/>
    </row>
    <row r="15" spans="2:6" ht="15.75" thickBot="1" x14ac:dyDescent="0.3">
      <c r="B15" s="1"/>
      <c r="C15" s="12"/>
      <c r="D15" s="1"/>
      <c r="E15" s="1"/>
      <c r="F15" s="1"/>
    </row>
    <row r="16" spans="2:6" ht="18.75" thickBot="1" x14ac:dyDescent="0.3">
      <c r="B16" s="217" t="s">
        <v>777</v>
      </c>
      <c r="C16" s="12"/>
      <c r="D16" s="1"/>
      <c r="E16" s="215"/>
      <c r="F16" s="1"/>
    </row>
    <row r="17" spans="2:10" ht="15.75" x14ac:dyDescent="0.25">
      <c r="B17" s="218"/>
      <c r="C17" s="219"/>
      <c r="D17" s="220"/>
      <c r="E17" s="221"/>
      <c r="F17" s="222"/>
    </row>
    <row r="18" spans="2:10" ht="16.5" thickBot="1" x14ac:dyDescent="0.3">
      <c r="B18" s="223" t="s">
        <v>778</v>
      </c>
      <c r="C18" s="224"/>
      <c r="D18" s="225"/>
      <c r="E18" s="226">
        <f>'5. Rev_Requ_Check'!E62</f>
        <v>117989981.74618895</v>
      </c>
      <c r="F18" s="222" t="s">
        <v>620</v>
      </c>
    </row>
    <row r="19" spans="2:10" ht="16.5" thickBot="1" x14ac:dyDescent="0.3">
      <c r="B19" s="227"/>
      <c r="C19" s="228"/>
      <c r="D19" s="229"/>
      <c r="E19" s="230"/>
      <c r="F19" s="222"/>
    </row>
    <row r="20" spans="2:10" ht="16.5" thickBot="1" x14ac:dyDescent="0.3">
      <c r="B20" s="231"/>
      <c r="C20" s="224"/>
      <c r="D20" s="225"/>
      <c r="E20" s="232"/>
      <c r="F20" s="222"/>
    </row>
    <row r="21" spans="2:10" ht="18.75" thickBot="1" x14ac:dyDescent="0.3">
      <c r="B21" s="233" t="s">
        <v>779</v>
      </c>
      <c r="C21" s="234"/>
      <c r="D21" s="225"/>
      <c r="E21" s="232"/>
      <c r="F21" s="222"/>
    </row>
    <row r="22" spans="2:10" ht="15.75" x14ac:dyDescent="0.25">
      <c r="B22" s="218"/>
      <c r="C22" s="235" t="s">
        <v>780</v>
      </c>
      <c r="D22" s="236"/>
      <c r="E22" s="237" t="s">
        <v>781</v>
      </c>
      <c r="F22" s="222"/>
    </row>
    <row r="23" spans="2:10" ht="14.45" customHeight="1" x14ac:dyDescent="0.25">
      <c r="B23" s="238"/>
      <c r="C23" s="239"/>
      <c r="D23" s="240"/>
      <c r="E23" s="241" t="str">
        <f>"("&amp;IF(('1. Information Sheet'!M28-'1. Information Sheet'!M26)=1,"Half Year*","Full Year")&amp;" Prorated Amount)"</f>
        <v>(Full Year Prorated Amount)</v>
      </c>
      <c r="F23" s="508" t="str">
        <f>IF(('1. Information Sheet'!M28-'1. Information Sheet'!M26)=1,"*The half year rule is applied as the distributor is scheduled to rebase in the next rate year.","")</f>
        <v/>
      </c>
      <c r="G23" s="509"/>
      <c r="H23" s="509"/>
      <c r="I23" s="280"/>
    </row>
    <row r="24" spans="2:10" ht="15.6" customHeight="1" x14ac:dyDescent="0.25">
      <c r="B24" s="238"/>
      <c r="C24" s="505" t="s">
        <v>782</v>
      </c>
      <c r="D24" s="505"/>
      <c r="E24" s="506"/>
      <c r="F24" s="508"/>
      <c r="G24" s="509"/>
      <c r="H24" s="509"/>
    </row>
    <row r="25" spans="2:10" ht="15.75" x14ac:dyDescent="0.25">
      <c r="B25" s="223" t="s">
        <v>783</v>
      </c>
      <c r="C25" s="232">
        <f ca="1">INDIRECT("'9b. Proposed ACM ICM Projects'!"&amp;CHAR(68+MOD('1. Information Sheet'!$F$28-1,4)*3)&amp;(39*INT(('1. Information Sheet'!$F$28-1)/4))+46)</f>
        <v>0</v>
      </c>
      <c r="D25" s="225"/>
      <c r="E25" s="232">
        <f ca="1">IF(('1. Information Sheet'!M28-'1. Information Sheet'!M26)=1,INDIRECT("'9b. Proposed ACM ICM Projects'!"&amp;CHAR(68+MOD('1. Information Sheet'!$F$28-1,4)*3)&amp;(39*INT(('1. Information Sheet'!$F$28-1)/4))+48)/2,INDIRECT("'9b. Proposed ACM ICM Projects'!"&amp;CHAR(68+MOD('1. Information Sheet'!$F$28-1,4)*3)&amp;(39*INT(('1. Information Sheet'!$F$28-1)/4))+48))</f>
        <v>0</v>
      </c>
      <c r="F25" s="362" t="s">
        <v>622</v>
      </c>
      <c r="J25" s="232"/>
    </row>
    <row r="26" spans="2:10" ht="15.75" x14ac:dyDescent="0.25">
      <c r="B26" s="243" t="s">
        <v>738</v>
      </c>
      <c r="C26" s="232">
        <f ca="1">INDIRECT("'9b. Proposed ACM ICM Projects'!"&amp;CHAR(69+MOD('1. Information Sheet'!$F$28-1,4)*3)&amp;(39*INT(('1. Information Sheet'!$F$28-1)/4))+46)</f>
        <v>0</v>
      </c>
      <c r="D26" s="225"/>
      <c r="E26" s="242" t="e">
        <f ca="1">C26*(E25/C25)</f>
        <v>#DIV/0!</v>
      </c>
      <c r="F26" s="222" t="s">
        <v>624</v>
      </c>
    </row>
    <row r="27" spans="2:10" ht="16.5" thickBot="1" x14ac:dyDescent="0.3">
      <c r="B27" s="244" t="s">
        <v>774</v>
      </c>
      <c r="C27" s="245">
        <f ca="1">INDIRECT("'9b. Proposed ACM ICM Projects'!"&amp;CHAR(70+MOD('1. Information Sheet'!$F$28-1,4)*3)&amp;(39*INT(('1. Information Sheet'!$F$28-1)/4))+46)</f>
        <v>0</v>
      </c>
      <c r="D27" s="229"/>
      <c r="E27" s="230" t="e">
        <f ca="1">C27*(E25/C25)</f>
        <v>#DIV/0!</v>
      </c>
      <c r="F27" s="222" t="s">
        <v>662</v>
      </c>
    </row>
    <row r="28" spans="2:10" ht="15.75" x14ac:dyDescent="0.25">
      <c r="B28" s="231"/>
      <c r="C28" s="224"/>
      <c r="D28" s="225"/>
      <c r="E28" s="232"/>
      <c r="F28" s="222"/>
    </row>
    <row r="29" spans="2:10" ht="18.75" customHeight="1" x14ac:dyDescent="0.3">
      <c r="B29" s="507" t="s">
        <v>784</v>
      </c>
      <c r="C29" s="507"/>
      <c r="D29" s="507"/>
      <c r="E29" s="507"/>
      <c r="F29" s="507"/>
    </row>
    <row r="30" spans="2:10" ht="16.5" thickBot="1" x14ac:dyDescent="0.3">
      <c r="B30" s="1"/>
      <c r="C30" s="246"/>
      <c r="D30" s="247"/>
      <c r="E30" s="171"/>
      <c r="F30" s="222"/>
    </row>
    <row r="31" spans="2:10" ht="18.75" thickBot="1" x14ac:dyDescent="0.3">
      <c r="B31" s="248" t="s">
        <v>654</v>
      </c>
      <c r="C31" s="246"/>
      <c r="D31" s="247"/>
      <c r="E31" s="171"/>
      <c r="F31" s="222"/>
    </row>
    <row r="32" spans="2:10" ht="15.75" x14ac:dyDescent="0.25">
      <c r="B32" s="223" t="s">
        <v>785</v>
      </c>
      <c r="C32" s="249"/>
      <c r="D32" s="250"/>
      <c r="E32" s="251">
        <f ca="1">E25</f>
        <v>0</v>
      </c>
      <c r="F32" s="222" t="s">
        <v>622</v>
      </c>
    </row>
    <row r="33" spans="2:6" ht="15.75" x14ac:dyDescent="0.25">
      <c r="B33" s="223" t="s">
        <v>786</v>
      </c>
      <c r="C33" s="246"/>
      <c r="D33" s="252"/>
      <c r="E33" s="242" t="e">
        <f ca="1">E26</f>
        <v>#DIV/0!</v>
      </c>
      <c r="F33" s="222" t="s">
        <v>624</v>
      </c>
    </row>
    <row r="34" spans="2:6" ht="16.5" thickBot="1" x14ac:dyDescent="0.3">
      <c r="B34" s="223" t="s">
        <v>787</v>
      </c>
      <c r="C34" s="224"/>
      <c r="D34" s="252"/>
      <c r="E34" s="253" t="e">
        <f ca="1">E32-E33/2</f>
        <v>#DIV/0!</v>
      </c>
      <c r="F34" s="222" t="s">
        <v>788</v>
      </c>
    </row>
    <row r="35" spans="2:6" ht="25.5" x14ac:dyDescent="0.25">
      <c r="B35" s="223"/>
      <c r="C35" s="254" t="s">
        <v>789</v>
      </c>
      <c r="D35" s="252"/>
      <c r="E35" s="242"/>
      <c r="F35" s="222"/>
    </row>
    <row r="36" spans="2:6" ht="15.75" x14ac:dyDescent="0.25">
      <c r="B36" s="223" t="s">
        <v>790</v>
      </c>
      <c r="C36" s="255">
        <f>'5. Rev_Requ_Check'!C36</f>
        <v>0.04</v>
      </c>
      <c r="D36" s="252" t="s">
        <v>612</v>
      </c>
      <c r="E36" s="242" t="e">
        <f ca="1">E34*C36</f>
        <v>#DIV/0!</v>
      </c>
      <c r="F36" s="222" t="s">
        <v>791</v>
      </c>
    </row>
    <row r="37" spans="2:6" ht="15.75" x14ac:dyDescent="0.25">
      <c r="B37" s="223" t="s">
        <v>792</v>
      </c>
      <c r="C37" s="255">
        <f>'5. Rev_Requ_Check'!C37</f>
        <v>0.56000000000000005</v>
      </c>
      <c r="D37" s="252" t="s">
        <v>613</v>
      </c>
      <c r="E37" s="242" t="e">
        <f ca="1">E34*C37</f>
        <v>#DIV/0!</v>
      </c>
      <c r="F37" s="222" t="s">
        <v>793</v>
      </c>
    </row>
    <row r="38" spans="2:6" ht="15.75" x14ac:dyDescent="0.25">
      <c r="B38" s="223"/>
      <c r="C38" s="256" t="s">
        <v>794</v>
      </c>
      <c r="D38" s="252"/>
      <c r="E38" s="242"/>
      <c r="F38" s="222"/>
    </row>
    <row r="39" spans="2:6" ht="15.75" x14ac:dyDescent="0.25">
      <c r="B39" s="223" t="s">
        <v>795</v>
      </c>
      <c r="C39" s="257">
        <f>'5. Rev_Requ_Check'!C40</f>
        <v>2.0799999999999999E-2</v>
      </c>
      <c r="D39" s="252" t="s">
        <v>633</v>
      </c>
      <c r="E39" s="242" t="e">
        <f ca="1">E36*C39</f>
        <v>#DIV/0!</v>
      </c>
      <c r="F39" s="222" t="s">
        <v>796</v>
      </c>
    </row>
    <row r="40" spans="2:6" ht="15.75" x14ac:dyDescent="0.25">
      <c r="B40" s="223" t="s">
        <v>797</v>
      </c>
      <c r="C40" s="257">
        <f>'5. Rev_Requ_Check'!C41</f>
        <v>5.0900000000000001E-2</v>
      </c>
      <c r="D40" s="252" t="s">
        <v>635</v>
      </c>
      <c r="E40" s="242" t="e">
        <f ca="1">E37*C40</f>
        <v>#DIV/0!</v>
      </c>
      <c r="F40" s="222" t="s">
        <v>798</v>
      </c>
    </row>
    <row r="41" spans="2:6" ht="15.75" x14ac:dyDescent="0.25">
      <c r="B41" s="223"/>
      <c r="C41" s="224"/>
      <c r="D41" s="252"/>
      <c r="E41" s="242"/>
      <c r="F41" s="222"/>
    </row>
    <row r="42" spans="2:6" ht="16.5" thickBot="1" x14ac:dyDescent="0.3">
      <c r="B42" s="223" t="s">
        <v>799</v>
      </c>
      <c r="C42" s="224"/>
      <c r="D42" s="252"/>
      <c r="E42" s="226" t="e">
        <f ca="1">SUM(E39:E40)</f>
        <v>#DIV/0!</v>
      </c>
      <c r="F42" s="222" t="s">
        <v>800</v>
      </c>
    </row>
    <row r="43" spans="2:6" ht="15.75" x14ac:dyDescent="0.25">
      <c r="B43" s="223"/>
      <c r="C43" s="224"/>
      <c r="D43" s="252"/>
      <c r="E43" s="242"/>
      <c r="F43" s="222"/>
    </row>
    <row r="44" spans="2:6" ht="25.5" x14ac:dyDescent="0.25">
      <c r="B44" s="223"/>
      <c r="C44" s="258" t="str">
        <f>C35</f>
        <v>% of capital structure</v>
      </c>
      <c r="D44" s="252"/>
      <c r="E44" s="242"/>
      <c r="F44" s="222"/>
    </row>
    <row r="45" spans="2:6" ht="15.75" x14ac:dyDescent="0.25">
      <c r="B45" s="223" t="s">
        <v>661</v>
      </c>
      <c r="C45" s="257">
        <f>'5. Rev_Requ_Check'!C38</f>
        <v>0.39999999999999991</v>
      </c>
      <c r="D45" s="252" t="s">
        <v>748</v>
      </c>
      <c r="E45" s="242" t="e">
        <f ca="1">E34*C45</f>
        <v>#DIV/0!</v>
      </c>
      <c r="F45" s="222" t="s">
        <v>801</v>
      </c>
    </row>
    <row r="46" spans="2:6" ht="15.75" x14ac:dyDescent="0.25">
      <c r="B46" s="223"/>
      <c r="C46" s="259" t="str">
        <f>C38</f>
        <v>Rate (%)</v>
      </c>
      <c r="D46" s="252"/>
      <c r="E46" s="242"/>
      <c r="F46" s="222"/>
    </row>
    <row r="47" spans="2:6" ht="15.75" x14ac:dyDescent="0.25">
      <c r="B47" s="223" t="s">
        <v>802</v>
      </c>
      <c r="C47" s="257">
        <f>'5. Rev_Requ_Check'!C42</f>
        <v>8.9300000000000004E-2</v>
      </c>
      <c r="D47" s="252" t="s">
        <v>749</v>
      </c>
      <c r="E47" s="242" t="e">
        <f ca="1">E45*C47</f>
        <v>#DIV/0!</v>
      </c>
      <c r="F47" s="222" t="s">
        <v>803</v>
      </c>
    </row>
    <row r="48" spans="2:6" ht="15.75" x14ac:dyDescent="0.25">
      <c r="B48" s="223"/>
      <c r="C48" s="224"/>
      <c r="D48" s="225"/>
      <c r="E48" s="242"/>
      <c r="F48" s="222"/>
    </row>
    <row r="49" spans="2:6" ht="16.5" thickBot="1" x14ac:dyDescent="0.3">
      <c r="B49" s="223" t="s">
        <v>804</v>
      </c>
      <c r="C49" s="246"/>
      <c r="D49" s="225"/>
      <c r="E49" s="226" t="e">
        <f ca="1">E42+E47</f>
        <v>#DIV/0!</v>
      </c>
      <c r="F49" s="222" t="s">
        <v>805</v>
      </c>
    </row>
    <row r="50" spans="2:6" ht="16.5" thickBot="1" x14ac:dyDescent="0.3">
      <c r="B50" s="260"/>
      <c r="C50" s="228"/>
      <c r="D50" s="229"/>
      <c r="E50" s="230"/>
      <c r="F50" s="222"/>
    </row>
    <row r="51" spans="2:6" ht="15.75" x14ac:dyDescent="0.25">
      <c r="B51" s="1"/>
      <c r="C51" s="246"/>
      <c r="D51" s="247"/>
      <c r="E51" s="171"/>
      <c r="F51" s="222"/>
    </row>
    <row r="52" spans="2:6" ht="16.5" thickBot="1" x14ac:dyDescent="0.3">
      <c r="B52" s="1"/>
      <c r="C52" s="12"/>
      <c r="D52" s="1"/>
      <c r="E52" s="261"/>
      <c r="F52" s="222"/>
    </row>
    <row r="53" spans="2:6" ht="18.75" thickBot="1" x14ac:dyDescent="0.3">
      <c r="B53" s="248" t="s">
        <v>773</v>
      </c>
      <c r="C53" s="219"/>
      <c r="D53" s="220"/>
      <c r="E53" s="221"/>
      <c r="F53" s="222"/>
    </row>
    <row r="54" spans="2:6" ht="18" x14ac:dyDescent="0.25">
      <c r="B54" s="262"/>
      <c r="C54" s="263"/>
      <c r="D54" s="231"/>
      <c r="E54" s="264"/>
      <c r="F54" s="222"/>
    </row>
    <row r="55" spans="2:6" ht="15.75" x14ac:dyDescent="0.25">
      <c r="B55" s="223" t="s">
        <v>806</v>
      </c>
      <c r="C55" s="263"/>
      <c r="D55" s="222" t="s">
        <v>624</v>
      </c>
      <c r="E55" s="242" t="e">
        <f ca="1">E33</f>
        <v>#DIV/0!</v>
      </c>
      <c r="F55" s="222" t="s">
        <v>807</v>
      </c>
    </row>
    <row r="56" spans="2:6" ht="16.5" thickBot="1" x14ac:dyDescent="0.3">
      <c r="B56" s="227"/>
      <c r="C56" s="265"/>
      <c r="D56" s="266"/>
      <c r="E56" s="230"/>
      <c r="F56" s="222"/>
    </row>
    <row r="57" spans="2:6" ht="16.5" thickBot="1" x14ac:dyDescent="0.3">
      <c r="B57" s="1"/>
      <c r="C57" s="12"/>
      <c r="D57" s="1"/>
      <c r="E57" s="171"/>
      <c r="F57" s="222"/>
    </row>
    <row r="58" spans="2:6" ht="18.75" thickBot="1" x14ac:dyDescent="0.3">
      <c r="B58" s="217" t="s">
        <v>808</v>
      </c>
      <c r="C58" s="219"/>
      <c r="D58" s="220"/>
      <c r="E58" s="251"/>
      <c r="F58" s="222"/>
    </row>
    <row r="59" spans="2:6" ht="18" x14ac:dyDescent="0.25">
      <c r="B59" s="267"/>
      <c r="C59" s="263"/>
      <c r="D59" s="231"/>
      <c r="E59" s="242"/>
      <c r="F59" s="222"/>
    </row>
    <row r="60" spans="2:6" ht="15.75" x14ac:dyDescent="0.25">
      <c r="B60" s="223" t="s">
        <v>809</v>
      </c>
      <c r="C60" s="263"/>
      <c r="D60" s="222" t="s">
        <v>749</v>
      </c>
      <c r="E60" s="242" t="e">
        <f ca="1">E47</f>
        <v>#DIV/0!</v>
      </c>
      <c r="F60" s="222" t="s">
        <v>810</v>
      </c>
    </row>
    <row r="61" spans="2:6" ht="15.75" x14ac:dyDescent="0.25">
      <c r="B61" s="223"/>
      <c r="C61" s="263"/>
      <c r="D61" s="231"/>
      <c r="E61" s="242"/>
      <c r="F61" s="222"/>
    </row>
    <row r="62" spans="2:6" ht="15.75" x14ac:dyDescent="0.25">
      <c r="B62" s="223" t="s">
        <v>811</v>
      </c>
      <c r="C62" s="263"/>
      <c r="D62" s="222" t="s">
        <v>807</v>
      </c>
      <c r="E62" s="242" t="e">
        <f ca="1">E55</f>
        <v>#DIV/0!</v>
      </c>
      <c r="F62" s="222" t="s">
        <v>659</v>
      </c>
    </row>
    <row r="63" spans="2:6" ht="15.75" x14ac:dyDescent="0.25">
      <c r="B63" s="223"/>
      <c r="C63" s="263"/>
      <c r="D63" s="231"/>
      <c r="E63" s="242"/>
      <c r="F63" s="222"/>
    </row>
    <row r="64" spans="2:6" ht="15.75" x14ac:dyDescent="0.25">
      <c r="B64" s="223" t="s">
        <v>812</v>
      </c>
      <c r="C64" s="263"/>
      <c r="D64" s="268"/>
      <c r="E64" s="242" t="e">
        <f ca="1">E27</f>
        <v>#DIV/0!</v>
      </c>
      <c r="F64" s="222" t="s">
        <v>662</v>
      </c>
    </row>
    <row r="65" spans="2:6" ht="15.75" x14ac:dyDescent="0.25">
      <c r="B65" s="223"/>
      <c r="C65" s="263"/>
      <c r="D65" s="268"/>
      <c r="E65" s="242"/>
      <c r="F65" s="222"/>
    </row>
    <row r="66" spans="2:6" ht="16.5" thickBot="1" x14ac:dyDescent="0.3">
      <c r="B66" s="223" t="s">
        <v>813</v>
      </c>
      <c r="C66" s="263"/>
      <c r="D66" s="268"/>
      <c r="E66" s="226" t="e">
        <f ca="1">E60+E62-E64</f>
        <v>#DIV/0!</v>
      </c>
      <c r="F66" s="222" t="s">
        <v>814</v>
      </c>
    </row>
    <row r="67" spans="2:6" ht="15.75" x14ac:dyDescent="0.25">
      <c r="B67" s="223"/>
      <c r="C67" s="263"/>
      <c r="D67" s="268"/>
      <c r="E67" s="264"/>
      <c r="F67" s="222"/>
    </row>
    <row r="68" spans="2:6" ht="15.75" x14ac:dyDescent="0.25">
      <c r="B68" s="223" t="s">
        <v>815</v>
      </c>
      <c r="C68" s="269"/>
      <c r="D68" s="268" t="s">
        <v>816</v>
      </c>
      <c r="E68" s="264"/>
      <c r="F68" s="222"/>
    </row>
    <row r="69" spans="2:6" ht="15.75" x14ac:dyDescent="0.25">
      <c r="B69" s="223"/>
      <c r="C69" s="263"/>
      <c r="D69" s="231"/>
      <c r="E69" s="264"/>
      <c r="F69" s="222"/>
    </row>
    <row r="70" spans="2:6" ht="15.75" x14ac:dyDescent="0.25">
      <c r="B70" s="223" t="s">
        <v>817</v>
      </c>
      <c r="C70" s="263"/>
      <c r="D70" s="231"/>
      <c r="E70" s="242" t="e">
        <f ca="1">E66*C68</f>
        <v>#DIV/0!</v>
      </c>
      <c r="F70" s="222" t="s">
        <v>818</v>
      </c>
    </row>
    <row r="71" spans="2:6" ht="15.75" x14ac:dyDescent="0.25">
      <c r="B71" s="223"/>
      <c r="C71" s="263"/>
      <c r="D71" s="231"/>
      <c r="E71" s="242"/>
      <c r="F71" s="222"/>
    </row>
    <row r="72" spans="2:6" ht="15.75" x14ac:dyDescent="0.25">
      <c r="B72" s="223" t="s">
        <v>819</v>
      </c>
      <c r="C72" s="263"/>
      <c r="D72" s="231"/>
      <c r="E72" s="242" t="e">
        <f ca="1">E70/(1-C68)</f>
        <v>#DIV/0!</v>
      </c>
      <c r="F72" s="222" t="s">
        <v>820</v>
      </c>
    </row>
    <row r="73" spans="2:6" ht="16.5" thickBot="1" x14ac:dyDescent="0.3">
      <c r="B73" s="260"/>
      <c r="C73" s="265"/>
      <c r="D73" s="266"/>
      <c r="E73" s="270"/>
      <c r="F73" s="222"/>
    </row>
    <row r="74" spans="2:6" ht="15.75" hidden="1" x14ac:dyDescent="0.25">
      <c r="B74" s="1"/>
      <c r="C74" s="12"/>
      <c r="D74" s="1"/>
      <c r="E74" s="261"/>
      <c r="F74" s="222"/>
    </row>
    <row r="75" spans="2:6" ht="18" hidden="1" x14ac:dyDescent="0.25">
      <c r="B75" s="217" t="s">
        <v>679</v>
      </c>
      <c r="C75" s="12"/>
      <c r="D75" s="1"/>
      <c r="E75" s="261"/>
      <c r="F75" s="222"/>
    </row>
    <row r="76" spans="2:6" ht="15.75" hidden="1" x14ac:dyDescent="0.25">
      <c r="B76" s="223" t="s">
        <v>821</v>
      </c>
      <c r="C76" s="219"/>
      <c r="D76" s="220"/>
      <c r="E76" s="251"/>
      <c r="F76" s="222" t="s">
        <v>668</v>
      </c>
    </row>
    <row r="77" spans="2:6" ht="15.75" hidden="1" x14ac:dyDescent="0.25">
      <c r="B77" s="223"/>
      <c r="C77" s="263"/>
      <c r="D77" s="231"/>
      <c r="E77" s="264"/>
      <c r="F77" s="222"/>
    </row>
    <row r="78" spans="2:6" ht="15.75" hidden="1" x14ac:dyDescent="0.25">
      <c r="B78" s="223" t="s">
        <v>822</v>
      </c>
      <c r="C78" s="263"/>
      <c r="D78" s="231"/>
      <c r="E78" s="271"/>
      <c r="F78" s="222" t="s">
        <v>671</v>
      </c>
    </row>
    <row r="79" spans="2:6" ht="15.75" hidden="1" x14ac:dyDescent="0.25">
      <c r="B79" s="223"/>
      <c r="C79" s="263"/>
      <c r="D79" s="231"/>
      <c r="E79" s="264"/>
      <c r="F79" s="222"/>
    </row>
    <row r="80" spans="2:6" ht="15.75" hidden="1" x14ac:dyDescent="0.25">
      <c r="B80" s="223" t="s">
        <v>823</v>
      </c>
      <c r="C80" s="263"/>
      <c r="D80" s="231"/>
      <c r="E80" s="272"/>
      <c r="F80" s="222" t="s">
        <v>824</v>
      </c>
    </row>
    <row r="81" spans="2:6" ht="15.75" hidden="1" x14ac:dyDescent="0.25">
      <c r="B81" s="223"/>
      <c r="C81" s="263"/>
      <c r="D81" s="231"/>
      <c r="E81" s="264"/>
      <c r="F81" s="222"/>
    </row>
    <row r="82" spans="2:6" ht="15.75" hidden="1" x14ac:dyDescent="0.25">
      <c r="B82" s="223" t="s">
        <v>825</v>
      </c>
      <c r="C82" s="269"/>
      <c r="D82" s="222" t="s">
        <v>826</v>
      </c>
      <c r="E82" s="264"/>
      <c r="F82" s="222"/>
    </row>
    <row r="83" spans="2:6" ht="15.75" hidden="1" x14ac:dyDescent="0.25">
      <c r="B83" s="273"/>
      <c r="C83" s="263"/>
      <c r="D83" s="231"/>
      <c r="E83" s="264"/>
      <c r="F83" s="222"/>
    </row>
    <row r="84" spans="2:6" ht="16.5" hidden="1" thickBot="1" x14ac:dyDescent="0.3">
      <c r="B84" s="223" t="s">
        <v>827</v>
      </c>
      <c r="C84" s="263"/>
      <c r="D84" s="231"/>
      <c r="E84" s="226"/>
      <c r="F84" s="222" t="s">
        <v>828</v>
      </c>
    </row>
    <row r="85" spans="2:6" ht="16.5" hidden="1" thickBot="1" x14ac:dyDescent="0.3">
      <c r="B85" s="260"/>
      <c r="C85" s="265"/>
      <c r="D85" s="266"/>
      <c r="E85" s="270"/>
      <c r="F85" s="222"/>
    </row>
    <row r="86" spans="2:6" ht="16.5" thickBot="1" x14ac:dyDescent="0.3">
      <c r="B86" s="1"/>
      <c r="C86" s="12"/>
      <c r="D86" s="1"/>
      <c r="E86" s="261"/>
      <c r="F86" s="222"/>
    </row>
    <row r="87" spans="2:6" ht="18.75" thickBot="1" x14ac:dyDescent="0.3">
      <c r="B87" s="217" t="s">
        <v>829</v>
      </c>
      <c r="C87" s="12"/>
      <c r="D87" s="1"/>
      <c r="E87" s="261"/>
      <c r="F87" s="222"/>
    </row>
    <row r="88" spans="2:6" ht="15.75" x14ac:dyDescent="0.25">
      <c r="B88" s="274" t="s">
        <v>804</v>
      </c>
      <c r="C88" s="219"/>
      <c r="D88" s="275" t="s">
        <v>650</v>
      </c>
      <c r="E88" s="276" t="e">
        <f ca="1">E49</f>
        <v>#DIV/0!</v>
      </c>
      <c r="F88" s="222" t="s">
        <v>668</v>
      </c>
    </row>
    <row r="89" spans="2:6" ht="15.75" x14ac:dyDescent="0.25">
      <c r="B89" s="223" t="s">
        <v>830</v>
      </c>
      <c r="C89" s="263"/>
      <c r="D89" s="268" t="s">
        <v>807</v>
      </c>
      <c r="E89" s="277" t="e">
        <f ca="1">E55</f>
        <v>#DIV/0!</v>
      </c>
      <c r="F89" s="222" t="s">
        <v>671</v>
      </c>
    </row>
    <row r="90" spans="2:6" ht="15.75" x14ac:dyDescent="0.25">
      <c r="B90" s="223" t="str">
        <f>B72</f>
        <v>Grossed-Up Taxes/PILs</v>
      </c>
      <c r="C90" s="263"/>
      <c r="D90" s="268" t="s">
        <v>665</v>
      </c>
      <c r="E90" s="277" t="e">
        <f ca="1">E72</f>
        <v>#DIV/0!</v>
      </c>
      <c r="F90" s="222" t="s">
        <v>831</v>
      </c>
    </row>
    <row r="91" spans="2:6" ht="15.75" x14ac:dyDescent="0.25">
      <c r="B91" s="223"/>
      <c r="C91" s="263"/>
      <c r="D91" s="268"/>
      <c r="E91" s="264"/>
      <c r="F91" s="222"/>
    </row>
    <row r="92" spans="2:6" ht="15.75" x14ac:dyDescent="0.25">
      <c r="B92" s="223"/>
      <c r="C92" s="263"/>
      <c r="D92" s="231"/>
      <c r="E92" s="264"/>
      <c r="F92" s="222"/>
    </row>
    <row r="93" spans="2:6" ht="16.5" thickBot="1" x14ac:dyDescent="0.3">
      <c r="B93" s="223" t="s">
        <v>829</v>
      </c>
      <c r="C93" s="263"/>
      <c r="D93" s="231"/>
      <c r="E93" s="278" t="e">
        <f ca="1">SUM(E88:E90)</f>
        <v>#DIV/0!</v>
      </c>
      <c r="F93" s="222" t="s">
        <v>832</v>
      </c>
    </row>
    <row r="94" spans="2:6" ht="16.5" thickBot="1" x14ac:dyDescent="0.3">
      <c r="B94" s="260"/>
      <c r="C94" s="265"/>
      <c r="D94" s="266"/>
      <c r="E94" s="270"/>
      <c r="F94" s="222"/>
    </row>
    <row r="95" spans="2:6" ht="15.75" x14ac:dyDescent="0.25">
      <c r="E95" s="279"/>
    </row>
    <row r="96" spans="2:6" ht="15.75" x14ac:dyDescent="0.25">
      <c r="E96" s="279"/>
    </row>
  </sheetData>
  <sheetProtection algorithmName="SHA-512" hashValue="NgR3NpOtBVFt+YDPiYF3WilXmc6yg0VTUL646AxPSsXD942MjY/Un3BvjTMol9y5QY9sbengyvQgATGrn0dgUA==" saltValue="JIjxI03xGYQIixiEUn/Wbw==" spinCount="100000" sheet="1" objects="1" scenarios="1"/>
  <mergeCells count="3">
    <mergeCell ref="C24:E24"/>
    <mergeCell ref="B29:F29"/>
    <mergeCell ref="F23:H24"/>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2:Z50"/>
  <sheetViews>
    <sheetView showGridLines="0" zoomScaleNormal="100" workbookViewId="0">
      <selection activeCell="I25" sqref="I25"/>
    </sheetView>
  </sheetViews>
  <sheetFormatPr defaultRowHeight="15" x14ac:dyDescent="0.25"/>
  <cols>
    <col min="1" max="1" width="49.28515625" customWidth="1"/>
    <col min="2" max="2" width="4.140625" customWidth="1"/>
    <col min="3" max="3" width="19.85546875" customWidth="1"/>
    <col min="4" max="4" width="22" customWidth="1"/>
    <col min="5" max="5" width="18.28515625" customWidth="1"/>
    <col min="6" max="7" width="22" customWidth="1"/>
    <col min="8" max="8" width="27.7109375" customWidth="1"/>
    <col min="9" max="9" width="15.42578125" bestFit="1" customWidth="1"/>
    <col min="10" max="10" width="3.42578125" customWidth="1"/>
    <col min="11" max="11" width="22" customWidth="1"/>
    <col min="12" max="12" width="17.42578125" customWidth="1"/>
    <col min="13" max="13" width="11.7109375" bestFit="1" customWidth="1"/>
    <col min="14" max="14" width="2.28515625" customWidth="1"/>
    <col min="15" max="15" width="20.28515625" customWidth="1"/>
    <col min="16" max="16" width="24.7109375" customWidth="1"/>
    <col min="17" max="17" width="22.5703125" customWidth="1"/>
    <col min="18" max="18" width="18.7109375" customWidth="1"/>
    <col min="19" max="20" width="20" customWidth="1"/>
  </cols>
  <sheetData>
    <row r="12" spans="1:20" ht="15.75" thickBot="1" x14ac:dyDescent="0.3"/>
    <row r="13" spans="1:20" ht="22.5" thickTop="1" thickBot="1" x14ac:dyDescent="0.3">
      <c r="A13" s="510" t="s">
        <v>833</v>
      </c>
      <c r="B13" s="510"/>
      <c r="C13" s="510"/>
      <c r="D13" s="510"/>
      <c r="E13" s="438" t="s">
        <v>851</v>
      </c>
      <c r="F13" s="439"/>
    </row>
    <row r="14" spans="1:20" ht="43.5" customHeight="1" x14ac:dyDescent="0.25"/>
    <row r="15" spans="1:20" s="119" customFormat="1" ht="47.25" x14ac:dyDescent="0.25">
      <c r="A15" s="281" t="s">
        <v>595</v>
      </c>
      <c r="B15" s="111"/>
      <c r="C15" s="111" t="s">
        <v>607</v>
      </c>
      <c r="D15" s="111" t="s">
        <v>834</v>
      </c>
      <c r="E15" s="111" t="s">
        <v>835</v>
      </c>
      <c r="F15" s="111" t="s">
        <v>603</v>
      </c>
      <c r="G15" s="111" t="s">
        <v>836</v>
      </c>
      <c r="H15" s="111" t="s">
        <v>837</v>
      </c>
      <c r="I15" s="111" t="s">
        <v>838</v>
      </c>
      <c r="J15" s="111"/>
      <c r="K15" s="111" t="s">
        <v>596</v>
      </c>
      <c r="L15" s="111" t="s">
        <v>597</v>
      </c>
      <c r="M15" s="111" t="s">
        <v>706</v>
      </c>
      <c r="N15" s="111"/>
      <c r="O15" s="111" t="s">
        <v>839</v>
      </c>
      <c r="P15" s="111" t="s">
        <v>840</v>
      </c>
      <c r="Q15" s="111" t="s">
        <v>841</v>
      </c>
      <c r="R15" s="111"/>
      <c r="S15" s="111"/>
      <c r="T15" s="111"/>
    </row>
    <row r="16" spans="1:20" s="119" customFormat="1" ht="17.25" customHeight="1" x14ac:dyDescent="0.25">
      <c r="A16" s="111"/>
      <c r="B16" s="111"/>
      <c r="C16" s="282" t="s">
        <v>850</v>
      </c>
      <c r="D16" s="282" t="s">
        <v>850</v>
      </c>
      <c r="E16" s="282" t="s">
        <v>850</v>
      </c>
      <c r="F16" s="283" t="s">
        <v>842</v>
      </c>
      <c r="G16" s="283" t="s">
        <v>843</v>
      </c>
      <c r="H16" s="283" t="s">
        <v>844</v>
      </c>
      <c r="I16" s="284" t="s">
        <v>845</v>
      </c>
      <c r="J16" s="285"/>
      <c r="K16" s="282" t="s">
        <v>846</v>
      </c>
      <c r="L16" s="282" t="s">
        <v>846</v>
      </c>
      <c r="M16" s="282" t="s">
        <v>846</v>
      </c>
      <c r="N16" s="285"/>
      <c r="O16" s="283" t="s">
        <v>847</v>
      </c>
      <c r="P16" s="283" t="s">
        <v>848</v>
      </c>
      <c r="Q16" s="283" t="s">
        <v>849</v>
      </c>
      <c r="R16"/>
      <c r="S16"/>
      <c r="T16" s="286"/>
    </row>
    <row r="17" spans="1:26" x14ac:dyDescent="0.25">
      <c r="A17" s="389" t="s">
        <v>77</v>
      </c>
      <c r="B17" s="389"/>
      <c r="C17" s="409">
        <f>'7. Revenue Proportions'!P17</f>
        <v>0.40216080982522051</v>
      </c>
      <c r="D17" s="409">
        <f>'7. Revenue Proportions'!Q17</f>
        <v>0</v>
      </c>
      <c r="E17" s="409">
        <f>'7. Revenue Proportions'!R17</f>
        <v>0</v>
      </c>
      <c r="F17" s="405" t="e">
        <f ca="1">ROUND(C17*I25, 2)</f>
        <v>#DIV/0!</v>
      </c>
      <c r="G17" s="405" t="e">
        <f ca="1">ROUND(D17*I25, 2)</f>
        <v>#DIV/0!</v>
      </c>
      <c r="H17" s="405" t="e">
        <f ca="1">ROUND(E17*I25, 2)</f>
        <v>#DIV/0!</v>
      </c>
      <c r="I17" s="405" t="e">
        <f t="shared" ref="I17:I23" ca="1" si="0">ROUND(F17+G17+H17, 2)</f>
        <v>#DIV/0!</v>
      </c>
      <c r="J17" s="391"/>
      <c r="K17" s="390">
        <f>'3. Growth Factor - NUM_CALC1'!C17</f>
        <v>183533</v>
      </c>
      <c r="L17" s="390">
        <f>'3. Growth Factor - NUM_CALC1'!D17</f>
        <v>1490532667</v>
      </c>
      <c r="M17" s="390">
        <f>'3. Growth Factor - NUM_CALC1'!E17</f>
        <v>0</v>
      </c>
      <c r="N17" s="391"/>
      <c r="O17" s="404">
        <f ca="1">IF(ISERROR(ROUND(I17 / K17 / 12, 2)),0,ROUND(I17 / K17 / 12, 2))</f>
        <v>0</v>
      </c>
      <c r="P17" s="415">
        <v>0</v>
      </c>
      <c r="Q17" s="415">
        <v>0</v>
      </c>
      <c r="R17" s="414" t="s">
        <v>891</v>
      </c>
    </row>
    <row r="18" spans="1:26" x14ac:dyDescent="0.25">
      <c r="A18" s="158" t="s">
        <v>86</v>
      </c>
      <c r="B18" s="158"/>
      <c r="C18" s="410">
        <f>'7. Revenue Proportions'!P18</f>
        <v>7.4446031842868937E-2</v>
      </c>
      <c r="D18" s="410">
        <f>'7. Revenue Proportions'!Q18</f>
        <v>6.7114649087472542E-2</v>
      </c>
      <c r="E18" s="410">
        <f>'7. Revenue Proportions'!R18</f>
        <v>0</v>
      </c>
      <c r="F18" s="407" t="e">
        <f ca="1">ROUND(C18*I25, 2)</f>
        <v>#DIV/0!</v>
      </c>
      <c r="G18" s="407" t="e">
        <f ca="1">ROUND(D18*I25, 2)</f>
        <v>#DIV/0!</v>
      </c>
      <c r="H18" s="407" t="e">
        <f ca="1">ROUND(E18*I25, 2)</f>
        <v>#DIV/0!</v>
      </c>
      <c r="I18" s="407" t="e">
        <f t="shared" ca="1" si="0"/>
        <v>#DIV/0!</v>
      </c>
      <c r="J18" s="159"/>
      <c r="K18" s="396">
        <f>'3. Growth Factor - NUM_CALC1'!C18</f>
        <v>18506</v>
      </c>
      <c r="L18" s="396">
        <f>'3. Growth Factor - NUM_CALC1'!D18</f>
        <v>685616684</v>
      </c>
      <c r="M18" s="396">
        <f>'3. Growth Factor - NUM_CALC1'!E18</f>
        <v>0</v>
      </c>
      <c r="N18" s="159"/>
      <c r="O18" s="406">
        <f t="shared" ref="O18:O23" ca="1" si="1">IF(ISERROR(ROUND(F18 / K18 / 12, 2)),0,ROUND(F18 / K18 / 12, 2))</f>
        <v>0</v>
      </c>
      <c r="P18" s="416">
        <f t="shared" ref="P18:Q23" ca="1" si="2">IF(ISERROR(ROUND(G18 / L18, 4)),0,ROUND(G18 / L18, 4))</f>
        <v>0</v>
      </c>
      <c r="Q18" s="416">
        <f t="shared" ca="1" si="2"/>
        <v>0</v>
      </c>
    </row>
    <row r="19" spans="1:26" x14ac:dyDescent="0.25">
      <c r="A19" s="158" t="s">
        <v>185</v>
      </c>
      <c r="B19" s="158"/>
      <c r="C19" s="410">
        <f>'7. Revenue Proportions'!P19</f>
        <v>2.6462806443248658E-2</v>
      </c>
      <c r="D19" s="410">
        <f>'7. Revenue Proportions'!Q19</f>
        <v>0</v>
      </c>
      <c r="E19" s="410">
        <f>'7. Revenue Proportions'!R19</f>
        <v>0.20290876688604556</v>
      </c>
      <c r="F19" s="407" t="e">
        <f ca="1">ROUND(C19*I25, 2)</f>
        <v>#DIV/0!</v>
      </c>
      <c r="G19" s="407" t="e">
        <f ca="1">ROUND(D19*I25, 2)</f>
        <v>#DIV/0!</v>
      </c>
      <c r="H19" s="407" t="e">
        <f ca="1">ROUND(E19*I25, 2)</f>
        <v>#DIV/0!</v>
      </c>
      <c r="I19" s="407" t="e">
        <f t="shared" ca="1" si="0"/>
        <v>#DIV/0!</v>
      </c>
      <c r="J19" s="159"/>
      <c r="K19" s="396">
        <f>'3. Growth Factor - NUM_CALC1'!C19</f>
        <v>3735</v>
      </c>
      <c r="L19" s="396">
        <f>'3. Growth Factor - NUM_CALC1'!D19</f>
        <v>2051428808</v>
      </c>
      <c r="M19" s="396">
        <f>'3. Growth Factor - NUM_CALC1'!E19</f>
        <v>5710412</v>
      </c>
      <c r="N19" s="159"/>
      <c r="O19" s="406">
        <f t="shared" ca="1" si="1"/>
        <v>0</v>
      </c>
      <c r="P19" s="416">
        <f t="shared" ca="1" si="2"/>
        <v>0</v>
      </c>
      <c r="Q19" s="416">
        <f t="shared" ca="1" si="2"/>
        <v>0</v>
      </c>
    </row>
    <row r="20" spans="1:26" x14ac:dyDescent="0.25">
      <c r="A20" s="158" t="s">
        <v>192</v>
      </c>
      <c r="B20" s="158"/>
      <c r="C20" s="410">
        <f>'7. Revenue Proportions'!P20</f>
        <v>7.7122923124701093E-2</v>
      </c>
      <c r="D20" s="410">
        <f>'7. Revenue Proportions'!Q20</f>
        <v>0</v>
      </c>
      <c r="E20" s="410">
        <f>'7. Revenue Proportions'!R20</f>
        <v>8.3847477174938331E-2</v>
      </c>
      <c r="F20" s="407" t="e">
        <f ca="1">ROUND(C20*I25, 2)</f>
        <v>#DIV/0!</v>
      </c>
      <c r="G20" s="407" t="e">
        <f ca="1">ROUND(D20*I25, 2)</f>
        <v>#DIV/0!</v>
      </c>
      <c r="H20" s="407" t="e">
        <f ca="1">ROUND(E20*I25, 2)</f>
        <v>#DIV/0!</v>
      </c>
      <c r="I20" s="407" t="e">
        <f t="shared" ca="1" si="0"/>
        <v>#DIV/0!</v>
      </c>
      <c r="J20" s="159"/>
      <c r="K20" s="396">
        <f>'3. Growth Factor - NUM_CALC1'!C20</f>
        <v>478</v>
      </c>
      <c r="L20" s="396">
        <f>'3. Growth Factor - NUM_CALC1'!D20</f>
        <v>2037760513</v>
      </c>
      <c r="M20" s="396">
        <f>'3. Growth Factor - NUM_CALC1'!E20</f>
        <v>4585777.2030871157</v>
      </c>
      <c r="N20" s="159"/>
      <c r="O20" s="406">
        <f t="shared" ca="1" si="1"/>
        <v>0</v>
      </c>
      <c r="P20" s="416">
        <f t="shared" ca="1" si="2"/>
        <v>0</v>
      </c>
      <c r="Q20" s="416">
        <f t="shared" ca="1" si="2"/>
        <v>0</v>
      </c>
    </row>
    <row r="21" spans="1:26" x14ac:dyDescent="0.25">
      <c r="A21" s="158" t="s">
        <v>116</v>
      </c>
      <c r="B21" s="158"/>
      <c r="C21" s="410">
        <f>'7. Revenue Proportions'!P21</f>
        <v>1.1449274794012062E-2</v>
      </c>
      <c r="D21" s="410">
        <f>'7. Revenue Proportions'!Q21</f>
        <v>0</v>
      </c>
      <c r="E21" s="410">
        <f>'7. Revenue Proportions'!R21</f>
        <v>3.9787232257385251E-2</v>
      </c>
      <c r="F21" s="407" t="e">
        <f ca="1">ROUND(C21*I25, 2)</f>
        <v>#DIV/0!</v>
      </c>
      <c r="G21" s="407" t="e">
        <f ca="1">ROUND(D21*I25, 2)</f>
        <v>#DIV/0!</v>
      </c>
      <c r="H21" s="407" t="e">
        <f ca="1">ROUND(E21*I25, 2)</f>
        <v>#DIV/0!</v>
      </c>
      <c r="I21" s="407" t="e">
        <f t="shared" ca="1" si="0"/>
        <v>#DIV/0!</v>
      </c>
      <c r="J21" s="159"/>
      <c r="K21" s="396">
        <f>'3. Growth Factor - NUM_CALC1'!C21</f>
        <v>9</v>
      </c>
      <c r="L21" s="396">
        <f>'3. Growth Factor - NUM_CALC1'!D21</f>
        <v>977049362</v>
      </c>
      <c r="M21" s="396">
        <f>'3. Growth Factor - NUM_CALC1'!E21</f>
        <v>1753163</v>
      </c>
      <c r="N21" s="159"/>
      <c r="O21" s="406">
        <f t="shared" ca="1" si="1"/>
        <v>0</v>
      </c>
      <c r="P21" s="416">
        <f t="shared" ca="1" si="2"/>
        <v>0</v>
      </c>
      <c r="Q21" s="416">
        <f t="shared" ca="1" si="2"/>
        <v>0</v>
      </c>
    </row>
    <row r="22" spans="1:26" x14ac:dyDescent="0.25">
      <c r="A22" s="158" t="s">
        <v>123</v>
      </c>
      <c r="B22" s="158"/>
      <c r="C22" s="410">
        <f>'7. Revenue Proportions'!P22</f>
        <v>2.5825559592409365E-3</v>
      </c>
      <c r="D22" s="410">
        <f>'7. Revenue Proportions'!Q22</f>
        <v>1.4382870304497232E-3</v>
      </c>
      <c r="E22" s="410">
        <f>'7. Revenue Proportions'!R22</f>
        <v>0</v>
      </c>
      <c r="F22" s="407" t="e">
        <f ca="1">ROUND(C22*I25, 2)</f>
        <v>#DIV/0!</v>
      </c>
      <c r="G22" s="407" t="e">
        <f ca="1">ROUND(D22*I25, 2)</f>
        <v>#DIV/0!</v>
      </c>
      <c r="H22" s="407" t="e">
        <f ca="1">ROUND(E22*I25, 2)</f>
        <v>#DIV/0!</v>
      </c>
      <c r="I22" s="407" t="e">
        <f t="shared" ca="1" si="0"/>
        <v>#DIV/0!</v>
      </c>
      <c r="J22" s="159"/>
      <c r="K22" s="396">
        <f>'3. Growth Factor - NUM_CALC1'!C22</f>
        <v>3110</v>
      </c>
      <c r="L22" s="396">
        <f>'3. Growth Factor - NUM_CALC1'!D22</f>
        <v>11437642</v>
      </c>
      <c r="M22" s="396">
        <f>'3. Growth Factor - NUM_CALC1'!E22</f>
        <v>0</v>
      </c>
      <c r="N22" s="159"/>
      <c r="O22" s="406">
        <f t="shared" ca="1" si="1"/>
        <v>0</v>
      </c>
      <c r="P22" s="416">
        <f t="shared" ca="1" si="2"/>
        <v>0</v>
      </c>
      <c r="Q22" s="416">
        <f t="shared" ca="1" si="2"/>
        <v>0</v>
      </c>
    </row>
    <row r="23" spans="1:26" x14ac:dyDescent="0.25">
      <c r="A23" s="158" t="s">
        <v>68</v>
      </c>
      <c r="B23" s="158"/>
      <c r="C23" s="410">
        <f>'7. Revenue Proportions'!P23</f>
        <v>7.077214812612395E-3</v>
      </c>
      <c r="D23" s="410">
        <f>'7. Revenue Proportions'!Q23</f>
        <v>0</v>
      </c>
      <c r="E23" s="410">
        <f>'7. Revenue Proportions'!R23</f>
        <v>3.601970761803941E-3</v>
      </c>
      <c r="F23" s="407" t="e">
        <f ca="1">ROUND(C23*I25, 2)</f>
        <v>#DIV/0!</v>
      </c>
      <c r="G23" s="407" t="e">
        <f ca="1">ROUND(D23*I25, 2)</f>
        <v>#DIV/0!</v>
      </c>
      <c r="H23" s="407" t="e">
        <f ca="1">ROUND(E23*I25, 2)</f>
        <v>#DIV/0!</v>
      </c>
      <c r="I23" s="407" t="e">
        <f t="shared" ca="1" si="0"/>
        <v>#DIV/0!</v>
      </c>
      <c r="J23" s="159"/>
      <c r="K23" s="396">
        <f>'3. Growth Factor - NUM_CALC1'!C23</f>
        <v>50859</v>
      </c>
      <c r="L23" s="396">
        <f>'3. Growth Factor - NUM_CALC1'!D23</f>
        <v>13289944</v>
      </c>
      <c r="M23" s="396">
        <f>'3. Growth Factor - NUM_CALC1'!E23</f>
        <v>40572</v>
      </c>
      <c r="N23" s="159"/>
      <c r="O23" s="406">
        <f t="shared" ca="1" si="1"/>
        <v>0</v>
      </c>
      <c r="P23" s="416">
        <f t="shared" ca="1" si="2"/>
        <v>0</v>
      </c>
      <c r="Q23" s="416">
        <f t="shared" ca="1" si="2"/>
        <v>0</v>
      </c>
    </row>
    <row r="24" spans="1:26" x14ac:dyDescent="0.25">
      <c r="A24" s="120" t="s">
        <v>769</v>
      </c>
      <c r="B24" s="120"/>
      <c r="C24" s="411">
        <f t="shared" ref="C24:I24" si="3">SUM(C17:C23)</f>
        <v>0.60130161680190453</v>
      </c>
      <c r="D24" s="411">
        <f t="shared" si="3"/>
        <v>6.8552936117922264E-2</v>
      </c>
      <c r="E24" s="411">
        <f t="shared" si="3"/>
        <v>0.33014544708017307</v>
      </c>
      <c r="F24" s="408" t="e">
        <f t="shared" ca="1" si="3"/>
        <v>#DIV/0!</v>
      </c>
      <c r="G24" s="408" t="e">
        <f t="shared" ca="1" si="3"/>
        <v>#DIV/0!</v>
      </c>
      <c r="H24" s="408" t="e">
        <f t="shared" ca="1" si="3"/>
        <v>#DIV/0!</v>
      </c>
      <c r="I24" s="408" t="e">
        <f t="shared" ca="1" si="3"/>
        <v>#DIV/0!</v>
      </c>
      <c r="J24" s="121"/>
      <c r="K24" s="408">
        <f>SUM(K17:K23)</f>
        <v>260230</v>
      </c>
      <c r="L24" s="408">
        <f>SUM(L17:L23)</f>
        <v>7267115620</v>
      </c>
      <c r="M24" s="408">
        <f>SUM(M17:M23)</f>
        <v>12089924.203087116</v>
      </c>
      <c r="N24" s="121"/>
      <c r="O24" s="121"/>
      <c r="P24" s="121"/>
      <c r="Q24" s="121"/>
      <c r="R24" s="118"/>
      <c r="S24" s="118"/>
      <c r="T24" s="118"/>
      <c r="U24" s="118"/>
      <c r="V24" s="118"/>
      <c r="W24" s="118"/>
      <c r="X24" s="118"/>
      <c r="Y24" s="118"/>
      <c r="Z24" s="118"/>
    </row>
    <row r="25" spans="1:26" x14ac:dyDescent="0.25">
      <c r="C25" s="124"/>
      <c r="D25" s="124"/>
      <c r="E25" s="124"/>
      <c r="F25" s="124"/>
      <c r="G25" s="124"/>
      <c r="H25" s="124"/>
      <c r="I25" s="413" t="e">
        <f ca="1">'10. Incremental Capital Adj.'!E93</f>
        <v>#DIV/0!</v>
      </c>
      <c r="J25" s="124"/>
      <c r="K25" s="124"/>
      <c r="L25" s="124"/>
      <c r="M25" s="124"/>
      <c r="N25" s="124"/>
      <c r="O25" s="124"/>
      <c r="P25" s="124"/>
      <c r="Q25" s="124"/>
    </row>
    <row r="26" spans="1:26" x14ac:dyDescent="0.25">
      <c r="C26" s="124"/>
      <c r="D26" s="124"/>
      <c r="E26" s="124"/>
      <c r="F26" s="124"/>
      <c r="G26" s="124"/>
      <c r="H26" s="124"/>
      <c r="I26" s="412" t="s">
        <v>890</v>
      </c>
      <c r="J26" s="124"/>
      <c r="K26" s="124"/>
      <c r="L26" s="124"/>
      <c r="M26" s="124"/>
      <c r="N26" s="124"/>
      <c r="O26" s="124"/>
      <c r="P26" s="124"/>
      <c r="Q26" s="124"/>
    </row>
    <row r="27" spans="1:26" x14ac:dyDescent="0.25">
      <c r="C27" s="124"/>
      <c r="D27" s="124"/>
      <c r="E27" s="124"/>
      <c r="F27" s="124"/>
      <c r="G27" s="124"/>
      <c r="H27" s="124"/>
      <c r="I27" s="124"/>
      <c r="J27" s="124"/>
      <c r="K27" s="124"/>
      <c r="L27" s="124"/>
      <c r="M27" s="124"/>
      <c r="N27" s="124"/>
      <c r="O27" s="124"/>
      <c r="P27" s="124"/>
      <c r="Q27" s="124"/>
    </row>
    <row r="28" spans="1:26" x14ac:dyDescent="0.25">
      <c r="C28" s="124"/>
      <c r="D28" s="124"/>
      <c r="E28" s="124"/>
      <c r="F28" s="124"/>
      <c r="G28" s="124"/>
      <c r="H28" s="124"/>
      <c r="I28" s="124"/>
      <c r="J28" s="124"/>
      <c r="K28" s="124"/>
      <c r="L28" s="124"/>
      <c r="M28" s="124"/>
      <c r="N28" s="124"/>
      <c r="O28" s="124"/>
      <c r="P28" s="124"/>
      <c r="Q28" s="124"/>
    </row>
    <row r="29" spans="1:26" x14ac:dyDescent="0.25">
      <c r="C29" s="124"/>
      <c r="D29" s="124"/>
      <c r="E29" s="124"/>
      <c r="F29" s="124"/>
      <c r="G29" s="124"/>
      <c r="H29" s="124"/>
      <c r="I29" s="124"/>
      <c r="J29" s="124"/>
      <c r="K29" s="124"/>
      <c r="L29" s="124"/>
      <c r="M29" s="124"/>
      <c r="N29" s="124"/>
      <c r="O29" s="124"/>
      <c r="P29" s="124"/>
      <c r="Q29" s="124"/>
    </row>
    <row r="30" spans="1:26" x14ac:dyDescent="0.25">
      <c r="C30" s="124"/>
      <c r="D30" s="124"/>
      <c r="E30" s="124"/>
      <c r="F30" s="124"/>
      <c r="G30" s="124"/>
      <c r="H30" s="124"/>
      <c r="I30" s="124"/>
      <c r="J30" s="124"/>
      <c r="K30" s="124"/>
      <c r="L30" s="124"/>
      <c r="M30" s="124"/>
      <c r="N30" s="124"/>
      <c r="O30" s="124"/>
      <c r="P30" s="124"/>
      <c r="Q30" s="124"/>
    </row>
    <row r="31" spans="1:26" x14ac:dyDescent="0.25">
      <c r="C31" s="124"/>
      <c r="D31" s="124"/>
      <c r="E31" s="124"/>
      <c r="F31" s="124"/>
      <c r="G31" s="124"/>
      <c r="H31" s="124"/>
      <c r="I31" s="124"/>
      <c r="J31" s="124"/>
      <c r="K31" s="124"/>
      <c r="L31" s="124"/>
      <c r="M31" s="124"/>
      <c r="N31" s="124"/>
      <c r="O31" s="124"/>
      <c r="P31" s="124"/>
      <c r="Q31" s="124"/>
    </row>
    <row r="32" spans="1:26" x14ac:dyDescent="0.25">
      <c r="C32" s="124"/>
      <c r="D32" s="124"/>
      <c r="E32" s="124"/>
      <c r="F32" s="124"/>
      <c r="G32" s="124"/>
      <c r="H32" s="124"/>
      <c r="I32" s="124"/>
      <c r="J32" s="124"/>
      <c r="K32" s="124"/>
      <c r="L32" s="124"/>
      <c r="M32" s="124"/>
      <c r="N32" s="124"/>
      <c r="O32" s="124"/>
      <c r="P32" s="124"/>
      <c r="Q32" s="124"/>
    </row>
    <row r="33" spans="3:17" x14ac:dyDescent="0.25">
      <c r="C33" s="124"/>
      <c r="D33" s="124"/>
      <c r="E33" s="124"/>
      <c r="F33" s="124"/>
      <c r="G33" s="124"/>
      <c r="H33" s="124"/>
      <c r="I33" s="124"/>
      <c r="J33" s="124"/>
      <c r="K33" s="124"/>
      <c r="L33" s="124"/>
      <c r="M33" s="124"/>
      <c r="N33" s="124"/>
      <c r="O33" s="124"/>
      <c r="P33" s="124"/>
      <c r="Q33" s="124"/>
    </row>
    <row r="34" spans="3:17" x14ac:dyDescent="0.25">
      <c r="C34" s="124"/>
      <c r="D34" s="124"/>
      <c r="E34" s="124"/>
      <c r="F34" s="124"/>
      <c r="G34" s="124"/>
      <c r="H34" s="124"/>
      <c r="I34" s="124"/>
      <c r="J34" s="124"/>
      <c r="K34" s="124"/>
      <c r="L34" s="124"/>
      <c r="M34" s="124"/>
      <c r="N34" s="124"/>
      <c r="O34" s="124"/>
      <c r="P34" s="124"/>
      <c r="Q34" s="124"/>
    </row>
    <row r="35" spans="3:17" x14ac:dyDescent="0.25">
      <c r="C35" s="124"/>
      <c r="D35" s="124"/>
      <c r="E35" s="124"/>
      <c r="F35" s="124"/>
      <c r="G35" s="124"/>
      <c r="H35" s="124"/>
      <c r="I35" s="124"/>
      <c r="J35" s="124"/>
      <c r="K35" s="124"/>
      <c r="L35" s="124"/>
      <c r="M35" s="124"/>
      <c r="N35" s="124"/>
      <c r="O35" s="124"/>
      <c r="P35" s="124"/>
      <c r="Q35" s="124"/>
    </row>
    <row r="36" spans="3:17" x14ac:dyDescent="0.25">
      <c r="C36" s="124"/>
      <c r="D36" s="124"/>
      <c r="E36" s="124"/>
      <c r="F36" s="124"/>
      <c r="G36" s="124"/>
      <c r="H36" s="124"/>
      <c r="I36" s="124"/>
      <c r="J36" s="124"/>
      <c r="K36" s="124"/>
      <c r="L36" s="124"/>
      <c r="M36" s="124"/>
      <c r="N36" s="124"/>
      <c r="O36" s="124"/>
      <c r="P36" s="124"/>
      <c r="Q36" s="124"/>
    </row>
    <row r="37" spans="3:17" x14ac:dyDescent="0.25">
      <c r="C37" s="124"/>
      <c r="D37" s="124"/>
      <c r="E37" s="124"/>
      <c r="F37" s="124"/>
      <c r="G37" s="124"/>
      <c r="H37" s="124"/>
      <c r="I37" s="124"/>
      <c r="J37" s="124"/>
      <c r="K37" s="124"/>
      <c r="L37" s="124"/>
      <c r="M37" s="124"/>
      <c r="N37" s="124"/>
      <c r="O37" s="124"/>
      <c r="P37" s="124"/>
      <c r="Q37" s="124"/>
    </row>
    <row r="38" spans="3:17" x14ac:dyDescent="0.25">
      <c r="C38" s="124"/>
      <c r="D38" s="124"/>
      <c r="E38" s="124"/>
      <c r="F38" s="124"/>
      <c r="G38" s="124"/>
      <c r="H38" s="124"/>
      <c r="I38" s="124"/>
      <c r="J38" s="124"/>
      <c r="K38" s="124"/>
      <c r="L38" s="124"/>
      <c r="M38" s="124"/>
      <c r="N38" s="124"/>
      <c r="O38" s="124"/>
      <c r="P38" s="124"/>
      <c r="Q38" s="124"/>
    </row>
    <row r="39" spans="3:17" x14ac:dyDescent="0.25">
      <c r="C39" s="124"/>
      <c r="D39" s="124"/>
      <c r="E39" s="124"/>
      <c r="F39" s="124"/>
      <c r="G39" s="124"/>
      <c r="H39" s="124"/>
      <c r="I39" s="124"/>
      <c r="J39" s="124"/>
      <c r="K39" s="124"/>
      <c r="L39" s="124"/>
      <c r="M39" s="124"/>
      <c r="N39" s="124"/>
      <c r="O39" s="124"/>
      <c r="P39" s="124"/>
      <c r="Q39" s="124"/>
    </row>
    <row r="40" spans="3:17" x14ac:dyDescent="0.25">
      <c r="C40" s="124"/>
      <c r="D40" s="124"/>
      <c r="E40" s="124"/>
      <c r="F40" s="124"/>
      <c r="G40" s="124"/>
      <c r="H40" s="124"/>
      <c r="I40" s="124"/>
      <c r="J40" s="124"/>
      <c r="K40" s="124"/>
      <c r="L40" s="124"/>
      <c r="M40" s="124"/>
      <c r="N40" s="124"/>
      <c r="O40" s="124"/>
      <c r="P40" s="124"/>
      <c r="Q40" s="124"/>
    </row>
    <row r="41" spans="3:17" x14ac:dyDescent="0.25">
      <c r="C41" s="124"/>
      <c r="D41" s="124"/>
      <c r="E41" s="124"/>
      <c r="F41" s="124"/>
      <c r="G41" s="124"/>
      <c r="H41" s="124"/>
      <c r="I41" s="124"/>
      <c r="J41" s="124"/>
      <c r="K41" s="124"/>
      <c r="L41" s="124"/>
      <c r="M41" s="124"/>
      <c r="N41" s="124"/>
      <c r="O41" s="124"/>
      <c r="P41" s="124"/>
      <c r="Q41" s="124"/>
    </row>
    <row r="42" spans="3:17" x14ac:dyDescent="0.25">
      <c r="C42" s="124"/>
      <c r="D42" s="124"/>
      <c r="E42" s="124"/>
      <c r="F42" s="124"/>
      <c r="G42" s="124"/>
      <c r="H42" s="124"/>
      <c r="I42" s="124"/>
      <c r="J42" s="124"/>
      <c r="K42" s="124"/>
      <c r="L42" s="124"/>
      <c r="M42" s="124"/>
      <c r="N42" s="124"/>
      <c r="O42" s="124"/>
      <c r="P42" s="124"/>
      <c r="Q42" s="124"/>
    </row>
    <row r="43" spans="3:17" x14ac:dyDescent="0.25">
      <c r="C43" s="124"/>
      <c r="D43" s="124"/>
      <c r="E43" s="124"/>
      <c r="F43" s="124"/>
      <c r="G43" s="124"/>
      <c r="H43" s="124"/>
      <c r="I43" s="124"/>
      <c r="J43" s="124"/>
      <c r="K43" s="124"/>
      <c r="L43" s="124"/>
      <c r="M43" s="124"/>
      <c r="N43" s="124"/>
      <c r="O43" s="124"/>
      <c r="P43" s="124"/>
      <c r="Q43" s="124"/>
    </row>
    <row r="44" spans="3:17" x14ac:dyDescent="0.25">
      <c r="C44" s="124"/>
      <c r="D44" s="124"/>
      <c r="E44" s="124"/>
      <c r="F44" s="124"/>
      <c r="G44" s="124"/>
      <c r="H44" s="124"/>
      <c r="I44" s="124"/>
      <c r="J44" s="124"/>
      <c r="K44" s="124"/>
      <c r="L44" s="124"/>
      <c r="M44" s="124"/>
      <c r="N44" s="124"/>
      <c r="O44" s="124"/>
      <c r="P44" s="124"/>
      <c r="Q44" s="124"/>
    </row>
    <row r="45" spans="3:17" x14ac:dyDescent="0.25">
      <c r="C45" s="124"/>
      <c r="D45" s="124"/>
      <c r="E45" s="124"/>
      <c r="F45" s="124"/>
      <c r="G45" s="124"/>
      <c r="H45" s="124"/>
      <c r="I45" s="124"/>
      <c r="J45" s="124"/>
      <c r="K45" s="124"/>
      <c r="L45" s="124"/>
      <c r="M45" s="124"/>
      <c r="N45" s="124"/>
      <c r="O45" s="124"/>
      <c r="P45" s="124"/>
      <c r="Q45" s="124"/>
    </row>
    <row r="46" spans="3:17" x14ac:dyDescent="0.25">
      <c r="C46" s="124"/>
      <c r="D46" s="124"/>
      <c r="E46" s="124"/>
      <c r="F46" s="124"/>
      <c r="G46" s="124"/>
      <c r="H46" s="124"/>
      <c r="I46" s="124"/>
      <c r="J46" s="124"/>
      <c r="K46" s="124"/>
      <c r="L46" s="124"/>
      <c r="M46" s="124"/>
      <c r="N46" s="124"/>
      <c r="O46" s="124"/>
      <c r="P46" s="124"/>
      <c r="Q46" s="124"/>
    </row>
    <row r="47" spans="3:17" x14ac:dyDescent="0.25">
      <c r="C47" s="124"/>
      <c r="D47" s="124"/>
      <c r="E47" s="124"/>
      <c r="F47" s="124"/>
      <c r="G47" s="124"/>
      <c r="H47" s="124"/>
      <c r="I47" s="124"/>
      <c r="J47" s="124"/>
      <c r="K47" s="124"/>
      <c r="L47" s="124"/>
      <c r="M47" s="124"/>
      <c r="N47" s="124"/>
      <c r="O47" s="124"/>
      <c r="P47" s="124"/>
      <c r="Q47" s="124"/>
    </row>
    <row r="48" spans="3:17" x14ac:dyDescent="0.25">
      <c r="C48" s="124"/>
      <c r="D48" s="124"/>
      <c r="E48" s="124"/>
      <c r="F48" s="124"/>
      <c r="G48" s="124"/>
      <c r="H48" s="124"/>
      <c r="I48" s="124"/>
      <c r="J48" s="124"/>
      <c r="K48" s="124"/>
      <c r="L48" s="124"/>
      <c r="M48" s="124"/>
      <c r="N48" s="124"/>
      <c r="O48" s="124"/>
      <c r="P48" s="124"/>
      <c r="Q48" s="124"/>
    </row>
    <row r="49" spans="3:17" x14ac:dyDescent="0.25">
      <c r="C49" s="124"/>
      <c r="D49" s="124"/>
      <c r="E49" s="124"/>
      <c r="F49" s="124"/>
      <c r="G49" s="124"/>
      <c r="H49" s="124"/>
      <c r="I49" s="124"/>
      <c r="J49" s="124"/>
      <c r="K49" s="124"/>
      <c r="L49" s="124"/>
      <c r="M49" s="124"/>
      <c r="N49" s="124"/>
      <c r="O49" s="124"/>
      <c r="P49" s="124"/>
      <c r="Q49" s="124"/>
    </row>
    <row r="50" spans="3:17" x14ac:dyDescent="0.25">
      <c r="C50" s="124"/>
      <c r="D50" s="124"/>
      <c r="E50" s="124"/>
      <c r="F50" s="124"/>
      <c r="G50" s="124"/>
      <c r="H50" s="124"/>
      <c r="I50" s="124"/>
      <c r="J50" s="124"/>
      <c r="K50" s="124"/>
      <c r="L50" s="124"/>
      <c r="M50" s="124"/>
      <c r="N50" s="124"/>
      <c r="O50" s="124"/>
      <c r="P50" s="124"/>
      <c r="Q50" s="124"/>
    </row>
  </sheetData>
  <sheetProtection algorithmName="SHA-512" hashValue="e1kNuVNREBDntpnomSAvmI9O+PljDNOhdBLq0w6lVzxjeDxy+DpYoNYnp35rCcpdFEnjVAT2v3sFhOTo9Xc2qA==" saltValue="dyk748hoBAwRLxYpAl9S0A==" spinCount="100000" sheet="1" objects="1" scenarios="1"/>
  <mergeCells count="2">
    <mergeCell ref="A13:D13"/>
    <mergeCell ref="E13:F13"/>
  </mergeCells>
  <dataValidations count="1">
    <dataValidation type="list" allowBlank="1" showInputMessage="1" showErrorMessage="1" sqref="E13:F13" xr:uid="{00000000-0002-0000-0D00-000000000000}">
      <formula1>"Fixed and Variable Rate Riders, Variable Only Rate Rider, Fixed Only Rate Rider"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8"/>
  <dimension ref="A1:I24"/>
  <sheetViews>
    <sheetView workbookViewId="0">
      <selection activeCell="F18" sqref="F18:J18"/>
    </sheetView>
  </sheetViews>
  <sheetFormatPr defaultRowHeight="15" x14ac:dyDescent="0.25"/>
  <sheetData>
    <row r="1" spans="1:9" x14ac:dyDescent="0.25">
      <c r="A1" s="158"/>
      <c r="B1" s="158"/>
      <c r="C1" s="159"/>
      <c r="D1" s="159"/>
      <c r="E1" s="159"/>
      <c r="F1" s="159"/>
      <c r="G1" s="159"/>
      <c r="H1" s="159"/>
      <c r="I1" s="159"/>
    </row>
    <row r="2" spans="1:9" x14ac:dyDescent="0.25">
      <c r="C2" s="124"/>
      <c r="D2" s="124"/>
      <c r="E2" s="124"/>
      <c r="F2" s="124"/>
      <c r="G2" s="124"/>
      <c r="H2" s="124"/>
      <c r="I2" s="124"/>
    </row>
    <row r="3" spans="1:9" x14ac:dyDescent="0.25">
      <c r="C3" s="124"/>
      <c r="D3" s="124"/>
      <c r="E3" s="124"/>
      <c r="F3" s="124"/>
      <c r="G3" s="124"/>
      <c r="H3" s="124"/>
      <c r="I3" s="124"/>
    </row>
    <row r="4" spans="1:9" x14ac:dyDescent="0.25">
      <c r="C4" s="124"/>
      <c r="D4" s="124"/>
      <c r="E4" s="124"/>
      <c r="F4" s="124"/>
      <c r="G4" s="124"/>
      <c r="H4" s="124"/>
      <c r="I4" s="124"/>
    </row>
    <row r="5" spans="1:9" x14ac:dyDescent="0.25">
      <c r="C5" s="124"/>
      <c r="D5" s="124"/>
      <c r="E5" s="124"/>
      <c r="F5" s="124"/>
      <c r="G5" s="124"/>
      <c r="H5" s="124"/>
      <c r="I5" s="124"/>
    </row>
    <row r="6" spans="1:9" x14ac:dyDescent="0.25">
      <c r="C6" s="124"/>
      <c r="D6" s="124"/>
      <c r="E6" s="124"/>
      <c r="F6" s="124"/>
      <c r="G6" s="124"/>
      <c r="H6" s="124"/>
      <c r="I6" s="124"/>
    </row>
    <row r="7" spans="1:9" x14ac:dyDescent="0.25">
      <c r="C7" s="124"/>
      <c r="D7" s="124"/>
      <c r="E7" s="124"/>
      <c r="F7" s="124"/>
      <c r="G7" s="124"/>
      <c r="H7" s="124"/>
      <c r="I7" s="124"/>
    </row>
    <row r="8" spans="1:9" x14ac:dyDescent="0.25">
      <c r="C8" s="124"/>
      <c r="D8" s="124"/>
      <c r="E8" s="124"/>
      <c r="F8" s="124"/>
      <c r="G8" s="124"/>
      <c r="H8" s="124"/>
      <c r="I8" s="124"/>
    </row>
    <row r="9" spans="1:9" x14ac:dyDescent="0.25">
      <c r="C9" s="124"/>
      <c r="D9" s="124"/>
      <c r="E9" s="124"/>
      <c r="F9" s="124"/>
      <c r="G9" s="124"/>
      <c r="H9" s="124"/>
      <c r="I9" s="124"/>
    </row>
    <row r="10" spans="1:9" x14ac:dyDescent="0.25">
      <c r="C10" s="124"/>
      <c r="D10" s="124"/>
      <c r="E10" s="124"/>
      <c r="F10" s="124"/>
      <c r="G10" s="124"/>
      <c r="H10" s="124"/>
      <c r="I10" s="124"/>
    </row>
    <row r="11" spans="1:9" x14ac:dyDescent="0.25">
      <c r="C11" s="124"/>
      <c r="D11" s="124"/>
      <c r="E11" s="124"/>
      <c r="F11" s="124"/>
      <c r="G11" s="124"/>
      <c r="H11" s="124"/>
      <c r="I11" s="124"/>
    </row>
    <row r="12" spans="1:9" x14ac:dyDescent="0.25">
      <c r="C12" s="124"/>
      <c r="D12" s="124"/>
      <c r="E12" s="124"/>
      <c r="F12" s="124"/>
      <c r="G12" s="124"/>
      <c r="H12" s="124"/>
      <c r="I12" s="124"/>
    </row>
    <row r="13" spans="1:9" x14ac:dyDescent="0.25">
      <c r="C13" s="124"/>
      <c r="D13" s="124"/>
      <c r="E13" s="124"/>
      <c r="F13" s="124"/>
      <c r="G13" s="124"/>
      <c r="H13" s="124"/>
      <c r="I13" s="124"/>
    </row>
    <row r="14" spans="1:9" x14ac:dyDescent="0.25">
      <c r="C14" s="124"/>
      <c r="D14" s="124"/>
      <c r="E14" s="124"/>
      <c r="F14" s="124"/>
      <c r="G14" s="124"/>
      <c r="H14" s="124"/>
      <c r="I14" s="124"/>
    </row>
    <row r="15" spans="1:9" x14ac:dyDescent="0.25">
      <c r="C15" s="124"/>
      <c r="D15" s="124"/>
      <c r="E15" s="124"/>
      <c r="F15" s="124"/>
      <c r="G15" s="124"/>
      <c r="H15" s="124"/>
      <c r="I15" s="124"/>
    </row>
    <row r="16" spans="1:9" x14ac:dyDescent="0.25">
      <c r="C16" s="124"/>
      <c r="D16" s="124"/>
      <c r="E16" s="124"/>
      <c r="F16" s="124"/>
      <c r="G16" s="124"/>
      <c r="H16" s="124"/>
      <c r="I16" s="124"/>
    </row>
    <row r="17" spans="3:9" x14ac:dyDescent="0.25">
      <c r="C17" s="124"/>
      <c r="D17" s="124"/>
      <c r="E17" s="124"/>
      <c r="F17" s="124"/>
      <c r="G17" s="124"/>
      <c r="H17" s="124"/>
      <c r="I17" s="124"/>
    </row>
    <row r="18" spans="3:9" x14ac:dyDescent="0.25">
      <c r="C18" s="124"/>
      <c r="D18" s="124"/>
      <c r="E18" s="124"/>
      <c r="F18" s="124"/>
      <c r="G18" s="124"/>
      <c r="H18" s="124"/>
      <c r="I18" s="124"/>
    </row>
    <row r="19" spans="3:9" x14ac:dyDescent="0.25">
      <c r="C19" s="124"/>
      <c r="D19" s="124"/>
      <c r="E19" s="124"/>
      <c r="F19" s="124"/>
      <c r="G19" s="124"/>
      <c r="H19" s="124"/>
      <c r="I19" s="124"/>
    </row>
    <row r="20" spans="3:9" x14ac:dyDescent="0.25">
      <c r="C20" s="124"/>
      <c r="D20" s="124"/>
      <c r="E20" s="124"/>
      <c r="F20" s="124"/>
      <c r="G20" s="124"/>
      <c r="H20" s="124"/>
      <c r="I20" s="124"/>
    </row>
    <row r="21" spans="3:9" x14ac:dyDescent="0.25">
      <c r="C21" s="124"/>
      <c r="D21" s="124"/>
      <c r="E21" s="124"/>
      <c r="F21" s="124"/>
      <c r="G21" s="124"/>
      <c r="H21" s="124"/>
      <c r="I21" s="124"/>
    </row>
    <row r="22" spans="3:9" x14ac:dyDescent="0.25">
      <c r="C22" s="124"/>
      <c r="D22" s="124"/>
      <c r="E22" s="124"/>
      <c r="F22" s="124"/>
      <c r="G22" s="124"/>
      <c r="H22" s="124"/>
      <c r="I22" s="124"/>
    </row>
    <row r="23" spans="3:9" x14ac:dyDescent="0.25">
      <c r="C23" s="124"/>
      <c r="D23" s="124"/>
      <c r="E23" s="124"/>
      <c r="F23" s="124"/>
      <c r="G23" s="124"/>
      <c r="H23" s="124"/>
      <c r="I23" s="124"/>
    </row>
    <row r="24" spans="3:9" x14ac:dyDescent="0.25">
      <c r="C24" s="124"/>
      <c r="D24" s="124"/>
      <c r="E24" s="124"/>
      <c r="F24" s="124"/>
      <c r="G24" s="124"/>
      <c r="H24" s="124"/>
      <c r="I24" s="124"/>
    </row>
  </sheetData>
  <sheetProtection algorithmName="SHA-512" hashValue="IMxFE0nZjQ4gBrSgFb9mrLFTsp0x8n7+b1OC7IP6zIoyKbJb/AsDOvxxLRa11qqIfahd/lsU0ok/1nbIVcBfWA==" saltValue="+pakGwWyCvL0i6Bwg4UDz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A61"/>
  <sheetViews>
    <sheetView showGridLines="0" topLeftCell="A5" zoomScaleNormal="100" workbookViewId="0">
      <selection activeCell="M28" sqref="M28"/>
    </sheetView>
  </sheetViews>
  <sheetFormatPr defaultColWidth="9.140625" defaultRowHeight="15" x14ac:dyDescent="0.25"/>
  <cols>
    <col min="1" max="1" width="13.28515625" style="1" customWidth="1"/>
    <col min="2" max="2" width="13.5703125" style="1" customWidth="1"/>
    <col min="3" max="3" width="9.140625" style="1"/>
    <col min="4" max="7" width="14.7109375" style="1" customWidth="1"/>
    <col min="8" max="8" width="22.28515625" style="1" customWidth="1"/>
    <col min="9" max="13" width="13.140625" style="1" customWidth="1"/>
    <col min="14" max="25" width="9.140625" style="1"/>
    <col min="26" max="26" width="9.140625" style="1" customWidth="1"/>
    <col min="27" max="27" width="9.140625" style="1" hidden="1" customWidth="1"/>
    <col min="28" max="16384" width="9.140625" style="1"/>
  </cols>
  <sheetData>
    <row r="1" spans="1:27" x14ac:dyDescent="0.25">
      <c r="U1" s="2" t="s">
        <v>0</v>
      </c>
      <c r="AA1" s="1" t="str">
        <f>IF(OR(F16="", F16="(if applicable)"), F14, F14 &amp; " - " &amp; F16)</f>
        <v>Alectra Utilities Corporation-Enersource Rate Zone</v>
      </c>
    </row>
    <row r="11" spans="1:27" x14ac:dyDescent="0.25">
      <c r="G11" s="3"/>
    </row>
    <row r="12" spans="1:27" x14ac:dyDescent="0.25">
      <c r="A12" s="4" t="s">
        <v>1</v>
      </c>
      <c r="B12" s="5"/>
      <c r="C12" s="5"/>
      <c r="D12" s="5"/>
      <c r="E12" s="5"/>
      <c r="F12" s="5"/>
      <c r="G12" s="3"/>
      <c r="M12" s="6" t="s">
        <v>2</v>
      </c>
      <c r="N12" s="7">
        <v>5</v>
      </c>
    </row>
    <row r="13" spans="1:27" ht="15.75" thickBot="1" x14ac:dyDescent="0.3">
      <c r="G13" s="3"/>
    </row>
    <row r="14" spans="1:27" ht="16.5" customHeight="1" thickTop="1" thickBot="1" x14ac:dyDescent="0.3">
      <c r="E14" s="8" t="s">
        <v>3</v>
      </c>
      <c r="F14" s="425" t="s">
        <v>861</v>
      </c>
      <c r="G14" s="426"/>
      <c r="H14" s="426"/>
      <c r="I14" s="426"/>
      <c r="J14" s="426"/>
      <c r="K14" s="426"/>
      <c r="L14" s="427"/>
    </row>
    <row r="15" spans="1:27" x14ac:dyDescent="0.25">
      <c r="E15" s="9"/>
      <c r="F15" s="10"/>
      <c r="G15" s="11"/>
      <c r="H15" s="10"/>
      <c r="I15" s="10"/>
      <c r="J15" s="10"/>
    </row>
    <row r="16" spans="1:27" ht="1.9" customHeight="1" x14ac:dyDescent="0.25"/>
    <row r="17" spans="1:13" ht="2.25" customHeight="1" thickBot="1" x14ac:dyDescent="0.3">
      <c r="E17" s="12"/>
    </row>
    <row r="18" spans="1:13" ht="16.5" thickTop="1" thickBot="1" x14ac:dyDescent="0.3">
      <c r="E18" s="13" t="s">
        <v>4</v>
      </c>
      <c r="F18" s="428"/>
      <c r="G18" s="429"/>
      <c r="H18" s="429"/>
      <c r="I18" s="429"/>
      <c r="J18" s="430"/>
    </row>
    <row r="19" spans="1:13" ht="15.75" thickBot="1" x14ac:dyDescent="0.3">
      <c r="E19" s="12"/>
    </row>
    <row r="20" spans="1:13" ht="16.5" thickTop="1" thickBot="1" x14ac:dyDescent="0.3">
      <c r="E20" s="13" t="s">
        <v>5</v>
      </c>
      <c r="F20" s="428"/>
      <c r="G20" s="429"/>
      <c r="H20" s="429"/>
      <c r="I20" s="429"/>
      <c r="J20" s="430"/>
      <c r="M20" s="14"/>
    </row>
    <row r="21" spans="1:13" ht="15.75" thickBot="1" x14ac:dyDescent="0.3">
      <c r="E21" s="15"/>
      <c r="F21" s="10"/>
      <c r="G21" s="11"/>
      <c r="H21" s="10"/>
      <c r="I21" s="10"/>
      <c r="J21" s="10"/>
    </row>
    <row r="22" spans="1:13" ht="16.5" thickTop="1" thickBot="1" x14ac:dyDescent="0.3">
      <c r="E22" s="8" t="s">
        <v>6</v>
      </c>
      <c r="F22" s="428"/>
      <c r="G22" s="429"/>
      <c r="H22" s="429"/>
      <c r="I22" s="429"/>
      <c r="J22" s="430"/>
    </row>
    <row r="23" spans="1:13" ht="15.75" thickBot="1" x14ac:dyDescent="0.3">
      <c r="E23" s="15"/>
      <c r="F23" s="10"/>
      <c r="G23" s="11"/>
      <c r="H23" s="10"/>
      <c r="I23" s="10"/>
      <c r="J23" s="10"/>
    </row>
    <row r="24" spans="1:13" ht="16.5" thickTop="1" thickBot="1" x14ac:dyDescent="0.3">
      <c r="E24" s="8" t="s">
        <v>7</v>
      </c>
      <c r="F24" s="431"/>
      <c r="G24" s="432"/>
      <c r="H24" s="432"/>
      <c r="I24" s="432"/>
      <c r="J24" s="433"/>
    </row>
    <row r="25" spans="1:13" ht="15.75" thickBot="1" x14ac:dyDescent="0.3">
      <c r="E25" s="15"/>
      <c r="F25" s="10"/>
      <c r="G25" s="11"/>
      <c r="H25" s="10"/>
      <c r="I25" s="10"/>
      <c r="J25" s="10"/>
    </row>
    <row r="26" spans="1:13" ht="32.25" customHeight="1" thickTop="1" thickBot="1" x14ac:dyDescent="0.3">
      <c r="A26" s="441" t="s">
        <v>8</v>
      </c>
      <c r="B26" s="441"/>
      <c r="C26" s="441"/>
      <c r="D26" s="441"/>
      <c r="E26" s="442"/>
      <c r="F26" s="438" t="s">
        <v>858</v>
      </c>
      <c r="G26" s="439"/>
      <c r="H26" s="440"/>
      <c r="I26" s="10"/>
      <c r="L26" s="16" t="s">
        <v>9</v>
      </c>
      <c r="M26" s="101">
        <v>2020</v>
      </c>
    </row>
    <row r="27" spans="1:13" ht="15.75" thickBot="1" x14ac:dyDescent="0.3">
      <c r="E27" s="15"/>
      <c r="F27" s="10"/>
      <c r="G27" s="11"/>
      <c r="H27" s="10"/>
      <c r="I27" s="10"/>
      <c r="J27" s="10"/>
    </row>
    <row r="28" spans="1:13" ht="46.5" customHeight="1" thickTop="1" thickBot="1" x14ac:dyDescent="0.3">
      <c r="A28" s="441" t="str">
        <f>"Indicate the Price-Cap IR Year (1, 2, 3, 4, etc) in which " &amp;F14 &amp; " is applying:"</f>
        <v>Indicate the Price-Cap IR Year (1, 2, 3, 4, etc) in which Alectra Utilities Corporation-Enersource Rate Zone is applying:</v>
      </c>
      <c r="B28" s="441"/>
      <c r="C28" s="441"/>
      <c r="D28" s="441"/>
      <c r="E28" s="442"/>
      <c r="F28" s="438">
        <v>7</v>
      </c>
      <c r="G28" s="439"/>
      <c r="H28" s="440"/>
      <c r="I28" s="10"/>
      <c r="J28" s="441" t="str">
        <f>"Next OEB Scheduled Rebasing Year"</f>
        <v>Next OEB Scheduled Rebasing Year</v>
      </c>
      <c r="K28" s="441"/>
      <c r="L28" s="441"/>
      <c r="M28" s="101">
        <v>2027</v>
      </c>
    </row>
    <row r="29" spans="1:13" ht="15.75" thickBot="1" x14ac:dyDescent="0.3">
      <c r="E29" s="15"/>
      <c r="F29" s="10"/>
      <c r="G29" s="11"/>
      <c r="H29" s="10"/>
      <c r="I29" s="10"/>
      <c r="J29" s="10"/>
    </row>
    <row r="30" spans="1:13" ht="53.25" hidden="1" customHeight="1" thickTop="1" thickBot="1" x14ac:dyDescent="0.3">
      <c r="A30" s="441" t="str">
        <f>"For which Rate Year is " &amp;F14 &amp; " seeking approval for its CoS application?"</f>
        <v>For which Rate Year is Alectra Utilities Corporation-Enersource Rate Zone seeking approval for its CoS application?</v>
      </c>
      <c r="B30" s="441"/>
      <c r="C30" s="441"/>
      <c r="D30" s="441"/>
      <c r="E30" s="442"/>
      <c r="F30" s="443"/>
      <c r="G30" s="444"/>
      <c r="H30" s="445"/>
      <c r="I30" s="10"/>
      <c r="J30" s="10"/>
    </row>
    <row r="31" spans="1:13" ht="15.75" hidden="1" thickBot="1" x14ac:dyDescent="0.3">
      <c r="E31" s="15"/>
      <c r="F31" s="10"/>
      <c r="G31" s="11"/>
      <c r="H31" s="10"/>
      <c r="I31" s="10"/>
      <c r="J31" s="10"/>
    </row>
    <row r="32" spans="1:13" ht="29.25" customHeight="1" thickTop="1" thickBot="1" x14ac:dyDescent="0.3">
      <c r="A32" s="441" t="str">
        <f>F14 &amp; " is applying for:"</f>
        <v>Alectra Utilities Corporation-Enersource Rate Zone is applying for:</v>
      </c>
      <c r="B32" s="441"/>
      <c r="C32" s="441"/>
      <c r="D32" s="441"/>
      <c r="E32" s="442"/>
      <c r="F32" s="438" t="s">
        <v>859</v>
      </c>
      <c r="G32" s="439"/>
      <c r="H32" s="440"/>
      <c r="I32" s="10"/>
      <c r="J32" s="10"/>
    </row>
    <row r="33" spans="1:23" ht="15.75" thickBot="1" x14ac:dyDescent="0.3">
      <c r="E33" s="15"/>
      <c r="F33" s="10"/>
      <c r="G33" s="11"/>
      <c r="H33" s="10"/>
      <c r="I33" s="10"/>
      <c r="J33" s="10"/>
    </row>
    <row r="34" spans="1:23" ht="16.5" thickTop="1" thickBot="1" x14ac:dyDescent="0.3">
      <c r="A34" s="441" t="s">
        <v>10</v>
      </c>
      <c r="B34" s="441"/>
      <c r="C34" s="441"/>
      <c r="D34" s="441"/>
      <c r="E34" s="447"/>
      <c r="F34" s="448">
        <f>M26-F28</f>
        <v>2013</v>
      </c>
      <c r="G34" s="449"/>
      <c r="H34" s="450"/>
      <c r="I34" s="10"/>
      <c r="J34" s="10"/>
    </row>
    <row r="35" spans="1:23" ht="15.75" thickBot="1" x14ac:dyDescent="0.3">
      <c r="E35" s="15"/>
      <c r="F35" s="10"/>
      <c r="G35" s="11"/>
      <c r="H35" s="10"/>
      <c r="I35" s="10"/>
      <c r="J35" s="10"/>
    </row>
    <row r="36" spans="1:23" ht="16.5" hidden="1" thickTop="1" thickBot="1" x14ac:dyDescent="0.3">
      <c r="A36" s="441" t="s">
        <v>11</v>
      </c>
      <c r="B36" s="441"/>
      <c r="C36" s="441"/>
      <c r="D36" s="441"/>
      <c r="E36" s="442"/>
      <c r="F36" s="451"/>
      <c r="G36" s="452"/>
      <c r="H36" s="453"/>
      <c r="I36" s="10"/>
    </row>
    <row r="37" spans="1:23" ht="15.75" hidden="1" thickBot="1" x14ac:dyDescent="0.3">
      <c r="A37" s="17"/>
      <c r="B37" s="17"/>
      <c r="C37" s="17"/>
      <c r="D37" s="17"/>
      <c r="E37" s="17"/>
      <c r="F37" s="17"/>
      <c r="G37" s="17"/>
      <c r="H37" s="17"/>
      <c r="I37" s="17"/>
      <c r="J37" s="17"/>
      <c r="K37" s="17"/>
      <c r="L37" s="17"/>
      <c r="M37" s="17"/>
      <c r="N37" s="17"/>
      <c r="O37" s="17"/>
      <c r="P37" s="17"/>
      <c r="Q37" s="17"/>
      <c r="R37" s="17"/>
      <c r="S37" s="17"/>
      <c r="T37" s="17"/>
      <c r="U37" s="17"/>
      <c r="V37" s="17"/>
      <c r="W37" s="17"/>
    </row>
    <row r="38" spans="1:23" ht="35.25" customHeight="1" thickTop="1" thickBot="1" x14ac:dyDescent="0.3">
      <c r="A38" s="441" t="s">
        <v>12</v>
      </c>
      <c r="B38" s="441"/>
      <c r="C38" s="441"/>
      <c r="D38" s="441"/>
      <c r="E38" s="442"/>
      <c r="F38" s="448">
        <f>M26-2</f>
        <v>2018</v>
      </c>
      <c r="G38" s="449"/>
      <c r="H38" s="450"/>
      <c r="I38" s="10"/>
    </row>
    <row r="39" spans="1:23" ht="15.75" thickBot="1" x14ac:dyDescent="0.3">
      <c r="A39" s="17"/>
      <c r="B39" s="17"/>
      <c r="C39" s="17"/>
      <c r="D39" s="17"/>
      <c r="E39" s="17"/>
      <c r="F39" s="17"/>
      <c r="G39" s="17"/>
      <c r="H39" s="17"/>
      <c r="I39" s="17"/>
    </row>
    <row r="40" spans="1:23" ht="16.5" thickTop="1" thickBot="1" x14ac:dyDescent="0.3">
      <c r="E40" s="18" t="s">
        <v>13</v>
      </c>
      <c r="F40" s="455">
        <v>1.4999999999999999E-2</v>
      </c>
      <c r="G40" s="456"/>
      <c r="H40" s="457"/>
      <c r="I40" s="10"/>
    </row>
    <row r="41" spans="1:23" ht="15.75" thickBot="1" x14ac:dyDescent="0.3"/>
    <row r="42" spans="1:23" ht="16.5" thickTop="1" thickBot="1" x14ac:dyDescent="0.3">
      <c r="E42" s="18" t="s">
        <v>589</v>
      </c>
      <c r="F42" s="458" t="s">
        <v>14</v>
      </c>
      <c r="G42" s="459"/>
      <c r="H42" s="460"/>
      <c r="I42" s="10"/>
    </row>
    <row r="43" spans="1:23" ht="15.75" thickBot="1" x14ac:dyDescent="0.3"/>
    <row r="44" spans="1:23" ht="16.5" thickTop="1" thickBot="1" x14ac:dyDescent="0.3">
      <c r="E44" s="18" t="s">
        <v>15</v>
      </c>
      <c r="F44" s="458">
        <v>3.0000000000000001E-3</v>
      </c>
      <c r="G44" s="459"/>
      <c r="H44" s="460"/>
      <c r="I44" s="10"/>
    </row>
    <row r="45" spans="1:23" ht="15.75" thickBot="1" x14ac:dyDescent="0.3"/>
    <row r="46" spans="1:23" ht="16.5" thickTop="1" thickBot="1" x14ac:dyDescent="0.3">
      <c r="E46" s="18" t="s">
        <v>16</v>
      </c>
      <c r="F46" s="458">
        <f>F40-F44</f>
        <v>1.2E-2</v>
      </c>
      <c r="G46" s="459"/>
      <c r="H46" s="460"/>
      <c r="I46" s="10"/>
    </row>
    <row r="47" spans="1:23" x14ac:dyDescent="0.25">
      <c r="I47" s="19"/>
      <c r="J47" s="19"/>
      <c r="K47" s="19"/>
      <c r="L47" s="19"/>
      <c r="M47" s="19"/>
    </row>
    <row r="48" spans="1:23" ht="22.5" customHeight="1" thickBot="1" x14ac:dyDescent="0.3">
      <c r="A48" s="461" t="s">
        <v>17</v>
      </c>
      <c r="B48" s="461"/>
      <c r="C48" s="461"/>
      <c r="D48" s="461"/>
      <c r="E48" s="461"/>
      <c r="F48" s="462" t="str">
        <f>CONCATENATE("Revenues Based on ",IF($F$26="COS",$M$26&amp;" Test Year Distribution Revenues",MAX(F34,F38) &amp; IF(F38&gt;F34," Actual Distribution Demand"," Board-Approved Distribution Demand")))</f>
        <v>Revenues Based on 2018 Actual Distribution Demand</v>
      </c>
      <c r="G48" s="462"/>
      <c r="H48" s="462"/>
      <c r="I48" s="20" t="str">
        <f>LEFT(RIGHT(F48,LEN(F48)-18),4)</f>
        <v>2018</v>
      </c>
      <c r="J48" s="20"/>
      <c r="K48" s="20"/>
      <c r="L48" s="20"/>
      <c r="M48" s="20"/>
      <c r="N48" s="21"/>
    </row>
    <row r="49" spans="1:14" ht="22.9" customHeight="1" x14ac:dyDescent="0.25">
      <c r="A49" s="461"/>
      <c r="B49" s="461"/>
      <c r="C49" s="461"/>
      <c r="D49" s="461"/>
      <c r="E49" s="461"/>
      <c r="F49" s="463" t="str">
        <f>CONCATENATE("Revenues Based on ",IF(F26="COS",F38&amp;" Actual Distribution Revenues", IF(F34&gt;F38,F38,IF(F34=F38,F34-1,F34)) &amp; IF(F38&gt;F34, " Board-Approved Distribution Demand", " Actual Distribution Demand")))</f>
        <v>Revenues Based on 2013 Board-Approved Distribution Demand</v>
      </c>
      <c r="G49" s="463"/>
      <c r="H49" s="463"/>
      <c r="I49" s="20" t="str">
        <f>LEFT(RIGHT(F49,LEN(F49)-18),4)</f>
        <v>2013</v>
      </c>
      <c r="J49" s="20"/>
      <c r="K49" s="20"/>
      <c r="L49" s="20"/>
      <c r="M49" s="20"/>
      <c r="N49" s="21"/>
    </row>
    <row r="50" spans="1:14" x14ac:dyDescent="0.25">
      <c r="A50" s="21"/>
      <c r="B50" s="21"/>
      <c r="C50" s="21"/>
      <c r="D50" s="21"/>
      <c r="E50" s="21"/>
      <c r="F50" s="21"/>
      <c r="G50" s="21"/>
      <c r="H50" s="21"/>
      <c r="I50" s="20"/>
      <c r="J50" s="20"/>
      <c r="K50" s="20"/>
      <c r="L50" s="20"/>
      <c r="M50" s="20"/>
      <c r="N50" s="21"/>
    </row>
    <row r="51" spans="1:14" x14ac:dyDescent="0.25">
      <c r="B51" s="22" t="s">
        <v>18</v>
      </c>
      <c r="I51" s="19"/>
      <c r="J51" s="20"/>
      <c r="K51" s="20"/>
      <c r="L51" s="20"/>
      <c r="M51" s="20"/>
    </row>
    <row r="52" spans="1:14" ht="15.75" thickBot="1" x14ac:dyDescent="0.3">
      <c r="I52" s="19"/>
      <c r="J52" s="20"/>
      <c r="K52" s="20"/>
      <c r="L52" s="20"/>
      <c r="M52" s="20"/>
    </row>
    <row r="53" spans="1:14" ht="15.75" thickBot="1" x14ac:dyDescent="0.3">
      <c r="B53" s="100"/>
      <c r="C53" s="464" t="s">
        <v>19</v>
      </c>
      <c r="D53" s="464"/>
      <c r="E53" s="464"/>
      <c r="F53" s="464"/>
      <c r="G53" s="464"/>
      <c r="H53" s="464"/>
      <c r="I53" s="464"/>
      <c r="J53" s="464"/>
      <c r="K53" s="464"/>
      <c r="L53" s="464"/>
    </row>
    <row r="54" spans="1:14" ht="15.75" thickBot="1" x14ac:dyDescent="0.3"/>
    <row r="55" spans="1:14" ht="15.75" thickBot="1" x14ac:dyDescent="0.3">
      <c r="B55" s="23"/>
      <c r="C55" s="434" t="s">
        <v>20</v>
      </c>
      <c r="D55" s="435"/>
      <c r="E55" s="435"/>
      <c r="F55" s="435"/>
      <c r="G55" s="435"/>
      <c r="H55" s="435"/>
      <c r="I55" s="435"/>
      <c r="J55" s="435"/>
      <c r="K55" s="435"/>
      <c r="L55" s="435"/>
      <c r="M55" s="435"/>
      <c r="N55" s="435"/>
    </row>
    <row r="56" spans="1:14" ht="15.75" thickBot="1" x14ac:dyDescent="0.3">
      <c r="B56" s="24"/>
    </row>
    <row r="57" spans="1:14" ht="15.75" thickBot="1" x14ac:dyDescent="0.3">
      <c r="B57" s="25"/>
      <c r="C57" s="436" t="s">
        <v>21</v>
      </c>
      <c r="D57" s="437"/>
      <c r="E57" s="437"/>
      <c r="F57" s="437"/>
      <c r="G57" s="437"/>
      <c r="H57" s="437"/>
      <c r="I57" s="437"/>
      <c r="J57" s="437"/>
      <c r="K57" s="437"/>
      <c r="L57" s="437"/>
      <c r="M57" s="437"/>
    </row>
    <row r="58" spans="1:14" ht="4.5" customHeight="1" x14ac:dyDescent="0.25"/>
    <row r="60" spans="1:14" ht="87.75" customHeight="1" x14ac:dyDescent="0.25">
      <c r="A60" s="454" t="s">
        <v>590</v>
      </c>
      <c r="B60" s="454"/>
      <c r="C60" s="454"/>
      <c r="D60" s="454"/>
      <c r="E60" s="454"/>
      <c r="F60" s="454"/>
      <c r="G60" s="454"/>
      <c r="H60" s="454"/>
      <c r="I60" s="454"/>
      <c r="J60" s="454"/>
      <c r="K60" s="454"/>
      <c r="L60" s="454"/>
    </row>
    <row r="61" spans="1:14" ht="51" customHeight="1" x14ac:dyDescent="0.25">
      <c r="A61" s="446" t="s">
        <v>22</v>
      </c>
      <c r="B61" s="446"/>
      <c r="C61" s="446"/>
      <c r="D61" s="446"/>
      <c r="E61" s="446"/>
      <c r="F61" s="446"/>
      <c r="G61" s="446"/>
      <c r="H61" s="446"/>
      <c r="I61" s="446"/>
      <c r="J61" s="446"/>
      <c r="K61" s="446"/>
      <c r="L61" s="446"/>
    </row>
  </sheetData>
  <sheetProtection algorithmName="SHA-512" hashValue="E4qK0XAvEb+krw7GWhnNqW8qNiwtdREq+Q1oqPd4WdeDzMNPU7GOGJwvZ8AZG7EQHRjriX7+0Vg5XUYX/B7gkQ==" saltValue="KEiWpfw16b8mKXY9QIOLeg==" spinCount="100000" sheet="1" objects="1" scenarios="1"/>
  <mergeCells count="32">
    <mergeCell ref="A61:L61"/>
    <mergeCell ref="A34:E34"/>
    <mergeCell ref="F34:H34"/>
    <mergeCell ref="A36:E36"/>
    <mergeCell ref="F36:H36"/>
    <mergeCell ref="A38:E38"/>
    <mergeCell ref="F38:H38"/>
    <mergeCell ref="A60:L60"/>
    <mergeCell ref="F40:H40"/>
    <mergeCell ref="F42:H42"/>
    <mergeCell ref="F44:H44"/>
    <mergeCell ref="F46:H46"/>
    <mergeCell ref="A48:E49"/>
    <mergeCell ref="F48:H48"/>
    <mergeCell ref="F49:H49"/>
    <mergeCell ref="C53:L53"/>
    <mergeCell ref="C55:N55"/>
    <mergeCell ref="C57:M57"/>
    <mergeCell ref="F32:H32"/>
    <mergeCell ref="A26:E26"/>
    <mergeCell ref="F26:H26"/>
    <mergeCell ref="J28:L28"/>
    <mergeCell ref="A28:E28"/>
    <mergeCell ref="F28:H28"/>
    <mergeCell ref="A30:E30"/>
    <mergeCell ref="F30:H30"/>
    <mergeCell ref="A32:E32"/>
    <mergeCell ref="F14:L14"/>
    <mergeCell ref="F18:J18"/>
    <mergeCell ref="F20:J20"/>
    <mergeCell ref="F22:J22"/>
    <mergeCell ref="F24:J24"/>
  </mergeCells>
  <dataValidations count="10">
    <dataValidation type="whole" allowBlank="1" showInputMessage="1" showErrorMessage="1" sqref="M28" xr:uid="{00000000-0002-0000-0200-000000000000}">
      <formula1>2020</formula1>
      <formula2>2040</formula2>
    </dataValidation>
    <dataValidation type="whole" showErrorMessage="1" errorTitle="Incorrect Input" error="Please ensure that the year is in the following format: 20XX" prompt="Use the following format eg: January 1, 2013" sqref="F30:H30" xr:uid="{00000000-0002-0000-0200-000001000000}">
      <formula1>2000</formula1>
      <formula2>2100</formula2>
    </dataValidation>
    <dataValidation type="list" showErrorMessage="1" errorTitle="Incorrect Input" error="Please enter a number between 1 and 4." prompt="Use the following format eg: January 1, 2013" sqref="F28:H28" xr:uid="{00000000-0002-0000-0200-000002000000}">
      <formula1>"1, 2, 3,4,5,6,7,8,9,10"</formula1>
    </dataValidation>
    <dataValidation type="list" showErrorMessage="1" errorTitle="Selection Needed" error="Please select an option from the drop-down list." prompt="Use the following format eg: January 1, 2013" sqref="F26:H26" xr:uid="{00000000-0002-0000-0200-000003000000}">
      <formula1>"COS, Price-Cap IR"</formula1>
    </dataValidation>
    <dataValidation type="whole" showErrorMessage="1" errorTitle="Incorrect Input" error="Please re-enter your last cost of service rebasing YEAR and ensure that it is in the following format: 20XX" prompt="Use the following format eg: January 1, 2013" sqref="F38:H38 F34:H34" xr:uid="{00000000-0002-0000-0200-000004000000}">
      <formula1>2000</formula1>
      <formula2>2100</formula2>
    </dataValidation>
    <dataValidation showErrorMessage="1" errorTitle="Selection Needed" error="Please select an option from the drop-down list." prompt="Use the following format eg: January 1, 2013" sqref="F44:H44 F36:H36 F40:H40 F46:H46 F42:H42" xr:uid="{00000000-0002-0000-0200-000005000000}"/>
    <dataValidation allowBlank="1" showInputMessage="1" showErrorMessage="1" prompt="First and last name, title" sqref="F20:J20" xr:uid="{00000000-0002-0000-0200-000006000000}"/>
    <dataValidation type="list" allowBlank="1" showInputMessage="1" showErrorMessage="1" sqref="F14:L14" xr:uid="{00000000-0002-0000-0200-000007000000}">
      <formula1>LDCNAMES</formula1>
    </dataValidation>
    <dataValidation type="whole" allowBlank="1" showInputMessage="1" showErrorMessage="1" sqref="M26" xr:uid="{00000000-0002-0000-0200-000008000000}">
      <formula1>2019</formula1>
      <formula2>2040</formula2>
    </dataValidation>
    <dataValidation type="list" showErrorMessage="1" sqref="F32:H32" xr:uid="{00000000-0002-0000-0200-000009000000}">
      <formula1>"ICM Approval, ACM and ICM Approval"</formula1>
    </dataValidation>
  </dataValidations>
  <printOptions headings="1"/>
  <pageMargins left="0.23622047244094491" right="0.23622047244094491" top="0.74803149606299213" bottom="0.74803149606299213" header="0.31496062992125984" footer="0.31496062992125984"/>
  <pageSetup scale="6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7:Q38"/>
  <sheetViews>
    <sheetView showGridLines="0" zoomScaleNormal="100" workbookViewId="0"/>
  </sheetViews>
  <sheetFormatPr defaultColWidth="8.85546875" defaultRowHeight="15" x14ac:dyDescent="0.25"/>
  <cols>
    <col min="1" max="1" width="13.28515625" style="1" customWidth="1"/>
    <col min="2" max="4" width="8.85546875" style="1"/>
    <col min="5" max="5" width="9.140625" style="1" customWidth="1"/>
    <col min="6" max="10" width="8.85546875" style="1"/>
    <col min="11" max="14" width="8.85546875" style="1" customWidth="1"/>
    <col min="15" max="16384" width="8.85546875" style="1"/>
  </cols>
  <sheetData>
    <row r="7" spans="1:17" ht="15" customHeight="1" x14ac:dyDescent="0.25"/>
    <row r="11" spans="1:17" x14ac:dyDescent="0.25">
      <c r="G11" s="3"/>
    </row>
    <row r="12" spans="1:17" ht="32.25" customHeight="1" x14ac:dyDescent="0.25">
      <c r="A12" s="471" t="s">
        <v>591</v>
      </c>
      <c r="B12" s="471"/>
      <c r="C12" s="471"/>
      <c r="D12" s="471"/>
      <c r="E12" s="471"/>
      <c r="F12" s="471"/>
      <c r="G12" s="471"/>
      <c r="H12" s="471"/>
      <c r="I12" s="471"/>
      <c r="J12" s="471"/>
      <c r="K12" s="471"/>
      <c r="L12" s="471"/>
      <c r="M12" s="471"/>
      <c r="N12" s="471"/>
    </row>
    <row r="13" spans="1:17" ht="15" customHeight="1" x14ac:dyDescent="0.25">
      <c r="A13" s="12"/>
      <c r="B13" s="12"/>
      <c r="C13" s="12"/>
      <c r="D13" s="12"/>
      <c r="E13" s="12"/>
      <c r="F13" s="12"/>
      <c r="G13" s="288"/>
      <c r="H13" s="12"/>
      <c r="I13" s="12"/>
      <c r="J13" s="12"/>
      <c r="K13" s="12"/>
      <c r="O13" s="475" t="s">
        <v>857</v>
      </c>
      <c r="P13" s="475"/>
      <c r="Q13" s="475"/>
    </row>
    <row r="14" spans="1:17" ht="15" customHeight="1" x14ac:dyDescent="0.25">
      <c r="A14" s="12" t="s">
        <v>592</v>
      </c>
      <c r="B14" s="12"/>
      <c r="C14" s="289"/>
      <c r="D14" s="289"/>
      <c r="E14" s="289"/>
      <c r="F14" s="289"/>
      <c r="G14" s="289"/>
      <c r="H14" s="289"/>
      <c r="I14" s="289"/>
      <c r="J14" s="103">
        <v>7</v>
      </c>
      <c r="K14" s="289"/>
      <c r="O14" s="475"/>
      <c r="P14" s="475"/>
      <c r="Q14" s="475"/>
    </row>
    <row r="15" spans="1:17" ht="6" customHeight="1" x14ac:dyDescent="0.25">
      <c r="A15" s="12"/>
      <c r="B15" s="12"/>
      <c r="C15" s="289"/>
      <c r="D15" s="289"/>
      <c r="E15" s="289"/>
      <c r="F15" s="289"/>
      <c r="G15" s="289"/>
      <c r="H15" s="289"/>
      <c r="I15" s="289"/>
      <c r="J15" s="289"/>
      <c r="K15" s="289"/>
      <c r="O15" s="475"/>
      <c r="P15" s="475"/>
      <c r="Q15" s="475"/>
    </row>
    <row r="16" spans="1:17" x14ac:dyDescent="0.25">
      <c r="A16" s="12" t="s">
        <v>593</v>
      </c>
      <c r="B16" s="12"/>
      <c r="C16" s="289"/>
      <c r="D16" s="289"/>
      <c r="E16" s="290"/>
      <c r="F16" s="291"/>
      <c r="G16" s="291"/>
      <c r="H16" s="291"/>
      <c r="I16" s="291"/>
      <c r="J16" s="291"/>
      <c r="K16" s="289"/>
      <c r="O16" s="475"/>
      <c r="P16" s="475"/>
      <c r="Q16" s="475"/>
    </row>
    <row r="17" spans="1:17" x14ac:dyDescent="0.25">
      <c r="A17" s="3"/>
      <c r="B17" s="292"/>
      <c r="C17" s="292"/>
      <c r="D17" s="292"/>
      <c r="E17" s="293"/>
      <c r="F17" s="294"/>
      <c r="G17" s="294"/>
      <c r="I17" s="294"/>
      <c r="J17" s="294"/>
      <c r="K17" s="292"/>
      <c r="O17" s="475"/>
      <c r="P17" s="475"/>
      <c r="Q17" s="475"/>
    </row>
    <row r="18" spans="1:17" x14ac:dyDescent="0.25">
      <c r="A18" s="3"/>
      <c r="B18" s="472" t="s">
        <v>594</v>
      </c>
      <c r="C18" s="473"/>
      <c r="D18" s="473"/>
      <c r="E18" s="473"/>
      <c r="F18" s="473"/>
      <c r="G18" s="473"/>
      <c r="H18" s="473"/>
      <c r="I18" s="473"/>
      <c r="J18" s="474"/>
      <c r="K18" s="292"/>
      <c r="O18" s="363"/>
      <c r="P18" s="363"/>
      <c r="Q18" s="363"/>
    </row>
    <row r="19" spans="1:17" ht="15" customHeight="1" x14ac:dyDescent="0.25">
      <c r="A19" s="295">
        <v>1</v>
      </c>
      <c r="B19" s="468" t="s">
        <v>77</v>
      </c>
      <c r="C19" s="469"/>
      <c r="D19" s="469"/>
      <c r="E19" s="469"/>
      <c r="F19" s="469"/>
      <c r="G19" s="469"/>
      <c r="H19" s="469"/>
      <c r="I19" s="469"/>
      <c r="J19" s="470"/>
      <c r="K19" s="292"/>
      <c r="L19" s="292"/>
    </row>
    <row r="20" spans="1:17" ht="15" customHeight="1" x14ac:dyDescent="0.25">
      <c r="A20" s="295">
        <v>2</v>
      </c>
      <c r="B20" s="468" t="s">
        <v>86</v>
      </c>
      <c r="C20" s="469"/>
      <c r="D20" s="469"/>
      <c r="E20" s="469"/>
      <c r="F20" s="469"/>
      <c r="G20" s="469"/>
      <c r="H20" s="469"/>
      <c r="I20" s="469"/>
      <c r="J20" s="470"/>
      <c r="K20" s="292"/>
      <c r="L20" s="292"/>
    </row>
    <row r="21" spans="1:17" ht="15" customHeight="1" x14ac:dyDescent="0.25">
      <c r="A21" s="295">
        <v>3</v>
      </c>
      <c r="B21" s="465" t="s">
        <v>185</v>
      </c>
      <c r="C21" s="466"/>
      <c r="D21" s="466"/>
      <c r="E21" s="466"/>
      <c r="F21" s="466"/>
      <c r="G21" s="466"/>
      <c r="H21" s="466"/>
      <c r="I21" s="466"/>
      <c r="J21" s="467"/>
      <c r="K21" s="292"/>
      <c r="L21" s="292"/>
    </row>
    <row r="22" spans="1:17" ht="15" customHeight="1" x14ac:dyDescent="0.25">
      <c r="A22" s="295">
        <v>4</v>
      </c>
      <c r="B22" s="468" t="s">
        <v>192</v>
      </c>
      <c r="C22" s="469"/>
      <c r="D22" s="469"/>
      <c r="E22" s="469"/>
      <c r="F22" s="469"/>
      <c r="G22" s="469"/>
      <c r="H22" s="469"/>
      <c r="I22" s="469"/>
      <c r="J22" s="470"/>
      <c r="K22" s="292"/>
      <c r="L22" s="292"/>
    </row>
    <row r="23" spans="1:17" ht="15" customHeight="1" x14ac:dyDescent="0.25">
      <c r="A23" s="295">
        <v>5</v>
      </c>
      <c r="B23" s="468" t="s">
        <v>116</v>
      </c>
      <c r="C23" s="469"/>
      <c r="D23" s="469"/>
      <c r="E23" s="469"/>
      <c r="F23" s="469"/>
      <c r="G23" s="469"/>
      <c r="H23" s="469"/>
      <c r="I23" s="469"/>
      <c r="J23" s="470"/>
      <c r="K23" s="292"/>
      <c r="L23" s="292"/>
    </row>
    <row r="24" spans="1:17" ht="15" customHeight="1" x14ac:dyDescent="0.25">
      <c r="A24" s="302">
        <v>6</v>
      </c>
      <c r="B24" s="465" t="s">
        <v>123</v>
      </c>
      <c r="C24" s="466"/>
      <c r="D24" s="466"/>
      <c r="E24" s="466"/>
      <c r="F24" s="466"/>
      <c r="G24" s="466"/>
      <c r="H24" s="466"/>
      <c r="I24" s="466"/>
      <c r="J24" s="467"/>
      <c r="K24" s="292"/>
      <c r="L24" s="292"/>
    </row>
    <row r="25" spans="1:17" ht="15" customHeight="1" x14ac:dyDescent="0.25">
      <c r="A25" s="302">
        <v>7</v>
      </c>
      <c r="B25" s="468" t="s">
        <v>68</v>
      </c>
      <c r="C25" s="469"/>
      <c r="D25" s="469"/>
      <c r="E25" s="469"/>
      <c r="F25" s="469"/>
      <c r="G25" s="469"/>
      <c r="H25" s="469"/>
      <c r="I25" s="469"/>
      <c r="J25" s="470"/>
      <c r="K25" s="292"/>
      <c r="L25" s="292"/>
    </row>
    <row r="26" spans="1:17" ht="15" customHeight="1" x14ac:dyDescent="0.25">
      <c r="A26" s="302"/>
      <c r="B26" s="296"/>
      <c r="C26" s="297"/>
      <c r="D26" s="297"/>
      <c r="E26" s="297"/>
      <c r="F26" s="297"/>
      <c r="G26" s="297"/>
      <c r="H26" s="297"/>
      <c r="I26" s="297"/>
      <c r="J26" s="298"/>
      <c r="K26" s="292"/>
      <c r="L26" s="292"/>
    </row>
    <row r="27" spans="1:17" ht="15" customHeight="1" x14ac:dyDescent="0.25">
      <c r="A27" s="302"/>
      <c r="B27" s="303"/>
      <c r="C27" s="304"/>
      <c r="D27" s="304"/>
      <c r="E27" s="304"/>
      <c r="F27" s="304"/>
      <c r="G27" s="304"/>
      <c r="H27" s="304"/>
      <c r="I27" s="304"/>
      <c r="J27" s="305"/>
    </row>
    <row r="28" spans="1:17" ht="15" customHeight="1" x14ac:dyDescent="0.25">
      <c r="A28" s="302"/>
      <c r="B28" s="299"/>
      <c r="C28" s="300"/>
      <c r="D28" s="300"/>
      <c r="E28" s="300"/>
      <c r="F28" s="300"/>
      <c r="G28" s="300"/>
      <c r="H28" s="300"/>
      <c r="I28" s="300"/>
      <c r="J28" s="301"/>
    </row>
    <row r="29" spans="1:17" ht="15" customHeight="1" x14ac:dyDescent="0.25">
      <c r="A29" s="302"/>
      <c r="B29" s="299"/>
      <c r="C29" s="300"/>
      <c r="D29" s="300"/>
      <c r="E29" s="300"/>
      <c r="F29" s="300"/>
      <c r="G29" s="300"/>
      <c r="H29" s="300"/>
      <c r="I29" s="300"/>
      <c r="J29" s="301"/>
    </row>
    <row r="30" spans="1:17" ht="15" customHeight="1" x14ac:dyDescent="0.25">
      <c r="A30" s="302"/>
      <c r="B30" s="303"/>
      <c r="C30" s="304"/>
      <c r="D30" s="304"/>
      <c r="E30" s="304"/>
      <c r="F30" s="304"/>
      <c r="G30" s="304"/>
      <c r="H30" s="304"/>
      <c r="I30" s="304"/>
      <c r="J30" s="305"/>
    </row>
    <row r="31" spans="1:17" ht="15" customHeight="1" x14ac:dyDescent="0.25">
      <c r="A31" s="302"/>
      <c r="B31" s="299"/>
      <c r="C31" s="300"/>
      <c r="D31" s="300"/>
      <c r="E31" s="300"/>
      <c r="F31" s="300"/>
      <c r="G31" s="300"/>
      <c r="H31" s="300"/>
      <c r="I31" s="300"/>
      <c r="J31" s="301"/>
    </row>
    <row r="32" spans="1:17" ht="15" customHeight="1" x14ac:dyDescent="0.25">
      <c r="A32" s="302"/>
      <c r="B32" s="299"/>
      <c r="C32" s="300"/>
      <c r="D32" s="300"/>
      <c r="E32" s="300"/>
      <c r="F32" s="300"/>
      <c r="G32" s="300"/>
      <c r="H32" s="300"/>
      <c r="I32" s="300"/>
      <c r="J32" s="301"/>
    </row>
    <row r="33" spans="2:10" x14ac:dyDescent="0.25">
      <c r="B33" s="306"/>
      <c r="C33" s="306"/>
      <c r="D33" s="306"/>
      <c r="E33" s="306"/>
      <c r="F33" s="306"/>
      <c r="G33" s="306"/>
      <c r="H33" s="306"/>
      <c r="I33" s="306"/>
      <c r="J33" s="306"/>
    </row>
    <row r="34" spans="2:10" x14ac:dyDescent="0.25">
      <c r="B34" s="307"/>
      <c r="C34" s="307"/>
      <c r="D34" s="307"/>
      <c r="E34" s="307"/>
      <c r="F34" s="308"/>
      <c r="G34" s="308"/>
      <c r="H34" s="308"/>
      <c r="I34" s="308"/>
      <c r="J34" s="308"/>
    </row>
    <row r="35" spans="2:10" x14ac:dyDescent="0.25">
      <c r="B35" s="292"/>
      <c r="C35" s="292"/>
      <c r="D35" s="292"/>
      <c r="E35" s="292"/>
    </row>
    <row r="36" spans="2:10" x14ac:dyDescent="0.25">
      <c r="B36" s="292"/>
      <c r="C36" s="292"/>
      <c r="D36" s="292"/>
      <c r="E36" s="292"/>
    </row>
    <row r="37" spans="2:10" x14ac:dyDescent="0.25">
      <c r="B37" s="292"/>
      <c r="C37" s="292"/>
      <c r="D37" s="292"/>
      <c r="E37" s="292"/>
    </row>
    <row r="38" spans="2:10" x14ac:dyDescent="0.25">
      <c r="B38" s="292"/>
      <c r="C38" s="292"/>
      <c r="D38" s="292"/>
      <c r="E38" s="292"/>
    </row>
  </sheetData>
  <sheetProtection algorithmName="SHA-512" hashValue="JBytCt7ZlCYa8kYV3I2n5q8aSkVknWjMxa7JjwySCp4vn3zScZHiSLGJfBVktv+qYcc8ZKoB++aWAzH9D0ocSA==" saltValue="AUZpvUNjt7clVrAfxIHOkA==" spinCount="100000" sheet="1" objects="1" scenarios="1"/>
  <mergeCells count="10">
    <mergeCell ref="A12:N12"/>
    <mergeCell ref="B18:J18"/>
    <mergeCell ref="O13:Q17"/>
    <mergeCell ref="B19:J19"/>
    <mergeCell ref="B20:J20"/>
    <mergeCell ref="B21:J21"/>
    <mergeCell ref="B22:J22"/>
    <mergeCell ref="B23:J23"/>
    <mergeCell ref="B24:J24"/>
    <mergeCell ref="B25:J25"/>
  </mergeCells>
  <dataValidations count="3">
    <dataValidation type="list" allowBlank="1" showInputMessage="1" showErrorMessage="1" sqref="J14" xr:uid="{00000000-0002-0000-0300-000000000000}">
      <formula1>"1,2,3,4,5,6,7,8, 9, 10,11,12,13,14,15"</formula1>
    </dataValidation>
    <dataValidation allowBlank="1" showInputMessage="1" showErrorMessage="1" sqref="C26:J33 B26:B33" xr:uid="{00000000-0002-0000-0300-000001000000}"/>
    <dataValidation type="list" allowBlank="1" showInputMessage="1" showErrorMessage="1" sqref="B19:J19 B20:J20 B21:J21 B22:J22 B23:J23 B24:J24 B25:J25" xr:uid="{75C08E36-91BB-464F-8409-54BF7EF8FD02}">
      <formula1>Rate_Class</formula1>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Button 5">
              <controlPr defaultSize="0" print="0" autoFill="0" autoPict="0" macro="[0]!Module3.GenWorkbook">
                <anchor moveWithCells="1" sizeWithCells="1">
                  <from>
                    <xdr:col>15</xdr:col>
                    <xdr:colOff>352425</xdr:colOff>
                    <xdr:row>15</xdr:row>
                    <xdr:rowOff>85725</xdr:rowOff>
                  </from>
                  <to>
                    <xdr:col>16</xdr:col>
                    <xdr:colOff>476250</xdr:colOff>
                    <xdr:row>16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24"/>
  <sheetViews>
    <sheetView showGridLines="0" zoomScaleNormal="100" workbookViewId="0">
      <selection activeCell="C26" sqref="C26"/>
    </sheetView>
  </sheetViews>
  <sheetFormatPr defaultColWidth="9.140625" defaultRowHeight="15" x14ac:dyDescent="0.25"/>
  <cols>
    <col min="1" max="1" width="65.85546875" style="1" customWidth="1"/>
    <col min="2" max="2" width="21.85546875" style="1" customWidth="1"/>
    <col min="3" max="5" width="25.140625" style="1" customWidth="1"/>
    <col min="6" max="6" width="3.28515625" style="1" customWidth="1"/>
    <col min="7" max="9" width="25.42578125" style="1" customWidth="1"/>
    <col min="10" max="11" width="28" style="1" customWidth="1"/>
    <col min="12" max="16384" width="9.140625" style="1"/>
  </cols>
  <sheetData>
    <row r="1" spans="1:9" x14ac:dyDescent="0.25">
      <c r="A1" s="104"/>
    </row>
    <row r="5" spans="1:9" ht="15.75" x14ac:dyDescent="0.25">
      <c r="H5" s="112"/>
    </row>
    <row r="11" spans="1:9" ht="15.75" x14ac:dyDescent="0.25">
      <c r="A11" s="105"/>
    </row>
    <row r="13" spans="1:9" ht="35.25" customHeight="1" x14ac:dyDescent="0.25">
      <c r="A13" s="476" t="str">
        <f>"Input the billing determinants associated with " &amp; '1. Information Sheet'!F14 &amp; "'s " &amp; '1. Information Sheet'!F48 &amp; ". Input the current approved distribution rates.  Sheets 4 &amp; 5 calculate the NUMERATOR portion of the growth factor calculation."</f>
        <v>Input the billing determinants associated with Alectra Utilities Corporation-Enersource Rate Zone's Revenues Based on 2018 Actual Distribution Demand. Input the current approved distribution rates.  Sheets 4 &amp; 5 calculate the NUMERATOR portion of the growth factor calculation.</v>
      </c>
      <c r="B13" s="476"/>
      <c r="C13" s="476"/>
      <c r="D13" s="476"/>
      <c r="E13" s="476"/>
    </row>
    <row r="14" spans="1:9" ht="15.75" x14ac:dyDescent="0.25">
      <c r="A14" s="105"/>
    </row>
    <row r="15" spans="1:9" ht="17.25" x14ac:dyDescent="0.25">
      <c r="A15" s="105"/>
      <c r="C15" s="477" t="str">
        <f>RIGHT('1. Information Sheet'!F48,LEN('1. Information Sheet'!F48)-18)</f>
        <v>2018 Actual Distribution Demand</v>
      </c>
      <c r="D15" s="477"/>
      <c r="E15" s="477"/>
      <c r="F15" s="106"/>
      <c r="G15" s="477" t="str">
        <f>IF('1. Information Sheet'!F26="COS","Proposed Distribution Rates","Current Approved Distribution Rates")</f>
        <v>Current Approved Distribution Rates</v>
      </c>
      <c r="H15" s="477"/>
      <c r="I15" s="477"/>
    </row>
    <row r="16" spans="1:9" ht="64.5" customHeight="1" x14ac:dyDescent="0.25">
      <c r="A16" s="107" t="s">
        <v>595</v>
      </c>
      <c r="B16" s="190" t="s">
        <v>26</v>
      </c>
      <c r="C16" s="191" t="s">
        <v>596</v>
      </c>
      <c r="D16" s="192" t="s">
        <v>597</v>
      </c>
      <c r="E16" s="192" t="s">
        <v>598</v>
      </c>
      <c r="F16" s="193"/>
      <c r="G16" s="194" t="s">
        <v>599</v>
      </c>
      <c r="H16" s="195" t="s">
        <v>600</v>
      </c>
      <c r="I16" s="196" t="s">
        <v>601</v>
      </c>
    </row>
    <row r="17" spans="1:9" ht="15.75" thickBot="1" x14ac:dyDescent="0.3">
      <c r="A17" s="1" t="s">
        <v>77</v>
      </c>
      <c r="B17" s="387" t="s">
        <v>41</v>
      </c>
      <c r="C17" s="384">
        <v>183533</v>
      </c>
      <c r="D17" s="372">
        <v>1490532667</v>
      </c>
      <c r="E17" s="372">
        <v>0</v>
      </c>
      <c r="F17" s="369"/>
      <c r="G17" s="375">
        <v>24.25</v>
      </c>
      <c r="H17" s="376">
        <v>0</v>
      </c>
      <c r="I17" s="377">
        <v>0</v>
      </c>
    </row>
    <row r="18" spans="1:9" ht="15.75" thickBot="1" x14ac:dyDescent="0.3">
      <c r="A18" s="1" t="s">
        <v>86</v>
      </c>
      <c r="B18" s="388" t="s">
        <v>41</v>
      </c>
      <c r="C18" s="385">
        <v>18506</v>
      </c>
      <c r="D18" s="373">
        <v>685616684</v>
      </c>
      <c r="E18" s="373">
        <v>0</v>
      </c>
      <c r="F18" s="370"/>
      <c r="G18" s="378">
        <v>44.52</v>
      </c>
      <c r="H18" s="379">
        <v>1.2999999999999999E-2</v>
      </c>
      <c r="I18" s="380">
        <v>0</v>
      </c>
    </row>
    <row r="19" spans="1:9" ht="15.75" thickBot="1" x14ac:dyDescent="0.3">
      <c r="A19" s="1" t="s">
        <v>185</v>
      </c>
      <c r="B19" s="388" t="s">
        <v>51</v>
      </c>
      <c r="C19" s="385">
        <v>3735</v>
      </c>
      <c r="D19" s="373">
        <v>2051428808</v>
      </c>
      <c r="E19" s="373">
        <v>5710412</v>
      </c>
      <c r="F19" s="370"/>
      <c r="G19" s="378">
        <v>78.41</v>
      </c>
      <c r="H19" s="379">
        <v>0</v>
      </c>
      <c r="I19" s="380">
        <v>4.7188999999999997</v>
      </c>
    </row>
    <row r="20" spans="1:9" ht="15.75" thickBot="1" x14ac:dyDescent="0.3">
      <c r="A20" s="1" t="s">
        <v>192</v>
      </c>
      <c r="B20" s="388" t="s">
        <v>51</v>
      </c>
      <c r="C20" s="385">
        <v>478</v>
      </c>
      <c r="D20" s="373">
        <v>2037760513</v>
      </c>
      <c r="E20" s="373">
        <v>4585777.2030871157</v>
      </c>
      <c r="F20" s="370"/>
      <c r="G20" s="378">
        <v>1785.59</v>
      </c>
      <c r="H20" s="379">
        <v>0</v>
      </c>
      <c r="I20" s="380">
        <v>2.4281999999999999</v>
      </c>
    </row>
    <row r="21" spans="1:9" ht="15.75" thickBot="1" x14ac:dyDescent="0.3">
      <c r="A21" s="1" t="s">
        <v>116</v>
      </c>
      <c r="B21" s="388" t="s">
        <v>51</v>
      </c>
      <c r="C21" s="385">
        <v>9</v>
      </c>
      <c r="D21" s="373">
        <v>977049362</v>
      </c>
      <c r="E21" s="373">
        <v>1753163</v>
      </c>
      <c r="F21" s="370"/>
      <c r="G21" s="378">
        <v>14078.67</v>
      </c>
      <c r="H21" s="379">
        <v>0</v>
      </c>
      <c r="I21" s="380">
        <v>3.0139</v>
      </c>
    </row>
    <row r="22" spans="1:9" ht="15.75" thickBot="1" x14ac:dyDescent="0.3">
      <c r="A22" s="1" t="s">
        <v>123</v>
      </c>
      <c r="B22" s="388" t="s">
        <v>41</v>
      </c>
      <c r="C22" s="385">
        <v>3110</v>
      </c>
      <c r="D22" s="373">
        <v>11437642</v>
      </c>
      <c r="E22" s="373">
        <v>0</v>
      </c>
      <c r="F22" s="370"/>
      <c r="G22" s="378">
        <v>9.19</v>
      </c>
      <c r="H22" s="379">
        <v>1.67E-2</v>
      </c>
      <c r="I22" s="380">
        <v>0</v>
      </c>
    </row>
    <row r="23" spans="1:9" ht="15.75" thickBot="1" x14ac:dyDescent="0.3">
      <c r="A23" s="1" t="s">
        <v>68</v>
      </c>
      <c r="B23" s="388" t="s">
        <v>51</v>
      </c>
      <c r="C23" s="386">
        <v>50859</v>
      </c>
      <c r="D23" s="374">
        <v>13289944</v>
      </c>
      <c r="E23" s="374">
        <v>40572</v>
      </c>
      <c r="F23" s="371"/>
      <c r="G23" s="381">
        <v>1.54</v>
      </c>
      <c r="H23" s="382">
        <v>0</v>
      </c>
      <c r="I23" s="383">
        <v>11.7902</v>
      </c>
    </row>
    <row r="24" spans="1:9" x14ac:dyDescent="0.25">
      <c r="G24" s="287"/>
      <c r="H24" s="287"/>
      <c r="I24" s="287"/>
    </row>
  </sheetData>
  <sheetProtection algorithmName="SHA-512" hashValue="m7Xvvg0yNVk3vhsl27+LqFKxaxk/UT6uwtn5PBkPq2yzxU4vToHkqES2pwwCzmBDKNhLJtklkKyvFrn4xtjZCA==" saltValue="7AbOb9jaNYjra+9MSgCjHA==" spinCount="100000" sheet="1" objects="1" scenarios="1"/>
  <mergeCells count="3">
    <mergeCell ref="A13:E13"/>
    <mergeCell ref="C15:E15"/>
    <mergeCell ref="G15:I15"/>
  </mergeCells>
  <dataValidations count="1">
    <dataValidation type="list" allowBlank="1" showInputMessage="1" showErrorMessage="1" sqref="B17:B23" xr:uid="{00B73EA0-4F65-4915-B34D-89AC7ECD0128}">
      <formula1>Units1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2:Z50"/>
  <sheetViews>
    <sheetView showGridLines="0" zoomScaleNormal="100" workbookViewId="0">
      <selection activeCell="O32" sqref="O32"/>
    </sheetView>
  </sheetViews>
  <sheetFormatPr defaultRowHeight="15" x14ac:dyDescent="0.25"/>
  <cols>
    <col min="1" max="1" width="50" customWidth="1"/>
    <col min="3" max="4" width="16" bestFit="1" customWidth="1"/>
    <col min="5" max="5" width="18.85546875"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tr">
        <f>IF('1. Information Sheet'!F26="COS", "Calculation of " &amp; '1. Information Sheet'!M26 &amp; " Revenue Requirement.  No input required.", "Calculation of pro forma " &amp; '1. Information Sheet'!F34 &amp; " Revenues.  No input required.")</f>
        <v>Calculation of pro forma 2013 Revenues.  No input required.</v>
      </c>
    </row>
    <row r="14" spans="1:26" ht="21.75" thickBot="1" x14ac:dyDescent="0.3">
      <c r="C14" s="478" t="str">
        <f>'3. Growth Factor - NUM_CALC1'!C15</f>
        <v>2018 Actual Distribution Demand</v>
      </c>
      <c r="D14" s="478"/>
      <c r="E14" s="478"/>
      <c r="F14" s="109"/>
      <c r="G14" s="478" t="str">
        <f>'3. Growth Factor - NUM_CALC1'!G15:I15</f>
        <v>Current Approved Distribution Rates</v>
      </c>
      <c r="H14" s="478"/>
      <c r="I14" s="478"/>
    </row>
    <row r="15" spans="1:26" s="113" customFormat="1" ht="63" x14ac:dyDescent="0.25">
      <c r="A15" s="110" t="s">
        <v>595</v>
      </c>
      <c r="B15" s="111"/>
      <c r="C15" s="112" t="s">
        <v>596</v>
      </c>
      <c r="D15" s="112" t="s">
        <v>597</v>
      </c>
      <c r="E15" s="112" t="s">
        <v>598</v>
      </c>
      <c r="F15" s="112"/>
      <c r="G15" s="112" t="s">
        <v>599</v>
      </c>
      <c r="H15" s="112" t="s">
        <v>600</v>
      </c>
      <c r="I15" s="112" t="s">
        <v>601</v>
      </c>
      <c r="J15" s="112"/>
      <c r="K15" s="112" t="s">
        <v>603</v>
      </c>
      <c r="L15" s="112" t="s">
        <v>604</v>
      </c>
      <c r="M15" s="112" t="s">
        <v>605</v>
      </c>
      <c r="N15" s="112" t="s">
        <v>606</v>
      </c>
      <c r="O15" s="112"/>
      <c r="P15" s="112" t="s">
        <v>607</v>
      </c>
      <c r="Q15" s="112" t="s">
        <v>608</v>
      </c>
      <c r="R15" s="112" t="s">
        <v>609</v>
      </c>
      <c r="S15" s="112" t="s">
        <v>610</v>
      </c>
    </row>
    <row r="16" spans="1:26" s="119" customFormat="1" ht="15.75" x14ac:dyDescent="0.25">
      <c r="A16" s="114"/>
      <c r="B16" s="115"/>
      <c r="C16" s="115" t="s">
        <v>620</v>
      </c>
      <c r="D16" s="115" t="s">
        <v>622</v>
      </c>
      <c r="E16" s="115" t="s">
        <v>624</v>
      </c>
      <c r="F16" s="115"/>
      <c r="G16" s="115" t="s">
        <v>611</v>
      </c>
      <c r="H16" s="115" t="s">
        <v>612</v>
      </c>
      <c r="I16" s="115" t="s">
        <v>613</v>
      </c>
      <c r="J16" s="115"/>
      <c r="K16" s="116" t="s">
        <v>629</v>
      </c>
      <c r="L16" s="116" t="s">
        <v>747</v>
      </c>
      <c r="M16" s="116" t="s">
        <v>633</v>
      </c>
      <c r="N16" s="116" t="s">
        <v>635</v>
      </c>
      <c r="O16" s="115"/>
      <c r="P16" s="117" t="s">
        <v>614</v>
      </c>
      <c r="Q16" s="117" t="s">
        <v>615</v>
      </c>
      <c r="R16" s="117" t="s">
        <v>616</v>
      </c>
      <c r="S16" s="117" t="s">
        <v>748</v>
      </c>
      <c r="T16" s="118"/>
      <c r="U16" s="118"/>
      <c r="V16" s="118"/>
      <c r="W16" s="118"/>
      <c r="X16" s="118"/>
      <c r="Y16" s="118"/>
      <c r="Z16" s="118"/>
    </row>
    <row r="17" spans="1:26" x14ac:dyDescent="0.25">
      <c r="A17" s="389" t="s">
        <v>77</v>
      </c>
      <c r="B17" s="389"/>
      <c r="C17" s="390">
        <f>'3. Growth Factor - NUM_CALC1'!C17</f>
        <v>183533</v>
      </c>
      <c r="D17" s="390">
        <f>'3. Growth Factor - NUM_CALC1'!D17</f>
        <v>1490532667</v>
      </c>
      <c r="E17" s="390">
        <f>'3. Growth Factor - NUM_CALC1'!E17</f>
        <v>0</v>
      </c>
      <c r="F17" s="391"/>
      <c r="G17" s="392">
        <f>'3. Growth Factor - NUM_CALC1'!G17</f>
        <v>24.25</v>
      </c>
      <c r="H17" s="393">
        <f>'3. Growth Factor - NUM_CALC1'!H17</f>
        <v>0</v>
      </c>
      <c r="I17" s="393">
        <f>'3. Growth Factor - NUM_CALC1'!I17</f>
        <v>0</v>
      </c>
      <c r="J17" s="389"/>
      <c r="K17" s="394">
        <f t="shared" ref="K17:K23" si="0">G17*C17*12</f>
        <v>53408103</v>
      </c>
      <c r="L17" s="394">
        <f t="shared" ref="L17:M23" si="1">H17*D17</f>
        <v>0</v>
      </c>
      <c r="M17" s="394">
        <f t="shared" si="1"/>
        <v>0</v>
      </c>
      <c r="N17" s="394">
        <f t="shared" ref="N17:N23" si="2">SUM(K17,L17,M17)</f>
        <v>53408103</v>
      </c>
      <c r="O17" s="389"/>
      <c r="P17" s="395">
        <f t="shared" ref="P17:P23" si="3">IF(ISERROR(K17/N17),0,ROUND(K17/N17,3))</f>
        <v>1</v>
      </c>
      <c r="Q17" s="395">
        <f t="shared" ref="Q17:Q23" si="4">IF(ISERROR(L17/N17),0,ROUND(L17/N17,3))</f>
        <v>0</v>
      </c>
      <c r="R17" s="395">
        <f t="shared" ref="R17:R23" si="5">IF(ISERROR(M17/N17),0,ROUND(M17/N17,3))</f>
        <v>0</v>
      </c>
      <c r="S17" s="395">
        <f>N17/N24</f>
        <v>0.40216080982522051</v>
      </c>
    </row>
    <row r="18" spans="1:26" x14ac:dyDescent="0.25">
      <c r="A18" s="158" t="s">
        <v>86</v>
      </c>
      <c r="B18" s="158"/>
      <c r="C18" s="396">
        <f>'3. Growth Factor - NUM_CALC1'!C18</f>
        <v>18506</v>
      </c>
      <c r="D18" s="396">
        <f>'3. Growth Factor - NUM_CALC1'!D18</f>
        <v>685616684</v>
      </c>
      <c r="E18" s="396">
        <f>'3. Growth Factor - NUM_CALC1'!E18</f>
        <v>0</v>
      </c>
      <c r="F18" s="159"/>
      <c r="G18" s="397">
        <f>'3. Growth Factor - NUM_CALC1'!G18</f>
        <v>44.52</v>
      </c>
      <c r="H18" s="398">
        <f>'3. Growth Factor - NUM_CALC1'!H18</f>
        <v>1.2999999999999999E-2</v>
      </c>
      <c r="I18" s="398">
        <f>'3. Growth Factor - NUM_CALC1'!I18</f>
        <v>0</v>
      </c>
      <c r="J18" s="158"/>
      <c r="K18" s="399">
        <f t="shared" si="0"/>
        <v>9886645.4400000013</v>
      </c>
      <c r="L18" s="399">
        <f t="shared" si="1"/>
        <v>8913016.8919999991</v>
      </c>
      <c r="M18" s="399">
        <f t="shared" si="1"/>
        <v>0</v>
      </c>
      <c r="N18" s="399">
        <f t="shared" si="2"/>
        <v>18799662.332000002</v>
      </c>
      <c r="O18" s="158"/>
      <c r="P18" s="161">
        <f t="shared" si="3"/>
        <v>0.52600000000000002</v>
      </c>
      <c r="Q18" s="161">
        <f t="shared" si="4"/>
        <v>0.47399999999999998</v>
      </c>
      <c r="R18" s="161">
        <f t="shared" si="5"/>
        <v>0</v>
      </c>
      <c r="S18" s="161">
        <f>N18/N24</f>
        <v>0.14156068093034149</v>
      </c>
    </row>
    <row r="19" spans="1:26" x14ac:dyDescent="0.25">
      <c r="A19" s="158" t="s">
        <v>185</v>
      </c>
      <c r="B19" s="158"/>
      <c r="C19" s="396">
        <f>'3. Growth Factor - NUM_CALC1'!C19</f>
        <v>3735</v>
      </c>
      <c r="D19" s="396">
        <f>'3. Growth Factor - NUM_CALC1'!D19</f>
        <v>2051428808</v>
      </c>
      <c r="E19" s="396">
        <f>'3. Growth Factor - NUM_CALC1'!E19</f>
        <v>5710412</v>
      </c>
      <c r="F19" s="159"/>
      <c r="G19" s="397">
        <f>'3. Growth Factor - NUM_CALC1'!G19</f>
        <v>78.41</v>
      </c>
      <c r="H19" s="398">
        <f>'3. Growth Factor - NUM_CALC1'!H19</f>
        <v>0</v>
      </c>
      <c r="I19" s="398">
        <f>'3. Growth Factor - NUM_CALC1'!I19</f>
        <v>4.7188999999999997</v>
      </c>
      <c r="J19" s="158"/>
      <c r="K19" s="399">
        <f t="shared" si="0"/>
        <v>3514336.1999999997</v>
      </c>
      <c r="L19" s="399">
        <f t="shared" si="1"/>
        <v>0</v>
      </c>
      <c r="M19" s="399">
        <f t="shared" si="1"/>
        <v>26946863.186799999</v>
      </c>
      <c r="N19" s="399">
        <f t="shared" si="2"/>
        <v>30461199.386799999</v>
      </c>
      <c r="O19" s="158"/>
      <c r="P19" s="161">
        <f t="shared" si="3"/>
        <v>0.115</v>
      </c>
      <c r="Q19" s="161">
        <f t="shared" si="4"/>
        <v>0</v>
      </c>
      <c r="R19" s="161">
        <f t="shared" si="5"/>
        <v>0.88500000000000001</v>
      </c>
      <c r="S19" s="161">
        <f>N19/N24</f>
        <v>0.2293715733292942</v>
      </c>
    </row>
    <row r="20" spans="1:26" x14ac:dyDescent="0.25">
      <c r="A20" s="158" t="s">
        <v>192</v>
      </c>
      <c r="B20" s="158"/>
      <c r="C20" s="396">
        <f>'3. Growth Factor - NUM_CALC1'!C20</f>
        <v>478</v>
      </c>
      <c r="D20" s="396">
        <f>'3. Growth Factor - NUM_CALC1'!D20</f>
        <v>2037760513</v>
      </c>
      <c r="E20" s="396">
        <f>'3. Growth Factor - NUM_CALC1'!E20</f>
        <v>4585777.2030871157</v>
      </c>
      <c r="F20" s="159"/>
      <c r="G20" s="397">
        <f>'3. Growth Factor - NUM_CALC1'!G20</f>
        <v>1785.59</v>
      </c>
      <c r="H20" s="398">
        <f>'3. Growth Factor - NUM_CALC1'!H20</f>
        <v>0</v>
      </c>
      <c r="I20" s="398">
        <f>'3. Growth Factor - NUM_CALC1'!I20</f>
        <v>2.4281999999999999</v>
      </c>
      <c r="J20" s="158"/>
      <c r="K20" s="399">
        <f t="shared" si="0"/>
        <v>10242144.24</v>
      </c>
      <c r="L20" s="399">
        <f t="shared" si="1"/>
        <v>0</v>
      </c>
      <c r="M20" s="399">
        <f t="shared" si="1"/>
        <v>11135184.204536134</v>
      </c>
      <c r="N20" s="399">
        <f t="shared" si="2"/>
        <v>21377328.444536135</v>
      </c>
      <c r="O20" s="158"/>
      <c r="P20" s="161">
        <f t="shared" si="3"/>
        <v>0.47899999999999998</v>
      </c>
      <c r="Q20" s="161">
        <f t="shared" si="4"/>
        <v>0</v>
      </c>
      <c r="R20" s="161">
        <f t="shared" si="5"/>
        <v>0.52100000000000002</v>
      </c>
      <c r="S20" s="161">
        <f>N20/N24</f>
        <v>0.16097040029963944</v>
      </c>
    </row>
    <row r="21" spans="1:26" x14ac:dyDescent="0.25">
      <c r="A21" s="158" t="s">
        <v>116</v>
      </c>
      <c r="B21" s="158"/>
      <c r="C21" s="396">
        <f>'3. Growth Factor - NUM_CALC1'!C21</f>
        <v>9</v>
      </c>
      <c r="D21" s="396">
        <f>'3. Growth Factor - NUM_CALC1'!D21</f>
        <v>977049362</v>
      </c>
      <c r="E21" s="396">
        <f>'3. Growth Factor - NUM_CALC1'!E21</f>
        <v>1753163</v>
      </c>
      <c r="F21" s="159"/>
      <c r="G21" s="397">
        <f>'3. Growth Factor - NUM_CALC1'!G21</f>
        <v>14078.67</v>
      </c>
      <c r="H21" s="398">
        <f>'3. Growth Factor - NUM_CALC1'!H21</f>
        <v>0</v>
      </c>
      <c r="I21" s="398">
        <f>'3. Growth Factor - NUM_CALC1'!I21</f>
        <v>3.0139</v>
      </c>
      <c r="J21" s="158"/>
      <c r="K21" s="399">
        <f t="shared" si="0"/>
        <v>1520496.3599999999</v>
      </c>
      <c r="L21" s="399">
        <f t="shared" si="1"/>
        <v>0</v>
      </c>
      <c r="M21" s="399">
        <f t="shared" si="1"/>
        <v>5283857.9656999996</v>
      </c>
      <c r="N21" s="399">
        <f t="shared" si="2"/>
        <v>6804354.3256999999</v>
      </c>
      <c r="O21" s="158"/>
      <c r="P21" s="161">
        <f t="shared" si="3"/>
        <v>0.223</v>
      </c>
      <c r="Q21" s="161">
        <f t="shared" si="4"/>
        <v>0</v>
      </c>
      <c r="R21" s="161">
        <f t="shared" si="5"/>
        <v>0.77700000000000002</v>
      </c>
      <c r="S21" s="161">
        <f>N21/N24</f>
        <v>5.1236507051397318E-2</v>
      </c>
    </row>
    <row r="22" spans="1:26" x14ac:dyDescent="0.25">
      <c r="A22" s="158" t="s">
        <v>123</v>
      </c>
      <c r="B22" s="158"/>
      <c r="C22" s="396">
        <f>'3. Growth Factor - NUM_CALC1'!C22</f>
        <v>3110</v>
      </c>
      <c r="D22" s="396">
        <f>'3. Growth Factor - NUM_CALC1'!D22</f>
        <v>11437642</v>
      </c>
      <c r="E22" s="396">
        <f>'3. Growth Factor - NUM_CALC1'!E22</f>
        <v>0</v>
      </c>
      <c r="F22" s="159"/>
      <c r="G22" s="397">
        <f>'3. Growth Factor - NUM_CALC1'!G22</f>
        <v>9.19</v>
      </c>
      <c r="H22" s="398">
        <f>'3. Growth Factor - NUM_CALC1'!H22</f>
        <v>1.67E-2</v>
      </c>
      <c r="I22" s="398">
        <f>'3. Growth Factor - NUM_CALC1'!I22</f>
        <v>0</v>
      </c>
      <c r="J22" s="158"/>
      <c r="K22" s="399">
        <f t="shared" si="0"/>
        <v>342970.8</v>
      </c>
      <c r="L22" s="399">
        <f t="shared" si="1"/>
        <v>191008.6214</v>
      </c>
      <c r="M22" s="399">
        <f t="shared" si="1"/>
        <v>0</v>
      </c>
      <c r="N22" s="399">
        <f t="shared" si="2"/>
        <v>533979.42139999999</v>
      </c>
      <c r="O22" s="158"/>
      <c r="P22" s="161">
        <f t="shared" si="3"/>
        <v>0.64200000000000002</v>
      </c>
      <c r="Q22" s="161">
        <f t="shared" si="4"/>
        <v>0.35799999999999998</v>
      </c>
      <c r="R22" s="161">
        <f t="shared" si="5"/>
        <v>0</v>
      </c>
      <c r="S22" s="161">
        <f>N22/N24</f>
        <v>4.0208429896906595E-3</v>
      </c>
    </row>
    <row r="23" spans="1:26" x14ac:dyDescent="0.25">
      <c r="A23" s="158" t="s">
        <v>68</v>
      </c>
      <c r="B23" s="158"/>
      <c r="C23" s="396">
        <f>'3. Growth Factor - NUM_CALC1'!C23</f>
        <v>50859</v>
      </c>
      <c r="D23" s="396">
        <f>'3. Growth Factor - NUM_CALC1'!D23</f>
        <v>13289944</v>
      </c>
      <c r="E23" s="396">
        <f>'3. Growth Factor - NUM_CALC1'!E23</f>
        <v>40572</v>
      </c>
      <c r="F23" s="159"/>
      <c r="G23" s="397">
        <f>'3. Growth Factor - NUM_CALC1'!G23</f>
        <v>1.54</v>
      </c>
      <c r="H23" s="398">
        <f>'3. Growth Factor - NUM_CALC1'!H23</f>
        <v>0</v>
      </c>
      <c r="I23" s="398">
        <f>'3. Growth Factor - NUM_CALC1'!I23</f>
        <v>11.7902</v>
      </c>
      <c r="J23" s="158"/>
      <c r="K23" s="399">
        <f t="shared" si="0"/>
        <v>939874.32000000007</v>
      </c>
      <c r="L23" s="399">
        <f t="shared" si="1"/>
        <v>0</v>
      </c>
      <c r="M23" s="399">
        <f t="shared" si="1"/>
        <v>478351.99440000003</v>
      </c>
      <c r="N23" s="399">
        <f t="shared" si="2"/>
        <v>1418226.3144</v>
      </c>
      <c r="O23" s="158"/>
      <c r="P23" s="161">
        <f t="shared" si="3"/>
        <v>0.66300000000000003</v>
      </c>
      <c r="Q23" s="161">
        <f t="shared" si="4"/>
        <v>0</v>
      </c>
      <c r="R23" s="161">
        <f t="shared" si="5"/>
        <v>0.33700000000000002</v>
      </c>
      <c r="S23" s="161">
        <f>N23/N24</f>
        <v>1.0679185574416335E-2</v>
      </c>
    </row>
    <row r="24" spans="1:26" x14ac:dyDescent="0.25">
      <c r="A24" s="120" t="s">
        <v>769</v>
      </c>
      <c r="B24" s="120"/>
      <c r="C24" s="400">
        <f>SUM(C17:C23)</f>
        <v>260230</v>
      </c>
      <c r="D24" s="400">
        <f>SUM(D17:D23)</f>
        <v>7267115620</v>
      </c>
      <c r="E24" s="400">
        <f>SUM(E17:E23)</f>
        <v>12089924.203087116</v>
      </c>
      <c r="F24" s="121"/>
      <c r="G24" s="121"/>
      <c r="H24" s="121"/>
      <c r="I24" s="121"/>
      <c r="J24" s="120"/>
      <c r="K24" s="122">
        <f>SUM(K17:K23)</f>
        <v>79854570.359999985</v>
      </c>
      <c r="L24" s="122">
        <f>SUM(L17:L23)</f>
        <v>9104025.5133999996</v>
      </c>
      <c r="M24" s="122">
        <f>SUM(M17:M23)</f>
        <v>43844257.351436138</v>
      </c>
      <c r="N24" s="122">
        <f>SUM(N17:N23)</f>
        <v>132802853.22483614</v>
      </c>
      <c r="O24" s="120"/>
      <c r="P24" s="123"/>
      <c r="Q24" s="123"/>
      <c r="R24" s="123"/>
      <c r="S24" s="123">
        <f>SUM(S17:S23)</f>
        <v>1</v>
      </c>
      <c r="T24" s="118"/>
      <c r="U24" s="118"/>
      <c r="V24" s="118"/>
      <c r="W24" s="118"/>
      <c r="X24" s="118"/>
      <c r="Y24" s="118"/>
      <c r="Z24" s="118"/>
    </row>
    <row r="25" spans="1:26" x14ac:dyDescent="0.25">
      <c r="C25" s="124"/>
      <c r="D25" s="124"/>
      <c r="E25" s="124"/>
      <c r="F25" s="124"/>
      <c r="G25" s="124"/>
      <c r="H25" s="124"/>
      <c r="I25" s="124"/>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algorithmName="SHA-512" hashValue="TvQjwFt91A5tF+7XFYJR2VhHnXGoseAs0M7qCRR2VJjO4hn5R+btDJ06e+8raLWGXhp91jMTfjkRxXlli4EcvQ==" saltValue="GSbWS27d1YNgj4TrltEUrw==" spinCount="100000"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K101"/>
  <sheetViews>
    <sheetView showGridLines="0" topLeftCell="A31" zoomScaleNormal="100" workbookViewId="0">
      <selection activeCell="I39" sqref="I39"/>
    </sheetView>
  </sheetViews>
  <sheetFormatPr defaultColWidth="9.140625" defaultRowHeight="15" customHeight="1" zeroHeight="1" x14ac:dyDescent="0.2"/>
  <cols>
    <col min="1" max="1" width="70.140625" style="127" bestFit="1" customWidth="1"/>
    <col min="2" max="2" width="9.140625" style="127" customWidth="1"/>
    <col min="3" max="3" width="22.42578125" style="127" customWidth="1"/>
    <col min="4" max="4" width="3.5703125" style="127" customWidth="1"/>
    <col min="5" max="5" width="26.7109375" style="127" customWidth="1"/>
    <col min="6" max="6" width="23.7109375" style="157" bestFit="1" customWidth="1"/>
    <col min="7" max="7" width="26.7109375" style="127" customWidth="1"/>
    <col min="8" max="8" width="23.5703125" style="157" bestFit="1" customWidth="1"/>
    <col min="9" max="9" width="11.85546875" style="157" customWidth="1"/>
    <col min="10" max="11" width="11.42578125" style="127" customWidth="1"/>
    <col min="12" max="16384" width="9.140625" style="127"/>
  </cols>
  <sheetData>
    <row r="1" spans="1:11" ht="33.75" customHeight="1" x14ac:dyDescent="0.2">
      <c r="A1" s="125"/>
      <c r="B1" s="125"/>
      <c r="C1" s="125"/>
      <c r="D1" s="125"/>
      <c r="E1" s="125"/>
      <c r="F1" s="125"/>
      <c r="G1" s="125"/>
      <c r="H1" s="125"/>
      <c r="I1" s="126"/>
      <c r="J1" s="125"/>
      <c r="K1" s="125"/>
    </row>
    <row r="2" spans="1:11" s="125" customFormat="1" ht="33.75" customHeight="1" x14ac:dyDescent="0.25">
      <c r="C2" s="128"/>
      <c r="F2" s="126"/>
      <c r="H2" s="126"/>
      <c r="I2" s="126"/>
    </row>
    <row r="3" spans="1:11" s="125" customFormat="1" ht="33.75" customHeight="1" x14ac:dyDescent="0.25">
      <c r="C3" s="128"/>
      <c r="F3" s="126"/>
      <c r="H3" s="126"/>
      <c r="I3" s="126"/>
    </row>
    <row r="4" spans="1:11" s="125" customFormat="1" ht="33.75" customHeight="1" x14ac:dyDescent="0.25">
      <c r="C4" s="128"/>
      <c r="F4" s="126"/>
      <c r="H4" s="126"/>
      <c r="I4" s="126"/>
    </row>
    <row r="5" spans="1:11" s="125" customFormat="1" ht="18" x14ac:dyDescent="0.25">
      <c r="C5" s="128"/>
      <c r="F5" s="126"/>
      <c r="H5" s="126"/>
      <c r="I5" s="126"/>
    </row>
    <row r="6" spans="1:11" s="125" customFormat="1" ht="15.75" x14ac:dyDescent="0.25">
      <c r="A6" s="129"/>
      <c r="F6" s="126"/>
      <c r="H6" s="126"/>
      <c r="I6" s="126"/>
    </row>
    <row r="7" spans="1:11" s="125" customFormat="1" x14ac:dyDescent="0.2">
      <c r="F7" s="126"/>
      <c r="H7" s="126"/>
      <c r="I7" s="126"/>
    </row>
    <row r="8" spans="1:11" s="125" customFormat="1" ht="21" thickBot="1" x14ac:dyDescent="0.35">
      <c r="A8" s="130" t="s">
        <v>617</v>
      </c>
      <c r="B8" s="131"/>
      <c r="C8" s="479" t="str">
        <f>IF('1. Information Sheet'!F26="COS",CONCATENATE('1. Information Sheet'!M26," Test Year COS Rebasing"),CONCATENATE("Last COS Rebasing: ",'1. Information Sheet'!F34))</f>
        <v>Last COS Rebasing: 2013</v>
      </c>
      <c r="D8" s="479"/>
      <c r="E8" s="479"/>
      <c r="F8" s="479"/>
      <c r="G8" s="126"/>
    </row>
    <row r="9" spans="1:11" s="125" customFormat="1" ht="18" x14ac:dyDescent="0.25">
      <c r="A9" s="132" t="s">
        <v>618</v>
      </c>
      <c r="B9" s="131"/>
      <c r="C9" s="133"/>
      <c r="D9" s="133"/>
      <c r="E9" s="133"/>
      <c r="F9" s="133"/>
      <c r="G9" s="126"/>
    </row>
    <row r="10" spans="1:11" s="125" customFormat="1" x14ac:dyDescent="0.2">
      <c r="A10" s="134" t="s">
        <v>619</v>
      </c>
      <c r="B10" s="131"/>
      <c r="C10" s="185">
        <v>541300088</v>
      </c>
      <c r="D10" s="135" t="s">
        <v>620</v>
      </c>
      <c r="E10" s="136"/>
      <c r="F10" s="137"/>
      <c r="G10" s="126"/>
    </row>
    <row r="11" spans="1:11" s="125" customFormat="1" x14ac:dyDescent="0.2">
      <c r="A11" s="134" t="s">
        <v>621</v>
      </c>
      <c r="B11" s="131"/>
      <c r="C11" s="185">
        <v>4371726</v>
      </c>
      <c r="D11" s="135" t="s">
        <v>622</v>
      </c>
      <c r="E11" s="136"/>
      <c r="F11" s="137"/>
      <c r="G11" s="126"/>
    </row>
    <row r="12" spans="1:11" s="125" customFormat="1" x14ac:dyDescent="0.2">
      <c r="A12" s="134" t="s">
        <v>623</v>
      </c>
      <c r="B12" s="131"/>
      <c r="C12" s="185">
        <v>46257875</v>
      </c>
      <c r="D12" s="135" t="s">
        <v>624</v>
      </c>
      <c r="E12" s="136"/>
      <c r="F12" s="137"/>
      <c r="G12" s="126"/>
    </row>
    <row r="13" spans="1:11" s="125" customFormat="1" x14ac:dyDescent="0.2">
      <c r="A13" s="134" t="s">
        <v>625</v>
      </c>
      <c r="B13" s="131"/>
      <c r="C13" s="185">
        <v>-1026755</v>
      </c>
      <c r="D13" s="135" t="s">
        <v>611</v>
      </c>
      <c r="E13" s="136"/>
      <c r="F13" s="137"/>
      <c r="G13" s="126"/>
    </row>
    <row r="14" spans="1:11" s="125" customFormat="1" x14ac:dyDescent="0.2">
      <c r="A14" s="134" t="s">
        <v>626</v>
      </c>
      <c r="B14" s="131"/>
      <c r="C14" s="185"/>
      <c r="D14" s="138" t="s">
        <v>612</v>
      </c>
      <c r="E14" s="136"/>
      <c r="F14" s="137"/>
      <c r="G14" s="126"/>
    </row>
    <row r="15" spans="1:11" s="125" customFormat="1" x14ac:dyDescent="0.2">
      <c r="A15" s="134" t="s">
        <v>627</v>
      </c>
      <c r="B15" s="131"/>
      <c r="C15" s="185">
        <v>-4371726</v>
      </c>
      <c r="D15" s="135" t="s">
        <v>613</v>
      </c>
      <c r="E15" s="136"/>
      <c r="F15" s="137"/>
      <c r="G15" s="126"/>
    </row>
    <row r="16" spans="1:11" s="125" customFormat="1" x14ac:dyDescent="0.2">
      <c r="A16" s="134" t="s">
        <v>628</v>
      </c>
      <c r="B16" s="131"/>
      <c r="C16" s="139">
        <f>SUM(C10:C15)</f>
        <v>586531208</v>
      </c>
      <c r="D16" s="140" t="s">
        <v>629</v>
      </c>
      <c r="E16" s="136"/>
      <c r="F16" s="135"/>
      <c r="G16" s="126"/>
    </row>
    <row r="17" spans="1:9" s="125" customFormat="1" x14ac:dyDescent="0.2">
      <c r="A17" s="134" t="s">
        <v>630</v>
      </c>
      <c r="B17" s="131"/>
      <c r="C17" s="141"/>
      <c r="D17" s="137"/>
      <c r="E17" s="139">
        <f>(C10+C16)/2</f>
        <v>563915648</v>
      </c>
      <c r="F17" s="142" t="s">
        <v>631</v>
      </c>
      <c r="G17" s="126"/>
    </row>
    <row r="18" spans="1:9" s="125" customFormat="1" x14ac:dyDescent="0.2">
      <c r="B18" s="131"/>
      <c r="C18" s="141"/>
      <c r="D18" s="137"/>
      <c r="E18" s="141"/>
      <c r="F18" s="135"/>
      <c r="G18" s="126"/>
    </row>
    <row r="19" spans="1:9" s="125" customFormat="1" x14ac:dyDescent="0.2">
      <c r="A19" s="134" t="s">
        <v>632</v>
      </c>
      <c r="B19" s="131"/>
      <c r="C19" s="185">
        <v>45750490</v>
      </c>
      <c r="D19" s="142" t="s">
        <v>633</v>
      </c>
      <c r="E19" s="141"/>
      <c r="F19" s="135"/>
      <c r="G19" s="126"/>
    </row>
    <row r="20" spans="1:9" s="125" customFormat="1" x14ac:dyDescent="0.2">
      <c r="A20" s="134" t="s">
        <v>634</v>
      </c>
      <c r="B20" s="131"/>
      <c r="C20" s="185">
        <v>28721695</v>
      </c>
      <c r="D20" s="142" t="s">
        <v>635</v>
      </c>
      <c r="E20" s="141"/>
      <c r="F20" s="135"/>
      <c r="G20" s="126"/>
      <c r="I20" s="143"/>
    </row>
    <row r="21" spans="1:9" s="125" customFormat="1" x14ac:dyDescent="0.2">
      <c r="A21" s="134" t="s">
        <v>636</v>
      </c>
      <c r="B21" s="131"/>
      <c r="C21" s="185"/>
      <c r="D21" s="144" t="s">
        <v>637</v>
      </c>
      <c r="E21" s="141"/>
      <c r="F21" s="135"/>
      <c r="G21" s="126"/>
    </row>
    <row r="22" spans="1:9" s="125" customFormat="1" x14ac:dyDescent="0.2">
      <c r="A22" s="134" t="s">
        <v>638</v>
      </c>
      <c r="B22" s="131"/>
      <c r="C22" s="185">
        <v>-1026755</v>
      </c>
      <c r="D22" s="135" t="s">
        <v>639</v>
      </c>
      <c r="E22" s="141"/>
      <c r="F22" s="135"/>
      <c r="G22" s="126"/>
    </row>
    <row r="23" spans="1:9" s="125" customFormat="1" x14ac:dyDescent="0.2">
      <c r="A23" s="134" t="s">
        <v>640</v>
      </c>
      <c r="B23" s="131"/>
      <c r="C23" s="139">
        <f>SUM(C19:C22)</f>
        <v>73445430</v>
      </c>
      <c r="D23" s="135" t="s">
        <v>641</v>
      </c>
      <c r="E23" s="141"/>
      <c r="F23" s="135"/>
      <c r="G23" s="126"/>
    </row>
    <row r="24" spans="1:9" s="125" customFormat="1" x14ac:dyDescent="0.2">
      <c r="A24" s="134" t="s">
        <v>642</v>
      </c>
      <c r="B24" s="131"/>
      <c r="C24" s="141"/>
      <c r="D24" s="137"/>
      <c r="E24" s="139">
        <f>SUM(C19,C23)/2</f>
        <v>59597960</v>
      </c>
      <c r="F24" s="135" t="s">
        <v>643</v>
      </c>
      <c r="G24" s="126"/>
    </row>
    <row r="25" spans="1:9" s="125" customFormat="1" x14ac:dyDescent="0.2">
      <c r="B25" s="131"/>
      <c r="C25" s="141"/>
      <c r="D25" s="137"/>
      <c r="E25" s="141"/>
      <c r="F25" s="137"/>
      <c r="G25" s="126"/>
    </row>
    <row r="26" spans="1:9" s="125" customFormat="1" ht="15.75" x14ac:dyDescent="0.25">
      <c r="A26" s="129" t="s">
        <v>644</v>
      </c>
      <c r="B26" s="131"/>
      <c r="C26" s="141"/>
      <c r="D26" s="137"/>
      <c r="E26" s="145">
        <f>E17-E24</f>
        <v>504317688</v>
      </c>
      <c r="F26" s="144" t="s">
        <v>645</v>
      </c>
      <c r="G26" s="126"/>
    </row>
    <row r="27" spans="1:9" s="125" customFormat="1" x14ac:dyDescent="0.2">
      <c r="B27" s="131"/>
      <c r="C27" s="141"/>
      <c r="D27" s="137"/>
      <c r="E27" s="141"/>
      <c r="F27" s="137"/>
      <c r="G27" s="126"/>
    </row>
    <row r="28" spans="1:9" s="125" customFormat="1" ht="15.75" x14ac:dyDescent="0.25">
      <c r="A28" s="129" t="s">
        <v>646</v>
      </c>
      <c r="B28" s="131"/>
      <c r="C28" s="141"/>
      <c r="D28" s="137"/>
      <c r="E28" s="136"/>
      <c r="F28" s="135"/>
      <c r="G28" s="126"/>
    </row>
    <row r="29" spans="1:9" s="125" customFormat="1" x14ac:dyDescent="0.2">
      <c r="A29" s="134" t="s">
        <v>647</v>
      </c>
      <c r="B29" s="131"/>
      <c r="C29" s="185">
        <v>786215891</v>
      </c>
      <c r="D29" s="146" t="s">
        <v>648</v>
      </c>
      <c r="E29" s="141"/>
      <c r="F29" s="137"/>
      <c r="G29" s="126"/>
    </row>
    <row r="30" spans="1:9" s="125" customFormat="1" x14ac:dyDescent="0.2">
      <c r="A30" s="134" t="s">
        <v>649</v>
      </c>
      <c r="B30" s="131"/>
      <c r="C30" s="186">
        <v>0.13500000000000001</v>
      </c>
      <c r="D30" s="144" t="s">
        <v>650</v>
      </c>
      <c r="E30" s="141"/>
      <c r="F30" s="137"/>
      <c r="G30" s="126"/>
    </row>
    <row r="31" spans="1:9" s="125" customFormat="1" ht="15.75" x14ac:dyDescent="0.25">
      <c r="A31" s="129" t="s">
        <v>646</v>
      </c>
      <c r="B31" s="131"/>
      <c r="C31" s="141"/>
      <c r="D31" s="144"/>
      <c r="E31" s="145">
        <f>C29*C30</f>
        <v>106139145.28500001</v>
      </c>
      <c r="F31" s="135" t="s">
        <v>651</v>
      </c>
      <c r="G31" s="126"/>
    </row>
    <row r="32" spans="1:9" s="125" customFormat="1" x14ac:dyDescent="0.2">
      <c r="B32" s="131"/>
      <c r="C32" s="141"/>
      <c r="D32" s="137"/>
      <c r="E32" s="141"/>
      <c r="F32" s="137"/>
      <c r="G32" s="126"/>
    </row>
    <row r="33" spans="1:7" s="125" customFormat="1" ht="15.75" x14ac:dyDescent="0.25">
      <c r="A33" s="129" t="s">
        <v>652</v>
      </c>
      <c r="B33" s="131"/>
      <c r="C33" s="141"/>
      <c r="D33" s="137"/>
      <c r="E33" s="147">
        <f>SUM(E26,E31)</f>
        <v>610456833.28499997</v>
      </c>
      <c r="F33" s="135" t="s">
        <v>653</v>
      </c>
      <c r="G33" s="126"/>
    </row>
    <row r="34" spans="1:7" s="125" customFormat="1" ht="15.75" x14ac:dyDescent="0.25">
      <c r="A34" s="129"/>
      <c r="B34" s="131"/>
      <c r="C34" s="141"/>
      <c r="D34" s="137"/>
      <c r="E34" s="148"/>
      <c r="F34" s="137"/>
      <c r="G34" s="126"/>
    </row>
    <row r="35" spans="1:7" s="125" customFormat="1" ht="18" x14ac:dyDescent="0.25">
      <c r="A35" s="132" t="s">
        <v>654</v>
      </c>
      <c r="B35" s="131"/>
      <c r="C35" s="141"/>
      <c r="D35" s="137"/>
      <c r="E35" s="141"/>
      <c r="F35" s="137"/>
      <c r="G35" s="126"/>
    </row>
    <row r="36" spans="1:7" s="125" customFormat="1" ht="14.25" customHeight="1" x14ac:dyDescent="0.2">
      <c r="A36" s="125" t="s">
        <v>655</v>
      </c>
      <c r="B36" s="131"/>
      <c r="C36" s="149">
        <v>0.04</v>
      </c>
      <c r="D36" s="137" t="s">
        <v>656</v>
      </c>
      <c r="E36" s="139">
        <f>E33*C36</f>
        <v>24418273.3314</v>
      </c>
      <c r="F36" s="135" t="s">
        <v>657</v>
      </c>
      <c r="G36" s="126"/>
    </row>
    <row r="37" spans="1:7" s="125" customFormat="1" x14ac:dyDescent="0.2">
      <c r="A37" s="125" t="s">
        <v>658</v>
      </c>
      <c r="B37" s="131"/>
      <c r="C37" s="187">
        <v>0.56000000000000005</v>
      </c>
      <c r="D37" s="135" t="s">
        <v>659</v>
      </c>
      <c r="E37" s="139">
        <f>E33*C37</f>
        <v>341855826.63960004</v>
      </c>
      <c r="F37" s="137" t="s">
        <v>660</v>
      </c>
      <c r="G37" s="126"/>
    </row>
    <row r="38" spans="1:7" s="125" customFormat="1" x14ac:dyDescent="0.2">
      <c r="A38" s="125" t="s">
        <v>661</v>
      </c>
      <c r="B38" s="131"/>
      <c r="C38" s="149">
        <f>1-C36-C37</f>
        <v>0.39999999999999991</v>
      </c>
      <c r="D38" s="150" t="s">
        <v>662</v>
      </c>
      <c r="E38" s="139">
        <f>E33*C38</f>
        <v>244182733.31399992</v>
      </c>
      <c r="F38" s="135" t="s">
        <v>663</v>
      </c>
      <c r="G38" s="126"/>
    </row>
    <row r="39" spans="1:7" s="125" customFormat="1" x14ac:dyDescent="0.2">
      <c r="B39" s="131"/>
      <c r="C39" s="137"/>
      <c r="D39" s="137"/>
      <c r="E39" s="141"/>
      <c r="F39" s="137"/>
      <c r="G39" s="126"/>
    </row>
    <row r="40" spans="1:7" s="125" customFormat="1" x14ac:dyDescent="0.2">
      <c r="A40" s="125" t="s">
        <v>664</v>
      </c>
      <c r="B40" s="131"/>
      <c r="C40" s="187">
        <v>2.0799999999999999E-2</v>
      </c>
      <c r="D40" s="140" t="s">
        <v>665</v>
      </c>
      <c r="E40" s="139">
        <f>E36*C40</f>
        <v>507900.08529311995</v>
      </c>
      <c r="F40" s="137" t="s">
        <v>666</v>
      </c>
      <c r="G40" s="126"/>
    </row>
    <row r="41" spans="1:7" s="125" customFormat="1" x14ac:dyDescent="0.2">
      <c r="A41" s="125" t="s">
        <v>667</v>
      </c>
      <c r="B41" s="131"/>
      <c r="C41" s="187">
        <v>5.0900000000000001E-2</v>
      </c>
      <c r="D41" s="137" t="s">
        <v>668</v>
      </c>
      <c r="E41" s="139">
        <f>E37*C41</f>
        <v>17400461.575955641</v>
      </c>
      <c r="F41" s="137" t="s">
        <v>669</v>
      </c>
      <c r="G41" s="126"/>
    </row>
    <row r="42" spans="1:7" s="125" customFormat="1" x14ac:dyDescent="0.2">
      <c r="A42" s="125" t="s">
        <v>670</v>
      </c>
      <c r="B42" s="131"/>
      <c r="C42" s="187">
        <v>8.9300000000000004E-2</v>
      </c>
      <c r="D42" s="137" t="s">
        <v>671</v>
      </c>
      <c r="E42" s="151">
        <f>E38*C42</f>
        <v>21805518.084940195</v>
      </c>
      <c r="F42" s="137" t="s">
        <v>672</v>
      </c>
      <c r="G42" s="126"/>
    </row>
    <row r="43" spans="1:7" s="125" customFormat="1" ht="16.5" thickBot="1" x14ac:dyDescent="0.3">
      <c r="A43" s="129" t="s">
        <v>654</v>
      </c>
      <c r="B43" s="131"/>
      <c r="C43" s="141"/>
      <c r="D43" s="137"/>
      <c r="E43" s="152">
        <f>SUM(E40:E42)</f>
        <v>39713879.746188954</v>
      </c>
      <c r="F43" s="137" t="s">
        <v>673</v>
      </c>
      <c r="G43" s="126"/>
    </row>
    <row r="44" spans="1:7" s="125" customFormat="1" x14ac:dyDescent="0.2">
      <c r="B44" s="131"/>
      <c r="C44" s="141"/>
      <c r="D44" s="137"/>
      <c r="E44" s="136"/>
      <c r="F44" s="135"/>
      <c r="G44" s="126"/>
    </row>
    <row r="45" spans="1:7" s="125" customFormat="1" ht="18" x14ac:dyDescent="0.25">
      <c r="A45" s="132" t="s">
        <v>674</v>
      </c>
      <c r="B45" s="131"/>
      <c r="C45" s="141"/>
      <c r="D45" s="137"/>
      <c r="E45" s="136"/>
      <c r="F45" s="135"/>
      <c r="G45" s="126"/>
    </row>
    <row r="46" spans="1:7" s="125" customFormat="1" x14ac:dyDescent="0.2">
      <c r="A46" s="134" t="s">
        <v>675</v>
      </c>
      <c r="B46" s="131"/>
      <c r="C46" s="185">
        <v>52564731</v>
      </c>
      <c r="D46" s="137" t="s">
        <v>676</v>
      </c>
      <c r="E46" s="141"/>
      <c r="F46" s="137"/>
      <c r="G46" s="126"/>
    </row>
    <row r="47" spans="1:7" s="125" customFormat="1" x14ac:dyDescent="0.2">
      <c r="A47" s="134" t="s">
        <v>677</v>
      </c>
      <c r="B47" s="131"/>
      <c r="C47" s="185">
        <v>25461695</v>
      </c>
      <c r="D47" s="137" t="s">
        <v>678</v>
      </c>
      <c r="E47" s="141"/>
      <c r="F47" s="137"/>
      <c r="G47" s="126"/>
    </row>
    <row r="48" spans="1:7" s="125" customFormat="1" x14ac:dyDescent="0.2">
      <c r="A48" s="134" t="s">
        <v>679</v>
      </c>
      <c r="B48" s="131"/>
      <c r="C48" s="185"/>
      <c r="D48" s="137" t="s">
        <v>680</v>
      </c>
      <c r="E48" s="141"/>
      <c r="F48" s="137"/>
      <c r="G48" s="126"/>
    </row>
    <row r="49" spans="1:7" s="125" customFormat="1" x14ac:dyDescent="0.2">
      <c r="A49" s="134" t="s">
        <v>681</v>
      </c>
      <c r="B49" s="131"/>
      <c r="C49" s="185">
        <v>3079933</v>
      </c>
      <c r="D49" s="137" t="s">
        <v>682</v>
      </c>
      <c r="E49" s="141"/>
      <c r="F49" s="137"/>
      <c r="G49" s="126"/>
    </row>
    <row r="50" spans="1:7" s="125" customFormat="1" x14ac:dyDescent="0.2">
      <c r="A50" s="134" t="s">
        <v>683</v>
      </c>
      <c r="B50" s="131"/>
      <c r="C50" s="185"/>
      <c r="D50" s="137" t="s">
        <v>684</v>
      </c>
      <c r="E50" s="141"/>
      <c r="F50" s="137"/>
      <c r="G50" s="126"/>
    </row>
    <row r="51" spans="1:7" s="125" customFormat="1" x14ac:dyDescent="0.2">
      <c r="A51" s="134" t="s">
        <v>685</v>
      </c>
      <c r="B51" s="131"/>
      <c r="C51" s="185">
        <v>2000166</v>
      </c>
      <c r="D51" s="137" t="s">
        <v>686</v>
      </c>
      <c r="E51" s="141"/>
      <c r="F51" s="137"/>
      <c r="G51" s="126"/>
    </row>
    <row r="52" spans="1:7" s="125" customFormat="1" x14ac:dyDescent="0.2">
      <c r="A52" s="188"/>
      <c r="B52" s="131"/>
      <c r="C52" s="185"/>
      <c r="D52" s="137" t="s">
        <v>687</v>
      </c>
      <c r="E52" s="141"/>
      <c r="F52" s="137"/>
      <c r="G52" s="126"/>
    </row>
    <row r="53" spans="1:7" s="125" customFormat="1" x14ac:dyDescent="0.2">
      <c r="A53" s="189"/>
      <c r="B53" s="131"/>
      <c r="C53" s="185"/>
      <c r="D53" s="137" t="s">
        <v>688</v>
      </c>
      <c r="E53" s="141"/>
      <c r="F53" s="137"/>
      <c r="G53" s="126"/>
    </row>
    <row r="54" spans="1:7" s="125" customFormat="1" x14ac:dyDescent="0.2">
      <c r="A54" s="189"/>
      <c r="B54" s="131"/>
      <c r="C54" s="185"/>
      <c r="D54" s="137" t="s">
        <v>689</v>
      </c>
      <c r="E54" s="141"/>
      <c r="F54" s="137"/>
      <c r="G54" s="126"/>
    </row>
    <row r="55" spans="1:7" s="125" customFormat="1" ht="15.75" x14ac:dyDescent="0.25">
      <c r="C55" s="141"/>
      <c r="D55" s="137"/>
      <c r="E55" s="153">
        <f>SUM(C46:C54)</f>
        <v>83106525</v>
      </c>
      <c r="F55" s="137" t="s">
        <v>690</v>
      </c>
      <c r="G55" s="126"/>
    </row>
    <row r="56" spans="1:7" s="125" customFormat="1" ht="18" x14ac:dyDescent="0.25">
      <c r="A56" s="132" t="s">
        <v>691</v>
      </c>
      <c r="B56" s="131"/>
      <c r="C56" s="141"/>
      <c r="D56" s="137"/>
      <c r="E56" s="141"/>
      <c r="F56" s="137"/>
      <c r="G56" s="126"/>
    </row>
    <row r="57" spans="1:7" s="125" customFormat="1" x14ac:dyDescent="0.2">
      <c r="A57" s="125" t="s">
        <v>692</v>
      </c>
      <c r="B57" s="131"/>
      <c r="C57" s="185">
        <v>-1236783</v>
      </c>
      <c r="D57" s="137" t="s">
        <v>693</v>
      </c>
      <c r="E57" s="141"/>
      <c r="F57" s="137"/>
      <c r="G57" s="126"/>
    </row>
    <row r="58" spans="1:7" s="125" customFormat="1" x14ac:dyDescent="0.2">
      <c r="A58" s="125" t="s">
        <v>694</v>
      </c>
      <c r="B58" s="131"/>
      <c r="C58" s="185">
        <v>-1800192</v>
      </c>
      <c r="D58" s="137" t="s">
        <v>695</v>
      </c>
      <c r="E58" s="141"/>
      <c r="F58" s="137"/>
      <c r="G58" s="126"/>
    </row>
    <row r="59" spans="1:7" s="125" customFormat="1" x14ac:dyDescent="0.2">
      <c r="A59" s="125" t="s">
        <v>696</v>
      </c>
      <c r="B59" s="131"/>
      <c r="C59" s="185">
        <v>-724731</v>
      </c>
      <c r="D59" s="137" t="s">
        <v>697</v>
      </c>
      <c r="E59" s="141"/>
      <c r="F59" s="137"/>
      <c r="G59" s="126"/>
    </row>
    <row r="60" spans="1:7" s="125" customFormat="1" ht="15.75" x14ac:dyDescent="0.25">
      <c r="A60" s="125" t="s">
        <v>698</v>
      </c>
      <c r="B60" s="131"/>
      <c r="C60" s="185">
        <v>-1068717</v>
      </c>
      <c r="D60" s="137" t="s">
        <v>699</v>
      </c>
      <c r="E60" s="145">
        <f>SUM(C57:C60)</f>
        <v>-4830423</v>
      </c>
      <c r="F60" s="137" t="s">
        <v>700</v>
      </c>
      <c r="G60" s="126"/>
    </row>
    <row r="61" spans="1:7" s="125" customFormat="1" x14ac:dyDescent="0.2">
      <c r="B61" s="131"/>
      <c r="C61" s="141"/>
      <c r="D61" s="137"/>
      <c r="E61" s="136"/>
      <c r="F61" s="135"/>
      <c r="G61" s="126"/>
    </row>
    <row r="62" spans="1:7" s="125" customFormat="1" ht="18.75" thickBot="1" x14ac:dyDescent="0.3">
      <c r="A62" s="128" t="s">
        <v>701</v>
      </c>
      <c r="B62" s="131"/>
      <c r="C62" s="141"/>
      <c r="D62" s="137"/>
      <c r="E62" s="154">
        <f>SUM(E60,E55,E43)</f>
        <v>117989981.74618895</v>
      </c>
      <c r="F62" s="137" t="s">
        <v>702</v>
      </c>
      <c r="G62" s="126"/>
    </row>
    <row r="63" spans="1:7" s="125" customFormat="1" ht="15.75" x14ac:dyDescent="0.25">
      <c r="A63" s="129"/>
      <c r="B63" s="131"/>
      <c r="C63" s="141"/>
      <c r="D63" s="137"/>
      <c r="E63" s="148"/>
      <c r="F63" s="137"/>
      <c r="G63" s="126"/>
    </row>
    <row r="64" spans="1:7" s="125" customFormat="1" ht="18" x14ac:dyDescent="0.25">
      <c r="A64" s="132" t="s">
        <v>703</v>
      </c>
      <c r="B64" s="131"/>
      <c r="C64" s="141"/>
      <c r="D64" s="137"/>
      <c r="E64" s="141"/>
      <c r="F64" s="137"/>
      <c r="G64" s="126"/>
    </row>
    <row r="65" spans="1:9" s="125" customFormat="1" ht="15.75" x14ac:dyDescent="0.25">
      <c r="A65" s="129" t="s">
        <v>885</v>
      </c>
      <c r="C65" s="141"/>
      <c r="D65" s="141"/>
      <c r="E65" s="139">
        <f>'4. Growth Factor - NUM_CALC2'!N24</f>
        <v>132802853.22483614</v>
      </c>
      <c r="F65" s="137" t="s">
        <v>704</v>
      </c>
      <c r="G65" s="126"/>
    </row>
    <row r="66" spans="1:9" s="125" customFormat="1" x14ac:dyDescent="0.2">
      <c r="C66" s="141"/>
      <c r="D66" s="137"/>
      <c r="E66" s="141"/>
      <c r="F66" s="137"/>
      <c r="G66" s="126"/>
    </row>
    <row r="67" spans="1:9" s="125" customFormat="1" x14ac:dyDescent="0.2">
      <c r="C67" s="141"/>
      <c r="D67" s="137"/>
      <c r="E67" s="139"/>
      <c r="F67" s="137"/>
      <c r="G67" s="126"/>
    </row>
    <row r="68" spans="1:9" s="125" customFormat="1" x14ac:dyDescent="0.2">
      <c r="C68" s="141"/>
      <c r="D68" s="137"/>
      <c r="E68" s="155"/>
      <c r="F68" s="146"/>
      <c r="G68" s="126"/>
    </row>
    <row r="69" spans="1:9" s="125" customFormat="1" x14ac:dyDescent="0.2">
      <c r="C69" s="141"/>
      <c r="D69" s="137"/>
      <c r="E69" s="156"/>
      <c r="F69" s="137"/>
      <c r="G69" s="126"/>
    </row>
    <row r="70" spans="1:9" s="125" customFormat="1" x14ac:dyDescent="0.2">
      <c r="F70" s="126"/>
      <c r="H70" s="126"/>
      <c r="I70" s="126"/>
    </row>
    <row r="71" spans="1:9" s="125" customFormat="1" x14ac:dyDescent="0.2">
      <c r="F71" s="126"/>
      <c r="H71" s="126"/>
      <c r="I71" s="126"/>
    </row>
    <row r="72" spans="1:9" s="125" customFormat="1" x14ac:dyDescent="0.2">
      <c r="F72" s="126"/>
      <c r="H72" s="126"/>
      <c r="I72" s="126"/>
    </row>
    <row r="73" spans="1:9" s="125" customFormat="1" x14ac:dyDescent="0.2">
      <c r="F73" s="126"/>
      <c r="H73" s="126"/>
      <c r="I73" s="126"/>
    </row>
    <row r="74" spans="1:9" s="125" customFormat="1" x14ac:dyDescent="0.2">
      <c r="F74" s="126"/>
      <c r="H74" s="126"/>
      <c r="I74" s="126"/>
    </row>
    <row r="75" spans="1:9" s="125" customFormat="1" x14ac:dyDescent="0.2">
      <c r="F75" s="126"/>
      <c r="H75" s="126"/>
      <c r="I75" s="126"/>
    </row>
    <row r="76" spans="1:9" s="125" customFormat="1" x14ac:dyDescent="0.2">
      <c r="F76" s="126"/>
      <c r="H76" s="126"/>
      <c r="I76" s="126"/>
    </row>
    <row r="77" spans="1:9" s="125" customFormat="1" x14ac:dyDescent="0.2">
      <c r="F77" s="126"/>
      <c r="H77" s="126"/>
      <c r="I77" s="126"/>
    </row>
    <row r="78" spans="1:9" s="125" customFormat="1" x14ac:dyDescent="0.2">
      <c r="F78" s="126"/>
      <c r="H78" s="126"/>
      <c r="I78" s="126"/>
    </row>
    <row r="79" spans="1:9" s="125" customFormat="1" x14ac:dyDescent="0.2">
      <c r="F79" s="126"/>
      <c r="H79" s="126"/>
      <c r="I79" s="126"/>
    </row>
    <row r="80" spans="1:9" s="125" customFormat="1" x14ac:dyDescent="0.2">
      <c r="F80" s="126"/>
      <c r="H80" s="126"/>
      <c r="I80" s="126"/>
    </row>
    <row r="81" spans="6:9" s="125" customFormat="1" x14ac:dyDescent="0.2">
      <c r="F81" s="126"/>
      <c r="H81" s="126"/>
      <c r="I81" s="126"/>
    </row>
    <row r="82" spans="6:9" s="125" customFormat="1" x14ac:dyDescent="0.2">
      <c r="F82" s="126"/>
      <c r="H82" s="126"/>
      <c r="I82" s="126"/>
    </row>
    <row r="83" spans="6:9" s="125" customFormat="1" x14ac:dyDescent="0.2">
      <c r="F83" s="126"/>
      <c r="H83" s="126"/>
      <c r="I83" s="126"/>
    </row>
    <row r="84" spans="6:9" s="125" customFormat="1" x14ac:dyDescent="0.2">
      <c r="F84" s="126"/>
      <c r="H84" s="126"/>
      <c r="I84" s="126"/>
    </row>
    <row r="85" spans="6:9" s="125" customFormat="1" x14ac:dyDescent="0.2">
      <c r="F85" s="126"/>
      <c r="H85" s="126"/>
      <c r="I85" s="126"/>
    </row>
    <row r="86" spans="6:9" s="125" customFormat="1" x14ac:dyDescent="0.2">
      <c r="F86" s="126"/>
      <c r="H86" s="126"/>
      <c r="I86" s="126"/>
    </row>
    <row r="87" spans="6:9" s="125" customFormat="1" x14ac:dyDescent="0.2">
      <c r="F87" s="126"/>
      <c r="H87" s="126"/>
      <c r="I87" s="126"/>
    </row>
    <row r="88" spans="6:9" s="125" customFormat="1" x14ac:dyDescent="0.2">
      <c r="F88" s="126"/>
      <c r="H88" s="126"/>
      <c r="I88" s="126"/>
    </row>
    <row r="89" spans="6:9" ht="15" customHeight="1" x14ac:dyDescent="0.2"/>
    <row r="90" spans="6:9" ht="15" customHeight="1" x14ac:dyDescent="0.2"/>
    <row r="91" spans="6:9" ht="15" customHeight="1" x14ac:dyDescent="0.2"/>
    <row r="92" spans="6:9" ht="15" customHeight="1" x14ac:dyDescent="0.2"/>
    <row r="93" spans="6:9" ht="15" customHeight="1" x14ac:dyDescent="0.2"/>
    <row r="94" spans="6:9" ht="15" customHeight="1" x14ac:dyDescent="0.2"/>
    <row r="95" spans="6:9" ht="15" customHeight="1" x14ac:dyDescent="0.2"/>
    <row r="96" spans="6:9" ht="15" customHeight="1" x14ac:dyDescent="0.2"/>
    <row r="97" ht="15" customHeight="1" x14ac:dyDescent="0.2"/>
    <row r="98" ht="15" customHeight="1" x14ac:dyDescent="0.2"/>
    <row r="99" ht="15" customHeight="1" x14ac:dyDescent="0.2"/>
    <row r="100" ht="15" customHeight="1" x14ac:dyDescent="0.2"/>
    <row r="101" ht="15" customHeight="1" x14ac:dyDescent="0.2"/>
  </sheetData>
  <sheetProtection algorithmName="SHA-512" hashValue="aMlioq2ag/zGvQZ4YZWeB6448oiRKqX5LJ829ZVw1J9eKclq+r0gXDFknsVIcgdTzxEpGfPIvsomXL+jT/WM1Q==" saltValue="uHVmQELgprALKPga6GgY+A==" spinCount="100000" sheet="1" objects="1" scenarios="1"/>
  <mergeCells count="1">
    <mergeCell ref="C8:F8"/>
  </mergeCells>
  <conditionalFormatting sqref="C60">
    <cfRule type="cellIs" dxfId="25" priority="2" stopIfTrue="1" operator="greaterThan">
      <formula>0</formula>
    </cfRule>
  </conditionalFormatting>
  <conditionalFormatting sqref="C57:C59">
    <cfRule type="cellIs" dxfId="24" priority="1" stopIfTrue="1" operator="greaterThan">
      <formula>0</formula>
    </cfRule>
  </conditionalFormatting>
  <pageMargins left="0.25" right="0.26" top="0.17" bottom="0.34" header="0.23" footer="0.16"/>
  <pageSetup scale="58"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2:Z50"/>
  <sheetViews>
    <sheetView showGridLines="0" topLeftCell="B1" zoomScaleNormal="100" workbookViewId="0">
      <selection activeCell="C29" sqref="C29"/>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tr">
        <f>"Input the billing determinants associated with "&amp;'1. Information Sheet'!F14&amp;"'s "&amp;'1. Information Sheet'!F49&amp;".  This sheet calculates the DENOMINATOR portion of the growth factor calculation."</f>
        <v>Input the billing determinants associated with Alectra Utilities Corporation-Enersource Rate Zone's Revenues Based on 2013 Board-Approved Distribution Demand.  This sheet calculates the DENOMINATOR portion of the growth factor calculation.</v>
      </c>
    </row>
    <row r="13" spans="1:26" ht="15.75" x14ac:dyDescent="0.25">
      <c r="A13" s="108" t="s">
        <v>705</v>
      </c>
    </row>
    <row r="14" spans="1:26" ht="30.75" customHeight="1" thickBot="1" x14ac:dyDescent="0.3">
      <c r="C14" s="480" t="str">
        <f>RIGHT('1. Information Sheet'!F49,LEN('1. Information Sheet'!F49)-18)</f>
        <v>2013 Board-Approved Distribution Demand</v>
      </c>
      <c r="D14" s="480"/>
      <c r="E14" s="480"/>
      <c r="G14" s="481" t="str">
        <f>'3. Growth Factor - NUM_CALC1'!G15</f>
        <v>Current Approved Distribution Rates</v>
      </c>
      <c r="H14" s="478"/>
      <c r="I14" s="478"/>
    </row>
    <row r="15" spans="1:26" s="113" customFormat="1" ht="63" x14ac:dyDescent="0.25">
      <c r="A15" s="110" t="s">
        <v>595</v>
      </c>
      <c r="B15" s="111"/>
      <c r="C15" s="112" t="s">
        <v>596</v>
      </c>
      <c r="D15" s="112" t="s">
        <v>597</v>
      </c>
      <c r="E15" s="112" t="s">
        <v>706</v>
      </c>
      <c r="F15" s="112"/>
      <c r="G15" s="112" t="s">
        <v>599</v>
      </c>
      <c r="H15" s="112" t="s">
        <v>600</v>
      </c>
      <c r="I15" s="112" t="s">
        <v>601</v>
      </c>
      <c r="J15" s="112"/>
      <c r="K15" s="112" t="s">
        <v>603</v>
      </c>
      <c r="L15" s="112" t="s">
        <v>604</v>
      </c>
      <c r="M15" s="112" t="s">
        <v>605</v>
      </c>
      <c r="N15" s="112" t="s">
        <v>707</v>
      </c>
      <c r="O15" s="112"/>
      <c r="P15" s="112" t="s">
        <v>607</v>
      </c>
      <c r="Q15" s="112" t="s">
        <v>608</v>
      </c>
      <c r="R15" s="112" t="s">
        <v>609</v>
      </c>
      <c r="S15" s="112" t="s">
        <v>610</v>
      </c>
    </row>
    <row r="16" spans="1:26" s="119" customFormat="1" ht="18.75" x14ac:dyDescent="0.25">
      <c r="A16" s="114"/>
      <c r="B16" s="115"/>
      <c r="C16" s="115" t="s">
        <v>620</v>
      </c>
      <c r="D16" s="115" t="s">
        <v>622</v>
      </c>
      <c r="E16" s="115" t="s">
        <v>624</v>
      </c>
      <c r="F16" s="115"/>
      <c r="G16" s="115" t="s">
        <v>611</v>
      </c>
      <c r="H16" s="115" t="s">
        <v>612</v>
      </c>
      <c r="I16" s="115" t="s">
        <v>613</v>
      </c>
      <c r="J16" s="115"/>
      <c r="K16" s="401" t="s">
        <v>629</v>
      </c>
      <c r="L16" s="401" t="s">
        <v>747</v>
      </c>
      <c r="M16" s="401" t="s">
        <v>633</v>
      </c>
      <c r="N16" s="401" t="s">
        <v>635</v>
      </c>
      <c r="O16" s="115"/>
      <c r="P16" s="117" t="s">
        <v>708</v>
      </c>
      <c r="Q16" s="117" t="s">
        <v>709</v>
      </c>
      <c r="R16" s="117" t="s">
        <v>710</v>
      </c>
      <c r="S16" s="117" t="s">
        <v>748</v>
      </c>
      <c r="T16" s="118"/>
      <c r="U16" s="118"/>
      <c r="V16" s="118"/>
      <c r="W16" s="118"/>
      <c r="X16" s="118"/>
      <c r="Y16" s="118"/>
      <c r="Z16" s="118"/>
    </row>
    <row r="17" spans="1:26" x14ac:dyDescent="0.25">
      <c r="A17" s="158" t="s">
        <v>77</v>
      </c>
      <c r="B17" s="158"/>
      <c r="C17" s="402">
        <v>176865</v>
      </c>
      <c r="D17" s="402">
        <v>1423857475</v>
      </c>
      <c r="E17" s="402">
        <v>0</v>
      </c>
      <c r="F17" s="159"/>
      <c r="G17" s="397">
        <f>'3. Growth Factor - NUM_CALC1'!G17</f>
        <v>24.25</v>
      </c>
      <c r="H17" s="398">
        <f>'3. Growth Factor - NUM_CALC1'!H17</f>
        <v>0</v>
      </c>
      <c r="I17" s="398">
        <f>'3. Growth Factor - NUM_CALC1'!I17</f>
        <v>0</v>
      </c>
      <c r="J17" s="158"/>
      <c r="K17" s="160">
        <f t="shared" ref="K17:K23" si="0">G17*C17*12</f>
        <v>51467715</v>
      </c>
      <c r="L17" s="160">
        <f t="shared" ref="L17:M23" si="1">H17*D17</f>
        <v>0</v>
      </c>
      <c r="M17" s="160">
        <f t="shared" si="1"/>
        <v>0</v>
      </c>
      <c r="N17" s="160">
        <f t="shared" ref="N17:N23" si="2">SUM(K17,L17,M17)</f>
        <v>51467715</v>
      </c>
      <c r="O17" s="158"/>
      <c r="P17" s="161">
        <f>IF(ISERROR(K17/N24),0,ROUND(K17/N24,3))</f>
        <v>0.38600000000000001</v>
      </c>
      <c r="Q17" s="161">
        <f>IF(ISERROR(L17/N24),0,ROUND(L17/N24,3))</f>
        <v>0</v>
      </c>
      <c r="R17" s="161">
        <f>IF(ISERROR(M17/N24),0,ROUND(M17/N24,3))</f>
        <v>0</v>
      </c>
      <c r="S17" s="161">
        <f>N17/N24</f>
        <v>0.38643573897850919</v>
      </c>
    </row>
    <row r="18" spans="1:26" x14ac:dyDescent="0.25">
      <c r="A18" s="158" t="s">
        <v>86</v>
      </c>
      <c r="B18" s="158"/>
      <c r="C18" s="402">
        <v>17703</v>
      </c>
      <c r="D18" s="402">
        <v>612188101</v>
      </c>
      <c r="E18" s="402">
        <v>0</v>
      </c>
      <c r="F18" s="159"/>
      <c r="G18" s="397">
        <f>'3. Growth Factor - NUM_CALC1'!G18</f>
        <v>44.52</v>
      </c>
      <c r="H18" s="398">
        <f>'3. Growth Factor - NUM_CALC1'!H18</f>
        <v>1.2999999999999999E-2</v>
      </c>
      <c r="I18" s="398">
        <f>'3. Growth Factor - NUM_CALC1'!I18</f>
        <v>0</v>
      </c>
      <c r="J18" s="158"/>
      <c r="K18" s="160">
        <f t="shared" si="0"/>
        <v>9457650.7200000007</v>
      </c>
      <c r="L18" s="160">
        <f t="shared" si="1"/>
        <v>7958445.3130000001</v>
      </c>
      <c r="M18" s="160">
        <f t="shared" si="1"/>
        <v>0</v>
      </c>
      <c r="N18" s="160">
        <f t="shared" si="2"/>
        <v>17416096.033</v>
      </c>
      <c r="O18" s="158"/>
      <c r="P18" s="161">
        <f>IF(ISERROR(K18/N24),0,ROUND(K18/N24,3))</f>
        <v>7.0999999999999994E-2</v>
      </c>
      <c r="Q18" s="161">
        <f>IF(ISERROR(L18/N24),0,ROUND(L18/N24,3))</f>
        <v>0.06</v>
      </c>
      <c r="R18" s="161">
        <f>IF(ISERROR(M18/N24),0,ROUND(M18/N24,3))</f>
        <v>0</v>
      </c>
      <c r="S18" s="161">
        <f>N18/N24</f>
        <v>0.13076550883661803</v>
      </c>
    </row>
    <row r="19" spans="1:26" x14ac:dyDescent="0.25">
      <c r="A19" s="158" t="s">
        <v>185</v>
      </c>
      <c r="B19" s="158"/>
      <c r="C19" s="402">
        <v>3950</v>
      </c>
      <c r="D19" s="402">
        <v>0</v>
      </c>
      <c r="E19" s="402">
        <v>6222022</v>
      </c>
      <c r="F19" s="159"/>
      <c r="G19" s="397">
        <f>'3. Growth Factor - NUM_CALC1'!G19</f>
        <v>78.41</v>
      </c>
      <c r="H19" s="398">
        <f>'3. Growth Factor - NUM_CALC1'!H19</f>
        <v>0</v>
      </c>
      <c r="I19" s="398">
        <f>'3. Growth Factor - NUM_CALC1'!I19</f>
        <v>4.7188999999999997</v>
      </c>
      <c r="J19" s="158"/>
      <c r="K19" s="160">
        <f t="shared" si="0"/>
        <v>3716634</v>
      </c>
      <c r="L19" s="160">
        <f t="shared" si="1"/>
        <v>0</v>
      </c>
      <c r="M19" s="160">
        <f t="shared" si="1"/>
        <v>29361099.615799997</v>
      </c>
      <c r="N19" s="160">
        <f t="shared" si="2"/>
        <v>33077733.615799997</v>
      </c>
      <c r="O19" s="158"/>
      <c r="P19" s="161">
        <f>IF(ISERROR(K19/N24),0,ROUND(K19/N24,3))</f>
        <v>2.8000000000000001E-2</v>
      </c>
      <c r="Q19" s="161">
        <f>IF(ISERROR(L19/N24),0,ROUND(L19/N24,3))</f>
        <v>0</v>
      </c>
      <c r="R19" s="161">
        <f>IF(ISERROR(M19/N24),0,ROUND(M19/N24,3))</f>
        <v>0.22</v>
      </c>
      <c r="S19" s="161">
        <f>N19/N24</f>
        <v>0.24835799361902791</v>
      </c>
    </row>
    <row r="20" spans="1:26" x14ac:dyDescent="0.25">
      <c r="A20" s="158" t="s">
        <v>192</v>
      </c>
      <c r="B20" s="158"/>
      <c r="C20" s="402">
        <v>464</v>
      </c>
      <c r="D20" s="402">
        <v>0</v>
      </c>
      <c r="E20" s="402">
        <v>5154338</v>
      </c>
      <c r="F20" s="159"/>
      <c r="G20" s="397">
        <f>'3. Growth Factor - NUM_CALC1'!G20</f>
        <v>1785.59</v>
      </c>
      <c r="H20" s="398">
        <f>'3. Growth Factor - NUM_CALC1'!H20</f>
        <v>0</v>
      </c>
      <c r="I20" s="398">
        <f>'3. Growth Factor - NUM_CALC1'!I20</f>
        <v>2.4281999999999999</v>
      </c>
      <c r="J20" s="158"/>
      <c r="K20" s="160">
        <f t="shared" si="0"/>
        <v>9942165.120000001</v>
      </c>
      <c r="L20" s="160">
        <f t="shared" si="1"/>
        <v>0</v>
      </c>
      <c r="M20" s="160">
        <f t="shared" si="1"/>
        <v>12515763.5316</v>
      </c>
      <c r="N20" s="160">
        <f t="shared" si="2"/>
        <v>22457928.651600003</v>
      </c>
      <c r="O20" s="158"/>
      <c r="P20" s="161">
        <f>IF(ISERROR(K20/N24),0,ROUND(K20/N24,3))</f>
        <v>7.4999999999999997E-2</v>
      </c>
      <c r="Q20" s="161">
        <f>IF(ISERROR(L20/N24),0,ROUND(L20/N24,3))</f>
        <v>0</v>
      </c>
      <c r="R20" s="161">
        <f>IF(ISERROR(M20/N24),0,ROUND(M20/N24,3))</f>
        <v>9.4E-2</v>
      </c>
      <c r="S20" s="161">
        <f>N20/N24</f>
        <v>0.16862116871533314</v>
      </c>
    </row>
    <row r="21" spans="1:26" x14ac:dyDescent="0.25">
      <c r="A21" s="158" t="s">
        <v>116</v>
      </c>
      <c r="B21" s="158"/>
      <c r="C21" s="402">
        <v>9</v>
      </c>
      <c r="D21" s="402">
        <v>0</v>
      </c>
      <c r="E21" s="402">
        <v>1737267</v>
      </c>
      <c r="F21" s="159"/>
      <c r="G21" s="397">
        <f>'3. Growth Factor - NUM_CALC1'!G21</f>
        <v>14078.67</v>
      </c>
      <c r="H21" s="398">
        <f>'3. Growth Factor - NUM_CALC1'!H21</f>
        <v>0</v>
      </c>
      <c r="I21" s="398">
        <f>'3. Growth Factor - NUM_CALC1'!I21</f>
        <v>3.0139</v>
      </c>
      <c r="J21" s="158"/>
      <c r="K21" s="160">
        <f t="shared" si="0"/>
        <v>1520496.3599999999</v>
      </c>
      <c r="L21" s="160">
        <f t="shared" si="1"/>
        <v>0</v>
      </c>
      <c r="M21" s="160">
        <f t="shared" si="1"/>
        <v>5235949.0113000004</v>
      </c>
      <c r="N21" s="160">
        <f t="shared" si="2"/>
        <v>6756445.3713000007</v>
      </c>
      <c r="O21" s="158"/>
      <c r="P21" s="161">
        <f>IF(ISERROR(K21/N24),0,ROUND(K21/N24,3))</f>
        <v>1.0999999999999999E-2</v>
      </c>
      <c r="Q21" s="161">
        <f>IF(ISERROR(L21/N24),0,ROUND(L21/N24,3))</f>
        <v>0</v>
      </c>
      <c r="R21" s="161">
        <f>IF(ISERROR(M21/N24),0,ROUND(M21/N24,3))</f>
        <v>3.9E-2</v>
      </c>
      <c r="S21" s="161">
        <f>N21/N24</f>
        <v>5.0729509944753594E-2</v>
      </c>
    </row>
    <row r="22" spans="1:26" x14ac:dyDescent="0.25">
      <c r="A22" s="158" t="s">
        <v>123</v>
      </c>
      <c r="B22" s="158"/>
      <c r="C22" s="402">
        <v>2942</v>
      </c>
      <c r="D22" s="402">
        <v>10383027</v>
      </c>
      <c r="E22" s="402">
        <v>0</v>
      </c>
      <c r="F22" s="159"/>
      <c r="G22" s="397">
        <f>'3. Growth Factor - NUM_CALC1'!G22</f>
        <v>9.19</v>
      </c>
      <c r="H22" s="398">
        <f>'3. Growth Factor - NUM_CALC1'!H22</f>
        <v>1.67E-2</v>
      </c>
      <c r="I22" s="398">
        <f>'3. Growth Factor - NUM_CALC1'!I22</f>
        <v>0</v>
      </c>
      <c r="J22" s="158"/>
      <c r="K22" s="160">
        <f t="shared" si="0"/>
        <v>324443.76</v>
      </c>
      <c r="L22" s="160">
        <f t="shared" si="1"/>
        <v>173396.5509</v>
      </c>
      <c r="M22" s="160">
        <f t="shared" si="1"/>
        <v>0</v>
      </c>
      <c r="N22" s="160">
        <f t="shared" si="2"/>
        <v>497840.31090000004</v>
      </c>
      <c r="O22" s="158"/>
      <c r="P22" s="161">
        <f>IF(ISERROR(K22/N24),0,ROUND(K22/N24,3))</f>
        <v>2E-3</v>
      </c>
      <c r="Q22" s="161">
        <f>IF(ISERROR(L22/N24),0,ROUND(L22/N24,3))</f>
        <v>1E-3</v>
      </c>
      <c r="R22" s="161">
        <f>IF(ISERROR(M22/N24),0,ROUND(M22/N24,3))</f>
        <v>0</v>
      </c>
      <c r="S22" s="161">
        <f>N22/N24</f>
        <v>3.7379411235943212E-3</v>
      </c>
    </row>
    <row r="23" spans="1:26" x14ac:dyDescent="0.25">
      <c r="A23" s="158" t="s">
        <v>68</v>
      </c>
      <c r="B23" s="158"/>
      <c r="C23" s="402">
        <v>49986</v>
      </c>
      <c r="D23" s="402">
        <v>0</v>
      </c>
      <c r="E23" s="402">
        <v>49889</v>
      </c>
      <c r="F23" s="159"/>
      <c r="G23" s="397">
        <f>'3. Growth Factor - NUM_CALC1'!G23</f>
        <v>1.54</v>
      </c>
      <c r="H23" s="398">
        <f>'3. Growth Factor - NUM_CALC1'!H23</f>
        <v>0</v>
      </c>
      <c r="I23" s="398">
        <f>'3. Growth Factor - NUM_CALC1'!I23</f>
        <v>11.7902</v>
      </c>
      <c r="J23" s="158"/>
      <c r="K23" s="160">
        <f t="shared" si="0"/>
        <v>923741.28</v>
      </c>
      <c r="L23" s="160">
        <f t="shared" si="1"/>
        <v>0</v>
      </c>
      <c r="M23" s="160">
        <f t="shared" si="1"/>
        <v>588201.28780000005</v>
      </c>
      <c r="N23" s="160">
        <f t="shared" si="2"/>
        <v>1511942.5678000001</v>
      </c>
      <c r="O23" s="158"/>
      <c r="P23" s="161">
        <f>IF(ISERROR(K23/N24),0,ROUND(K23/N24,3))</f>
        <v>7.0000000000000001E-3</v>
      </c>
      <c r="Q23" s="161">
        <f>IF(ISERROR(L23/N24),0,ROUND(L23/N24,3))</f>
        <v>0</v>
      </c>
      <c r="R23" s="161">
        <f>IF(ISERROR(M23/N24),0,ROUND(M23/N24,3))</f>
        <v>4.0000000000000001E-3</v>
      </c>
      <c r="S23" s="161">
        <f>N23/N24</f>
        <v>1.1352138782163883E-2</v>
      </c>
    </row>
    <row r="24" spans="1:26" x14ac:dyDescent="0.25">
      <c r="A24" s="120" t="s">
        <v>769</v>
      </c>
      <c r="B24" s="120"/>
      <c r="C24" s="400">
        <f>SUM(C17:C23)</f>
        <v>251919</v>
      </c>
      <c r="D24" s="400">
        <f>SUM(D17:D23)</f>
        <v>2046428603</v>
      </c>
      <c r="E24" s="400">
        <f>SUM(E17:E23)</f>
        <v>13163516</v>
      </c>
      <c r="F24" s="121"/>
      <c r="G24" s="121"/>
      <c r="H24" s="121"/>
      <c r="I24" s="121"/>
      <c r="J24" s="120"/>
      <c r="K24" s="403">
        <f>SUM(K17:K23)</f>
        <v>77352846.24000001</v>
      </c>
      <c r="L24" s="403">
        <f>SUM(L17:L23)</f>
        <v>8131841.8639000002</v>
      </c>
      <c r="M24" s="403">
        <f>SUM(M17:M23)</f>
        <v>47701013.446499996</v>
      </c>
      <c r="N24" s="403">
        <f>SUM(N17:N23)</f>
        <v>133185701.55039999</v>
      </c>
      <c r="O24" s="120"/>
      <c r="P24" s="123"/>
      <c r="Q24" s="123"/>
      <c r="R24" s="123"/>
      <c r="S24" s="123">
        <f>SUM(S17:S23)</f>
        <v>1</v>
      </c>
      <c r="T24" s="118"/>
      <c r="U24" s="118"/>
      <c r="V24" s="118"/>
      <c r="W24" s="118"/>
      <c r="X24" s="118"/>
      <c r="Y24" s="118"/>
      <c r="Z24" s="118"/>
    </row>
    <row r="25" spans="1:26" x14ac:dyDescent="0.25">
      <c r="C25" s="124"/>
      <c r="D25" s="124"/>
      <c r="E25" s="124"/>
      <c r="F25" s="124"/>
      <c r="G25" s="124"/>
      <c r="H25" s="124"/>
      <c r="I25" s="124"/>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algorithmName="SHA-512" hashValue="fmcaXYqsVJKvnu9T1nX9wfHDzdhleO4jvbm4VJFqQxJVabcXUmcVQk7zpWaORoGmHiuyonnP15XDgmzw8fkvow==" saltValue="UQVYVRaULFPLV4hDcHCQhA==" spinCount="100000"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2:Z50"/>
  <sheetViews>
    <sheetView showGridLines="0" zoomScale="80" zoomScaleNormal="80" workbookViewId="0">
      <selection activeCell="A15" sqref="A15"/>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7.28515625"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
        <v>711</v>
      </c>
    </row>
    <row r="13" spans="1:26" ht="31.5" customHeight="1" x14ac:dyDescent="0.25">
      <c r="A13" s="482" t="s">
        <v>712</v>
      </c>
      <c r="B13" s="482"/>
      <c r="C13" s="482"/>
      <c r="D13" s="482"/>
      <c r="E13" s="482"/>
      <c r="F13" s="482"/>
      <c r="G13" s="482"/>
    </row>
    <row r="14" spans="1:26" ht="18" thickBot="1" x14ac:dyDescent="0.3">
      <c r="C14" s="483" t="str">
        <f>IF('1. Information Sheet'!F26="COS", "Proposed Base Rates in Current CoS Application", "Current OEB-Approved Base Rates")</f>
        <v>Current OEB-Approved Base Rates</v>
      </c>
      <c r="D14" s="483"/>
      <c r="E14" s="483"/>
      <c r="G14" s="483" t="str">
        <f>'3. Growth Factor - NUM_CALC1'!C15</f>
        <v>2018 Actual Distribution Demand</v>
      </c>
      <c r="H14" s="483"/>
      <c r="I14" s="483"/>
    </row>
    <row r="15" spans="1:26" s="113" customFormat="1" ht="63" x14ac:dyDescent="0.25">
      <c r="A15" s="110" t="s">
        <v>595</v>
      </c>
      <c r="B15" s="111"/>
      <c r="C15" s="112" t="s">
        <v>599</v>
      </c>
      <c r="D15" s="112" t="s">
        <v>600</v>
      </c>
      <c r="E15" s="112" t="s">
        <v>601</v>
      </c>
      <c r="F15" s="112"/>
      <c r="G15" s="112" t="s">
        <v>713</v>
      </c>
      <c r="H15" s="112" t="s">
        <v>602</v>
      </c>
      <c r="I15" s="112" t="s">
        <v>714</v>
      </c>
      <c r="J15" s="112"/>
      <c r="K15" s="112" t="s">
        <v>715</v>
      </c>
      <c r="L15" s="112" t="s">
        <v>716</v>
      </c>
      <c r="M15" s="112" t="s">
        <v>717</v>
      </c>
      <c r="N15" s="112" t="s">
        <v>718</v>
      </c>
      <c r="O15" s="112"/>
      <c r="P15" s="112" t="s">
        <v>719</v>
      </c>
      <c r="Q15" s="112" t="s">
        <v>720</v>
      </c>
      <c r="R15" s="112" t="s">
        <v>720</v>
      </c>
      <c r="S15" s="112" t="s">
        <v>610</v>
      </c>
    </row>
    <row r="16" spans="1:26" s="119" customFormat="1" ht="18.75" x14ac:dyDescent="0.25">
      <c r="A16" s="114"/>
      <c r="B16" s="115"/>
      <c r="C16" s="115" t="s">
        <v>620</v>
      </c>
      <c r="D16" s="115" t="s">
        <v>622</v>
      </c>
      <c r="E16" s="115" t="s">
        <v>624</v>
      </c>
      <c r="F16" s="115"/>
      <c r="G16" s="115" t="s">
        <v>611</v>
      </c>
      <c r="H16" s="115" t="s">
        <v>612</v>
      </c>
      <c r="I16" s="115" t="s">
        <v>613</v>
      </c>
      <c r="J16" s="115"/>
      <c r="K16" s="116" t="s">
        <v>629</v>
      </c>
      <c r="L16" s="116" t="s">
        <v>747</v>
      </c>
      <c r="M16" s="116" t="s">
        <v>633</v>
      </c>
      <c r="N16" s="116" t="s">
        <v>635</v>
      </c>
      <c r="O16" s="115"/>
      <c r="P16" s="117" t="s">
        <v>721</v>
      </c>
      <c r="Q16" s="117" t="s">
        <v>722</v>
      </c>
      <c r="R16" s="117" t="s">
        <v>723</v>
      </c>
      <c r="S16" s="117" t="s">
        <v>749</v>
      </c>
      <c r="T16" s="118"/>
      <c r="U16" s="118"/>
      <c r="V16" s="118"/>
      <c r="W16" s="118"/>
      <c r="X16" s="118"/>
      <c r="Y16" s="118"/>
      <c r="Z16" s="118"/>
    </row>
    <row r="17" spans="1:26" x14ac:dyDescent="0.25">
      <c r="A17" s="389" t="s">
        <v>77</v>
      </c>
      <c r="B17" s="389"/>
      <c r="C17" s="404">
        <f>'3. Growth Factor - NUM_CALC1'!G17</f>
        <v>24.25</v>
      </c>
      <c r="D17" s="391">
        <f>'3. Growth Factor - NUM_CALC1'!H17</f>
        <v>0</v>
      </c>
      <c r="E17" s="391">
        <f>'3. Growth Factor - NUM_CALC1'!I17</f>
        <v>0</v>
      </c>
      <c r="F17" s="391"/>
      <c r="G17" s="405">
        <f>'3. Growth Factor - NUM_CALC1'!C17</f>
        <v>183533</v>
      </c>
      <c r="H17" s="405">
        <f>'3. Growth Factor - NUM_CALC1'!D17</f>
        <v>1490532667</v>
      </c>
      <c r="I17" s="405">
        <f>'3. Growth Factor - NUM_CALC1'!E17</f>
        <v>0</v>
      </c>
      <c r="J17" s="389"/>
      <c r="K17" s="394">
        <f t="shared" ref="K17:K23" si="0">G17*C17*12</f>
        <v>53408103</v>
      </c>
      <c r="L17" s="394">
        <f t="shared" ref="L17:M23" si="1">H17*D17</f>
        <v>0</v>
      </c>
      <c r="M17" s="394">
        <f t="shared" si="1"/>
        <v>0</v>
      </c>
      <c r="N17" s="394">
        <f t="shared" ref="N17:N23" si="2">SUM(K17,L17,M17)</f>
        <v>53408103</v>
      </c>
      <c r="O17" s="389"/>
      <c r="P17" s="409">
        <f>IF(ISERROR(K17/N24),0,K17/N24)</f>
        <v>0.40216080982522051</v>
      </c>
      <c r="Q17" s="409">
        <f>IF(ISERROR(L17/N24),0,L17/N24)</f>
        <v>0</v>
      </c>
      <c r="R17" s="409">
        <f>IF(ISERROR(M17/N24),0,M17/N24)</f>
        <v>0</v>
      </c>
      <c r="S17" s="395">
        <f>N17/N24</f>
        <v>0.40216080982522051</v>
      </c>
    </row>
    <row r="18" spans="1:26" x14ac:dyDescent="0.25">
      <c r="A18" s="158" t="s">
        <v>86</v>
      </c>
      <c r="B18" s="158"/>
      <c r="C18" s="406">
        <f>'3. Growth Factor - NUM_CALC1'!G18</f>
        <v>44.52</v>
      </c>
      <c r="D18" s="159">
        <f>'3. Growth Factor - NUM_CALC1'!H18</f>
        <v>1.2999999999999999E-2</v>
      </c>
      <c r="E18" s="159">
        <f>'3. Growth Factor - NUM_CALC1'!I18</f>
        <v>0</v>
      </c>
      <c r="F18" s="159"/>
      <c r="G18" s="407">
        <f>'3. Growth Factor - NUM_CALC1'!C18</f>
        <v>18506</v>
      </c>
      <c r="H18" s="407">
        <f>'3. Growth Factor - NUM_CALC1'!D18</f>
        <v>685616684</v>
      </c>
      <c r="I18" s="407">
        <f>'3. Growth Factor - NUM_CALC1'!E18</f>
        <v>0</v>
      </c>
      <c r="J18" s="158"/>
      <c r="K18" s="399">
        <f t="shared" si="0"/>
        <v>9886645.4400000013</v>
      </c>
      <c r="L18" s="399">
        <f t="shared" si="1"/>
        <v>8913016.8919999991</v>
      </c>
      <c r="M18" s="399">
        <f t="shared" si="1"/>
        <v>0</v>
      </c>
      <c r="N18" s="399">
        <f t="shared" si="2"/>
        <v>18799662.332000002</v>
      </c>
      <c r="O18" s="158"/>
      <c r="P18" s="410">
        <f>IF(ISERROR(K18/N24),0,K18/N24)</f>
        <v>7.4446031842868937E-2</v>
      </c>
      <c r="Q18" s="410">
        <f>IF(ISERROR(L18/N24),0,L18/N24)</f>
        <v>6.7114649087472542E-2</v>
      </c>
      <c r="R18" s="410">
        <f>IF(ISERROR(M18/N24),0,M18/N24)</f>
        <v>0</v>
      </c>
      <c r="S18" s="161">
        <f>N18/N24</f>
        <v>0.14156068093034149</v>
      </c>
    </row>
    <row r="19" spans="1:26" x14ac:dyDescent="0.25">
      <c r="A19" s="158" t="s">
        <v>185</v>
      </c>
      <c r="B19" s="158"/>
      <c r="C19" s="406">
        <f>'3. Growth Factor - NUM_CALC1'!G19</f>
        <v>78.41</v>
      </c>
      <c r="D19" s="159">
        <f>'3. Growth Factor - NUM_CALC1'!H19</f>
        <v>0</v>
      </c>
      <c r="E19" s="159">
        <f>'3. Growth Factor - NUM_CALC1'!I19</f>
        <v>4.7188999999999997</v>
      </c>
      <c r="F19" s="159"/>
      <c r="G19" s="407">
        <f>'3. Growth Factor - NUM_CALC1'!C19</f>
        <v>3735</v>
      </c>
      <c r="H19" s="407">
        <f>'3. Growth Factor - NUM_CALC1'!D19</f>
        <v>2051428808</v>
      </c>
      <c r="I19" s="407">
        <f>'3. Growth Factor - NUM_CALC1'!E19</f>
        <v>5710412</v>
      </c>
      <c r="J19" s="158"/>
      <c r="K19" s="399">
        <f t="shared" si="0"/>
        <v>3514336.1999999997</v>
      </c>
      <c r="L19" s="399">
        <f t="shared" si="1"/>
        <v>0</v>
      </c>
      <c r="M19" s="399">
        <f t="shared" si="1"/>
        <v>26946863.186799999</v>
      </c>
      <c r="N19" s="399">
        <f t="shared" si="2"/>
        <v>30461199.386799999</v>
      </c>
      <c r="O19" s="158"/>
      <c r="P19" s="410">
        <f>IF(ISERROR(K19/N24),0,K19/N24)</f>
        <v>2.6462806443248658E-2</v>
      </c>
      <c r="Q19" s="410">
        <f>IF(ISERROR(L19/N24),0,L19/N24)</f>
        <v>0</v>
      </c>
      <c r="R19" s="410">
        <f>IF(ISERROR(M19/N24),0,M19/N24)</f>
        <v>0.20290876688604556</v>
      </c>
      <c r="S19" s="161">
        <f>N19/N24</f>
        <v>0.2293715733292942</v>
      </c>
    </row>
    <row r="20" spans="1:26" x14ac:dyDescent="0.25">
      <c r="A20" s="158" t="s">
        <v>192</v>
      </c>
      <c r="B20" s="158"/>
      <c r="C20" s="406">
        <f>'3. Growth Factor - NUM_CALC1'!G20</f>
        <v>1785.59</v>
      </c>
      <c r="D20" s="159">
        <f>'3. Growth Factor - NUM_CALC1'!H20</f>
        <v>0</v>
      </c>
      <c r="E20" s="159">
        <f>'3. Growth Factor - NUM_CALC1'!I20</f>
        <v>2.4281999999999999</v>
      </c>
      <c r="F20" s="159"/>
      <c r="G20" s="407">
        <f>'3. Growth Factor - NUM_CALC1'!C20</f>
        <v>478</v>
      </c>
      <c r="H20" s="407">
        <f>'3. Growth Factor - NUM_CALC1'!D20</f>
        <v>2037760513</v>
      </c>
      <c r="I20" s="407">
        <f>'3. Growth Factor - NUM_CALC1'!E20</f>
        <v>4585777.2030871157</v>
      </c>
      <c r="J20" s="158"/>
      <c r="K20" s="399">
        <f t="shared" si="0"/>
        <v>10242144.24</v>
      </c>
      <c r="L20" s="399">
        <f t="shared" si="1"/>
        <v>0</v>
      </c>
      <c r="M20" s="399">
        <f t="shared" si="1"/>
        <v>11135184.204536134</v>
      </c>
      <c r="N20" s="399">
        <f t="shared" si="2"/>
        <v>21377328.444536135</v>
      </c>
      <c r="O20" s="158"/>
      <c r="P20" s="410">
        <f>IF(ISERROR(K20/N24),0,K20/N24)</f>
        <v>7.7122923124701093E-2</v>
      </c>
      <c r="Q20" s="410">
        <f>IF(ISERROR(L20/N24),0,L20/N24)</f>
        <v>0</v>
      </c>
      <c r="R20" s="410">
        <f>IF(ISERROR(M20/N24),0,M20/N24)</f>
        <v>8.3847477174938331E-2</v>
      </c>
      <c r="S20" s="161">
        <f>N20/N24</f>
        <v>0.16097040029963944</v>
      </c>
    </row>
    <row r="21" spans="1:26" x14ac:dyDescent="0.25">
      <c r="A21" s="158" t="s">
        <v>116</v>
      </c>
      <c r="B21" s="158"/>
      <c r="C21" s="406">
        <f>'3. Growth Factor - NUM_CALC1'!G21</f>
        <v>14078.67</v>
      </c>
      <c r="D21" s="159">
        <f>'3. Growth Factor - NUM_CALC1'!H21</f>
        <v>0</v>
      </c>
      <c r="E21" s="159">
        <f>'3. Growth Factor - NUM_CALC1'!I21</f>
        <v>3.0139</v>
      </c>
      <c r="F21" s="159"/>
      <c r="G21" s="407">
        <f>'3. Growth Factor - NUM_CALC1'!C21</f>
        <v>9</v>
      </c>
      <c r="H21" s="407">
        <f>'3. Growth Factor - NUM_CALC1'!D21</f>
        <v>977049362</v>
      </c>
      <c r="I21" s="407">
        <f>'3. Growth Factor - NUM_CALC1'!E21</f>
        <v>1753163</v>
      </c>
      <c r="J21" s="158"/>
      <c r="K21" s="399">
        <f t="shared" si="0"/>
        <v>1520496.3599999999</v>
      </c>
      <c r="L21" s="399">
        <f t="shared" si="1"/>
        <v>0</v>
      </c>
      <c r="M21" s="399">
        <f t="shared" si="1"/>
        <v>5283857.9656999996</v>
      </c>
      <c r="N21" s="399">
        <f t="shared" si="2"/>
        <v>6804354.3256999999</v>
      </c>
      <c r="O21" s="158"/>
      <c r="P21" s="410">
        <f>IF(ISERROR(K21/N24),0,K21/N24)</f>
        <v>1.1449274794012062E-2</v>
      </c>
      <c r="Q21" s="410">
        <f>IF(ISERROR(L21/N24),0,L21/N24)</f>
        <v>0</v>
      </c>
      <c r="R21" s="410">
        <f>IF(ISERROR(M21/N24),0,M21/N24)</f>
        <v>3.9787232257385251E-2</v>
      </c>
      <c r="S21" s="161">
        <f>N21/N24</f>
        <v>5.1236507051397318E-2</v>
      </c>
    </row>
    <row r="22" spans="1:26" x14ac:dyDescent="0.25">
      <c r="A22" s="158" t="s">
        <v>123</v>
      </c>
      <c r="B22" s="158"/>
      <c r="C22" s="406">
        <f>'3. Growth Factor - NUM_CALC1'!G22</f>
        <v>9.19</v>
      </c>
      <c r="D22" s="159">
        <f>'3. Growth Factor - NUM_CALC1'!H22</f>
        <v>1.67E-2</v>
      </c>
      <c r="E22" s="159">
        <f>'3. Growth Factor - NUM_CALC1'!I22</f>
        <v>0</v>
      </c>
      <c r="F22" s="159"/>
      <c r="G22" s="407">
        <f>'3. Growth Factor - NUM_CALC1'!C22</f>
        <v>3110</v>
      </c>
      <c r="H22" s="407">
        <f>'3. Growth Factor - NUM_CALC1'!D22</f>
        <v>11437642</v>
      </c>
      <c r="I22" s="407">
        <f>'3. Growth Factor - NUM_CALC1'!E22</f>
        <v>0</v>
      </c>
      <c r="J22" s="158"/>
      <c r="K22" s="399">
        <f t="shared" si="0"/>
        <v>342970.8</v>
      </c>
      <c r="L22" s="399">
        <f t="shared" si="1"/>
        <v>191008.6214</v>
      </c>
      <c r="M22" s="399">
        <f t="shared" si="1"/>
        <v>0</v>
      </c>
      <c r="N22" s="399">
        <f t="shared" si="2"/>
        <v>533979.42139999999</v>
      </c>
      <c r="O22" s="158"/>
      <c r="P22" s="410">
        <f>IF(ISERROR(K22/N24),0,K22/N24)</f>
        <v>2.5825559592409365E-3</v>
      </c>
      <c r="Q22" s="410">
        <f>IF(ISERROR(L22/N24),0,L22/N24)</f>
        <v>1.4382870304497232E-3</v>
      </c>
      <c r="R22" s="410">
        <f>IF(ISERROR(M22/N24),0,M22/N24)</f>
        <v>0</v>
      </c>
      <c r="S22" s="161">
        <f>N22/N24</f>
        <v>4.0208429896906595E-3</v>
      </c>
    </row>
    <row r="23" spans="1:26" x14ac:dyDescent="0.25">
      <c r="A23" s="158" t="s">
        <v>68</v>
      </c>
      <c r="B23" s="158"/>
      <c r="C23" s="406">
        <f>'3. Growth Factor - NUM_CALC1'!G23</f>
        <v>1.54</v>
      </c>
      <c r="D23" s="159">
        <f>'3. Growth Factor - NUM_CALC1'!H23</f>
        <v>0</v>
      </c>
      <c r="E23" s="159">
        <f>'3. Growth Factor - NUM_CALC1'!I23</f>
        <v>11.7902</v>
      </c>
      <c r="F23" s="159"/>
      <c r="G23" s="407">
        <f>'3. Growth Factor - NUM_CALC1'!C23</f>
        <v>50859</v>
      </c>
      <c r="H23" s="407">
        <f>'3. Growth Factor - NUM_CALC1'!D23</f>
        <v>13289944</v>
      </c>
      <c r="I23" s="407">
        <f>'3. Growth Factor - NUM_CALC1'!E23</f>
        <v>40572</v>
      </c>
      <c r="J23" s="158"/>
      <c r="K23" s="399">
        <f t="shared" si="0"/>
        <v>939874.32000000007</v>
      </c>
      <c r="L23" s="399">
        <f t="shared" si="1"/>
        <v>0</v>
      </c>
      <c r="M23" s="399">
        <f t="shared" si="1"/>
        <v>478351.99440000003</v>
      </c>
      <c r="N23" s="399">
        <f t="shared" si="2"/>
        <v>1418226.3144</v>
      </c>
      <c r="O23" s="158"/>
      <c r="P23" s="410">
        <f>IF(ISERROR(K23/N24),0,K23/N24)</f>
        <v>7.077214812612395E-3</v>
      </c>
      <c r="Q23" s="410">
        <f>IF(ISERROR(L23/N24),0,L23/N24)</f>
        <v>0</v>
      </c>
      <c r="R23" s="410">
        <f>IF(ISERROR(M23/N24),0,M23/N24)</f>
        <v>3.601970761803941E-3</v>
      </c>
      <c r="S23" s="161">
        <f>N23/N24</f>
        <v>1.0679185574416335E-2</v>
      </c>
    </row>
    <row r="24" spans="1:26" x14ac:dyDescent="0.25">
      <c r="A24" s="120" t="s">
        <v>769</v>
      </c>
      <c r="B24" s="120"/>
      <c r="C24" s="121"/>
      <c r="D24" s="121"/>
      <c r="E24" s="121"/>
      <c r="F24" s="121"/>
      <c r="G24" s="408"/>
      <c r="H24" s="408"/>
      <c r="I24" s="408"/>
      <c r="J24" s="120"/>
      <c r="K24" s="122">
        <f>SUM(K17:K23)</f>
        <v>79854570.359999985</v>
      </c>
      <c r="L24" s="122">
        <f>SUM(L17:L23)</f>
        <v>9104025.5133999996</v>
      </c>
      <c r="M24" s="122">
        <f>SUM(M17:M23)</f>
        <v>43844257.351436138</v>
      </c>
      <c r="N24" s="122">
        <f>SUM(N17:N23)</f>
        <v>132802853.22483614</v>
      </c>
      <c r="O24" s="120"/>
      <c r="P24" s="123"/>
      <c r="Q24" s="123"/>
      <c r="R24" s="123"/>
      <c r="S24" s="123">
        <f>SUM(S17:S23)</f>
        <v>1</v>
      </c>
      <c r="T24" s="118"/>
      <c r="U24" s="118"/>
      <c r="V24" s="118"/>
      <c r="W24" s="118"/>
      <c r="X24" s="118"/>
      <c r="Y24" s="118"/>
      <c r="Z24" s="118"/>
    </row>
    <row r="25" spans="1:26" x14ac:dyDescent="0.25">
      <c r="C25" s="124"/>
      <c r="D25" s="124"/>
      <c r="E25" s="124"/>
      <c r="F25" s="124"/>
      <c r="G25" s="124"/>
      <c r="H25" s="124"/>
      <c r="I25" s="124"/>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algorithmName="SHA-512" hashValue="ppzmj1ia/6rf4qPdSxEqf1b7ayh8BtcE8mF8zcCFUnBUfT+Ua+lCp46ZJrVoLxgcUEmaX19XEhVeHHN3Ad5kxA==" saltValue="pzLX0x/bZm1QaQWF6S6xcg==" spinCount="100000" sheet="1" objects="1" scenarios="1"/>
  <mergeCells count="3">
    <mergeCell ref="A13:G13"/>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E44545ECA6CE45B61632A28E1FD8BD" ma:contentTypeVersion="2" ma:contentTypeDescription="Create a new document." ma:contentTypeScope="" ma:versionID="d62d802f2ff0fa6c086605e3e0d5e124">
  <xsd:schema xmlns:xsd="http://www.w3.org/2001/XMLSchema" xmlns:xs="http://www.w3.org/2001/XMLSchema" xmlns:p="http://schemas.microsoft.com/office/2006/metadata/properties" xmlns:ns2="612e369a-65a7-49d3-aac8-0ff92841d23e" targetNamespace="http://schemas.microsoft.com/office/2006/metadata/properties" ma:root="true" ma:fieldsID="0ed5acc6c97573620902ba2a34de9c87" ns2:_="">
    <xsd:import namespace="612e369a-65a7-49d3-aac8-0ff92841d23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2e369a-65a7-49d3-aac8-0ff92841d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4BFAB6-8387-4E17-8433-75C63A6319A0}"/>
</file>

<file path=customXml/itemProps2.xml><?xml version="1.0" encoding="utf-8"?>
<ds:datastoreItem xmlns:ds="http://schemas.openxmlformats.org/officeDocument/2006/customXml" ds:itemID="{89969608-6E7D-490B-B789-E091BB7C708C}"/>
</file>

<file path=customXml/itemProps3.xml><?xml version="1.0" encoding="utf-8"?>
<ds:datastoreItem xmlns:ds="http://schemas.openxmlformats.org/officeDocument/2006/customXml" ds:itemID="{30AA300B-6A35-4EFC-B595-14EB625493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37</vt:i4>
      </vt:variant>
    </vt:vector>
  </HeadingPairs>
  <TitlesOfParts>
    <vt:vector size="51" baseType="lpstr">
      <vt:lpstr>lists</vt:lpstr>
      <vt:lpstr>tempcopy</vt:lpstr>
      <vt:lpstr>1. Information Sheet</vt:lpstr>
      <vt:lpstr>2. Rate Class Selection</vt:lpstr>
      <vt:lpstr>3. Growth Factor - NUM_CALC1</vt:lpstr>
      <vt:lpstr>4. Growth Factor - NUM_CALC2</vt:lpstr>
      <vt:lpstr>5. Rev_Requ_Check</vt:lpstr>
      <vt:lpstr>6. Growth Factor - DEN_CALC</vt:lpstr>
      <vt:lpstr>7. Revenue Proportions</vt:lpstr>
      <vt:lpstr>8. Threshold Test</vt:lpstr>
      <vt:lpstr>9a. Proposed ACM Projects</vt:lpstr>
      <vt:lpstr>9b. Proposed ACM ICM Projects</vt:lpstr>
      <vt:lpstr>10. Incremental Capital Adj.</vt:lpstr>
      <vt:lpstr>11. Rate Rider Calc</vt:lpstr>
      <vt:lpstr>BI_LDCLIST</vt:lpstr>
      <vt:lpstr>CustomerAdministration</vt:lpstr>
      <vt:lpstr>'11. Rate Rider Calc'!d</vt:lpstr>
      <vt:lpstr>'9a. Proposed ACM Projects'!d</vt:lpstr>
      <vt:lpstr>d</vt:lpstr>
      <vt:lpstr>'11. Rate Rider Calc'!Fixed_Charges</vt:lpstr>
      <vt:lpstr>'2. Rate Class Selection'!Fixed_Charges</vt:lpstr>
      <vt:lpstr>'9a. Proposed ACM Projects'!Fixed_Charges</vt:lpstr>
      <vt:lpstr>Fixed_Charges</vt:lpstr>
      <vt:lpstr>'11. Rate Rider Calc'!g</vt:lpstr>
      <vt:lpstr>'9a. Proposed ACM Projects'!g</vt:lpstr>
      <vt:lpstr>g</vt:lpstr>
      <vt:lpstr>LDC_LIST</vt:lpstr>
      <vt:lpstr>'9a. Proposed ACM Projects'!LDCNAMES</vt:lpstr>
      <vt:lpstr>LDCNAMES</vt:lpstr>
      <vt:lpstr>LossFactors</vt:lpstr>
      <vt:lpstr>n</vt:lpstr>
      <vt:lpstr>NonPayment</vt:lpstr>
      <vt:lpstr>'11. Rate Rider Calc'!PCI</vt:lpstr>
      <vt:lpstr>'9a. Proposed ACM Projects'!PCI</vt:lpstr>
      <vt:lpstr>PCI</vt:lpstr>
      <vt:lpstr>'1. Information Sheet'!Print_Area</vt:lpstr>
      <vt:lpstr>'2. Rate Class Selection'!Print_Area</vt:lpstr>
      <vt:lpstr>'5. Rev_Requ_Check'!Print_Area</vt:lpstr>
      <vt:lpstr>Rate_Class</vt:lpstr>
      <vt:lpstr>'11. Rate Rider Calc'!RB</vt:lpstr>
      <vt:lpstr>'9a. Proposed ACM Projects'!RB</vt:lpstr>
      <vt:lpstr>RB</vt:lpstr>
      <vt:lpstr>'11. Rate Rider Calc'!Units</vt:lpstr>
      <vt:lpstr>'2. Rate Class Selection'!Units</vt:lpstr>
      <vt:lpstr>'9a. Proposed ACM Projects'!Units</vt:lpstr>
      <vt:lpstr>Units</vt:lpstr>
      <vt:lpstr>'11. Rate Rider Calc'!Units1</vt:lpstr>
      <vt:lpstr>'2. Rate Class Selection'!Units1</vt:lpstr>
      <vt:lpstr>'9a. Proposed ACM Projects'!Units1</vt:lpstr>
      <vt:lpstr>Units1</vt:lpstr>
      <vt:lpstr>Units2</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Wang</dc:creator>
  <cp:lastModifiedBy>Mark Wells</cp:lastModifiedBy>
  <dcterms:created xsi:type="dcterms:W3CDTF">2019-03-12T18:12:16Z</dcterms:created>
  <dcterms:modified xsi:type="dcterms:W3CDTF">2019-09-13T01:49:27Z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0x0101004FE44545ECA6CE45B61632A28E1FD8BD</vt:lpwstr>
  </property>
</Properties>
</file>