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defaultThemeVersion="166925"/>
  <mc:AlternateContent xmlns:mc="http://schemas.openxmlformats.org/markup-compatibility/2006">
    <mc:Choice Requires="x15">
      <x15ac:absPath xmlns:x15ac="http://schemas.microsoft.com/office/spreadsheetml/2010/11/ac" url="V:\ACTIVE APPLICATIONS\API_2020_COS\Shared Files\Models with Broken Links for Filing (Settlement)\"/>
    </mc:Choice>
  </mc:AlternateContent>
  <xr:revisionPtr revIDLastSave="0" documentId="13_ncr:1_{798EAC9F-6C02-4A98-86BB-30EC39BD7429}" xr6:coauthVersionLast="36" xr6:coauthVersionMax="36" xr10:uidLastSave="{00000000-0000-0000-0000-000000000000}"/>
  <bookViews>
    <workbookView xWindow="0" yWindow="0" windowWidth="28800" windowHeight="13425" tabRatio="781" firstSheet="2" activeTab="7" xr2:uid="{56A69320-8C86-4A65-B4D2-400F80326375}"/>
  </bookViews>
  <sheets>
    <sheet name="1. 2019 Equivalent Rates" sheetId="1" r:id="rId1"/>
    <sheet name="2. RateDesign F,V Split" sheetId="2" r:id="rId2"/>
    <sheet name="3. Revenue at Curr,Prop Rates" sheetId="3" r:id="rId3"/>
    <sheet name="4. API 2020 RRRP Rate Design" sheetId="4" r:id="rId4"/>
    <sheet name="5.API 2020 Non-RRRP Rate Design" sheetId="5" r:id="rId5"/>
    <sheet name="6. Rate Design Policy R1(i)" sheetId="6" r:id="rId6"/>
    <sheet name="7. Rate Design Policy Seasonal" sheetId="8" r:id="rId7"/>
    <sheet name="8. Revenue Reconciliation"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ftn1">"#N/A"</definedName>
    <definedName name="_ftnref1">"#N/A"</definedName>
    <definedName name="_Parse_Out" localSheetId="6"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#REF!</definedName>
    <definedName name="CRLF">'[1]Z1.ModelVariables'!$C$10</definedName>
    <definedName name="CustomerAdministration">[5]lists!$Z$1:$Z$36</definedName>
    <definedName name="EBCaseNumber">"#N/A"</definedName>
    <definedName name="EBNUMBER" localSheetId="0">'[6]LDC Info'!$E$16</definedName>
    <definedName name="EBNumber">'[3]0.1 LDC Info'!$E$15</definedName>
    <definedName name="Fixed_Charges">[5]lists!$I$1:$I$212</definedName>
    <definedName name="histdate">[7]Financials!$E$76</definedName>
    <definedName name="holidays">#N/A</definedName>
    <definedName name="Incr2000">#REF!</definedName>
    <definedName name="Index_Sheet_Kutools" localSheetId="6">#REF!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2">'3. Revenue at Curr,Prop Rates'!$A$1:$J$59</definedName>
    <definedName name="_xlnm.Print_Area" localSheetId="7">'8. Revenue Reconciliation'!$A$1:$Q$34</definedName>
    <definedName name="print_end">#REF!</definedName>
    <definedName name="Rate_Class">[5]lists!$A$2:$A$105</definedName>
    <definedName name="RATE_CLASSES">[5]lists!$A$1:$A$104</definedName>
    <definedName name="ratedescription">[10]hidden1!$D$1:$D$122</definedName>
    <definedName name="RebaseYear" localSheetId="2">'[11]LDC Info'!$E$28</definedName>
    <definedName name="RebaseYear">'[12]LDC Info'!$E$28</definedName>
    <definedName name="RebaseYear_1">'[13]LDC Info'!$E$24</definedName>
    <definedName name="RMpilsVer">'[14]Z1.ModelVariables'!$C$13</definedName>
    <definedName name="RMversion">'[15]Z1.ModelVariables'!$C$13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'[3]0.1 LDC Info'!$E$25</definedName>
    <definedName name="TestYear" localSheetId="2">'[11]LDC Info'!$E$24</definedName>
    <definedName name="TestYear">'[4]LDC Info'!$E$24</definedName>
    <definedName name="TestYr">'[14]P0.Admin'!$C$13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[7]Financials!$A$1</definedName>
    <definedName name="utitliy1">[16]Financials!$A$1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9" l="1"/>
  <c r="D24" i="9"/>
  <c r="C25" i="9"/>
  <c r="C24" i="9"/>
  <c r="C19" i="9"/>
  <c r="E19" i="9"/>
  <c r="D16" i="9"/>
  <c r="D15" i="9"/>
  <c r="B20" i="8"/>
  <c r="B38" i="8" s="1"/>
  <c r="O4" i="4"/>
  <c r="F57" i="3"/>
  <c r="D40" i="3"/>
  <c r="D41" i="3"/>
  <c r="D42" i="3"/>
  <c r="D39" i="3"/>
  <c r="G48" i="2"/>
  <c r="G49" i="2"/>
  <c r="G62" i="2"/>
  <c r="G63" i="2"/>
  <c r="G64" i="2"/>
  <c r="G61" i="2"/>
  <c r="F19" i="9" l="1"/>
  <c r="I19" i="9" s="1"/>
  <c r="F16" i="9"/>
  <c r="I16" i="9" s="1"/>
  <c r="C18" i="9"/>
  <c r="C30" i="8"/>
  <c r="B18" i="8"/>
  <c r="C30" i="6"/>
  <c r="B23" i="6"/>
  <c r="B29" i="6" s="1"/>
  <c r="B18" i="6"/>
  <c r="B17" i="6"/>
  <c r="C29" i="6" s="1"/>
  <c r="J13" i="4"/>
  <c r="I13" i="4"/>
  <c r="M13" i="4"/>
  <c r="M12" i="4"/>
  <c r="J12" i="4"/>
  <c r="G16" i="9" s="1"/>
  <c r="I12" i="4"/>
  <c r="N11" i="4"/>
  <c r="M11" i="4"/>
  <c r="J11" i="4"/>
  <c r="B24" i="6" s="1"/>
  <c r="B30" i="6" s="1"/>
  <c r="D30" i="6" s="1"/>
  <c r="I11" i="4"/>
  <c r="G54" i="3"/>
  <c r="D54" i="3"/>
  <c r="B54" i="3"/>
  <c r="A54" i="3"/>
  <c r="A53" i="3"/>
  <c r="A52" i="3"/>
  <c r="A51" i="3"/>
  <c r="C55" i="3"/>
  <c r="F44" i="3"/>
  <c r="I43" i="3"/>
  <c r="E54" i="3" s="1"/>
  <c r="F54" i="3" s="1"/>
  <c r="I54" i="3" s="1"/>
  <c r="H43" i="3"/>
  <c r="E43" i="3"/>
  <c r="B43" i="3"/>
  <c r="H42" i="3"/>
  <c r="H41" i="3"/>
  <c r="A41" i="3"/>
  <c r="F40" i="3"/>
  <c r="A40" i="3"/>
  <c r="H39" i="3"/>
  <c r="I30" i="3"/>
  <c r="D30" i="3"/>
  <c r="G30" i="3" s="1"/>
  <c r="G20" i="3"/>
  <c r="F20" i="3"/>
  <c r="H19" i="3"/>
  <c r="E19" i="3"/>
  <c r="I19" i="3" s="1"/>
  <c r="E30" i="3" s="1"/>
  <c r="H30" i="3" s="1"/>
  <c r="A43" i="3"/>
  <c r="H18" i="3"/>
  <c r="A29" i="3"/>
  <c r="H17" i="3"/>
  <c r="A28" i="3"/>
  <c r="A27" i="3"/>
  <c r="H15" i="3"/>
  <c r="A67" i="2"/>
  <c r="C64" i="2"/>
  <c r="D64" i="2" s="1"/>
  <c r="M24" i="9"/>
  <c r="O24" i="9" s="1"/>
  <c r="C63" i="2"/>
  <c r="D63" i="2" s="1"/>
  <c r="M19" i="9"/>
  <c r="C61" i="2"/>
  <c r="D61" i="2" s="1"/>
  <c r="A53" i="2"/>
  <c r="A68" i="2" s="1"/>
  <c r="A52" i="2"/>
  <c r="A49" i="2"/>
  <c r="A64" i="2" s="1"/>
  <c r="A34" i="2"/>
  <c r="A50" i="2" s="1"/>
  <c r="A65" i="2" s="1"/>
  <c r="A33" i="2"/>
  <c r="A30" i="2"/>
  <c r="A46" i="2" s="1"/>
  <c r="A61" i="2" s="1"/>
  <c r="A38" i="2"/>
  <c r="A54" i="2" s="1"/>
  <c r="A69" i="2" s="1"/>
  <c r="A37" i="2"/>
  <c r="A36" i="2"/>
  <c r="A35" i="2"/>
  <c r="A51" i="2" s="1"/>
  <c r="A66" i="2" s="1"/>
  <c r="A32" i="2"/>
  <c r="A48" i="2" s="1"/>
  <c r="A63" i="2" s="1"/>
  <c r="C16" i="2"/>
  <c r="A31" i="2"/>
  <c r="A47" i="2" s="1"/>
  <c r="A62" i="2" s="1"/>
  <c r="M51" i="1"/>
  <c r="K51" i="1" s="1"/>
  <c r="I51" i="1" s="1"/>
  <c r="L51" i="1"/>
  <c r="J51" i="1"/>
  <c r="B18" i="3" s="1"/>
  <c r="E18" i="3" s="1"/>
  <c r="I18" i="3" s="1"/>
  <c r="E29" i="3" s="1"/>
  <c r="H51" i="1"/>
  <c r="G51" i="1"/>
  <c r="M50" i="1"/>
  <c r="H49" i="1"/>
  <c r="G49" i="1"/>
  <c r="M48" i="1"/>
  <c r="M52" i="1" s="1"/>
  <c r="K48" i="1"/>
  <c r="I48" i="1" s="1"/>
  <c r="M39" i="1"/>
  <c r="H39" i="1" s="1"/>
  <c r="H50" i="1" s="1"/>
  <c r="L50" i="1" s="1"/>
  <c r="J50" i="1" s="1"/>
  <c r="B17" i="3" s="1"/>
  <c r="E17" i="3" s="1"/>
  <c r="I17" i="3" s="1"/>
  <c r="E28" i="3" s="1"/>
  <c r="J39" i="1"/>
  <c r="I39" i="1"/>
  <c r="N39" i="1" s="1"/>
  <c r="G39" i="1"/>
  <c r="G50" i="1" s="1"/>
  <c r="K50" i="1" s="1"/>
  <c r="I50" i="1" s="1"/>
  <c r="L36" i="1"/>
  <c r="K36" i="1"/>
  <c r="M36" i="1" s="1"/>
  <c r="H36" i="1"/>
  <c r="H48" i="1" s="1"/>
  <c r="L48" i="1" s="1"/>
  <c r="G36" i="1"/>
  <c r="G48" i="1" s="1"/>
  <c r="C15" i="2" s="1"/>
  <c r="D15" i="2" s="1"/>
  <c r="E36" i="1"/>
  <c r="J36" i="1" s="1"/>
  <c r="D36" i="1"/>
  <c r="M35" i="1"/>
  <c r="H35" i="1" s="1"/>
  <c r="J35" i="1"/>
  <c r="I35" i="1"/>
  <c r="G35" i="1"/>
  <c r="M34" i="1"/>
  <c r="J34" i="1"/>
  <c r="I34" i="1"/>
  <c r="N34" i="1" s="1"/>
  <c r="H34" i="1"/>
  <c r="G34" i="1"/>
  <c r="D27" i="1"/>
  <c r="C27" i="1"/>
  <c r="E26" i="1"/>
  <c r="E25" i="1"/>
  <c r="E24" i="1"/>
  <c r="M49" i="1" s="1"/>
  <c r="E23" i="1"/>
  <c r="E27" i="1" s="1"/>
  <c r="L15" i="1"/>
  <c r="K15" i="1"/>
  <c r="M14" i="1"/>
  <c r="J14" i="1"/>
  <c r="I14" i="1"/>
  <c r="M13" i="1"/>
  <c r="J13" i="1"/>
  <c r="I13" i="1"/>
  <c r="N13" i="1" s="1"/>
  <c r="M12" i="1"/>
  <c r="J12" i="1"/>
  <c r="I12" i="1"/>
  <c r="N12" i="1" s="1"/>
  <c r="N11" i="1"/>
  <c r="M11" i="1"/>
  <c r="M15" i="1" s="1"/>
  <c r="J11" i="1"/>
  <c r="I11" i="1"/>
  <c r="N50" i="1" l="1"/>
  <c r="B28" i="3"/>
  <c r="L11" i="4"/>
  <c r="K49" i="1"/>
  <c r="I49" i="1" s="1"/>
  <c r="L49" i="1"/>
  <c r="J49" i="1" s="1"/>
  <c r="B16" i="3" s="1"/>
  <c r="E16" i="3" s="1"/>
  <c r="B26" i="3"/>
  <c r="N48" i="1"/>
  <c r="N51" i="1"/>
  <c r="B29" i="3"/>
  <c r="J48" i="1"/>
  <c r="B15" i="3" s="1"/>
  <c r="E15" i="3" s="1"/>
  <c r="M54" i="1"/>
  <c r="M18" i="9"/>
  <c r="F70" i="2"/>
  <c r="I36" i="1"/>
  <c r="N36" i="1" s="1"/>
  <c r="G15" i="2"/>
  <c r="H19" i="9"/>
  <c r="J19" i="9" s="1"/>
  <c r="K19" i="9" s="1"/>
  <c r="N13" i="4"/>
  <c r="D29" i="6"/>
  <c r="N35" i="1"/>
  <c r="A26" i="3"/>
  <c r="A50" i="3"/>
  <c r="H40" i="3"/>
  <c r="H44" i="3" s="1"/>
  <c r="G40" i="3"/>
  <c r="H16" i="3"/>
  <c r="H20" i="3" s="1"/>
  <c r="H54" i="3"/>
  <c r="J16" i="9"/>
  <c r="K16" i="9" s="1"/>
  <c r="C31" i="3"/>
  <c r="D18" i="9"/>
  <c r="N14" i="1"/>
  <c r="N15" i="1" s="1"/>
  <c r="M25" i="9"/>
  <c r="O25" i="9" s="1"/>
  <c r="A39" i="3"/>
  <c r="D16" i="2"/>
  <c r="G16" i="2"/>
  <c r="O11" i="4"/>
  <c r="K11" i="4"/>
  <c r="B17" i="8"/>
  <c r="C29" i="8" s="1"/>
  <c r="K52" i="1"/>
  <c r="A42" i="3"/>
  <c r="N12" i="4"/>
  <c r="B18" i="2" l="1"/>
  <c r="D29" i="3"/>
  <c r="G44" i="3"/>
  <c r="B62" i="2"/>
  <c r="O18" i="9"/>
  <c r="M22" i="9"/>
  <c r="I16" i="3"/>
  <c r="E27" i="3" s="1"/>
  <c r="O12" i="4"/>
  <c r="L13" i="4"/>
  <c r="D26" i="3"/>
  <c r="B15" i="2"/>
  <c r="B46" i="2"/>
  <c r="H15" i="2"/>
  <c r="O13" i="4"/>
  <c r="K13" i="4" s="1"/>
  <c r="E20" i="3"/>
  <c r="I15" i="3"/>
  <c r="N49" i="1"/>
  <c r="N52" i="1" s="1"/>
  <c r="B27" i="3"/>
  <c r="D31" i="6"/>
  <c r="E30" i="6" s="1"/>
  <c r="B20" i="6"/>
  <c r="D28" i="3"/>
  <c r="B17" i="2"/>
  <c r="B47" i="2"/>
  <c r="H16" i="2"/>
  <c r="L52" i="1"/>
  <c r="M27" i="9" l="1"/>
  <c r="F28" i="3"/>
  <c r="B50" i="3"/>
  <c r="D50" i="3" s="1"/>
  <c r="E29" i="6"/>
  <c r="B38" i="6" s="1"/>
  <c r="B16" i="2"/>
  <c r="D27" i="3"/>
  <c r="C62" i="2"/>
  <c r="D62" i="2" s="1"/>
  <c r="B70" i="2"/>
  <c r="B39" i="6"/>
  <c r="C39" i="6" s="1"/>
  <c r="D39" i="6" s="1"/>
  <c r="E26" i="3"/>
  <c r="I20" i="3"/>
  <c r="F29" i="3"/>
  <c r="G29" i="3"/>
  <c r="C18" i="2" s="1"/>
  <c r="K12" i="4"/>
  <c r="L12" i="4"/>
  <c r="B51" i="3"/>
  <c r="D51" i="3" s="1"/>
  <c r="D31" i="3"/>
  <c r="B40" i="6" l="1"/>
  <c r="C38" i="6"/>
  <c r="C46" i="2"/>
  <c r="D46" i="2" s="1"/>
  <c r="H61" i="2"/>
  <c r="E31" i="3"/>
  <c r="F26" i="3"/>
  <c r="H26" i="3" s="1"/>
  <c r="H28" i="3"/>
  <c r="G28" i="3"/>
  <c r="C17" i="2" s="1"/>
  <c r="G18" i="2"/>
  <c r="D18" i="2"/>
  <c r="N14" i="4"/>
  <c r="D70" i="2"/>
  <c r="H62" i="2"/>
  <c r="F47" i="2" s="1"/>
  <c r="C47" i="2"/>
  <c r="D47" i="2" s="1"/>
  <c r="H29" i="3"/>
  <c r="F27" i="3"/>
  <c r="G27" i="3" s="1"/>
  <c r="G47" i="2" l="1"/>
  <c r="B40" i="3" s="1"/>
  <c r="E40" i="3" s="1"/>
  <c r="I40" i="3" s="1"/>
  <c r="E51" i="3" s="1"/>
  <c r="F51" i="3" s="1"/>
  <c r="H51" i="3" s="1"/>
  <c r="G17" i="2"/>
  <c r="D17" i="2"/>
  <c r="F46" i="2"/>
  <c r="H27" i="3"/>
  <c r="N19" i="9"/>
  <c r="O14" i="4"/>
  <c r="H18" i="2"/>
  <c r="B49" i="2"/>
  <c r="F31" i="3"/>
  <c r="I27" i="3" s="1"/>
  <c r="G26" i="3"/>
  <c r="D43" i="6"/>
  <c r="D38" i="6"/>
  <c r="D40" i="6" s="1"/>
  <c r="G46" i="2" l="1"/>
  <c r="B39" i="3" s="1"/>
  <c r="E39" i="3" s="1"/>
  <c r="I39" i="3" s="1"/>
  <c r="I26" i="3"/>
  <c r="N22" i="9"/>
  <c r="O19" i="9"/>
  <c r="P19" i="9" s="1"/>
  <c r="I29" i="3"/>
  <c r="I28" i="3"/>
  <c r="I16" i="5"/>
  <c r="B53" i="3"/>
  <c r="D53" i="3" s="1"/>
  <c r="F15" i="9"/>
  <c r="I15" i="9" s="1"/>
  <c r="E43" i="6"/>
  <c r="B48" i="6"/>
  <c r="C43" i="6"/>
  <c r="G51" i="3"/>
  <c r="O16" i="4"/>
  <c r="I20" i="9" s="1"/>
  <c r="K20" i="9" s="1"/>
  <c r="P20" i="9" s="1"/>
  <c r="H17" i="2"/>
  <c r="B48" i="2"/>
  <c r="B43" i="6" l="1"/>
  <c r="B44" i="6" s="1"/>
  <c r="C44" i="6" s="1"/>
  <c r="D44" i="6" s="1"/>
  <c r="I15" i="5"/>
  <c r="B52" i="3"/>
  <c r="D52" i="3" s="1"/>
  <c r="N27" i="9"/>
  <c r="O27" i="9" s="1"/>
  <c r="O22" i="9"/>
  <c r="I18" i="9"/>
  <c r="I22" i="9" s="1"/>
  <c r="F25" i="9"/>
  <c r="I25" i="9" s="1"/>
  <c r="K16" i="5"/>
  <c r="O17" i="4"/>
  <c r="E50" i="3"/>
  <c r="C49" i="2"/>
  <c r="D49" i="2" s="1"/>
  <c r="H64" i="2"/>
  <c r="F49" i="2" s="1"/>
  <c r="O29" i="9" l="1"/>
  <c r="D55" i="3"/>
  <c r="H63" i="2"/>
  <c r="C48" i="2"/>
  <c r="D48" i="2" s="1"/>
  <c r="G70" i="2"/>
  <c r="B23" i="8"/>
  <c r="B29" i="8" s="1"/>
  <c r="D29" i="8" s="1"/>
  <c r="K15" i="5"/>
  <c r="G15" i="9"/>
  <c r="J15" i="9" s="1"/>
  <c r="E44" i="6"/>
  <c r="E45" i="6" s="1"/>
  <c r="B49" i="6"/>
  <c r="B50" i="6" s="1"/>
  <c r="J16" i="5"/>
  <c r="B42" i="3"/>
  <c r="E42" i="3" s="1"/>
  <c r="I42" i="3" s="1"/>
  <c r="E53" i="3" s="1"/>
  <c r="F50" i="3"/>
  <c r="H50" i="3" s="1"/>
  <c r="C45" i="6"/>
  <c r="K17" i="5" l="1"/>
  <c r="F53" i="3"/>
  <c r="G50" i="3"/>
  <c r="G25" i="9"/>
  <c r="J25" i="9" s="1"/>
  <c r="K25" i="9" s="1"/>
  <c r="P25" i="9" s="1"/>
  <c r="L16" i="5"/>
  <c r="J18" i="9"/>
  <c r="J22" i="9" s="1"/>
  <c r="K15" i="9"/>
  <c r="K18" i="9" s="1"/>
  <c r="P18" i="9" s="1"/>
  <c r="F48" i="2"/>
  <c r="H70" i="2"/>
  <c r="G53" i="3" l="1"/>
  <c r="H53" i="3"/>
  <c r="K22" i="9"/>
  <c r="P22" i="9" s="1"/>
  <c r="M16" i="5"/>
  <c r="G16" i="5" s="1"/>
  <c r="J15" i="5"/>
  <c r="B41" i="3"/>
  <c r="E41" i="3" s="1"/>
  <c r="B24" i="8" l="1"/>
  <c r="B30" i="8" s="1"/>
  <c r="D30" i="8" s="1"/>
  <c r="L15" i="5"/>
  <c r="H16" i="5"/>
  <c r="I41" i="3"/>
  <c r="E44" i="3"/>
  <c r="E52" i="3" l="1"/>
  <c r="I44" i="3"/>
  <c r="L17" i="5"/>
  <c r="M17" i="5" s="1"/>
  <c r="M15" i="5"/>
  <c r="G15" i="5" s="1"/>
  <c r="D31" i="8"/>
  <c r="E29" i="8" s="1"/>
  <c r="E30" i="8" l="1"/>
  <c r="B39" i="8" s="1"/>
  <c r="C39" i="8" s="1"/>
  <c r="D39" i="8" s="1"/>
  <c r="H15" i="5"/>
  <c r="C38" i="8"/>
  <c r="F52" i="3"/>
  <c r="H52" i="3" s="1"/>
  <c r="E55" i="3"/>
  <c r="B40" i="8" l="1"/>
  <c r="G52" i="3"/>
  <c r="F55" i="3"/>
  <c r="I52" i="3" s="1"/>
  <c r="D43" i="8"/>
  <c r="D38" i="8"/>
  <c r="D40" i="8" s="1"/>
  <c r="F24" i="9" l="1"/>
  <c r="I24" i="9" s="1"/>
  <c r="E43" i="8"/>
  <c r="B48" i="8"/>
  <c r="C43" i="8"/>
  <c r="F58" i="3"/>
  <c r="F59" i="3" s="1"/>
  <c r="I51" i="3"/>
  <c r="I50" i="3"/>
  <c r="I53" i="3"/>
  <c r="B43" i="8" l="1"/>
  <c r="B44" i="8" s="1"/>
  <c r="C44" i="8" s="1"/>
  <c r="D44" i="8" s="1"/>
  <c r="I27" i="9"/>
  <c r="E44" i="8" l="1"/>
  <c r="E45" i="8" s="1"/>
  <c r="G24" i="9"/>
  <c r="J24" i="9" s="1"/>
  <c r="B49" i="8"/>
  <c r="B50" i="8" s="1"/>
  <c r="C45" i="8"/>
  <c r="J27" i="9" l="1"/>
  <c r="K27" i="9" s="1"/>
  <c r="K24" i="9"/>
  <c r="P24" i="9" s="1"/>
  <c r="K29" i="9" l="1"/>
  <c r="P27" i="9"/>
  <c r="P2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O8" authorId="0" shapeId="0" xr:uid="{A467AB1E-0A48-4A29-A98A-3850083C7C30}">
      <text>
        <r>
          <rPr>
            <b/>
            <sz val="9"/>
            <color indexed="81"/>
            <rFont val="Tahoma"/>
            <family val="2"/>
          </rPr>
          <t>Beharriell, Greg:</t>
        </r>
        <r>
          <rPr>
            <sz val="9"/>
            <color indexed="81"/>
            <rFont val="Tahoma"/>
            <family val="2"/>
          </rPr>
          <t xml:space="preserve">
2020 Factor Confirmed in Aug 13, 2019 email from Birgit Armstrong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B35" authorId="0" shapeId="0" xr:uid="{AA3A3069-2AA2-4617-8988-96126A35F57E}">
      <text>
        <r>
          <rPr>
            <b/>
            <sz val="9"/>
            <color indexed="81"/>
            <rFont val="Tahoma"/>
            <family val="2"/>
          </rPr>
          <t>Beharriell, Greg:</t>
        </r>
        <r>
          <rPr>
            <sz val="9"/>
            <color indexed="81"/>
            <rFont val="Tahoma"/>
            <family val="2"/>
          </rPr>
          <t xml:space="preserve">
Applied max $4 adjustment in cell D43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B35" authorId="0" shapeId="0" xr:uid="{CCFE26D5-A330-4076-B339-9AAC1A1BF7E2}">
      <text>
        <r>
          <rPr>
            <b/>
            <sz val="9"/>
            <color indexed="81"/>
            <rFont val="Tahoma"/>
            <family val="2"/>
          </rPr>
          <t>Beharriell, Greg:</t>
        </r>
        <r>
          <rPr>
            <sz val="9"/>
            <color indexed="81"/>
            <rFont val="Tahoma"/>
            <family val="2"/>
          </rPr>
          <t xml:space="preserve">
Applied max $4 adjustment in cell D43</t>
        </r>
      </text>
    </comment>
  </commentList>
</comments>
</file>

<file path=xl/sharedStrings.xml><?xml version="1.0" encoding="utf-8"?>
<sst xmlns="http://schemas.openxmlformats.org/spreadsheetml/2006/main" count="451" uniqueCount="175">
  <si>
    <t>API 2020 RATE DESIGN MODEL</t>
  </si>
  <si>
    <t>SHEET 1 - 2019 EQUIVALENT RATES</t>
  </si>
  <si>
    <t>Determination of Residential R1 &amp; R2 2019 Electricity Distribution Rates and RRRP Funding (Incl OEB Residential Rate Design Policy)</t>
  </si>
  <si>
    <t>Equivalent Distribution Rates Required to Recover the Proposed 2015 Base Revenue Requirement at the Proposed 2019 Revenue to Cost Ratios</t>
  </si>
  <si>
    <t xml:space="preserve">Excluding Transformer Ownership Allowance </t>
  </si>
  <si>
    <t>2019 Approved Equivalent Electricity Distribution Rates</t>
  </si>
  <si>
    <t>Customer Class</t>
  </si>
  <si>
    <t>Metric</t>
  </si>
  <si>
    <t>Average # of Customers</t>
  </si>
  <si>
    <t>Billing Determinant</t>
  </si>
  <si>
    <t>F/V Split</t>
  </si>
  <si>
    <t>Distribution Rates</t>
  </si>
  <si>
    <t>Revenues</t>
  </si>
  <si>
    <t>kWh</t>
  </si>
  <si>
    <t>kW</t>
  </si>
  <si>
    <t>Fixed Allocation</t>
  </si>
  <si>
    <t>Variable Allocation</t>
  </si>
  <si>
    <t>Monthly Service Charge</t>
  </si>
  <si>
    <t>Variable Charge</t>
  </si>
  <si>
    <t>Fixed</t>
  </si>
  <si>
    <t>Variable</t>
  </si>
  <si>
    <t>Total Revenue</t>
  </si>
  <si>
    <t>Check</t>
  </si>
  <si>
    <t>Residential - R1</t>
  </si>
  <si>
    <t>Residential - R2</t>
  </si>
  <si>
    <t>Seasonal</t>
  </si>
  <si>
    <t>Street Lighting</t>
  </si>
  <si>
    <t>NOTE - the total revenue in the table above remains at $22,816,181, as accepted in EB-2014-0055.  Only the Class Shares have changed as a result of the proposed 2019 revenue to cost ratios.  The fixed/variable splits are the same as accepted in EB-2014-0055.</t>
  </si>
  <si>
    <t>IRM Indexed Revenue Requirement for 2019
Using the Estimated 2019 Price Cap</t>
  </si>
  <si>
    <t>NOTE - the table to the left reflects the inflationary increase of $22,816,181 by all annual price-cap adjustments from 2016-2019 - see 2019 IRM model for additional detail.</t>
  </si>
  <si>
    <t>Update R1 and Seasonal Fixed/Variable Split for Equivalent Rates to Reflect OEB Policy Transition for Fixed Residential Rates</t>
  </si>
  <si>
    <t>Reconciliation</t>
  </si>
  <si>
    <t>Residential - R1(i)</t>
  </si>
  <si>
    <t>Residential - R1(ii)</t>
  </si>
  <si>
    <t>Residential - R1 - Combined</t>
  </si>
  <si>
    <t>Equivalent Distribution Rates Reflecting 2015-2019 Price Cap Indexing and Changes to Fixed/Variable Splits for Use in 2020 Cost Allocation</t>
  </si>
  <si>
    <t>Check:</t>
  </si>
  <si>
    <t>Integrity Check (Base RR from Cost Allocation)</t>
  </si>
  <si>
    <t>SHEET 2 - RATE DESIGN FIXED/VARIABLE SPLIT</t>
  </si>
  <si>
    <t>Existing Rates</t>
  </si>
  <si>
    <t>Current Rates and Fixed to Variable Split</t>
  </si>
  <si>
    <t xml:space="preserve"> Proposed Rates and Fixed to Variable Split</t>
  </si>
  <si>
    <t>Customer Class Name</t>
  </si>
  <si>
    <t>Rate</t>
  </si>
  <si>
    <t>Fixed %</t>
  </si>
  <si>
    <t>Variable %</t>
  </si>
  <si>
    <t xml:space="preserve"> </t>
  </si>
  <si>
    <t>TOTAL</t>
  </si>
  <si>
    <t>Cost Allocation Results - Minimum and Maximum MSC</t>
  </si>
  <si>
    <t>Cost Allocation - Minimum Fixed Rate</t>
  </si>
  <si>
    <t>Cost Allocation - Maximun Fixed Rate</t>
  </si>
  <si>
    <t>Minimum System with PLCC * adjustment</t>
  </si>
  <si>
    <t>Rate Design</t>
  </si>
  <si>
    <t>Proposed Fixed Charge</t>
  </si>
  <si>
    <t>Resulting Variable</t>
  </si>
  <si>
    <t>Fixed Rate</t>
  </si>
  <si>
    <t>per</t>
  </si>
  <si>
    <t>Transf. Allowance ($/kW):</t>
  </si>
  <si>
    <t>Base Revenue Requirement $</t>
  </si>
  <si>
    <t xml:space="preserve">Fixed </t>
  </si>
  <si>
    <t>Notes:</t>
  </si>
  <si>
    <t>Rows 15-23 show the current and proposed rates at the existing fixed to variable split</t>
  </si>
  <si>
    <t>Rows 30-38 show the minimum and maximum MSC results from the Cost Allocation Study.</t>
  </si>
  <si>
    <t>At B46-B54, LDCs should use the proposed MSC at existing fixed to variable split (F15-F23) as a starting point to the Rate Design adjustment.</t>
  </si>
  <si>
    <t>Values at F15-F23 should be copied to B46-B54</t>
  </si>
  <si>
    <t>Utilities should then use the Minimum and Maximum Cost Allocation results (rows 30-38) to determine wheter further adjustement are required at row B46-B54</t>
  </si>
  <si>
    <t>The variable charge is automatically calculated depending on the selected MSC</t>
  </si>
  <si>
    <t>Rows 60-69 act as an integrity check between the fixed and variable charge to the base revenue requirement.</t>
  </si>
  <si>
    <t>SHEET 3 - REVENUE AT CURRENT AND PROPOSED RATES</t>
  </si>
  <si>
    <t>Projected Revenues at Current Rates</t>
  </si>
  <si>
    <t>2019 Rates at 2020 Load</t>
  </si>
  <si>
    <t>Test Year Projected Revenue from Existing Variable Charges</t>
  </si>
  <si>
    <t>Variable
Distribution
Rate</t>
  </si>
  <si>
    <t>Test Year Volume</t>
  </si>
  <si>
    <t>Gross
Variable
Revenue</t>
  </si>
  <si>
    <t>Transform.
Allowance
Rate</t>
  </si>
  <si>
    <t>Transform.
Allowance
kW's</t>
  </si>
  <si>
    <t>Transform.
Allowance
$'s</t>
  </si>
  <si>
    <t>Net
Variable
Revenue</t>
  </si>
  <si>
    <t>Total Variable Revenue</t>
  </si>
  <si>
    <t>Total Test Year Projected Revenue from Existing Rates</t>
  </si>
  <si>
    <t>Fixed
Rate</t>
  </si>
  <si>
    <t>Customers
(Connections)</t>
  </si>
  <si>
    <t>Fixed Charge Revenue</t>
  </si>
  <si>
    <t>Variable Revenue</t>
  </si>
  <si>
    <t>% Fixed
Revenue</t>
  </si>
  <si>
    <t>% Variable
Revenue</t>
  </si>
  <si>
    <t>% Total
Revenue</t>
  </si>
  <si>
    <t>other</t>
  </si>
  <si>
    <t>Total</t>
  </si>
  <si>
    <t>Projected Revenues at Proposed Rates</t>
  </si>
  <si>
    <t>2020 Rates at 2020 Load</t>
  </si>
  <si>
    <t>Test Year Projected Revenue from Proposed Variable Charges</t>
  </si>
  <si>
    <t>Total Test Year Projected Revenue from Proposed Rates Less Transformer Allance</t>
  </si>
  <si>
    <t>Base Revenue Requirement:</t>
  </si>
  <si>
    <t>Difference due to Rounding:</t>
  </si>
  <si>
    <t>SHEET 4 - API 2020 RRRP RATE DESIGN</t>
  </si>
  <si>
    <t>Revenues Allocated to the Residential R1 &amp; R2 Classes for 2020</t>
  </si>
  <si>
    <t>2020 Application of Rate Indexing Methodology</t>
  </si>
  <si>
    <t>Delivery Charges Indexed by Simple Average of Other LDC Increases in Current Year</t>
  </si>
  <si>
    <t>Simple Average Increase in Delivery Charge for 2020 using the 2019 Board Calculated RRRP Adjustment Factor</t>
  </si>
  <si>
    <t>2019 Distribution Rates</t>
  </si>
  <si>
    <t>2020 Distribution Rates</t>
  </si>
  <si>
    <t>2020 Revenue</t>
  </si>
  <si>
    <t>Residential - R1 (i)</t>
  </si>
  <si>
    <t>Residential - R1 (ii)</t>
  </si>
  <si>
    <t>Transformer Ownership Allowance - Allocated to the Residential - R2 class</t>
  </si>
  <si>
    <t>The Rural and Remote Rate Protection Amount Required for 2020</t>
  </si>
  <si>
    <t>SHEET 5 - API 2020 NON-RRRP RATE DESIGN</t>
  </si>
  <si>
    <t>2020 Distribution Base Rate Determination</t>
  </si>
  <si>
    <t>File Number:</t>
  </si>
  <si>
    <t>Exhibit:</t>
  </si>
  <si>
    <t>Tab:</t>
  </si>
  <si>
    <t>Schedule:</t>
  </si>
  <si>
    <t>Page:</t>
  </si>
  <si>
    <t>Date:</t>
  </si>
  <si>
    <t>SHEET 6 - RATE DESIGN POLICY R1(i)</t>
  </si>
  <si>
    <t>Please complete the following tables.</t>
  </si>
  <si>
    <t>A)  Data Inputs</t>
  </si>
  <si>
    <t>Test Year Billing Determinants for Residential Class</t>
  </si>
  <si>
    <t>Customers</t>
  </si>
  <si>
    <r>
      <t>Proposed Residential Class Specific Revenue Requirement</t>
    </r>
    <r>
      <rPr>
        <vertAlign val="superscript"/>
        <sz val="10"/>
        <rFont val="Segoe UI"/>
        <family val="2"/>
      </rPr>
      <t>1</t>
    </r>
  </si>
  <si>
    <t>Residential Base Rates on Current Tariff</t>
  </si>
  <si>
    <t>Monthly Fixed Charge ($)</t>
  </si>
  <si>
    <t>Distribution Volumetric Rate ($/kWh)</t>
  </si>
  <si>
    <t>B) Current Fixed/Variable Split</t>
  </si>
  <si>
    <t>Base Rates</t>
  </si>
  <si>
    <t>Billing Determinants</t>
  </si>
  <si>
    <t>Revenue</t>
  </si>
  <si>
    <t>% of Total Revenue</t>
  </si>
  <si>
    <t>-</t>
  </si>
  <si>
    <t>C) Calculating Test Year Base Rates</t>
  </si>
  <si>
    <r>
      <t>Number of Required Rate Design Policy Transition Years</t>
    </r>
    <r>
      <rPr>
        <vertAlign val="superscript"/>
        <sz val="10"/>
        <rFont val="Segoe UI"/>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</si>
  <si>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</si>
  <si>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</si>
  <si>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</si>
  <si>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</si>
  <si>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</si>
  <si>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</si>
  <si>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</si>
  <si>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Segoe UI"/>
        <family val="2"/>
      </rPr>
      <t>3</t>
    </r>
  </si>
  <si>
    <t>Change in Fixed Rate</t>
  </si>
  <si>
    <t>Difference Between Revenues @ Proposed Rates and Class Specific Revenue Requirement</t>
  </si>
  <si>
    <r>
      <rPr>
        <sz val="10"/>
        <rFont val="Segoe UI"/>
        <family val="2"/>
      </rPr>
      <t>1</t>
    </r>
    <r>
      <rPr>
        <b/>
        <sz val="10"/>
        <rFont val="Segoe UI"/>
        <family val="2"/>
      </rPr>
      <t xml:space="preserve">     </t>
    </r>
    <r>
      <rPr>
        <sz val="10"/>
        <rFont val="Segoe UI"/>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</si>
  <si>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</si>
  <si>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</si>
  <si>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SHEET 7 - RATE DESIGN POLICY SEASONAL</t>
  </si>
  <si>
    <t>SHEET 8 - REVENUE RECONCILIATION</t>
  </si>
  <si>
    <t>Volumetric Determinant</t>
  </si>
  <si>
    <t>Test Year Customer/Load Forecast</t>
  </si>
  <si>
    <t>Proposed Rates</t>
  </si>
  <si>
    <t>Fixed Revenues at Proposed Rates</t>
  </si>
  <si>
    <t>Variable Revenues at Proposed Rates</t>
  </si>
  <si>
    <t>Class Specific Revenue Requirement</t>
  </si>
  <si>
    <t>Transformer Allowance Credit</t>
  </si>
  <si>
    <t>Difference</t>
  </si>
  <si>
    <t>Customers/
Connections</t>
  </si>
  <si>
    <t>Volumetric</t>
  </si>
  <si>
    <t>R1(i)</t>
  </si>
  <si>
    <t>R1(ii)</t>
  </si>
  <si>
    <t>R1 - Total</t>
  </si>
  <si>
    <t>R2</t>
  </si>
  <si>
    <t>RRRP</t>
  </si>
  <si>
    <t>Total RRRP-Eligible</t>
  </si>
  <si>
    <t xml:space="preserve">Street Lighting </t>
  </si>
  <si>
    <t>Note</t>
  </si>
  <si>
    <t>Checks:</t>
  </si>
  <si>
    <t>1       The class specific revenue requirements in column M must be the amounts used in the final rate design process.  The total of column M should equate to the proposed base revenue requirement.</t>
  </si>
  <si>
    <t>2       Rates should be entered with the number of decimal places that will show on the Tariff of Rates and Charges.</t>
  </si>
  <si>
    <t>Residential R1</t>
  </si>
  <si>
    <t>Residential R2</t>
  </si>
  <si>
    <t>Seasonal Base Rates on Current Tariff</t>
  </si>
  <si>
    <t>Test Year Billing Determinants for Seasonal Class</t>
  </si>
  <si>
    <r>
      <t>Proposed Seasonal Class Specific Revenue Requirement</t>
    </r>
    <r>
      <rPr>
        <vertAlign val="superscript"/>
        <sz val="10"/>
        <rFont val="Segoe UI"/>
        <family val="2"/>
      </rPr>
      <t>1</t>
    </r>
  </si>
  <si>
    <t>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</si>
</sst>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_(* \(#,##0.00\);_(* &quot;-&quot;??_);_(@_)"/>
    <numFmt numFmtId="164" formatCode="_-* #,##0.00_-;\-* #,##0.00_-;_-* &quot;-&quot;??_-;_-@_-"/>
    <numFmt numFmtId="165" formatCode="_-* #,##0.00_-;\-* #,##0.00_-;_-* \-??_-;_-@_-"/>
    <numFmt numFmtId="166" formatCode="_(* #,##0_);_(* \(#,##0\);_(* &quot;-&quot;??_);_(@_)"/>
    <numFmt numFmtId="167" formatCode="0.0%"/>
    <numFmt numFmtId="168" formatCode="_(* #,##0.0000_);_(* \(#,##0.0000\);_(* &quot;-&quot;??_);_(@_)"/>
    <numFmt numFmtId="169" formatCode="\$#,##0.00_);&quot;($&quot;#,##0.00\)"/>
    <numFmt numFmtId="170" formatCode="\$#,##0.0000_);&quot;($&quot;#,##0.0000\)"/>
    <numFmt numFmtId="171" formatCode="_(* #,##0.00_);_(* \(#,##0.00\);_(* \-??_);_(@_)"/>
    <numFmt numFmtId="172" formatCode="&quot;$&quot;#,##0.0000"/>
    <numFmt numFmtId="173" formatCode="&quot;$&quot;#,##0"/>
    <numFmt numFmtId="174" formatCode="_-* #,##0_-;\-* #,##0_-;_-* \-??_-;_-@_-"/>
    <numFmt numFmtId="175" formatCode="&quot;$&quot;#,##0.00"/>
    <numFmt numFmtId="176" formatCode="0.000%"/>
    <numFmt numFmtId="177" formatCode="_-\$* #,##0.00_-;&quot;-$&quot;* #,##0.00_-;_-\$* \-??_-;_-@_-"/>
    <numFmt numFmtId="178" formatCode="_-&quot;$&quot;* #,##0_-;\-&quot;$&quot;* #,##0_-;_-&quot;$&quot;* &quot;-&quot;??_-;_-@_-"/>
    <numFmt numFmtId="179" formatCode="_-* #,##0.0000_-;\-* #,##0.0000_-;_-* \-??_-;_-@_-"/>
    <numFmt numFmtId="180" formatCode="_(&quot;$&quot;* #,##0_);_(&quot;$&quot;* \(#,##0\);_(&quot;$&quot;* &quot;-&quot;??_);_(@_)"/>
    <numFmt numFmtId="181" formatCode="_-* #,##0_-;\-* #,##0_-;_-* &quot;-&quot;??_-;_-@_-"/>
    <numFmt numFmtId="182" formatCode="_-&quot;$&quot;* #,##0.00_-;\-&quot;$&quot;* #,##0.00_-;_-&quot;$&quot;* &quot;-&quot;??_-;_-@_-"/>
    <numFmt numFmtId="183" formatCode="0.0000%"/>
    <numFmt numFmtId="184" formatCode="\$#,##0.00"/>
    <numFmt numFmtId="185" formatCode="_-\$* #,##0_-;&quot;-$&quot;* #,##0_-;_-\$* \-??_-;_-@_-"/>
  </numFmts>
  <fonts count="29" x14ac:knownFonts="1">
    <font>
      <sz val="10"/>
      <name val="Arial"/>
      <family val="2"/>
    </font>
    <font>
      <sz val="11"/>
      <color theme="1"/>
      <name val="Calibri"/>
      <family val="2"/>
      <scheme val="minor"/>
    </font>
    <font>
      <b/>
      <sz val="10"/>
      <color theme="1"/>
      <name val="Segoe UI"/>
      <family val="2"/>
    </font>
    <font>
      <sz val="10"/>
      <color theme="1"/>
      <name val="Segoe UI"/>
      <family val="2"/>
    </font>
    <font>
      <b/>
      <sz val="10"/>
      <name val="Segoe UI"/>
      <family val="2"/>
    </font>
    <font>
      <sz val="10"/>
      <name val="Arial"/>
      <family val="2"/>
    </font>
    <font>
      <sz val="10"/>
      <name val="Segoe UI"/>
      <family val="2"/>
    </font>
    <font>
      <sz val="10"/>
      <name val="Mangal"/>
      <family val="2"/>
      <charset val="1"/>
    </font>
    <font>
      <b/>
      <i/>
      <sz val="10"/>
      <color theme="0" tint="-0.14999847407452621"/>
      <name val="Segoe UI"/>
      <family val="2"/>
    </font>
    <font>
      <sz val="10"/>
      <name val="Arial"/>
      <family val="2"/>
      <charset val="1"/>
    </font>
    <font>
      <sz val="11"/>
      <name val="Arial"/>
      <family val="2"/>
      <charset val="1"/>
    </font>
    <font>
      <b/>
      <u/>
      <sz val="10"/>
      <name val="Segoe UI"/>
      <family val="2"/>
    </font>
    <font>
      <sz val="10"/>
      <name val="Mangal"/>
      <family val="2"/>
    </font>
    <font>
      <i/>
      <sz val="10"/>
      <name val="Segoe UI"/>
      <family val="2"/>
    </font>
    <font>
      <b/>
      <sz val="10"/>
      <color indexed="21"/>
      <name val="Segoe UI"/>
      <family val="2"/>
    </font>
    <font>
      <b/>
      <sz val="10"/>
      <color theme="4" tint="-0.249977111117893"/>
      <name val="Segoe UI"/>
      <family val="2"/>
    </font>
    <font>
      <b/>
      <i/>
      <sz val="10"/>
      <color rgb="FF0070C0"/>
      <name val="Segoe UI"/>
      <family val="2"/>
    </font>
    <font>
      <b/>
      <sz val="14"/>
      <name val="Arial"/>
      <family val="2"/>
      <charset val="1"/>
    </font>
    <font>
      <b/>
      <sz val="10"/>
      <name val="Arial"/>
      <family val="2"/>
    </font>
    <font>
      <b/>
      <sz val="9"/>
      <color indexed="81"/>
      <name val="Tahoma"/>
      <family val="2"/>
    </font>
    <font>
      <sz val="9"/>
      <color indexed="81"/>
      <name val="Tahoma"/>
      <family val="2"/>
    </font>
    <font>
      <sz val="8"/>
      <name val="Arial"/>
      <family val="2"/>
    </font>
    <font>
      <vertAlign val="superscript"/>
      <sz val="10"/>
      <name val="Segoe UI"/>
      <family val="2"/>
    </font>
    <font>
      <b/>
      <vertAlign val="superscript"/>
      <sz val="10"/>
      <name val="Segoe UI"/>
      <family val="2"/>
    </font>
    <font>
      <b/>
      <sz val="14"/>
      <name val="Arial"/>
      <family val="2"/>
    </font>
    <font>
      <b/>
      <i/>
      <sz val="8"/>
      <color theme="0" tint="-0.14999847407452621"/>
      <name val="Arial"/>
      <family val="2"/>
      <charset val="1"/>
    </font>
    <font>
      <b/>
      <sz val="10"/>
      <name val="Arial"/>
      <family val="2"/>
      <charset val="1"/>
    </font>
    <font>
      <sz val="8"/>
      <name val="Arial"/>
      <family val="2"/>
      <charset val="1"/>
    </font>
    <font>
      <i/>
      <sz val="10"/>
      <name val="Arial"/>
      <family val="2"/>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32"/>
      </patternFill>
    </fill>
    <fill>
      <patternFill patternType="solid">
        <fgColor indexed="39"/>
        <bgColor indexed="58"/>
      </patternFill>
    </fill>
    <fill>
      <patternFill patternType="solid">
        <fgColor theme="6" tint="0.79998168889431442"/>
        <bgColor indexed="64"/>
      </patternFill>
    </fill>
    <fill>
      <patternFill patternType="solid">
        <fgColor theme="8" tint="0.59999389629810485"/>
        <bgColor indexed="64"/>
      </patternFill>
    </fill>
    <fill>
      <patternFill patternType="solid">
        <fgColor indexed="41"/>
        <bgColor indexed="27"/>
      </patternFill>
    </fill>
    <fill>
      <patternFill patternType="solid">
        <fgColor theme="0"/>
        <bgColor indexed="58"/>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14">
    <xf numFmtId="0" fontId="0" fillId="0" borderId="0"/>
    <xf numFmtId="165" fontId="7" fillId="0" borderId="0" applyFill="0" applyBorder="0" applyAlignment="0" applyProtection="0"/>
    <xf numFmtId="177" fontId="7" fillId="0" borderId="0" applyFill="0" applyBorder="0" applyAlignment="0" applyProtection="0"/>
    <xf numFmtId="9" fontId="7" fillId="0" borderId="0" applyFill="0" applyBorder="0" applyAlignment="0" applyProtection="0"/>
    <xf numFmtId="0" fontId="1" fillId="0" borderId="0"/>
    <xf numFmtId="9" fontId="12" fillId="0" borderId="0" applyFill="0" applyBorder="0" applyAlignment="0" applyProtection="0"/>
    <xf numFmtId="171" fontId="12" fillId="0" borderId="0" applyFill="0" applyBorder="0" applyAlignment="0" applyProtection="0"/>
    <xf numFmtId="165" fontId="7" fillId="0" borderId="0" applyFill="0" applyBorder="0" applyAlignment="0" applyProtection="0"/>
    <xf numFmtId="0" fontId="9"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182" fontId="5" fillId="0" borderId="0" applyFont="0" applyFill="0" applyBorder="0" applyAlignment="0" applyProtection="0"/>
  </cellStyleXfs>
  <cellXfs count="378">
    <xf numFmtId="0" fontId="0" fillId="0" borderId="0" xfId="0"/>
    <xf numFmtId="0" fontId="1" fillId="0" borderId="0" xfId="4"/>
    <xf numFmtId="0" fontId="3" fillId="0" borderId="0" xfId="4" applyFont="1"/>
    <xf numFmtId="0" fontId="4" fillId="0" borderId="0" xfId="4" applyFont="1" applyAlignment="1">
      <alignment horizontal="center"/>
    </xf>
    <xf numFmtId="164" fontId="4" fillId="0" borderId="0" xfId="4" applyNumberFormat="1" applyFont="1" applyAlignment="1">
      <alignment horizont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Border="1"/>
    <xf numFmtId="0" fontId="6" fillId="0" borderId="16" xfId="0" applyFont="1" applyBorder="1" applyAlignment="1">
      <alignment horizontal="center"/>
    </xf>
    <xf numFmtId="1" fontId="6" fillId="0" borderId="16" xfId="0" applyNumberFormat="1" applyFont="1" applyBorder="1" applyAlignment="1">
      <alignment horizontal="center"/>
    </xf>
    <xf numFmtId="166" fontId="6" fillId="0" borderId="16" xfId="1" applyNumberFormat="1" applyFont="1" applyBorder="1"/>
    <xf numFmtId="167" fontId="6" fillId="0" borderId="16" xfId="3" applyNumberFormat="1" applyFont="1" applyBorder="1" applyAlignment="1">
      <alignment horizontal="center"/>
    </xf>
    <xf numFmtId="165" fontId="6" fillId="0" borderId="16" xfId="1" applyFont="1" applyBorder="1"/>
    <xf numFmtId="168" fontId="6" fillId="0" borderId="16" xfId="1" applyNumberFormat="1" applyFont="1" applyBorder="1"/>
    <xf numFmtId="166" fontId="6" fillId="0" borderId="16" xfId="0" applyNumberFormat="1" applyFont="1" applyBorder="1"/>
    <xf numFmtId="166" fontId="6" fillId="0" borderId="17" xfId="0" applyNumberFormat="1" applyFont="1" applyBorder="1"/>
    <xf numFmtId="0" fontId="6" fillId="0" borderId="19" xfId="0" applyFont="1" applyBorder="1"/>
    <xf numFmtId="0" fontId="6" fillId="0" borderId="20" xfId="0" applyFont="1" applyBorder="1"/>
    <xf numFmtId="166" fontId="4" fillId="0" borderId="20" xfId="0" applyNumberFormat="1" applyFont="1" applyBorder="1"/>
    <xf numFmtId="166" fontId="4" fillId="0" borderId="21" xfId="0" applyNumberFormat="1" applyFont="1" applyBorder="1"/>
    <xf numFmtId="0" fontId="6" fillId="0" borderId="0" xfId="0" applyFont="1"/>
    <xf numFmtId="0" fontId="6" fillId="0" borderId="0" xfId="4" applyFont="1"/>
    <xf numFmtId="0" fontId="3" fillId="0" borderId="0" xfId="4" applyFont="1" applyAlignment="1">
      <alignment horizontal="center"/>
    </xf>
    <xf numFmtId="0" fontId="4" fillId="0" borderId="17" xfId="0" applyFont="1" applyBorder="1" applyAlignment="1">
      <alignment horizontal="center" vertical="center" wrapText="1"/>
    </xf>
    <xf numFmtId="0" fontId="4" fillId="0" borderId="16" xfId="0" applyFont="1" applyBorder="1" applyAlignment="1">
      <alignment horizontal="center"/>
    </xf>
    <xf numFmtId="1" fontId="4" fillId="0" borderId="16" xfId="0" applyNumberFormat="1" applyFont="1" applyBorder="1" applyAlignment="1">
      <alignment horizontal="center"/>
    </xf>
    <xf numFmtId="166" fontId="4" fillId="0" borderId="16" xfId="1" applyNumberFormat="1" applyFont="1" applyBorder="1"/>
    <xf numFmtId="167" fontId="4" fillId="0" borderId="16" xfId="3" applyNumberFormat="1" applyFont="1" applyBorder="1" applyAlignment="1">
      <alignment horizontal="center"/>
    </xf>
    <xf numFmtId="165" fontId="4" fillId="0" borderId="16" xfId="1" applyFont="1" applyBorder="1"/>
    <xf numFmtId="168" fontId="4" fillId="0" borderId="16" xfId="1" applyNumberFormat="1" applyFont="1" applyBorder="1"/>
    <xf numFmtId="166" fontId="4" fillId="0" borderId="16" xfId="0" applyNumberFormat="1" applyFont="1" applyBorder="1"/>
    <xf numFmtId="166" fontId="4" fillId="0" borderId="17" xfId="0" applyNumberFormat="1" applyFont="1" applyBorder="1"/>
    <xf numFmtId="0" fontId="6" fillId="0" borderId="18" xfId="0" applyFont="1" applyBorder="1"/>
    <xf numFmtId="0" fontId="6" fillId="0" borderId="16" xfId="0" applyFont="1" applyBorder="1"/>
    <xf numFmtId="0" fontId="6" fillId="0" borderId="17" xfId="0" applyFont="1" applyBorder="1"/>
    <xf numFmtId="0" fontId="6" fillId="0" borderId="10" xfId="0" applyFont="1" applyBorder="1"/>
    <xf numFmtId="0" fontId="6" fillId="0" borderId="11" xfId="0" applyFont="1" applyBorder="1"/>
    <xf numFmtId="0" fontId="6" fillId="0" borderId="28" xfId="0" applyFont="1" applyBorder="1"/>
    <xf numFmtId="0" fontId="4" fillId="0" borderId="19" xfId="0" applyFont="1" applyFill="1" applyBorder="1"/>
    <xf numFmtId="0" fontId="6" fillId="0" borderId="20" xfId="0" applyFont="1" applyBorder="1" applyAlignment="1">
      <alignment horizontal="center"/>
    </xf>
    <xf numFmtId="3" fontId="6" fillId="0" borderId="20" xfId="0" applyNumberFormat="1" applyFont="1" applyBorder="1" applyAlignment="1">
      <alignment horizontal="center"/>
    </xf>
    <xf numFmtId="167" fontId="6" fillId="0" borderId="20" xfId="3" applyNumberFormat="1" applyFont="1" applyBorder="1" applyAlignment="1">
      <alignment horizontal="center"/>
    </xf>
    <xf numFmtId="165" fontId="6" fillId="0" borderId="20" xfId="1" applyFont="1" applyBorder="1"/>
    <xf numFmtId="168" fontId="6" fillId="0" borderId="20" xfId="1" applyNumberFormat="1" applyFont="1" applyBorder="1"/>
    <xf numFmtId="166" fontId="6" fillId="0" borderId="20" xfId="1" applyNumberFormat="1" applyFont="1" applyBorder="1"/>
    <xf numFmtId="166" fontId="6" fillId="0" borderId="20" xfId="0" applyNumberFormat="1" applyFont="1" applyBorder="1"/>
    <xf numFmtId="0" fontId="4" fillId="0" borderId="0" xfId="0" applyFont="1" applyFill="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0" xfId="0" applyFont="1" applyBorder="1"/>
    <xf numFmtId="167" fontId="6" fillId="0" borderId="0" xfId="3" applyNumberFormat="1" applyFont="1" applyBorder="1" applyAlignment="1">
      <alignment horizontal="center"/>
    </xf>
    <xf numFmtId="165" fontId="6" fillId="0" borderId="0" xfId="1" applyFont="1" applyBorder="1"/>
    <xf numFmtId="168" fontId="6" fillId="0" borderId="0" xfId="1" applyNumberFormat="1" applyFont="1" applyBorder="1"/>
    <xf numFmtId="166" fontId="6" fillId="0" borderId="0" xfId="1" applyNumberFormat="1" applyFont="1" applyBorder="1"/>
    <xf numFmtId="166" fontId="6" fillId="0" borderId="0" xfId="0" applyNumberFormat="1" applyFont="1" applyBorder="1"/>
    <xf numFmtId="166" fontId="4" fillId="0" borderId="0" xfId="0" applyNumberFormat="1" applyFont="1" applyBorder="1"/>
    <xf numFmtId="165" fontId="6" fillId="3" borderId="16" xfId="1" applyFont="1" applyFill="1" applyBorder="1"/>
    <xf numFmtId="168" fontId="6" fillId="3" borderId="16" xfId="1" applyNumberFormat="1" applyFont="1" applyFill="1" applyBorder="1"/>
    <xf numFmtId="9" fontId="7" fillId="0" borderId="0" xfId="3"/>
    <xf numFmtId="166" fontId="6" fillId="0" borderId="0" xfId="0" applyNumberFormat="1" applyFont="1"/>
    <xf numFmtId="43" fontId="0" fillId="0" borderId="0" xfId="0" applyNumberFormat="1"/>
    <xf numFmtId="166" fontId="0" fillId="0" borderId="0" xfId="0" applyNumberFormat="1"/>
    <xf numFmtId="0" fontId="5" fillId="0" borderId="0" xfId="0" applyFont="1"/>
    <xf numFmtId="0" fontId="0" fillId="0" borderId="0" xfId="0" applyAlignment="1">
      <alignment horizontal="center"/>
    </xf>
    <xf numFmtId="0" fontId="8" fillId="0" borderId="0" xfId="0" applyFont="1" applyBorder="1" applyAlignment="1"/>
    <xf numFmtId="0" fontId="6" fillId="0" borderId="0" xfId="0" applyFont="1" applyFill="1" applyBorder="1" applyAlignment="1">
      <alignment horizontal="center" vertical="top"/>
    </xf>
    <xf numFmtId="0" fontId="6" fillId="0" borderId="0" xfId="0" applyFont="1" applyAlignment="1">
      <alignment horizontal="center"/>
    </xf>
    <xf numFmtId="0" fontId="9" fillId="0" borderId="0" xfId="0" applyFont="1"/>
    <xf numFmtId="0" fontId="6" fillId="0" borderId="0" xfId="0" applyFont="1" applyFill="1" applyBorder="1"/>
    <xf numFmtId="0" fontId="4" fillId="0" borderId="0" xfId="0" applyFont="1" applyAlignment="1">
      <alignment horizontal="center" vertical="top"/>
    </xf>
    <xf numFmtId="0" fontId="10" fillId="0" borderId="0" xfId="0" applyFont="1"/>
    <xf numFmtId="0" fontId="11" fillId="0" borderId="0" xfId="0" applyFont="1"/>
    <xf numFmtId="37" fontId="4" fillId="0" borderId="29" xfId="0" applyNumberFormat="1" applyFont="1" applyFill="1" applyBorder="1" applyAlignment="1" applyProtection="1">
      <alignment vertical="center"/>
    </xf>
    <xf numFmtId="37" fontId="4" fillId="0" borderId="29" xfId="0" applyNumberFormat="1" applyFont="1" applyFill="1" applyBorder="1" applyAlignment="1" applyProtection="1">
      <alignment horizontal="center" vertical="center"/>
    </xf>
    <xf numFmtId="10" fontId="4" fillId="0" borderId="29" xfId="5" applyNumberFormat="1" applyFont="1" applyFill="1" applyBorder="1" applyAlignment="1" applyProtection="1">
      <alignment vertical="center"/>
    </xf>
    <xf numFmtId="0" fontId="4" fillId="4" borderId="29" xfId="0" applyFont="1" applyFill="1" applyBorder="1" applyAlignment="1" applyProtection="1">
      <alignment vertical="top"/>
    </xf>
    <xf numFmtId="0" fontId="4" fillId="0" borderId="29" xfId="0" applyFont="1" applyFill="1" applyBorder="1" applyAlignment="1" applyProtection="1">
      <alignment horizontal="center" wrapText="1"/>
    </xf>
    <xf numFmtId="10" fontId="4" fillId="0" borderId="29" xfId="5" applyNumberFormat="1" applyFont="1" applyFill="1" applyBorder="1" applyAlignment="1" applyProtection="1">
      <alignment horizontal="center" wrapText="1"/>
    </xf>
    <xf numFmtId="0" fontId="6" fillId="0" borderId="29" xfId="0" applyFont="1" applyFill="1" applyBorder="1" applyAlignment="1" applyProtection="1">
      <alignment vertical="center"/>
    </xf>
    <xf numFmtId="169" fontId="6" fillId="0" borderId="29" xfId="0" applyNumberFormat="1" applyFont="1" applyFill="1" applyBorder="1" applyAlignment="1" applyProtection="1">
      <alignment horizontal="center"/>
    </xf>
    <xf numFmtId="10" fontId="6" fillId="0" borderId="29" xfId="0" applyNumberFormat="1" applyFont="1" applyFill="1" applyBorder="1" applyAlignment="1" applyProtection="1">
      <alignment horizontal="center"/>
    </xf>
    <xf numFmtId="169" fontId="6" fillId="0" borderId="29" xfId="0" quotePrefix="1" applyNumberFormat="1" applyFont="1" applyFill="1" applyBorder="1" applyAlignment="1" applyProtection="1">
      <alignment horizontal="center"/>
    </xf>
    <xf numFmtId="169" fontId="6" fillId="0" borderId="29" xfId="0" applyNumberFormat="1" applyFont="1" applyBorder="1" applyAlignment="1" applyProtection="1">
      <alignment horizontal="center"/>
    </xf>
    <xf numFmtId="10" fontId="6" fillId="0" borderId="29" xfId="0" applyNumberFormat="1" applyFont="1" applyBorder="1" applyAlignment="1" applyProtection="1">
      <alignment horizontal="center"/>
    </xf>
    <xf numFmtId="169" fontId="6" fillId="0" borderId="29" xfId="0" applyNumberFormat="1" applyFont="1" applyBorder="1" applyProtection="1"/>
    <xf numFmtId="10" fontId="6" fillId="0" borderId="29" xfId="0" applyNumberFormat="1" applyFont="1" applyBorder="1" applyProtection="1"/>
    <xf numFmtId="169" fontId="6" fillId="0" borderId="0" xfId="0" applyNumberFormat="1" applyFont="1" applyBorder="1" applyProtection="1"/>
    <xf numFmtId="10" fontId="6" fillId="0" borderId="0" xfId="0" applyNumberFormat="1" applyFont="1" applyBorder="1" applyProtection="1"/>
    <xf numFmtId="170" fontId="6" fillId="0" borderId="0" xfId="0" applyNumberFormat="1" applyFont="1" applyBorder="1" applyProtection="1"/>
    <xf numFmtId="37" fontId="6" fillId="0" borderId="0" xfId="0" applyNumberFormat="1" applyFont="1" applyFill="1" applyBorder="1"/>
    <xf numFmtId="0" fontId="6" fillId="0" borderId="30" xfId="0" applyFont="1" applyBorder="1"/>
    <xf numFmtId="10" fontId="4" fillId="0" borderId="29" xfId="5" applyNumberFormat="1" applyFont="1" applyFill="1" applyBorder="1" applyAlignment="1" applyProtection="1">
      <alignment horizontal="center" vertical="center"/>
    </xf>
    <xf numFmtId="10" fontId="4" fillId="0" borderId="0" xfId="5" applyNumberFormat="1" applyFont="1" applyFill="1" applyBorder="1" applyAlignment="1" applyProtection="1">
      <alignment horizontal="center" vertical="center"/>
    </xf>
    <xf numFmtId="0" fontId="6" fillId="0" borderId="29" xfId="0" applyFont="1" applyBorder="1"/>
    <xf numFmtId="171" fontId="4" fillId="0" borderId="31" xfId="6" applyFont="1" applyFill="1" applyBorder="1" applyAlignment="1" applyProtection="1">
      <alignment horizontal="center" vertical="center" wrapText="1"/>
    </xf>
    <xf numFmtId="0" fontId="4" fillId="4" borderId="32" xfId="0" applyFont="1" applyFill="1" applyBorder="1" applyAlignment="1" applyProtection="1">
      <alignment vertical="top"/>
    </xf>
    <xf numFmtId="10" fontId="4" fillId="0" borderId="0" xfId="5" applyNumberFormat="1" applyFont="1" applyFill="1" applyBorder="1" applyAlignment="1" applyProtection="1">
      <alignment horizontal="center" wrapText="1"/>
    </xf>
    <xf numFmtId="0" fontId="6" fillId="0" borderId="32" xfId="0" applyFont="1" applyFill="1" applyBorder="1" applyAlignment="1" applyProtection="1">
      <alignment vertical="center"/>
    </xf>
    <xf numFmtId="10" fontId="6" fillId="0" borderId="0" xfId="0" applyNumberFormat="1" applyFont="1" applyBorder="1" applyAlignment="1" applyProtection="1">
      <alignment horizontal="center"/>
    </xf>
    <xf numFmtId="169" fontId="6" fillId="0" borderId="16" xfId="6" applyNumberFormat="1" applyFont="1" applyFill="1" applyBorder="1" applyAlignment="1" applyProtection="1">
      <alignment horizontal="center" vertical="center"/>
    </xf>
    <xf numFmtId="10" fontId="6" fillId="0" borderId="0" xfId="0" applyNumberFormat="1" applyFont="1" applyBorder="1" applyAlignment="1">
      <alignment horizontal="center"/>
    </xf>
    <xf numFmtId="37" fontId="6" fillId="0" borderId="16" xfId="0" applyNumberFormat="1" applyFont="1" applyFill="1" applyBorder="1" applyAlignment="1">
      <alignment horizont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6" fillId="0" borderId="0" xfId="0" applyFont="1" applyBorder="1" applyProtection="1"/>
    <xf numFmtId="0" fontId="4" fillId="0" borderId="0" xfId="0" applyFont="1" applyFill="1" applyBorder="1" applyAlignment="1" applyProtection="1">
      <alignment vertical="center"/>
    </xf>
    <xf numFmtId="0" fontId="4" fillId="0" borderId="29" xfId="0" applyFont="1" applyBorder="1" applyAlignment="1">
      <alignment horizontal="center"/>
    </xf>
    <xf numFmtId="0" fontId="4" fillId="0" borderId="29" xfId="5" applyNumberFormat="1" applyFont="1" applyFill="1" applyBorder="1" applyAlignment="1" applyProtection="1">
      <alignment horizontal="center"/>
    </xf>
    <xf numFmtId="0" fontId="4" fillId="0" borderId="29" xfId="0" applyFont="1" applyFill="1" applyBorder="1" applyAlignment="1" applyProtection="1">
      <alignment horizontal="center"/>
    </xf>
    <xf numFmtId="171" fontId="4" fillId="0" borderId="29" xfId="6" applyFont="1" applyFill="1" applyBorder="1" applyAlignment="1" applyProtection="1">
      <alignment horizontal="center"/>
    </xf>
    <xf numFmtId="169" fontId="14" fillId="5" borderId="29" xfId="0" applyNumberFormat="1" applyFont="1" applyFill="1" applyBorder="1" applyAlignment="1" applyProtection="1">
      <alignment horizontal="center"/>
    </xf>
    <xf numFmtId="37" fontId="6" fillId="0" borderId="29" xfId="0" applyNumberFormat="1" applyFont="1" applyBorder="1" applyAlignment="1" applyProtection="1">
      <alignment horizontal="center"/>
    </xf>
    <xf numFmtId="172" fontId="15" fillId="0" borderId="16" xfId="0" quotePrefix="1" applyNumberFormat="1" applyFont="1" applyFill="1" applyBorder="1" applyAlignment="1" applyProtection="1">
      <alignment horizontal="center" vertical="center"/>
    </xf>
    <xf numFmtId="171" fontId="6" fillId="6" borderId="29" xfId="6" applyFont="1" applyFill="1" applyBorder="1" applyAlignment="1" applyProtection="1">
      <alignment horizontal="center"/>
    </xf>
    <xf numFmtId="0" fontId="9" fillId="0" borderId="0" xfId="0" quotePrefix="1" applyFont="1"/>
    <xf numFmtId="169" fontId="4" fillId="0" borderId="29" xfId="0" applyNumberFormat="1" applyFont="1" applyFill="1" applyBorder="1" applyAlignment="1" applyProtection="1">
      <alignment horizontal="center"/>
    </xf>
    <xf numFmtId="37" fontId="4" fillId="0" borderId="29" xfId="0" applyNumberFormat="1" applyFont="1" applyBorder="1" applyAlignment="1" applyProtection="1">
      <alignment horizontal="center"/>
    </xf>
    <xf numFmtId="0" fontId="6" fillId="0" borderId="0" xfId="0" applyFont="1" applyBorder="1" applyAlignment="1" applyProtection="1">
      <alignment horizontal="center"/>
    </xf>
    <xf numFmtId="0" fontId="9" fillId="0" borderId="0" xfId="0" applyFont="1" applyBorder="1" applyProtection="1"/>
    <xf numFmtId="0" fontId="13" fillId="0" borderId="0" xfId="0" applyFont="1" applyBorder="1" applyProtection="1"/>
    <xf numFmtId="0" fontId="4" fillId="0" borderId="33" xfId="0" applyFont="1" applyFill="1" applyBorder="1" applyAlignment="1" applyProtection="1">
      <alignment horizontal="left" vertical="center" indent="1"/>
    </xf>
    <xf numFmtId="0" fontId="4" fillId="4" borderId="34" xfId="0" applyFont="1" applyFill="1" applyBorder="1" applyAlignment="1" applyProtection="1">
      <alignment vertical="center"/>
    </xf>
    <xf numFmtId="0" fontId="4" fillId="0" borderId="29" xfId="5" applyNumberFormat="1" applyFont="1" applyFill="1" applyBorder="1" applyAlignment="1" applyProtection="1"/>
    <xf numFmtId="171" fontId="4" fillId="0" borderId="29" xfId="6" applyFont="1" applyFill="1" applyBorder="1" applyAlignment="1" applyProtection="1">
      <alignment horizontal="right"/>
    </xf>
    <xf numFmtId="169" fontId="4" fillId="0" borderId="0" xfId="0" applyNumberFormat="1" applyFont="1" applyFill="1" applyBorder="1" applyAlignment="1" applyProtection="1">
      <alignment horizontal="center"/>
    </xf>
    <xf numFmtId="0" fontId="4" fillId="0" borderId="29" xfId="0" applyFont="1" applyBorder="1" applyAlignment="1" applyProtection="1">
      <alignment horizontal="center"/>
    </xf>
    <xf numFmtId="0" fontId="4" fillId="4" borderId="30" xfId="0" applyFont="1" applyFill="1" applyBorder="1" applyAlignment="1" applyProtection="1">
      <alignment vertical="top"/>
    </xf>
    <xf numFmtId="0" fontId="4" fillId="0" borderId="0" xfId="0" applyFont="1" applyFill="1" applyBorder="1" applyAlignment="1" applyProtection="1">
      <alignment horizontal="center"/>
    </xf>
    <xf numFmtId="37" fontId="6" fillId="0" borderId="0" xfId="0" applyNumberFormat="1" applyFont="1" applyBorder="1" applyProtection="1"/>
    <xf numFmtId="37" fontId="6" fillId="0" borderId="29" xfId="6" quotePrefix="1" applyNumberFormat="1" applyFont="1" applyFill="1" applyBorder="1" applyAlignment="1" applyProtection="1">
      <alignment horizontal="center"/>
    </xf>
    <xf numFmtId="37" fontId="6" fillId="0" borderId="0" xfId="0" applyNumberFormat="1" applyFont="1" applyBorder="1"/>
    <xf numFmtId="37" fontId="6" fillId="0" borderId="29" xfId="6" applyNumberFormat="1" applyFont="1" applyFill="1" applyBorder="1" applyAlignment="1" applyProtection="1">
      <alignment horizontal="center"/>
    </xf>
    <xf numFmtId="169" fontId="6" fillId="0" borderId="29" xfId="0" applyNumberFormat="1" applyFont="1" applyFill="1" applyBorder="1" applyProtection="1"/>
    <xf numFmtId="37" fontId="4" fillId="0" borderId="35" xfId="0" applyNumberFormat="1" applyFont="1" applyBorder="1" applyAlignment="1" applyProtection="1">
      <alignment horizontal="center"/>
    </xf>
    <xf numFmtId="37" fontId="4" fillId="0" borderId="29" xfId="6" applyNumberFormat="1" applyFont="1" applyFill="1" applyBorder="1" applyAlignment="1" applyProtection="1">
      <alignment horizontal="center"/>
    </xf>
    <xf numFmtId="0" fontId="16" fillId="0" borderId="0" xfId="0" applyFont="1" applyBorder="1" applyAlignment="1" applyProtection="1">
      <alignment horizontal="right"/>
    </xf>
    <xf numFmtId="37" fontId="4" fillId="0" borderId="0" xfId="0" applyNumberFormat="1" applyFont="1" applyBorder="1" applyAlignment="1" applyProtection="1">
      <alignment horizontal="center"/>
    </xf>
    <xf numFmtId="169" fontId="6" fillId="0" borderId="0" xfId="0" applyNumberFormat="1" applyFont="1" applyFill="1" applyBorder="1" applyAlignment="1" applyProtection="1">
      <alignment horizontal="center"/>
    </xf>
    <xf numFmtId="0" fontId="4" fillId="0" borderId="0" xfId="0" applyFont="1" applyFill="1"/>
    <xf numFmtId="0" fontId="6" fillId="0" borderId="0" xfId="0" applyFont="1" applyFill="1" applyAlignment="1">
      <alignment horizontal="center" vertical="top"/>
    </xf>
    <xf numFmtId="0" fontId="6" fillId="0" borderId="0" xfId="0" applyFont="1" applyFill="1"/>
    <xf numFmtId="0" fontId="17" fillId="0" borderId="0" xfId="0" applyFont="1" applyBorder="1" applyAlignment="1">
      <alignment vertical="top"/>
    </xf>
    <xf numFmtId="0" fontId="11" fillId="4" borderId="0" xfId="0" applyFont="1" applyFill="1" applyBorder="1" applyAlignment="1" applyProtection="1">
      <alignment vertical="center"/>
    </xf>
    <xf numFmtId="0" fontId="4" fillId="4" borderId="29" xfId="0" applyFont="1" applyFill="1" applyBorder="1" applyAlignment="1" applyProtection="1">
      <alignment vertical="center"/>
    </xf>
    <xf numFmtId="165" fontId="4" fillId="0" borderId="29" xfId="7" applyFont="1" applyFill="1" applyBorder="1" applyAlignment="1" applyProtection="1">
      <alignment horizontal="center" vertical="center" wrapText="1"/>
    </xf>
    <xf numFmtId="0" fontId="4" fillId="0" borderId="29" xfId="0" applyFont="1" applyFill="1" applyBorder="1" applyAlignment="1">
      <alignment horizontal="center" wrapText="1"/>
    </xf>
    <xf numFmtId="170" fontId="6" fillId="6" borderId="29" xfId="0" applyNumberFormat="1" applyFont="1" applyFill="1" applyBorder="1" applyAlignment="1" applyProtection="1">
      <alignment horizontal="right" vertical="center"/>
    </xf>
    <xf numFmtId="37" fontId="6" fillId="0" borderId="29" xfId="7" applyNumberFormat="1" applyFont="1" applyFill="1" applyBorder="1" applyAlignment="1" applyProtection="1">
      <alignment horizontal="center" vertical="center"/>
    </xf>
    <xf numFmtId="3" fontId="6" fillId="6" borderId="29" xfId="0" quotePrefix="1" applyNumberFormat="1" applyFont="1" applyFill="1" applyBorder="1" applyAlignment="1">
      <alignment horizontal="right"/>
    </xf>
    <xf numFmtId="173" fontId="6" fillId="0" borderId="29" xfId="7" applyNumberFormat="1" applyFont="1" applyFill="1" applyBorder="1" applyAlignment="1" applyProtection="1">
      <alignment vertical="center"/>
    </xf>
    <xf numFmtId="0" fontId="6" fillId="6" borderId="29" xfId="7" applyNumberFormat="1" applyFont="1" applyFill="1" applyBorder="1" applyAlignment="1" applyProtection="1">
      <alignment vertical="center"/>
    </xf>
    <xf numFmtId="0" fontId="6" fillId="6" borderId="29" xfId="0" applyNumberFormat="1" applyFont="1" applyFill="1" applyBorder="1"/>
    <xf numFmtId="173" fontId="6" fillId="0" borderId="29" xfId="0" applyNumberFormat="1" applyFont="1" applyFill="1" applyBorder="1"/>
    <xf numFmtId="169" fontId="6" fillId="6" borderId="29" xfId="0" applyNumberFormat="1" applyFont="1" applyFill="1" applyBorder="1" applyAlignment="1" applyProtection="1">
      <alignment horizontal="right" vertical="center"/>
    </xf>
    <xf numFmtId="166" fontId="6" fillId="6" borderId="29" xfId="0" applyNumberFormat="1" applyFont="1" applyFill="1" applyBorder="1"/>
    <xf numFmtId="2" fontId="6" fillId="6" borderId="29" xfId="7" applyNumberFormat="1" applyFont="1" applyFill="1" applyBorder="1" applyAlignment="1" applyProtection="1">
      <alignment vertical="center"/>
    </xf>
    <xf numFmtId="0" fontId="4" fillId="0" borderId="29" xfId="0" applyFont="1" applyFill="1" applyBorder="1" applyAlignment="1" applyProtection="1">
      <alignment horizontal="left" vertical="center"/>
    </xf>
    <xf numFmtId="170" fontId="4" fillId="0" borderId="29" xfId="7" applyNumberFormat="1" applyFont="1" applyFill="1" applyBorder="1" applyAlignment="1" applyProtection="1">
      <alignment vertical="center"/>
    </xf>
    <xf numFmtId="37" fontId="4" fillId="0" borderId="29" xfId="7" applyNumberFormat="1" applyFont="1" applyFill="1" applyBorder="1" applyAlignment="1" applyProtection="1">
      <alignment horizontal="center" vertical="center"/>
    </xf>
    <xf numFmtId="37" fontId="4" fillId="0" borderId="29" xfId="7" applyNumberFormat="1" applyFont="1" applyFill="1" applyBorder="1" applyAlignment="1" applyProtection="1">
      <alignment vertical="center"/>
    </xf>
    <xf numFmtId="173" fontId="4" fillId="0" borderId="29" xfId="7" applyNumberFormat="1" applyFont="1" applyFill="1" applyBorder="1" applyAlignment="1" applyProtection="1">
      <alignment vertical="center"/>
    </xf>
    <xf numFmtId="0" fontId="4" fillId="0" borderId="29" xfId="7" applyNumberFormat="1" applyFont="1" applyFill="1" applyBorder="1" applyAlignment="1" applyProtection="1">
      <alignment vertical="center"/>
    </xf>
    <xf numFmtId="174" fontId="4" fillId="0" borderId="29" xfId="1" applyNumberFormat="1" applyFont="1" applyFill="1" applyBorder="1" applyAlignment="1" applyProtection="1">
      <alignment vertical="center"/>
    </xf>
    <xf numFmtId="173" fontId="4" fillId="0" borderId="29" xfId="8" applyNumberFormat="1" applyFont="1" applyFill="1" applyBorder="1"/>
    <xf numFmtId="37" fontId="6" fillId="0" borderId="0" xfId="7" applyNumberFormat="1" applyFont="1" applyFill="1" applyBorder="1" applyAlignment="1" applyProtection="1">
      <alignment vertical="center" wrapText="1"/>
    </xf>
    <xf numFmtId="37" fontId="6" fillId="0" borderId="0" xfId="7" applyNumberFormat="1" applyFont="1" applyFill="1" applyBorder="1" applyAlignment="1" applyProtection="1">
      <alignment horizontal="center" vertical="center" wrapText="1"/>
    </xf>
    <xf numFmtId="37" fontId="6" fillId="0" borderId="0" xfId="0" applyNumberFormat="1" applyFont="1" applyFill="1" applyBorder="1" applyAlignment="1" applyProtection="1">
      <alignment vertical="center"/>
    </xf>
    <xf numFmtId="37" fontId="6" fillId="6" borderId="29" xfId="7" applyNumberFormat="1" applyFont="1" applyFill="1" applyBorder="1" applyAlignment="1" applyProtection="1">
      <alignment horizontal="center" vertical="center"/>
    </xf>
    <xf numFmtId="167" fontId="6" fillId="0" borderId="29" xfId="0" applyNumberFormat="1" applyFont="1" applyFill="1" applyBorder="1"/>
    <xf numFmtId="175" fontId="0" fillId="0" borderId="0" xfId="0" applyNumberFormat="1"/>
    <xf numFmtId="10" fontId="6" fillId="0" borderId="29" xfId="0" applyNumberFormat="1" applyFont="1" applyFill="1" applyBorder="1"/>
    <xf numFmtId="9" fontId="6" fillId="0" borderId="29" xfId="3" applyFont="1" applyFill="1" applyBorder="1" applyAlignment="1" applyProtection="1">
      <alignment vertical="center"/>
    </xf>
    <xf numFmtId="175" fontId="18" fillId="0" borderId="0" xfId="7" applyNumberFormat="1" applyFont="1" applyFill="1" applyBorder="1" applyAlignment="1" applyProtection="1">
      <alignment vertical="center"/>
    </xf>
    <xf numFmtId="0" fontId="4" fillId="0" borderId="0" xfId="0" applyFont="1" applyFill="1" applyBorder="1" applyAlignment="1" applyProtection="1">
      <alignment horizontal="left" vertical="center" indent="1"/>
    </xf>
    <xf numFmtId="170" fontId="4" fillId="0" borderId="0" xfId="7" applyNumberFormat="1" applyFont="1" applyFill="1" applyBorder="1" applyAlignment="1" applyProtection="1">
      <alignment vertical="center"/>
    </xf>
    <xf numFmtId="37" fontId="4" fillId="0" borderId="0" xfId="7" applyNumberFormat="1" applyFont="1" applyFill="1" applyBorder="1" applyAlignment="1" applyProtection="1">
      <alignment horizontal="center" vertical="center"/>
    </xf>
    <xf numFmtId="175" fontId="4" fillId="0" borderId="0" xfId="7" applyNumberFormat="1" applyFont="1" applyFill="1" applyBorder="1" applyAlignment="1" applyProtection="1">
      <alignment vertical="center"/>
    </xf>
    <xf numFmtId="9" fontId="6" fillId="0" borderId="0" xfId="3" applyFont="1" applyFill="1" applyBorder="1" applyAlignment="1" applyProtection="1">
      <alignment vertical="center"/>
    </xf>
    <xf numFmtId="174" fontId="6" fillId="6" borderId="29" xfId="1" applyNumberFormat="1" applyFont="1" applyFill="1" applyBorder="1" applyAlignment="1" applyProtection="1">
      <alignment vertical="center"/>
    </xf>
    <xf numFmtId="0" fontId="4" fillId="0" borderId="0" xfId="0" applyFont="1"/>
    <xf numFmtId="173" fontId="6" fillId="0" borderId="0" xfId="0" applyNumberFormat="1" applyFont="1"/>
    <xf numFmtId="176" fontId="6" fillId="0" borderId="0" xfId="3" applyNumberFormat="1" applyFont="1"/>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applyAlignment="1"/>
    <xf numFmtId="178" fontId="4" fillId="0" borderId="36" xfId="2" applyNumberFormat="1" applyFont="1" applyBorder="1" applyAlignment="1"/>
    <xf numFmtId="10" fontId="4" fillId="7" borderId="17" xfId="3" applyNumberFormat="1" applyFont="1" applyFill="1" applyBorder="1" applyAlignment="1">
      <alignment horizontal="center"/>
    </xf>
    <xf numFmtId="165" fontId="6" fillId="0" borderId="16" xfId="1" applyFont="1" applyBorder="1" applyAlignment="1">
      <alignment horizontal="center"/>
    </xf>
    <xf numFmtId="179" fontId="6" fillId="0" borderId="16" xfId="1" applyNumberFormat="1" applyFont="1" applyBorder="1" applyAlignment="1">
      <alignment horizontal="center"/>
    </xf>
    <xf numFmtId="179" fontId="6" fillId="0" borderId="16" xfId="1" applyNumberFormat="1" applyFont="1" applyBorder="1"/>
    <xf numFmtId="0" fontId="4" fillId="0" borderId="18" xfId="0" applyFont="1" applyFill="1" applyBorder="1"/>
    <xf numFmtId="0" fontId="6" fillId="0" borderId="16" xfId="0" applyFont="1" applyFill="1" applyBorder="1" applyAlignment="1">
      <alignment horizontal="center"/>
    </xf>
    <xf numFmtId="1" fontId="6" fillId="0" borderId="16" xfId="0" applyNumberFormat="1" applyFont="1" applyFill="1" applyBorder="1" applyAlignment="1">
      <alignment horizontal="center"/>
    </xf>
    <xf numFmtId="166" fontId="6" fillId="0" borderId="16" xfId="1" applyNumberFormat="1" applyFont="1" applyFill="1" applyBorder="1"/>
    <xf numFmtId="165" fontId="6" fillId="0" borderId="16" xfId="1" applyFont="1" applyFill="1" applyBorder="1" applyAlignment="1">
      <alignment horizontal="center"/>
    </xf>
    <xf numFmtId="179" fontId="6" fillId="0" borderId="16" xfId="1" applyNumberFormat="1" applyFont="1" applyFill="1" applyBorder="1" applyAlignment="1">
      <alignment horizontal="center"/>
    </xf>
    <xf numFmtId="167" fontId="6" fillId="0" borderId="16" xfId="3" applyNumberFormat="1" applyFont="1" applyFill="1" applyBorder="1" applyAlignment="1">
      <alignment horizontal="center"/>
    </xf>
    <xf numFmtId="166" fontId="6" fillId="0" borderId="17" xfId="0" applyNumberFormat="1" applyFont="1" applyFill="1" applyBorder="1"/>
    <xf numFmtId="180" fontId="4" fillId="0" borderId="21" xfId="2" applyNumberFormat="1" applyFont="1" applyBorder="1"/>
    <xf numFmtId="178" fontId="6" fillId="0" borderId="0" xfId="0" applyNumberFormat="1" applyFont="1" applyAlignment="1">
      <alignment horizontal="center"/>
    </xf>
    <xf numFmtId="0" fontId="2" fillId="0" borderId="0" xfId="4" applyFont="1" applyFill="1" applyAlignment="1"/>
    <xf numFmtId="166" fontId="6" fillId="0" borderId="16" xfId="9" applyNumberFormat="1" applyFont="1" applyFill="1" applyBorder="1"/>
    <xf numFmtId="167" fontId="6" fillId="0" borderId="16" xfId="10" applyNumberFormat="1" applyFont="1" applyFill="1" applyBorder="1" applyAlignment="1">
      <alignment horizontal="center"/>
    </xf>
    <xf numFmtId="167" fontId="6" fillId="0" borderId="16" xfId="10" applyNumberFormat="1" applyFont="1" applyBorder="1" applyAlignment="1">
      <alignment horizontal="center"/>
    </xf>
    <xf numFmtId="43" fontId="6" fillId="0" borderId="16" xfId="9" applyFont="1" applyBorder="1" applyAlignment="1">
      <alignment horizontal="center"/>
    </xf>
    <xf numFmtId="168" fontId="6" fillId="0" borderId="16" xfId="9" applyNumberFormat="1" applyFont="1" applyBorder="1" applyAlignment="1">
      <alignment horizontal="center"/>
    </xf>
    <xf numFmtId="166" fontId="6" fillId="0" borderId="16" xfId="9" applyNumberFormat="1" applyFont="1" applyBorder="1" applyAlignment="1">
      <alignment horizontal="center"/>
    </xf>
    <xf numFmtId="166" fontId="6" fillId="0" borderId="17" xfId="9" applyNumberFormat="1" applyFont="1" applyBorder="1" applyAlignment="1">
      <alignment horizontal="center"/>
    </xf>
    <xf numFmtId="37" fontId="6" fillId="0" borderId="0" xfId="0" applyNumberFormat="1" applyFont="1"/>
    <xf numFmtId="0" fontId="6" fillId="0" borderId="0" xfId="11" applyFont="1" applyProtection="1">
      <protection locked="0"/>
    </xf>
    <xf numFmtId="0" fontId="4" fillId="0" borderId="0" xfId="11" applyFont="1" applyAlignment="1" applyProtection="1">
      <alignment horizontal="left"/>
      <protection locked="0"/>
    </xf>
    <xf numFmtId="0" fontId="21" fillId="0" borderId="0" xfId="11" applyFont="1" applyAlignment="1" applyProtection="1">
      <alignment horizontal="right" vertical="top"/>
      <protection locked="0"/>
    </xf>
    <xf numFmtId="0" fontId="5" fillId="0" borderId="0" xfId="11" applyProtection="1">
      <protection locked="0"/>
    </xf>
    <xf numFmtId="0" fontId="21" fillId="6" borderId="37" xfId="11" applyFont="1" applyFill="1" applyBorder="1" applyAlignment="1" applyProtection="1">
      <alignment horizontal="right" vertical="top"/>
      <protection locked="0"/>
    </xf>
    <xf numFmtId="0" fontId="21" fillId="6" borderId="0" xfId="11" applyFont="1" applyFill="1" applyAlignment="1" applyProtection="1">
      <alignment horizontal="right" vertical="top"/>
      <protection locked="0"/>
    </xf>
    <xf numFmtId="0" fontId="4" fillId="0" borderId="0" xfId="11" applyFont="1" applyProtection="1">
      <protection locked="0"/>
    </xf>
    <xf numFmtId="0" fontId="6" fillId="0" borderId="18" xfId="11" applyFont="1" applyBorder="1" applyProtection="1">
      <protection locked="0"/>
    </xf>
    <xf numFmtId="181" fontId="6" fillId="6" borderId="17" xfId="12" applyNumberFormat="1" applyFont="1" applyFill="1" applyBorder="1" applyAlignment="1" applyProtection="1">
      <alignment horizontal="right" vertical="top"/>
      <protection locked="0"/>
    </xf>
    <xf numFmtId="0" fontId="6" fillId="0" borderId="19" xfId="11" applyFont="1" applyBorder="1" applyProtection="1">
      <protection locked="0"/>
    </xf>
    <xf numFmtId="0" fontId="6" fillId="0" borderId="38" xfId="11" applyFont="1" applyBorder="1" applyAlignment="1" applyProtection="1">
      <alignment wrapText="1"/>
      <protection locked="0"/>
    </xf>
    <xf numFmtId="175" fontId="6" fillId="6" borderId="39" xfId="13" applyNumberFormat="1" applyFont="1" applyFill="1" applyBorder="1" applyAlignment="1" applyProtection="1">
      <alignment horizontal="right" vertical="top"/>
      <protection locked="0"/>
    </xf>
    <xf numFmtId="175" fontId="6" fillId="6" borderId="17" xfId="11" applyNumberFormat="1" applyFont="1" applyFill="1" applyBorder="1" applyAlignment="1" applyProtection="1">
      <alignment horizontal="right" vertical="top"/>
      <protection locked="0"/>
    </xf>
    <xf numFmtId="172" fontId="6" fillId="6" borderId="21" xfId="11" applyNumberFormat="1" applyFont="1" applyFill="1" applyBorder="1" applyAlignment="1" applyProtection="1">
      <alignment horizontal="right" vertical="top"/>
      <protection locked="0"/>
    </xf>
    <xf numFmtId="0" fontId="6" fillId="0" borderId="25" xfId="11" applyFont="1" applyBorder="1" applyAlignment="1" applyProtection="1">
      <alignment horizontal="center"/>
      <protection locked="0"/>
    </xf>
    <xf numFmtId="0" fontId="4" fillId="0" borderId="40" xfId="11" applyFont="1" applyBorder="1" applyAlignment="1" applyProtection="1">
      <alignment horizontal="center"/>
      <protection locked="0"/>
    </xf>
    <xf numFmtId="0" fontId="4" fillId="0" borderId="26" xfId="11" applyFont="1" applyBorder="1" applyAlignment="1" applyProtection="1">
      <alignment horizontal="center"/>
      <protection locked="0"/>
    </xf>
    <xf numFmtId="0" fontId="4" fillId="0" borderId="41" xfId="11" applyFont="1" applyBorder="1" applyAlignment="1" applyProtection="1">
      <alignment horizontal="center"/>
      <protection locked="0"/>
    </xf>
    <xf numFmtId="0" fontId="4" fillId="0" borderId="27" xfId="11" applyFont="1" applyBorder="1" applyAlignment="1" applyProtection="1">
      <alignment horizontal="center"/>
      <protection locked="0"/>
    </xf>
    <xf numFmtId="175" fontId="6" fillId="0" borderId="16" xfId="11" applyNumberFormat="1" applyFont="1" applyBorder="1" applyProtection="1">
      <protection locked="0"/>
    </xf>
    <xf numFmtId="174" fontId="6" fillId="0" borderId="15" xfId="1" applyNumberFormat="1" applyFont="1" applyBorder="1" applyProtection="1">
      <protection locked="0"/>
    </xf>
    <xf numFmtId="175" fontId="6" fillId="0" borderId="16" xfId="13" applyNumberFormat="1" applyFont="1" applyBorder="1" applyProtection="1">
      <protection locked="0"/>
    </xf>
    <xf numFmtId="10" fontId="6" fillId="0" borderId="17" xfId="10" applyNumberFormat="1" applyFont="1" applyBorder="1" applyProtection="1">
      <protection locked="0"/>
    </xf>
    <xf numFmtId="172" fontId="6" fillId="0" borderId="16" xfId="11" applyNumberFormat="1" applyFont="1" applyBorder="1" applyProtection="1">
      <protection locked="0"/>
    </xf>
    <xf numFmtId="174" fontId="6" fillId="0" borderId="11" xfId="1" applyNumberFormat="1" applyFont="1" applyBorder="1" applyProtection="1">
      <protection locked="0"/>
    </xf>
    <xf numFmtId="0" fontId="4" fillId="0" borderId="19" xfId="11" applyFont="1" applyBorder="1" applyProtection="1">
      <protection locked="0"/>
    </xf>
    <xf numFmtId="175" fontId="6" fillId="0" borderId="42" xfId="11" applyNumberFormat="1" applyFont="1" applyBorder="1" applyAlignment="1" applyProtection="1">
      <alignment horizontal="center"/>
      <protection locked="0"/>
    </xf>
    <xf numFmtId="175" fontId="6" fillId="0" borderId="20" xfId="12" applyNumberFormat="1" applyFont="1" applyBorder="1" applyAlignment="1" applyProtection="1">
      <alignment horizontal="center"/>
      <protection locked="0"/>
    </xf>
    <xf numFmtId="175" fontId="6" fillId="0" borderId="43" xfId="13" applyNumberFormat="1" applyFont="1" applyBorder="1" applyProtection="1">
      <protection locked="0"/>
    </xf>
    <xf numFmtId="0" fontId="6" fillId="0" borderId="21" xfId="11" applyFont="1" applyBorder="1" applyAlignment="1" applyProtection="1">
      <alignment horizontal="center"/>
      <protection locked="0"/>
    </xf>
    <xf numFmtId="0" fontId="4" fillId="0" borderId="0" xfId="11" applyFont="1" applyFill="1" applyBorder="1" applyProtection="1">
      <protection locked="0"/>
    </xf>
    <xf numFmtId="0" fontId="6" fillId="0" borderId="38" xfId="11" applyFont="1" applyFill="1" applyBorder="1" applyAlignment="1" applyProtection="1">
      <alignment wrapText="1"/>
      <protection locked="0"/>
    </xf>
    <xf numFmtId="0" fontId="6" fillId="6" borderId="39" xfId="11" applyFont="1" applyFill="1" applyBorder="1" applyAlignment="1" applyProtection="1">
      <alignment horizontal="center" vertical="center"/>
      <protection locked="0"/>
    </xf>
    <xf numFmtId="0" fontId="6" fillId="0" borderId="25" xfId="11" applyFont="1" applyBorder="1" applyProtection="1">
      <protection locked="0"/>
    </xf>
    <xf numFmtId="0" fontId="4" fillId="0" borderId="26" xfId="11" applyFont="1" applyBorder="1" applyAlignment="1" applyProtection="1">
      <alignment horizontal="center" vertical="center" wrapText="1"/>
      <protection locked="0"/>
    </xf>
    <xf numFmtId="0" fontId="4" fillId="0" borderId="40" xfId="11" applyFont="1" applyBorder="1" applyAlignment="1" applyProtection="1">
      <alignment horizontal="center" vertical="center" wrapText="1"/>
      <protection locked="0"/>
    </xf>
    <xf numFmtId="0" fontId="4" fillId="0" borderId="44" xfId="11" applyFont="1" applyBorder="1" applyAlignment="1" applyProtection="1">
      <alignment horizontal="center" wrapText="1"/>
      <protection locked="0"/>
    </xf>
    <xf numFmtId="175" fontId="6" fillId="0" borderId="12" xfId="11" applyNumberFormat="1" applyFont="1" applyBorder="1" applyProtection="1">
      <protection locked="0"/>
    </xf>
    <xf numFmtId="175" fontId="6" fillId="0" borderId="17" xfId="13" applyNumberFormat="1" applyFont="1" applyBorder="1" applyProtection="1">
      <protection locked="0"/>
    </xf>
    <xf numFmtId="0" fontId="6" fillId="0" borderId="10" xfId="11" applyFont="1" applyBorder="1" applyProtection="1">
      <protection locked="0"/>
    </xf>
    <xf numFmtId="175" fontId="6" fillId="0" borderId="11" xfId="13" applyNumberFormat="1" applyFont="1" applyBorder="1" applyProtection="1">
      <protection locked="0"/>
    </xf>
    <xf numFmtId="172" fontId="6" fillId="0" borderId="45" xfId="11" applyNumberFormat="1" applyFont="1" applyBorder="1" applyProtection="1">
      <protection locked="0"/>
    </xf>
    <xf numFmtId="0" fontId="6" fillId="0" borderId="46" xfId="11" applyFont="1" applyFill="1" applyBorder="1" applyProtection="1">
      <protection locked="0"/>
    </xf>
    <xf numFmtId="175" fontId="6" fillId="0" borderId="20" xfId="13" applyNumberFormat="1" applyFont="1" applyBorder="1" applyProtection="1">
      <protection locked="0"/>
    </xf>
    <xf numFmtId="175" fontId="6" fillId="0" borderId="47" xfId="11" applyNumberFormat="1" applyFont="1" applyBorder="1" applyAlignment="1" applyProtection="1">
      <alignment horizontal="center"/>
      <protection locked="0"/>
    </xf>
    <xf numFmtId="175" fontId="6" fillId="0" borderId="48" xfId="13" applyNumberFormat="1" applyFont="1" applyBorder="1" applyProtection="1">
      <protection locked="0"/>
    </xf>
    <xf numFmtId="0" fontId="4" fillId="0" borderId="26" xfId="11" applyFont="1" applyBorder="1" applyAlignment="1" applyProtection="1">
      <alignment horizontal="center" wrapText="1"/>
      <protection locked="0"/>
    </xf>
    <xf numFmtId="0" fontId="4" fillId="0" borderId="40" xfId="11" applyFont="1" applyBorder="1" applyAlignment="1" applyProtection="1">
      <alignment horizontal="center" wrapText="1"/>
      <protection locked="0"/>
    </xf>
    <xf numFmtId="0" fontId="4" fillId="0" borderId="27" xfId="11" applyFont="1" applyBorder="1" applyAlignment="1" applyProtection="1">
      <alignment horizontal="center" wrapText="1"/>
      <protection locked="0"/>
    </xf>
    <xf numFmtId="0" fontId="5" fillId="0" borderId="0" xfId="11" applyFont="1" applyProtection="1">
      <protection locked="0"/>
    </xf>
    <xf numFmtId="10" fontId="6" fillId="0" borderId="16" xfId="10" applyNumberFormat="1" applyFont="1" applyBorder="1" applyProtection="1">
      <protection locked="0"/>
    </xf>
    <xf numFmtId="10" fontId="6" fillId="0" borderId="11" xfId="10" applyNumberFormat="1" applyFont="1" applyBorder="1" applyProtection="1">
      <protection locked="0"/>
    </xf>
    <xf numFmtId="175" fontId="6" fillId="0" borderId="11" xfId="11" applyNumberFormat="1" applyFont="1" applyBorder="1" applyProtection="1">
      <protection locked="0"/>
    </xf>
    <xf numFmtId="175" fontId="6" fillId="0" borderId="28" xfId="13" applyNumberFormat="1" applyFont="1" applyBorder="1" applyProtection="1">
      <protection locked="0"/>
    </xf>
    <xf numFmtId="0" fontId="6" fillId="0" borderId="20" xfId="11" applyFont="1" applyBorder="1" applyAlignment="1" applyProtection="1">
      <alignment horizontal="center"/>
      <protection locked="0"/>
    </xf>
    <xf numFmtId="175" fontId="6" fillId="0" borderId="21" xfId="13" applyNumberFormat="1" applyFont="1" applyBorder="1" applyProtection="1">
      <protection locked="0"/>
    </xf>
    <xf numFmtId="183" fontId="6" fillId="0" borderId="21" xfId="3" applyNumberFormat="1" applyFont="1" applyBorder="1" applyProtection="1">
      <protection locked="0"/>
    </xf>
    <xf numFmtId="0" fontId="6" fillId="0" borderId="0" xfId="11" applyFont="1" applyFill="1" applyAlignment="1" applyProtection="1">
      <alignment vertical="top" wrapText="1"/>
      <protection locked="0"/>
    </xf>
    <xf numFmtId="0" fontId="5" fillId="0" borderId="0" xfId="11" applyFont="1" applyFill="1" applyAlignment="1" applyProtection="1">
      <alignment vertical="top" wrapText="1"/>
      <protection locked="0"/>
    </xf>
    <xf numFmtId="0" fontId="5" fillId="0" borderId="0" xfId="11" applyFont="1" applyFill="1" applyAlignment="1" applyProtection="1">
      <alignment horizontal="left" vertical="top" wrapText="1"/>
      <protection locked="0"/>
    </xf>
    <xf numFmtId="0" fontId="5" fillId="0" borderId="0" xfId="11" applyFill="1" applyAlignment="1" applyProtection="1">
      <alignment horizontal="left" vertical="top" wrapText="1"/>
      <protection locked="0"/>
    </xf>
    <xf numFmtId="0" fontId="24" fillId="0" borderId="0" xfId="11" applyFont="1" applyAlignment="1" applyProtection="1">
      <protection locked="0"/>
    </xf>
    <xf numFmtId="0" fontId="25" fillId="0" borderId="0" xfId="0" applyFont="1" applyBorder="1" applyAlignment="1"/>
    <xf numFmtId="0" fontId="0" fillId="0" borderId="0" xfId="0" applyFill="1"/>
    <xf numFmtId="0" fontId="26" fillId="0" borderId="0" xfId="0" applyFont="1" applyFill="1" applyBorder="1"/>
    <xf numFmtId="0" fontId="27" fillId="0" borderId="0" xfId="0" applyFont="1" applyFill="1" applyBorder="1" applyAlignment="1">
      <alignment horizontal="center" vertical="top"/>
    </xf>
    <xf numFmtId="0" fontId="0" fillId="0" borderId="0" xfId="0" applyFill="1" applyBorder="1"/>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0" fillId="0" borderId="16" xfId="0" applyBorder="1"/>
    <xf numFmtId="0" fontId="0" fillId="0" borderId="16" xfId="0" applyBorder="1" applyAlignment="1">
      <alignment horizontal="center"/>
    </xf>
    <xf numFmtId="175" fontId="0" fillId="0" borderId="16" xfId="0" applyNumberFormat="1" applyBorder="1"/>
    <xf numFmtId="0" fontId="9" fillId="0" borderId="16" xfId="0" applyFont="1" applyBorder="1" applyAlignment="1">
      <alignment horizontal="center"/>
    </xf>
    <xf numFmtId="184" fontId="0" fillId="0" borderId="16" xfId="0" applyNumberFormat="1" applyBorder="1"/>
    <xf numFmtId="0" fontId="0" fillId="0" borderId="16" xfId="0" applyFill="1" applyBorder="1"/>
    <xf numFmtId="0" fontId="28" fillId="0" borderId="16" xfId="0" applyFont="1" applyFill="1" applyBorder="1" applyAlignment="1" applyProtection="1">
      <alignment vertical="center"/>
    </xf>
    <xf numFmtId="0" fontId="28" fillId="8" borderId="16" xfId="0" applyFont="1" applyFill="1" applyBorder="1" applyAlignment="1">
      <alignment horizontal="center" vertical="center"/>
    </xf>
    <xf numFmtId="174" fontId="28" fillId="0" borderId="16" xfId="1" applyNumberFormat="1" applyFont="1" applyFill="1" applyBorder="1" applyAlignment="1" applyProtection="1"/>
    <xf numFmtId="175" fontId="28" fillId="0" borderId="16" xfId="2" applyNumberFormat="1" applyFont="1" applyFill="1" applyBorder="1" applyAlignment="1" applyProtection="1"/>
    <xf numFmtId="0" fontId="28" fillId="0" borderId="16" xfId="0" applyFont="1" applyFill="1" applyBorder="1"/>
    <xf numFmtId="175" fontId="28" fillId="9" borderId="16" xfId="2" applyNumberFormat="1" applyFont="1" applyFill="1" applyBorder="1" applyAlignment="1" applyProtection="1"/>
    <xf numFmtId="175" fontId="28" fillId="10" borderId="16" xfId="2" applyNumberFormat="1" applyFont="1" applyFill="1" applyBorder="1" applyAlignment="1" applyProtection="1"/>
    <xf numFmtId="0" fontId="9" fillId="0" borderId="16" xfId="0" applyFont="1" applyFill="1" applyBorder="1" applyAlignment="1" applyProtection="1">
      <alignment vertical="center"/>
    </xf>
    <xf numFmtId="0" fontId="0" fillId="8" borderId="16" xfId="0" applyFill="1" applyBorder="1" applyAlignment="1">
      <alignment horizontal="center" vertical="center"/>
    </xf>
    <xf numFmtId="174" fontId="9" fillId="0" borderId="16" xfId="1" applyNumberFormat="1" applyFont="1" applyFill="1" applyBorder="1" applyAlignment="1" applyProtection="1"/>
    <xf numFmtId="175" fontId="9" fillId="0" borderId="16" xfId="2" applyNumberFormat="1" applyFont="1" applyFill="1" applyBorder="1" applyAlignment="1" applyProtection="1"/>
    <xf numFmtId="0" fontId="18" fillId="0" borderId="16" xfId="0" applyFont="1" applyFill="1" applyBorder="1" applyAlignment="1" applyProtection="1">
      <alignment vertical="center"/>
    </xf>
    <xf numFmtId="175" fontId="18" fillId="0" borderId="16" xfId="2" applyNumberFormat="1" applyFont="1" applyFill="1" applyBorder="1" applyAlignment="1" applyProtection="1"/>
    <xf numFmtId="0" fontId="26" fillId="0" borderId="16" xfId="0" applyFont="1" applyBorder="1"/>
    <xf numFmtId="185" fontId="0" fillId="0" borderId="16" xfId="0" applyNumberFormat="1" applyBorder="1"/>
    <xf numFmtId="175" fontId="18" fillId="0" borderId="16" xfId="0" applyNumberFormat="1" applyFont="1" applyBorder="1"/>
    <xf numFmtId="175" fontId="18" fillId="0" borderId="16" xfId="0" applyNumberFormat="1" applyFont="1" applyFill="1" applyBorder="1"/>
    <xf numFmtId="173" fontId="18" fillId="0" borderId="16" xfId="0" applyNumberFormat="1" applyFont="1" applyBorder="1"/>
    <xf numFmtId="173" fontId="18" fillId="0" borderId="16" xfId="2" applyNumberFormat="1" applyFont="1" applyFill="1" applyBorder="1" applyAlignment="1" applyProtection="1"/>
    <xf numFmtId="165" fontId="0" fillId="0" borderId="0" xfId="0" applyNumberFormat="1"/>
    <xf numFmtId="0" fontId="26"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74" fontId="9" fillId="0" borderId="0" xfId="1" applyNumberFormat="1" applyFont="1" applyFill="1" applyBorder="1" applyAlignment="1" applyProtection="1"/>
    <xf numFmtId="176" fontId="7" fillId="0" borderId="0" xfId="3" applyNumberFormat="1"/>
    <xf numFmtId="169" fontId="14" fillId="0" borderId="29" xfId="0" applyNumberFormat="1" applyFont="1" applyFill="1" applyBorder="1" applyAlignment="1" applyProtection="1">
      <alignment horizontal="center"/>
    </xf>
    <xf numFmtId="175" fontId="28" fillId="0" borderId="16" xfId="1" applyNumberFormat="1" applyFont="1" applyFill="1" applyBorder="1" applyAlignment="1" applyProtection="1"/>
    <xf numFmtId="172" fontId="28" fillId="0" borderId="16" xfId="1" applyNumberFormat="1" applyFont="1" applyFill="1" applyBorder="1" applyAlignment="1" applyProtection="1"/>
    <xf numFmtId="175" fontId="9" fillId="0" borderId="16" xfId="1" applyNumberFormat="1" applyFont="1" applyFill="1" applyBorder="1" applyAlignment="1" applyProtection="1"/>
    <xf numFmtId="172" fontId="9" fillId="0" borderId="16" xfId="1" applyNumberFormat="1" applyFont="1" applyFill="1" applyBorder="1" applyAlignment="1" applyProtection="1"/>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wrapText="1"/>
    </xf>
    <xf numFmtId="0" fontId="4" fillId="0" borderId="15" xfId="0" applyFont="1" applyBorder="1" applyAlignment="1">
      <alignment horizontal="center" wrapText="1"/>
    </xf>
    <xf numFmtId="0" fontId="4" fillId="0" borderId="12" xfId="0" applyFont="1" applyBorder="1" applyAlignment="1">
      <alignment horizontal="center"/>
    </xf>
    <xf numFmtId="0" fontId="4" fillId="0" borderId="13"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18"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wrapText="1"/>
    </xf>
    <xf numFmtId="0" fontId="6" fillId="0" borderId="0" xfId="0" applyFont="1" applyAlignment="1">
      <alignment horizontal="left"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3" fillId="0" borderId="0" xfId="4" applyFont="1" applyAlignment="1">
      <alignment horizontal="left" wrapText="1"/>
    </xf>
    <xf numFmtId="0" fontId="4" fillId="0" borderId="7" xfId="0" applyFont="1" applyBorder="1" applyAlignment="1">
      <alignment horizontal="center"/>
    </xf>
    <xf numFmtId="0" fontId="2" fillId="2" borderId="0" xfId="4" applyFont="1" applyFill="1" applyAlignment="1">
      <alignment horizontal="center"/>
    </xf>
    <xf numFmtId="0" fontId="4" fillId="0" borderId="0" xfId="4" applyFont="1" applyAlignment="1">
      <alignment horizontal="center"/>
    </xf>
    <xf numFmtId="37" fontId="4" fillId="0" borderId="29" xfId="0" applyNumberFormat="1" applyFont="1" applyFill="1" applyBorder="1" applyAlignment="1" applyProtection="1">
      <alignment horizontal="center" vertical="center"/>
    </xf>
    <xf numFmtId="0" fontId="4" fillId="0" borderId="29" xfId="0" applyFont="1" applyFill="1" applyBorder="1" applyAlignment="1" applyProtection="1">
      <alignment horizontal="center"/>
    </xf>
    <xf numFmtId="0" fontId="4" fillId="0" borderId="0" xfId="0" applyFont="1" applyBorder="1" applyAlignment="1">
      <alignment horizontal="center" vertical="top"/>
    </xf>
    <xf numFmtId="37" fontId="4" fillId="0" borderId="29" xfId="7" applyNumberFormat="1" applyFont="1" applyFill="1" applyBorder="1" applyAlignment="1" applyProtection="1">
      <alignment horizontal="center" vertical="center"/>
    </xf>
    <xf numFmtId="0" fontId="17" fillId="0" borderId="0" xfId="0" applyFont="1" applyBorder="1" applyAlignment="1">
      <alignment horizontal="center" vertical="top"/>
    </xf>
    <xf numFmtId="0" fontId="4" fillId="0" borderId="19" xfId="0" applyFont="1" applyBorder="1" applyAlignment="1">
      <alignment horizontal="left"/>
    </xf>
    <xf numFmtId="0" fontId="4" fillId="0" borderId="20" xfId="0" applyFont="1" applyBorder="1" applyAlignment="1">
      <alignment horizontal="left"/>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11" applyFont="1" applyFill="1" applyAlignment="1" applyProtection="1">
      <alignment horizontal="left" vertical="center" wrapText="1"/>
      <protection locked="0"/>
    </xf>
    <xf numFmtId="0" fontId="6" fillId="0" borderId="0" xfId="11" applyFont="1" applyFill="1" applyAlignment="1" applyProtection="1">
      <alignment horizontal="left" vertical="top" wrapText="1"/>
      <protection locked="0"/>
    </xf>
    <xf numFmtId="0" fontId="4" fillId="0" borderId="22" xfId="11" applyFont="1" applyBorder="1" applyAlignment="1" applyProtection="1">
      <alignment horizontal="center"/>
      <protection locked="0"/>
    </xf>
    <xf numFmtId="0" fontId="4" fillId="0" borderId="24" xfId="11" applyFont="1" applyBorder="1" applyAlignment="1" applyProtection="1">
      <alignment horizontal="center"/>
      <protection locked="0"/>
    </xf>
    <xf numFmtId="0" fontId="4" fillId="0" borderId="25" xfId="11" applyFont="1" applyBorder="1" applyAlignment="1" applyProtection="1">
      <alignment horizontal="center"/>
      <protection locked="0"/>
    </xf>
    <xf numFmtId="0" fontId="4" fillId="0" borderId="27" xfId="11" applyFont="1" applyBorder="1" applyAlignment="1" applyProtection="1">
      <alignment horizontal="center"/>
      <protection locked="0"/>
    </xf>
    <xf numFmtId="0" fontId="6" fillId="0" borderId="10" xfId="11" applyFont="1" applyBorder="1" applyAlignment="1" applyProtection="1">
      <alignment wrapText="1"/>
      <protection locked="0"/>
    </xf>
    <xf numFmtId="0" fontId="6" fillId="0" borderId="49" xfId="11" applyFont="1" applyBorder="1" applyAlignment="1" applyProtection="1">
      <alignment wrapText="1"/>
      <protection locked="0"/>
    </xf>
    <xf numFmtId="0" fontId="9" fillId="0" borderId="0" xfId="0" applyFont="1" applyBorder="1" applyAlignment="1">
      <alignment horizontal="left" vertical="center" wrapText="1"/>
    </xf>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1" xfId="0" applyFont="1" applyFill="1" applyBorder="1" applyAlignment="1">
      <alignment horizontal="center"/>
    </xf>
    <xf numFmtId="0" fontId="26" fillId="0" borderId="15" xfId="0" applyFont="1" applyFill="1" applyBorder="1" applyAlignment="1">
      <alignment horizontal="center"/>
    </xf>
  </cellXfs>
  <cellStyles count="14">
    <cellStyle name="Comma" xfId="1" builtinId="3"/>
    <cellStyle name="Comma 2 11" xfId="12" xr:uid="{1CCA8304-2A27-4F4B-B8A8-50BE4F1B97B5}"/>
    <cellStyle name="Comma 2 5 2" xfId="9" xr:uid="{C1BCD831-3B0B-49D7-9D53-4A2331907EF6}"/>
    <cellStyle name="Comma 4" xfId="7" xr:uid="{09B5E9AE-519B-459C-AC4E-08225E0C011A}"/>
    <cellStyle name="Comma 4 2" xfId="6" xr:uid="{CA45DCEE-3589-4339-A6BA-A43E0CEC5A41}"/>
    <cellStyle name="Currency" xfId="2" builtinId="4"/>
    <cellStyle name="Currency 2 10" xfId="13" xr:uid="{74A5B865-160D-4495-8CB5-CE354F089BF0}"/>
    <cellStyle name="Normal" xfId="0" builtinId="0"/>
    <cellStyle name="Normal 2" xfId="8" xr:uid="{13B6ABC2-3432-4A5E-8446-AF4A71C5E1F3}"/>
    <cellStyle name="Normal 2 2 3" xfId="11" xr:uid="{FAB82A9A-CB0A-4344-AD40-40BE73148FC1}"/>
    <cellStyle name="Normal 76" xfId="4" xr:uid="{2C1878E9-CF88-4ACE-93E1-A941C3CB8AE9}"/>
    <cellStyle name="Percent" xfId="3" builtinId="5"/>
    <cellStyle name="Percent 10" xfId="5" xr:uid="{8DFBAAEA-B125-4E1E-8405-49E7144CD4B2}"/>
    <cellStyle name="Percent 10 2 2" xfId="10" xr:uid="{B5C99F40-EFEF-4AB2-9450-59A9753591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542925</xdr:colOff>
      <xdr:row>41</xdr:row>
      <xdr:rowOff>66675</xdr:rowOff>
    </xdr:from>
    <xdr:to>
      <xdr:col>6</xdr:col>
      <xdr:colOff>542925</xdr:colOff>
      <xdr:row>41</xdr:row>
      <xdr:rowOff>76200</xdr:rowOff>
    </xdr:to>
    <xdr:sp macro="" textlink="">
      <xdr:nvSpPr>
        <xdr:cNvPr id="2" name="Straight Connector 4">
          <a:extLst>
            <a:ext uri="{FF2B5EF4-FFF2-40B4-BE49-F238E27FC236}">
              <a16:creationId xmlns:a16="http://schemas.microsoft.com/office/drawing/2014/main" id="{2EB4E34C-7F61-4964-8891-9893DD8B25B1}"/>
            </a:ext>
          </a:extLst>
        </xdr:cNvPr>
        <xdr:cNvSpPr>
          <a:spLocks noChangeShapeType="1"/>
        </xdr:cNvSpPr>
      </xdr:nvSpPr>
      <xdr:spPr bwMode="auto">
        <a:xfrm flipV="1">
          <a:off x="1933575" y="4219575"/>
          <a:ext cx="4191000" cy="952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552450</xdr:colOff>
      <xdr:row>41</xdr:row>
      <xdr:rowOff>85725</xdr:rowOff>
    </xdr:from>
    <xdr:to>
      <xdr:col>1</xdr:col>
      <xdr:colOff>552450</xdr:colOff>
      <xdr:row>42</xdr:row>
      <xdr:rowOff>123825</xdr:rowOff>
    </xdr:to>
    <xdr:sp macro="" textlink="">
      <xdr:nvSpPr>
        <xdr:cNvPr id="3" name="Straight Connector 5">
          <a:extLst>
            <a:ext uri="{FF2B5EF4-FFF2-40B4-BE49-F238E27FC236}">
              <a16:creationId xmlns:a16="http://schemas.microsoft.com/office/drawing/2014/main" id="{7418ABD3-9D73-490D-B457-372B27F1E653}"/>
            </a:ext>
          </a:extLst>
        </xdr:cNvPr>
        <xdr:cNvSpPr>
          <a:spLocks noChangeShapeType="1"/>
        </xdr:cNvSpPr>
      </xdr:nvSpPr>
      <xdr:spPr bwMode="auto">
        <a:xfrm>
          <a:off x="1943100" y="4238625"/>
          <a:ext cx="0" cy="21907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530746</xdr:colOff>
      <xdr:row>41</xdr:row>
      <xdr:rowOff>72299</xdr:rowOff>
    </xdr:from>
    <xdr:to>
      <xdr:col>6</xdr:col>
      <xdr:colOff>534808</xdr:colOff>
      <xdr:row>42</xdr:row>
      <xdr:rowOff>85884</xdr:rowOff>
    </xdr:to>
    <xdr:cxnSp macro="">
      <xdr:nvCxnSpPr>
        <xdr:cNvPr id="4" name="Straight Arrow Connector 6">
          <a:extLst>
            <a:ext uri="{FF2B5EF4-FFF2-40B4-BE49-F238E27FC236}">
              <a16:creationId xmlns:a16="http://schemas.microsoft.com/office/drawing/2014/main" id="{016B76A0-E523-49F5-BEF2-6FD4084865B8}"/>
            </a:ext>
          </a:extLst>
        </xdr:cNvPr>
        <xdr:cNvCxnSpPr>
          <a:cxnSpLocks noChangeShapeType="1"/>
        </xdr:cNvCxnSpPr>
      </xdr:nvCxnSpPr>
      <xdr:spPr bwMode="auto">
        <a:xfrm rot="16200000" flipH="1">
          <a:off x="6017147" y="4320448"/>
          <a:ext cx="194560" cy="4062"/>
        </a:xfrm>
        <a:prstGeom prst="bentConnector3">
          <a:avLst>
            <a:gd name="adj1" fmla="val 50000"/>
          </a:avLst>
        </a:prstGeom>
        <a:noFill/>
        <a:ln w="25560">
          <a:solidFill>
            <a:srgbClr val="4F81BD"/>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4.12 PowerSupplExp"/>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1 Res Rate Design R1(i) (2)"/>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1D87-B839-408E-93C9-6761DDB86CA8}">
  <sheetPr codeName="Sheet9">
    <pageSetUpPr fitToPage="1"/>
  </sheetPr>
  <dimension ref="B1:P71"/>
  <sheetViews>
    <sheetView showGridLines="0" zoomScaleNormal="100" workbookViewId="0">
      <selection activeCell="D58" sqref="D58"/>
    </sheetView>
  </sheetViews>
  <sheetFormatPr defaultColWidth="9.140625" defaultRowHeight="15" x14ac:dyDescent="0.25"/>
  <cols>
    <col min="1" max="1" width="2.85546875" style="1" customWidth="1"/>
    <col min="2" max="2" width="26.5703125" style="1" customWidth="1"/>
    <col min="3" max="3" width="12.42578125" style="1" customWidth="1"/>
    <col min="4" max="4" width="12" style="1" customWidth="1"/>
    <col min="5" max="5" width="12.5703125" style="1" bestFit="1" customWidth="1"/>
    <col min="6" max="6" width="9" style="1" bestFit="1" customWidth="1"/>
    <col min="7" max="7" width="10.140625" style="1" bestFit="1" customWidth="1"/>
    <col min="8" max="8" width="12.140625" style="1" bestFit="1" customWidth="1"/>
    <col min="9" max="9" width="9.5703125" style="1" bestFit="1" customWidth="1"/>
    <col min="10" max="10" width="11.140625" style="1" bestFit="1" customWidth="1"/>
    <col min="11" max="11" width="11.5703125" style="1" bestFit="1" customWidth="1"/>
    <col min="12" max="12" width="12.140625" style="1" bestFit="1" customWidth="1"/>
    <col min="13" max="14" width="14.140625" style="1" bestFit="1" customWidth="1"/>
    <col min="15" max="15" width="11.5703125" style="1" bestFit="1" customWidth="1"/>
    <col min="16" max="16384" width="9.140625" style="1"/>
  </cols>
  <sheetData>
    <row r="1" spans="2:14" x14ac:dyDescent="0.25">
      <c r="B1" s="346" t="s">
        <v>0</v>
      </c>
      <c r="C1" s="346"/>
      <c r="D1" s="346"/>
      <c r="E1" s="346"/>
      <c r="F1" s="346"/>
      <c r="G1" s="346"/>
      <c r="H1" s="346"/>
      <c r="I1" s="346"/>
      <c r="J1" s="346"/>
      <c r="K1" s="346"/>
      <c r="L1" s="346"/>
      <c r="M1" s="346"/>
      <c r="N1" s="346"/>
    </row>
    <row r="2" spans="2:14" x14ac:dyDescent="0.25">
      <c r="B2" s="346" t="s">
        <v>1</v>
      </c>
      <c r="C2" s="346"/>
      <c r="D2" s="346"/>
      <c r="E2" s="346"/>
      <c r="F2" s="346"/>
      <c r="G2" s="346"/>
      <c r="H2" s="346"/>
      <c r="I2" s="346"/>
      <c r="J2" s="346"/>
      <c r="K2" s="346"/>
      <c r="L2" s="346"/>
      <c r="M2" s="346"/>
      <c r="N2" s="346"/>
    </row>
    <row r="3" spans="2:14" x14ac:dyDescent="0.25">
      <c r="B3" s="2"/>
      <c r="C3" s="2"/>
      <c r="D3" s="2"/>
      <c r="E3" s="2"/>
      <c r="F3" s="2"/>
      <c r="G3" s="2"/>
      <c r="H3" s="2"/>
      <c r="I3" s="2"/>
      <c r="J3" s="2"/>
      <c r="K3" s="2"/>
      <c r="L3" s="2"/>
      <c r="M3" s="2"/>
      <c r="N3" s="2"/>
    </row>
    <row r="4" spans="2:14" x14ac:dyDescent="0.25">
      <c r="B4" s="347" t="s">
        <v>2</v>
      </c>
      <c r="C4" s="347"/>
      <c r="D4" s="347"/>
      <c r="E4" s="347"/>
      <c r="F4" s="347"/>
      <c r="G4" s="347"/>
      <c r="H4" s="347"/>
      <c r="I4" s="347"/>
      <c r="J4" s="347"/>
      <c r="K4" s="347"/>
      <c r="L4" s="347"/>
      <c r="M4" s="347"/>
      <c r="N4" s="347"/>
    </row>
    <row r="5" spans="2:14" ht="15.75" thickBot="1" x14ac:dyDescent="0.3">
      <c r="B5" s="3"/>
      <c r="C5" s="3"/>
      <c r="D5" s="3"/>
      <c r="E5" s="3"/>
      <c r="F5" s="3"/>
      <c r="G5" s="3"/>
      <c r="H5" s="3"/>
      <c r="I5" s="3"/>
      <c r="J5" s="3"/>
      <c r="K5" s="3"/>
      <c r="L5" s="3"/>
      <c r="M5" s="4"/>
      <c r="N5" s="2"/>
    </row>
    <row r="6" spans="2:14" x14ac:dyDescent="0.25">
      <c r="B6" s="315" t="s">
        <v>3</v>
      </c>
      <c r="C6" s="316"/>
      <c r="D6" s="316"/>
      <c r="E6" s="316"/>
      <c r="F6" s="316"/>
      <c r="G6" s="316"/>
      <c r="H6" s="316"/>
      <c r="I6" s="316"/>
      <c r="J6" s="316"/>
      <c r="K6" s="316"/>
      <c r="L6" s="316"/>
      <c r="M6" s="316"/>
      <c r="N6" s="317"/>
    </row>
    <row r="7" spans="2:14" x14ac:dyDescent="0.25">
      <c r="B7" s="318" t="s">
        <v>4</v>
      </c>
      <c r="C7" s="319"/>
      <c r="D7" s="319"/>
      <c r="E7" s="319"/>
      <c r="F7" s="319"/>
      <c r="G7" s="319"/>
      <c r="H7" s="319"/>
      <c r="I7" s="319"/>
      <c r="J7" s="319"/>
      <c r="K7" s="319"/>
      <c r="L7" s="319"/>
      <c r="M7" s="319"/>
      <c r="N7" s="320"/>
    </row>
    <row r="8" spans="2:14" x14ac:dyDescent="0.25">
      <c r="B8" s="345" t="s">
        <v>5</v>
      </c>
      <c r="C8" s="329"/>
      <c r="D8" s="329"/>
      <c r="E8" s="329"/>
      <c r="F8" s="329"/>
      <c r="G8" s="329"/>
      <c r="H8" s="329"/>
      <c r="I8" s="329"/>
      <c r="J8" s="329"/>
      <c r="K8" s="329"/>
      <c r="L8" s="329"/>
      <c r="M8" s="329"/>
      <c r="N8" s="330"/>
    </row>
    <row r="9" spans="2:14" x14ac:dyDescent="0.25">
      <c r="B9" s="321" t="s">
        <v>6</v>
      </c>
      <c r="C9" s="323" t="s">
        <v>7</v>
      </c>
      <c r="D9" s="325" t="s">
        <v>8</v>
      </c>
      <c r="E9" s="327" t="s">
        <v>9</v>
      </c>
      <c r="F9" s="328"/>
      <c r="G9" s="327" t="s">
        <v>10</v>
      </c>
      <c r="H9" s="328"/>
      <c r="I9" s="327" t="s">
        <v>11</v>
      </c>
      <c r="J9" s="328"/>
      <c r="K9" s="327" t="s">
        <v>12</v>
      </c>
      <c r="L9" s="329"/>
      <c r="M9" s="329"/>
      <c r="N9" s="330"/>
    </row>
    <row r="10" spans="2:14" ht="42.75" x14ac:dyDescent="0.25">
      <c r="B10" s="322"/>
      <c r="C10" s="324"/>
      <c r="D10" s="326"/>
      <c r="E10" s="5" t="s">
        <v>13</v>
      </c>
      <c r="F10" s="5" t="s">
        <v>14</v>
      </c>
      <c r="G10" s="6" t="s">
        <v>15</v>
      </c>
      <c r="H10" s="6" t="s">
        <v>16</v>
      </c>
      <c r="I10" s="6" t="s">
        <v>17</v>
      </c>
      <c r="J10" s="6" t="s">
        <v>18</v>
      </c>
      <c r="K10" s="6" t="s">
        <v>19</v>
      </c>
      <c r="L10" s="6" t="s">
        <v>20</v>
      </c>
      <c r="M10" s="6" t="s">
        <v>21</v>
      </c>
      <c r="N10" s="7" t="s">
        <v>22</v>
      </c>
    </row>
    <row r="11" spans="2:14" ht="15" customHeight="1" x14ac:dyDescent="0.25">
      <c r="B11" s="8" t="s">
        <v>23</v>
      </c>
      <c r="C11" s="9" t="s">
        <v>13</v>
      </c>
      <c r="D11" s="10">
        <v>8496</v>
      </c>
      <c r="E11" s="11">
        <v>105791701</v>
      </c>
      <c r="F11" s="11"/>
      <c r="G11" s="12">
        <v>0.13646721756898086</v>
      </c>
      <c r="H11" s="12">
        <v>0.86353278243101916</v>
      </c>
      <c r="I11" s="13">
        <f>K11/(D11*12)</f>
        <v>20.893831346683069</v>
      </c>
      <c r="J11" s="14">
        <f>L11/E11</f>
        <v>0.12741270238747979</v>
      </c>
      <c r="K11" s="11">
        <v>2130167.8934570323</v>
      </c>
      <c r="L11" s="11">
        <v>13479206.514578247</v>
      </c>
      <c r="M11" s="15">
        <f>K11+L11</f>
        <v>15609374.40803528</v>
      </c>
      <c r="N11" s="16">
        <f>(D11*I11*12+E11*J11+F11*J11)-M11</f>
        <v>0</v>
      </c>
    </row>
    <row r="12" spans="2:14" x14ac:dyDescent="0.25">
      <c r="B12" s="8" t="s">
        <v>24</v>
      </c>
      <c r="C12" s="9" t="s">
        <v>14</v>
      </c>
      <c r="D12" s="10">
        <v>50</v>
      </c>
      <c r="E12" s="11"/>
      <c r="F12" s="11">
        <v>198901</v>
      </c>
      <c r="G12" s="12">
        <v>0.1200968956263495</v>
      </c>
      <c r="H12" s="12">
        <v>0.87990310437365049</v>
      </c>
      <c r="I12" s="13">
        <f t="shared" ref="I12:I14" si="0">K12/(D12*12)</f>
        <v>769.6447586898222</v>
      </c>
      <c r="J12" s="14">
        <f>L12/F12</f>
        <v>17.010131395951284</v>
      </c>
      <c r="K12" s="11">
        <v>461786.85521389334</v>
      </c>
      <c r="L12" s="11">
        <v>3383332.1447861064</v>
      </c>
      <c r="M12" s="15">
        <f>K12+L12</f>
        <v>3845119</v>
      </c>
      <c r="N12" s="16">
        <f t="shared" ref="N12:N14" si="1">(D12*I12*12+E12*J12+F12*J12)-M12</f>
        <v>0</v>
      </c>
    </row>
    <row r="13" spans="2:14" x14ac:dyDescent="0.25">
      <c r="B13" s="8" t="s">
        <v>25</v>
      </c>
      <c r="C13" s="9" t="s">
        <v>13</v>
      </c>
      <c r="D13" s="10">
        <v>3138</v>
      </c>
      <c r="E13" s="11">
        <v>7731414</v>
      </c>
      <c r="F13" s="11"/>
      <c r="G13" s="12">
        <v>0.47499999999999998</v>
      </c>
      <c r="H13" s="12">
        <v>0.52500000000000002</v>
      </c>
      <c r="I13" s="13">
        <f t="shared" si="0"/>
        <v>38.882995539330722</v>
      </c>
      <c r="J13" s="14">
        <f t="shared" ref="J13:J14" si="2">L13/E13</f>
        <v>0.20931515094821554</v>
      </c>
      <c r="K13" s="11">
        <v>1464178.0800290375</v>
      </c>
      <c r="L13" s="11">
        <v>1618302.0884531469</v>
      </c>
      <c r="M13" s="15">
        <f>K13+L13</f>
        <v>3082480.1684821844</v>
      </c>
      <c r="N13" s="16">
        <f t="shared" si="1"/>
        <v>0</v>
      </c>
    </row>
    <row r="14" spans="2:14" x14ac:dyDescent="0.25">
      <c r="B14" s="8" t="s">
        <v>26</v>
      </c>
      <c r="C14" s="9" t="s">
        <v>13</v>
      </c>
      <c r="D14" s="10">
        <v>1018</v>
      </c>
      <c r="E14" s="11">
        <v>804705</v>
      </c>
      <c r="F14" s="11"/>
      <c r="G14" s="12">
        <v>8.5999999999999993E-2</v>
      </c>
      <c r="H14" s="12">
        <v>0.91400000000000003</v>
      </c>
      <c r="I14" s="13">
        <f t="shared" si="0"/>
        <v>1.965602652259332</v>
      </c>
      <c r="J14" s="14">
        <f t="shared" si="2"/>
        <v>0.31712888325535443</v>
      </c>
      <c r="K14" s="11">
        <v>24011.802</v>
      </c>
      <c r="L14" s="11">
        <v>255195.198</v>
      </c>
      <c r="M14" s="15">
        <f>K14+L14</f>
        <v>279207</v>
      </c>
      <c r="N14" s="16">
        <f t="shared" si="1"/>
        <v>0</v>
      </c>
    </row>
    <row r="15" spans="2:14" ht="15.75" thickBot="1" x14ac:dyDescent="0.3">
      <c r="B15" s="17"/>
      <c r="C15" s="18"/>
      <c r="D15" s="18"/>
      <c r="E15" s="18"/>
      <c r="F15" s="18"/>
      <c r="G15" s="18"/>
      <c r="H15" s="18"/>
      <c r="I15" s="18"/>
      <c r="J15" s="18"/>
      <c r="K15" s="19">
        <f>SUM(K11:K14)</f>
        <v>4080144.6306999633</v>
      </c>
      <c r="L15" s="19">
        <f>SUM(L11:L14)</f>
        <v>18736035.9458175</v>
      </c>
      <c r="M15" s="19">
        <f>SUM(M11:M14)</f>
        <v>22816180.576517463</v>
      </c>
      <c r="N15" s="20">
        <f>SUM(N11:N14)</f>
        <v>0</v>
      </c>
    </row>
    <row r="16" spans="2:14" x14ac:dyDescent="0.25">
      <c r="B16" s="21"/>
      <c r="C16" s="21"/>
      <c r="D16" s="21"/>
      <c r="E16" s="21"/>
      <c r="F16" s="21"/>
      <c r="G16" s="21"/>
      <c r="H16" s="21"/>
      <c r="I16" s="21"/>
      <c r="J16" s="21"/>
      <c r="K16" s="21"/>
      <c r="L16" s="21"/>
      <c r="M16" s="21"/>
      <c r="N16" s="21"/>
    </row>
    <row r="17" spans="2:14" ht="27" customHeight="1" x14ac:dyDescent="0.25">
      <c r="B17" s="340" t="s">
        <v>27</v>
      </c>
      <c r="C17" s="340"/>
      <c r="D17" s="340"/>
      <c r="E17" s="340"/>
      <c r="F17" s="340"/>
      <c r="G17" s="340"/>
      <c r="H17" s="340"/>
      <c r="I17" s="340"/>
      <c r="J17" s="340"/>
      <c r="K17" s="340"/>
      <c r="L17" s="340"/>
      <c r="M17" s="340"/>
      <c r="N17" s="340"/>
    </row>
    <row r="18" spans="2:14" ht="15.75" thickBot="1" x14ac:dyDescent="0.3">
      <c r="B18" s="2"/>
      <c r="C18" s="2"/>
      <c r="D18" s="2"/>
      <c r="E18" s="2"/>
      <c r="F18" s="2"/>
      <c r="G18" s="2"/>
      <c r="H18" s="2"/>
      <c r="I18" s="2"/>
      <c r="J18" s="2"/>
      <c r="K18" s="2"/>
      <c r="L18" s="22"/>
      <c r="M18" s="23"/>
      <c r="N18" s="2"/>
    </row>
    <row r="19" spans="2:14" x14ac:dyDescent="0.25">
      <c r="B19" s="341" t="s">
        <v>28</v>
      </c>
      <c r="C19" s="342"/>
      <c r="D19" s="342"/>
      <c r="E19" s="343"/>
      <c r="F19" s="2"/>
      <c r="G19" s="344" t="s">
        <v>29</v>
      </c>
      <c r="H19" s="344"/>
      <c r="I19" s="344"/>
      <c r="J19" s="344"/>
      <c r="K19" s="344"/>
      <c r="L19" s="344"/>
      <c r="M19" s="344"/>
      <c r="N19" s="344"/>
    </row>
    <row r="20" spans="2:14" x14ac:dyDescent="0.25">
      <c r="B20" s="345" t="s">
        <v>4</v>
      </c>
      <c r="C20" s="329"/>
      <c r="D20" s="329"/>
      <c r="E20" s="330"/>
      <c r="F20" s="2"/>
      <c r="G20" s="344"/>
      <c r="H20" s="344"/>
      <c r="I20" s="344"/>
      <c r="J20" s="344"/>
      <c r="K20" s="344"/>
      <c r="L20" s="344"/>
      <c r="M20" s="344"/>
      <c r="N20" s="344"/>
    </row>
    <row r="21" spans="2:14" x14ac:dyDescent="0.25">
      <c r="B21" s="321" t="s">
        <v>6</v>
      </c>
      <c r="C21" s="327" t="s">
        <v>12</v>
      </c>
      <c r="D21" s="329"/>
      <c r="E21" s="330"/>
      <c r="F21" s="2"/>
      <c r="G21" s="344"/>
      <c r="H21" s="344"/>
      <c r="I21" s="344"/>
      <c r="J21" s="344"/>
      <c r="K21" s="344"/>
      <c r="L21" s="344"/>
      <c r="M21" s="344"/>
      <c r="N21" s="344"/>
    </row>
    <row r="22" spans="2:14" ht="28.5" x14ac:dyDescent="0.25">
      <c r="B22" s="322"/>
      <c r="C22" s="6" t="s">
        <v>19</v>
      </c>
      <c r="D22" s="6" t="s">
        <v>20</v>
      </c>
      <c r="E22" s="24" t="s">
        <v>21</v>
      </c>
      <c r="F22" s="2"/>
      <c r="G22" s="2"/>
      <c r="H22" s="2"/>
      <c r="I22" s="2"/>
      <c r="J22" s="2"/>
      <c r="K22" s="2"/>
      <c r="L22" s="22"/>
      <c r="M22" s="23"/>
      <c r="N22" s="2"/>
    </row>
    <row r="23" spans="2:14" x14ac:dyDescent="0.25">
      <c r="B23" s="8" t="s">
        <v>23</v>
      </c>
      <c r="C23" s="11">
        <v>2223199.6691820179</v>
      </c>
      <c r="D23" s="11">
        <v>14067889.93303871</v>
      </c>
      <c r="E23" s="16">
        <f>C23+D23</f>
        <v>16291089.602220727</v>
      </c>
      <c r="F23" s="2"/>
      <c r="G23" s="2"/>
      <c r="H23" s="2"/>
      <c r="I23" s="2"/>
      <c r="J23" s="2"/>
      <c r="K23" s="2"/>
      <c r="L23" s="22"/>
      <c r="M23" s="23"/>
      <c r="N23" s="2"/>
    </row>
    <row r="24" spans="2:14" x14ac:dyDescent="0.25">
      <c r="B24" s="8" t="s">
        <v>24</v>
      </c>
      <c r="C24" s="11">
        <v>481954.67920512089</v>
      </c>
      <c r="D24" s="11">
        <v>3531093.9236879833</v>
      </c>
      <c r="E24" s="16">
        <f t="shared" ref="E24" si="3">C24+D24</f>
        <v>4013048.6028931043</v>
      </c>
      <c r="F24" s="2"/>
      <c r="G24" s="2"/>
      <c r="H24" s="2"/>
      <c r="I24" s="2"/>
      <c r="J24" s="2"/>
      <c r="K24" s="2"/>
      <c r="L24" s="22"/>
      <c r="M24" s="23"/>
      <c r="N24" s="2"/>
    </row>
    <row r="25" spans="2:14" x14ac:dyDescent="0.25">
      <c r="B25" s="8" t="s">
        <v>25</v>
      </c>
      <c r="C25" s="11">
        <v>1528123.7845817613</v>
      </c>
      <c r="D25" s="11">
        <v>1688978.9198008943</v>
      </c>
      <c r="E25" s="16">
        <f>C25+D25</f>
        <v>3217102.7043826557</v>
      </c>
      <c r="F25" s="2"/>
      <c r="G25" s="2"/>
      <c r="H25" s="2"/>
      <c r="I25" s="2"/>
      <c r="J25" s="2"/>
      <c r="K25" s="2"/>
      <c r="L25" s="22"/>
      <c r="M25" s="23"/>
      <c r="N25" s="2"/>
    </row>
    <row r="26" spans="2:14" x14ac:dyDescent="0.25">
      <c r="B26" s="8" t="s">
        <v>26</v>
      </c>
      <c r="C26" s="11">
        <v>25060.480174747743</v>
      </c>
      <c r="D26" s="11">
        <v>266340.45208976086</v>
      </c>
      <c r="E26" s="16">
        <f t="shared" ref="E26" si="4">C26+D26</f>
        <v>291400.93226450862</v>
      </c>
      <c r="F26" s="2"/>
      <c r="G26" s="2"/>
      <c r="H26" s="2"/>
      <c r="I26" s="2"/>
      <c r="J26" s="2"/>
      <c r="K26" s="2"/>
      <c r="L26" s="22"/>
      <c r="M26" s="23"/>
      <c r="N26" s="2"/>
    </row>
    <row r="27" spans="2:14" ht="15.75" thickBot="1" x14ac:dyDescent="0.3">
      <c r="B27" s="17"/>
      <c r="C27" s="19">
        <f>SUM(C23:C26)</f>
        <v>4258338.613143648</v>
      </c>
      <c r="D27" s="19">
        <f>SUM(D23:D26)</f>
        <v>19554303.228617344</v>
      </c>
      <c r="E27" s="20">
        <f>SUM(E23:E26)</f>
        <v>23812641.841760993</v>
      </c>
      <c r="F27" s="2"/>
      <c r="G27" s="2"/>
      <c r="H27" s="2"/>
      <c r="I27" s="2"/>
      <c r="J27" s="2"/>
      <c r="K27" s="2"/>
      <c r="L27" s="22"/>
      <c r="M27" s="23"/>
      <c r="N27" s="2"/>
    </row>
    <row r="28" spans="2:14" x14ac:dyDescent="0.25">
      <c r="B28" s="2"/>
      <c r="C28" s="2"/>
      <c r="D28" s="2"/>
      <c r="E28" s="2"/>
      <c r="F28" s="2"/>
      <c r="G28" s="2"/>
      <c r="H28" s="2"/>
      <c r="I28" s="2"/>
      <c r="J28" s="2"/>
      <c r="K28" s="2"/>
      <c r="L28" s="22"/>
      <c r="M28" s="23"/>
      <c r="N28" s="2"/>
    </row>
    <row r="29" spans="2:14" ht="15.75" thickBot="1" x14ac:dyDescent="0.3">
      <c r="B29" s="2"/>
      <c r="C29" s="2"/>
      <c r="D29" s="2"/>
      <c r="E29" s="2"/>
      <c r="F29" s="2"/>
      <c r="G29" s="2"/>
      <c r="H29" s="2"/>
      <c r="I29" s="2"/>
      <c r="J29" s="2"/>
      <c r="K29" s="2"/>
      <c r="L29" s="22"/>
      <c r="M29" s="23"/>
      <c r="N29" s="2"/>
    </row>
    <row r="30" spans="2:14" x14ac:dyDescent="0.25">
      <c r="B30" s="331" t="s">
        <v>30</v>
      </c>
      <c r="C30" s="332"/>
      <c r="D30" s="332"/>
      <c r="E30" s="332"/>
      <c r="F30" s="332"/>
      <c r="G30" s="332"/>
      <c r="H30" s="332"/>
      <c r="I30" s="332"/>
      <c r="J30" s="332"/>
      <c r="K30" s="332"/>
      <c r="L30" s="332"/>
      <c r="M30" s="332"/>
      <c r="N30" s="333"/>
    </row>
    <row r="31" spans="2:14" x14ac:dyDescent="0.25">
      <c r="B31" s="334" t="s">
        <v>4</v>
      </c>
      <c r="C31" s="335"/>
      <c r="D31" s="335"/>
      <c r="E31" s="335"/>
      <c r="F31" s="335"/>
      <c r="G31" s="335"/>
      <c r="H31" s="335"/>
      <c r="I31" s="335"/>
      <c r="J31" s="335"/>
      <c r="K31" s="335"/>
      <c r="L31" s="335"/>
      <c r="M31" s="335"/>
      <c r="N31" s="336"/>
    </row>
    <row r="32" spans="2:14" x14ac:dyDescent="0.25">
      <c r="B32" s="337" t="s">
        <v>6</v>
      </c>
      <c r="C32" s="338" t="s">
        <v>7</v>
      </c>
      <c r="D32" s="339" t="s">
        <v>8</v>
      </c>
      <c r="E32" s="335" t="s">
        <v>9</v>
      </c>
      <c r="F32" s="335"/>
      <c r="G32" s="335" t="s">
        <v>10</v>
      </c>
      <c r="H32" s="335"/>
      <c r="I32" s="335" t="s">
        <v>11</v>
      </c>
      <c r="J32" s="335"/>
      <c r="K32" s="335" t="s">
        <v>12</v>
      </c>
      <c r="L32" s="335"/>
      <c r="M32" s="335"/>
      <c r="N32" s="336"/>
    </row>
    <row r="33" spans="2:16" ht="42.75" x14ac:dyDescent="0.25">
      <c r="B33" s="337"/>
      <c r="C33" s="338"/>
      <c r="D33" s="339"/>
      <c r="E33" s="5" t="s">
        <v>13</v>
      </c>
      <c r="F33" s="5" t="s">
        <v>14</v>
      </c>
      <c r="G33" s="6" t="s">
        <v>15</v>
      </c>
      <c r="H33" s="6" t="s">
        <v>16</v>
      </c>
      <c r="I33" s="6" t="s">
        <v>17</v>
      </c>
      <c r="J33" s="6" t="s">
        <v>18</v>
      </c>
      <c r="K33" s="6" t="s">
        <v>19</v>
      </c>
      <c r="L33" s="6" t="s">
        <v>20</v>
      </c>
      <c r="M33" s="6" t="s">
        <v>21</v>
      </c>
      <c r="N33" s="7" t="s">
        <v>31</v>
      </c>
    </row>
    <row r="34" spans="2:16" x14ac:dyDescent="0.25">
      <c r="B34" s="8" t="s">
        <v>32</v>
      </c>
      <c r="C34" s="9" t="s">
        <v>13</v>
      </c>
      <c r="D34" s="10">
        <v>7531</v>
      </c>
      <c r="E34" s="11">
        <v>80045884</v>
      </c>
      <c r="F34" s="11"/>
      <c r="G34" s="12">
        <f>K34/M34</f>
        <v>0.73540165973397931</v>
      </c>
      <c r="H34" s="12">
        <f>L34/M34</f>
        <v>0.26459834026602075</v>
      </c>
      <c r="I34" s="13">
        <f>K34/(D34*12)</f>
        <v>42.23028</v>
      </c>
      <c r="J34" s="14">
        <f>L34/E34</f>
        <v>1.7154630157445193E-2</v>
      </c>
      <c r="K34" s="11">
        <v>3816434.8641600003</v>
      </c>
      <c r="L34" s="11">
        <v>1373157.5356457597</v>
      </c>
      <c r="M34" s="15">
        <f>K34+L34</f>
        <v>5189592.39980576</v>
      </c>
      <c r="N34" s="16">
        <f>(D34*I34*12+E34*J34+F34*J34)-M34</f>
        <v>0</v>
      </c>
    </row>
    <row r="35" spans="2:16" x14ac:dyDescent="0.25">
      <c r="B35" s="8" t="s">
        <v>33</v>
      </c>
      <c r="C35" s="9" t="s">
        <v>13</v>
      </c>
      <c r="D35" s="10">
        <v>965</v>
      </c>
      <c r="E35" s="11">
        <v>25745817</v>
      </c>
      <c r="F35" s="11"/>
      <c r="G35" s="12">
        <f>K35/M35</f>
        <v>0.24217260308546776</v>
      </c>
      <c r="H35" s="12">
        <f>L35/M35</f>
        <v>0.75782739691453238</v>
      </c>
      <c r="I35" s="13">
        <f>K35/(D35*12)</f>
        <v>25.636775999999994</v>
      </c>
      <c r="J35" s="14">
        <f>L35/E35</f>
        <v>3.6083659999999997E-2</v>
      </c>
      <c r="K35" s="11">
        <v>296873.86607999995</v>
      </c>
      <c r="L35" s="11">
        <v>929003.30705021997</v>
      </c>
      <c r="M35" s="15">
        <f>K35+L35</f>
        <v>1225877.1731302198</v>
      </c>
      <c r="N35" s="16">
        <f>(D35*I35*12+E35*J35+F35*J35)-M35</f>
        <v>0</v>
      </c>
    </row>
    <row r="36" spans="2:16" x14ac:dyDescent="0.25">
      <c r="B36" s="8" t="s">
        <v>34</v>
      </c>
      <c r="C36" s="25" t="s">
        <v>13</v>
      </c>
      <c r="D36" s="26">
        <f>D34+D35</f>
        <v>8496</v>
      </c>
      <c r="E36" s="27">
        <f>E34+E35</f>
        <v>105791701</v>
      </c>
      <c r="F36" s="27"/>
      <c r="G36" s="28">
        <f>K36/M36</f>
        <v>0.64115474065877032</v>
      </c>
      <c r="H36" s="28">
        <f>L36/M36</f>
        <v>0.35884525934122963</v>
      </c>
      <c r="I36" s="29">
        <f>K36/(D36*12)</f>
        <v>40.345542316384183</v>
      </c>
      <c r="J36" s="30">
        <f>L36/E36</f>
        <v>2.1761261241994581E-2</v>
      </c>
      <c r="K36" s="27">
        <f>K34+K35</f>
        <v>4113308.7302400004</v>
      </c>
      <c r="L36" s="27">
        <f>L34+L35</f>
        <v>2302160.8426959794</v>
      </c>
      <c r="M36" s="31">
        <f>K36+L36</f>
        <v>6415469.5729359798</v>
      </c>
      <c r="N36" s="32">
        <f>(D36*I36*12+E36*J36+F36*J36)-M36</f>
        <v>0</v>
      </c>
    </row>
    <row r="37" spans="2:16" customFormat="1" ht="14.25" x14ac:dyDescent="0.25">
      <c r="B37" s="33"/>
      <c r="C37" s="34"/>
      <c r="D37" s="34"/>
      <c r="E37" s="34"/>
      <c r="F37" s="34"/>
      <c r="G37" s="34"/>
      <c r="H37" s="34"/>
      <c r="I37" s="34"/>
      <c r="J37" s="34"/>
      <c r="K37" s="34"/>
      <c r="L37" s="34"/>
      <c r="M37" s="34"/>
      <c r="N37" s="35"/>
    </row>
    <row r="38" spans="2:16" customFormat="1" ht="14.25" x14ac:dyDescent="0.25">
      <c r="B38" s="36"/>
      <c r="C38" s="37"/>
      <c r="D38" s="37"/>
      <c r="E38" s="37"/>
      <c r="F38" s="37"/>
      <c r="G38" s="37"/>
      <c r="H38" s="37"/>
      <c r="I38" s="37"/>
      <c r="J38" s="37"/>
      <c r="K38" s="37"/>
      <c r="L38" s="37"/>
      <c r="M38" s="37"/>
      <c r="N38" s="38"/>
    </row>
    <row r="39" spans="2:16" customFormat="1" thickBot="1" x14ac:dyDescent="0.3">
      <c r="B39" s="39" t="s">
        <v>25</v>
      </c>
      <c r="C39" s="40" t="s">
        <v>13</v>
      </c>
      <c r="D39" s="40">
        <v>3138</v>
      </c>
      <c r="E39" s="41">
        <v>7731414</v>
      </c>
      <c r="F39" s="18"/>
      <c r="G39" s="42">
        <f>K39/M39</f>
        <v>0.64089036401510091</v>
      </c>
      <c r="H39" s="42">
        <f>L39/M39</f>
        <v>0.35910963598489903</v>
      </c>
      <c r="I39" s="43">
        <f>K39/(D39*12)</f>
        <v>54.75</v>
      </c>
      <c r="J39" s="44">
        <f>L39/E39</f>
        <v>0.149417923370809</v>
      </c>
      <c r="K39" s="45">
        <v>2061666</v>
      </c>
      <c r="L39" s="45">
        <v>1155211.8245999999</v>
      </c>
      <c r="M39" s="46">
        <f>K39+L39</f>
        <v>3216877.8245999999</v>
      </c>
      <c r="N39" s="20">
        <f>(D39*I39*12+E39*J39+F39*J39)-M39</f>
        <v>0</v>
      </c>
    </row>
    <row r="40" spans="2:16" customFormat="1" ht="14.25" x14ac:dyDescent="0.25">
      <c r="B40" s="47"/>
      <c r="C40" s="48"/>
      <c r="D40" s="48"/>
      <c r="E40" s="49"/>
      <c r="F40" s="50"/>
      <c r="G40" s="51"/>
      <c r="H40" s="51"/>
      <c r="I40" s="52"/>
      <c r="J40" s="53"/>
      <c r="K40" s="54"/>
      <c r="L40" s="54"/>
      <c r="M40" s="55"/>
      <c r="N40" s="56"/>
    </row>
    <row r="41" spans="2:16" customFormat="1" ht="14.25" x14ac:dyDescent="0.25">
      <c r="B41" s="21"/>
      <c r="C41" s="21"/>
      <c r="D41" s="21"/>
      <c r="E41" s="21"/>
      <c r="F41" s="21"/>
      <c r="G41" s="21"/>
      <c r="H41" s="21"/>
      <c r="I41" s="21"/>
      <c r="J41" s="21"/>
      <c r="K41" s="21"/>
      <c r="L41" s="21"/>
      <c r="M41" s="21"/>
      <c r="N41" s="21"/>
    </row>
    <row r="42" spans="2:16" customFormat="1" ht="14.25" x14ac:dyDescent="0.25">
      <c r="B42" s="21"/>
      <c r="C42" s="21"/>
      <c r="D42" s="21"/>
      <c r="E42" s="21"/>
      <c r="F42" s="21"/>
      <c r="G42" s="21"/>
      <c r="H42" s="21"/>
      <c r="I42" s="21"/>
      <c r="J42" s="21"/>
      <c r="K42" s="21"/>
      <c r="L42" s="21"/>
      <c r="M42" s="21"/>
      <c r="N42" s="21"/>
    </row>
    <row r="43" spans="2:16" customFormat="1" thickBot="1" x14ac:dyDescent="0.3">
      <c r="B43" s="21"/>
      <c r="C43" s="21"/>
      <c r="D43" s="21"/>
      <c r="E43" s="21"/>
      <c r="F43" s="21"/>
      <c r="G43" s="21"/>
      <c r="H43" s="21"/>
      <c r="I43" s="21"/>
      <c r="J43" s="21"/>
      <c r="K43" s="21"/>
      <c r="L43" s="21"/>
      <c r="M43" s="21"/>
      <c r="N43" s="21"/>
    </row>
    <row r="44" spans="2:16" customFormat="1" ht="14.25" x14ac:dyDescent="0.25">
      <c r="B44" s="315" t="s">
        <v>35</v>
      </c>
      <c r="C44" s="316"/>
      <c r="D44" s="316"/>
      <c r="E44" s="316"/>
      <c r="F44" s="316"/>
      <c r="G44" s="316"/>
      <c r="H44" s="316"/>
      <c r="I44" s="316"/>
      <c r="J44" s="316"/>
      <c r="K44" s="316"/>
      <c r="L44" s="316"/>
      <c r="M44" s="316"/>
      <c r="N44" s="317"/>
    </row>
    <row r="45" spans="2:16" customFormat="1" ht="14.25" x14ac:dyDescent="0.25">
      <c r="B45" s="318" t="s">
        <v>4</v>
      </c>
      <c r="C45" s="319"/>
      <c r="D45" s="319"/>
      <c r="E45" s="319"/>
      <c r="F45" s="319"/>
      <c r="G45" s="319"/>
      <c r="H45" s="319"/>
      <c r="I45" s="319"/>
      <c r="J45" s="319"/>
      <c r="K45" s="319"/>
      <c r="L45" s="319"/>
      <c r="M45" s="319"/>
      <c r="N45" s="320"/>
    </row>
    <row r="46" spans="2:16" x14ac:dyDescent="0.25">
      <c r="B46" s="321" t="s">
        <v>6</v>
      </c>
      <c r="C46" s="323" t="s">
        <v>7</v>
      </c>
      <c r="D46" s="325" t="s">
        <v>8</v>
      </c>
      <c r="E46" s="327" t="s">
        <v>9</v>
      </c>
      <c r="F46" s="328"/>
      <c r="G46" s="327" t="s">
        <v>10</v>
      </c>
      <c r="H46" s="328"/>
      <c r="I46" s="327" t="s">
        <v>11</v>
      </c>
      <c r="J46" s="328"/>
      <c r="K46" s="327" t="s">
        <v>12</v>
      </c>
      <c r="L46" s="329"/>
      <c r="M46" s="329"/>
      <c r="N46" s="330"/>
    </row>
    <row r="47" spans="2:16" customFormat="1" ht="42.75" x14ac:dyDescent="0.2">
      <c r="B47" s="322"/>
      <c r="C47" s="324"/>
      <c r="D47" s="326"/>
      <c r="E47" s="5" t="s">
        <v>13</v>
      </c>
      <c r="F47" s="5" t="s">
        <v>14</v>
      </c>
      <c r="G47" s="6" t="s">
        <v>15</v>
      </c>
      <c r="H47" s="6" t="s">
        <v>16</v>
      </c>
      <c r="I47" s="6" t="s">
        <v>17</v>
      </c>
      <c r="J47" s="6" t="s">
        <v>18</v>
      </c>
      <c r="K47" s="6" t="s">
        <v>19</v>
      </c>
      <c r="L47" s="6" t="s">
        <v>20</v>
      </c>
      <c r="M47" s="6" t="s">
        <v>21</v>
      </c>
      <c r="N47" s="7" t="s">
        <v>22</v>
      </c>
    </row>
    <row r="48" spans="2:16" customFormat="1" ht="21" x14ac:dyDescent="0.55000000000000004">
      <c r="B48" s="8" t="s">
        <v>23</v>
      </c>
      <c r="C48" s="9" t="s">
        <v>13</v>
      </c>
      <c r="D48" s="10">
        <v>8496</v>
      </c>
      <c r="E48" s="11">
        <v>105791701</v>
      </c>
      <c r="F48" s="11"/>
      <c r="G48" s="12">
        <f>G36</f>
        <v>0.64115474065877032</v>
      </c>
      <c r="H48" s="12">
        <f>H36</f>
        <v>0.35884525934122963</v>
      </c>
      <c r="I48" s="57">
        <f>K48/(D48*12)</f>
        <v>102.45124498745115</v>
      </c>
      <c r="J48" s="58">
        <f>L48/E48</f>
        <v>5.5259346602812502E-2</v>
      </c>
      <c r="K48" s="11">
        <f>G48*M48</f>
        <v>10445109.32896062</v>
      </c>
      <c r="L48" s="11">
        <f>H48*M48</f>
        <v>5845980.2732601063</v>
      </c>
      <c r="M48" s="15">
        <f>E23</f>
        <v>16291089.602220727</v>
      </c>
      <c r="N48" s="16">
        <f>(D48*I48*12+E48*J48+F48*J48)-M48</f>
        <v>0</v>
      </c>
      <c r="P48" s="59"/>
    </row>
    <row r="49" spans="2:16" customFormat="1" ht="21" x14ac:dyDescent="0.55000000000000004">
      <c r="B49" s="8" t="s">
        <v>24</v>
      </c>
      <c r="C49" s="9" t="s">
        <v>14</v>
      </c>
      <c r="D49" s="10">
        <v>50</v>
      </c>
      <c r="E49" s="11"/>
      <c r="F49" s="11">
        <v>198901</v>
      </c>
      <c r="G49" s="12">
        <f>G12</f>
        <v>0.1200968956263495</v>
      </c>
      <c r="H49" s="12">
        <f>H12</f>
        <v>0.87990310437365049</v>
      </c>
      <c r="I49" s="57">
        <f t="shared" ref="I49:I51" si="5">K49/(D49*12)</f>
        <v>803.25779867520134</v>
      </c>
      <c r="J49" s="58">
        <f>L49/F49</f>
        <v>17.753022476950761</v>
      </c>
      <c r="K49" s="11">
        <f>G49*M49</f>
        <v>481954.67920512083</v>
      </c>
      <c r="L49" s="11">
        <f>H49*M49</f>
        <v>3531093.9236879833</v>
      </c>
      <c r="M49" s="15">
        <f>E24</f>
        <v>4013048.6028931043</v>
      </c>
      <c r="N49" s="16">
        <f t="shared" ref="N49:N51" si="6">(D49*I49*12+E49*J49+F49*J49)-M49</f>
        <v>0</v>
      </c>
      <c r="P49" s="59"/>
    </row>
    <row r="50" spans="2:16" customFormat="1" ht="21" x14ac:dyDescent="0.55000000000000004">
      <c r="B50" s="8" t="s">
        <v>25</v>
      </c>
      <c r="C50" s="9" t="s">
        <v>13</v>
      </c>
      <c r="D50" s="10">
        <v>3138</v>
      </c>
      <c r="E50" s="11">
        <v>7731414</v>
      </c>
      <c r="F50" s="11"/>
      <c r="G50" s="12">
        <f>G39</f>
        <v>0.64089036401510091</v>
      </c>
      <c r="H50" s="12">
        <f>H39</f>
        <v>0.35910963598489903</v>
      </c>
      <c r="I50" s="57">
        <f t="shared" si="5"/>
        <v>54.753827365778783</v>
      </c>
      <c r="J50" s="58">
        <f t="shared" ref="J50:J51" si="7">L50/E50</f>
        <v>0.14942836861367012</v>
      </c>
      <c r="K50" s="11">
        <f>G50*M50</f>
        <v>2061810.1232857658</v>
      </c>
      <c r="L50" s="11">
        <f>H50*M50</f>
        <v>1155292.5810968897</v>
      </c>
      <c r="M50" s="15">
        <f>E25</f>
        <v>3217102.7043826557</v>
      </c>
      <c r="N50" s="16">
        <f t="shared" si="6"/>
        <v>0</v>
      </c>
      <c r="P50" s="59"/>
    </row>
    <row r="51" spans="2:16" customFormat="1" ht="21" x14ac:dyDescent="0.55000000000000004">
      <c r="B51" s="8" t="s">
        <v>26</v>
      </c>
      <c r="C51" s="9" t="s">
        <v>13</v>
      </c>
      <c r="D51" s="10">
        <v>1018</v>
      </c>
      <c r="E51" s="11">
        <v>804705</v>
      </c>
      <c r="F51" s="11"/>
      <c r="G51" s="12">
        <f>G14</f>
        <v>8.5999999999999993E-2</v>
      </c>
      <c r="H51" s="12">
        <f>H14</f>
        <v>0.91400000000000003</v>
      </c>
      <c r="I51" s="57">
        <f t="shared" si="5"/>
        <v>2.0514472965576078</v>
      </c>
      <c r="J51" s="58">
        <f t="shared" si="7"/>
        <v>0.33097899489845461</v>
      </c>
      <c r="K51" s="11">
        <f>G51*M51</f>
        <v>25060.48017474774</v>
      </c>
      <c r="L51" s="11">
        <f>H51*M51</f>
        <v>266340.45208976092</v>
      </c>
      <c r="M51" s="15">
        <f>E26</f>
        <v>291400.93226450862</v>
      </c>
      <c r="N51" s="16">
        <f t="shared" si="6"/>
        <v>0</v>
      </c>
      <c r="P51" s="59"/>
    </row>
    <row r="52" spans="2:16" customFormat="1" ht="15" customHeight="1" thickBot="1" x14ac:dyDescent="0.3">
      <c r="B52" s="17"/>
      <c r="C52" s="18"/>
      <c r="D52" s="18"/>
      <c r="E52" s="18"/>
      <c r="F52" s="18"/>
      <c r="G52" s="18"/>
      <c r="H52" s="18"/>
      <c r="I52" s="18"/>
      <c r="J52" s="18"/>
      <c r="K52" s="19">
        <f>SUM(K48:K51)</f>
        <v>13013934.611626254</v>
      </c>
      <c r="L52" s="19">
        <f>SUM(L48:L51)</f>
        <v>10798707.230134739</v>
      </c>
      <c r="M52" s="19">
        <f>SUM(M48:M51)</f>
        <v>23812641.841760993</v>
      </c>
      <c r="N52" s="20">
        <f>SUM(N48:N51)</f>
        <v>0</v>
      </c>
    </row>
    <row r="53" spans="2:16" customFormat="1" ht="14.25" x14ac:dyDescent="0.25">
      <c r="B53" s="21"/>
      <c r="C53" s="21"/>
      <c r="D53" s="21"/>
      <c r="E53" s="21"/>
      <c r="F53" s="21"/>
      <c r="G53" s="21"/>
      <c r="H53" s="21"/>
      <c r="I53" s="21"/>
      <c r="J53" s="21"/>
      <c r="K53" s="21"/>
      <c r="L53" s="21"/>
      <c r="M53" s="21"/>
      <c r="N53" s="21"/>
    </row>
    <row r="54" spans="2:16" customFormat="1" ht="14.25" x14ac:dyDescent="0.25">
      <c r="B54" s="2"/>
      <c r="C54" s="21"/>
      <c r="D54" s="21"/>
      <c r="E54" s="21"/>
      <c r="F54" s="21"/>
      <c r="G54" s="21"/>
      <c r="H54" s="21"/>
      <c r="I54" s="21"/>
      <c r="J54" s="21"/>
      <c r="K54" s="21"/>
      <c r="L54" s="21" t="s">
        <v>36</v>
      </c>
      <c r="M54" s="60">
        <f>M52-E27</f>
        <v>0</v>
      </c>
      <c r="N54" s="21"/>
    </row>
    <row r="55" spans="2:16" customFormat="1" x14ac:dyDescent="0.25">
      <c r="B55" s="1"/>
      <c r="I55" s="61"/>
      <c r="J55" s="61"/>
      <c r="M55" s="62"/>
    </row>
    <row r="56" spans="2:16" customFormat="1" ht="12.75" x14ac:dyDescent="0.2"/>
    <row r="57" spans="2:16" customFormat="1" ht="12.75" x14ac:dyDescent="0.2"/>
    <row r="58" spans="2:16" customFormat="1" ht="12.75" x14ac:dyDescent="0.2"/>
    <row r="59" spans="2:16" customFormat="1" ht="12.75" x14ac:dyDescent="0.2"/>
    <row r="60" spans="2:16" customFormat="1" ht="12.75" x14ac:dyDescent="0.2"/>
    <row r="61" spans="2:16" customFormat="1" ht="12.75" x14ac:dyDescent="0.2"/>
    <row r="62" spans="2:16" customFormat="1" ht="12.75" x14ac:dyDescent="0.2"/>
    <row r="63" spans="2:16" customFormat="1" ht="12.75" x14ac:dyDescent="0.2"/>
    <row r="64" spans="2:16" customFormat="1" ht="12.75" x14ac:dyDescent="0.2"/>
    <row r="65" spans="2:12" x14ac:dyDescent="0.25">
      <c r="B65"/>
      <c r="C65"/>
      <c r="D65"/>
      <c r="E65"/>
      <c r="F65"/>
      <c r="G65"/>
      <c r="H65"/>
      <c r="I65"/>
      <c r="J65"/>
      <c r="K65" s="63"/>
      <c r="L65" s="64"/>
    </row>
    <row r="71" spans="2:12" x14ac:dyDescent="0.25">
      <c r="D71" s="1" t="s">
        <v>37</v>
      </c>
    </row>
  </sheetData>
  <mergeCells count="37">
    <mergeCell ref="B8:N8"/>
    <mergeCell ref="B1:N1"/>
    <mergeCell ref="B2:N2"/>
    <mergeCell ref="B4:N4"/>
    <mergeCell ref="B6:N6"/>
    <mergeCell ref="B7:N7"/>
    <mergeCell ref="K9:N9"/>
    <mergeCell ref="B17:N17"/>
    <mergeCell ref="B19:E19"/>
    <mergeCell ref="G19:N21"/>
    <mergeCell ref="B20:E20"/>
    <mergeCell ref="B21:B22"/>
    <mergeCell ref="C21:E21"/>
    <mergeCell ref="B9:B10"/>
    <mergeCell ref="C9:C10"/>
    <mergeCell ref="D9:D10"/>
    <mergeCell ref="E9:F9"/>
    <mergeCell ref="G9:H9"/>
    <mergeCell ref="I9:J9"/>
    <mergeCell ref="B30:N30"/>
    <mergeCell ref="B31:N31"/>
    <mergeCell ref="B32:B33"/>
    <mergeCell ref="C32:C33"/>
    <mergeCell ref="D32:D33"/>
    <mergeCell ref="E32:F32"/>
    <mergeCell ref="G32:H32"/>
    <mergeCell ref="I32:J32"/>
    <mergeCell ref="K32:N32"/>
    <mergeCell ref="B44:N44"/>
    <mergeCell ref="B45:N45"/>
    <mergeCell ref="B46:B47"/>
    <mergeCell ref="C46:C47"/>
    <mergeCell ref="D46:D47"/>
    <mergeCell ref="E46:F46"/>
    <mergeCell ref="G46:H46"/>
    <mergeCell ref="I46:J46"/>
    <mergeCell ref="K46:N46"/>
  </mergeCells>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B350-AA87-42FA-A369-0D0E08E12AA2}">
  <sheetPr codeName="Sheet254">
    <pageSetUpPr fitToPage="1"/>
  </sheetPr>
  <dimension ref="A1:L79"/>
  <sheetViews>
    <sheetView showGridLines="0" topLeftCell="A9" zoomScaleNormal="100" workbookViewId="0">
      <selection activeCell="G49" sqref="G49"/>
    </sheetView>
  </sheetViews>
  <sheetFormatPr defaultColWidth="9.140625" defaultRowHeight="15" x14ac:dyDescent="0.25"/>
  <cols>
    <col min="1" max="1" width="20.85546875" style="21" customWidth="1"/>
    <col min="2" max="4" width="15.7109375" style="21" customWidth="1"/>
    <col min="5" max="5" width="3.5703125" style="50" hidden="1" customWidth="1"/>
    <col min="6" max="8" width="15.7109375" style="21" customWidth="1"/>
    <col min="9" max="9" width="3.5703125" style="21" customWidth="1"/>
    <col min="10" max="10" width="16.7109375" style="67" customWidth="1"/>
    <col min="11" max="12" width="16.7109375" style="71" customWidth="1"/>
    <col min="13" max="16384" width="9.140625" style="71"/>
  </cols>
  <sheetData>
    <row r="1" spans="1:12" s="68" customFormat="1" ht="12" hidden="1" customHeight="1" x14ac:dyDescent="0.25">
      <c r="A1" s="65"/>
      <c r="B1" s="21"/>
      <c r="C1" s="21"/>
      <c r="D1" s="21"/>
      <c r="E1" s="50"/>
      <c r="F1" s="21"/>
      <c r="G1" s="47"/>
      <c r="H1" s="66"/>
      <c r="I1" s="21"/>
      <c r="J1" s="67"/>
    </row>
    <row r="2" spans="1:12" s="68" customFormat="1" ht="14.25" hidden="1" x14ac:dyDescent="0.25">
      <c r="A2" s="67"/>
      <c r="B2" s="21"/>
      <c r="C2" s="21"/>
      <c r="D2" s="21"/>
      <c r="E2" s="50"/>
      <c r="F2" s="21"/>
      <c r="G2" s="47"/>
      <c r="H2" s="66"/>
      <c r="I2" s="21"/>
      <c r="J2" s="67"/>
    </row>
    <row r="3" spans="1:12" s="68" customFormat="1" ht="14.25" hidden="1" x14ac:dyDescent="0.25">
      <c r="A3" s="67"/>
      <c r="B3" s="21"/>
      <c r="C3" s="21"/>
      <c r="D3" s="21"/>
      <c r="E3" s="50"/>
      <c r="F3" s="21"/>
      <c r="G3" s="47"/>
      <c r="H3" s="66"/>
      <c r="I3" s="21"/>
      <c r="J3" s="67"/>
    </row>
    <row r="4" spans="1:12" s="68" customFormat="1" ht="14.25" hidden="1" x14ac:dyDescent="0.25">
      <c r="A4" s="67"/>
      <c r="B4" s="21"/>
      <c r="C4" s="21"/>
      <c r="D4" s="21"/>
      <c r="E4" s="50"/>
      <c r="F4" s="21"/>
      <c r="G4" s="47"/>
      <c r="H4" s="66"/>
      <c r="I4" s="21"/>
      <c r="J4" s="67"/>
    </row>
    <row r="5" spans="1:12" s="68" customFormat="1" ht="14.25" hidden="1" x14ac:dyDescent="0.25">
      <c r="A5" s="67"/>
      <c r="B5" s="21"/>
      <c r="C5" s="21"/>
      <c r="D5" s="21"/>
      <c r="E5" s="50"/>
      <c r="F5" s="21"/>
      <c r="G5" s="47"/>
      <c r="H5" s="66"/>
      <c r="I5" s="21"/>
      <c r="J5" s="67"/>
    </row>
    <row r="6" spans="1:12" s="68" customFormat="1" ht="9" hidden="1" customHeight="1" x14ac:dyDescent="0.25">
      <c r="A6" s="67"/>
      <c r="B6" s="21"/>
      <c r="C6" s="21"/>
      <c r="D6" s="21"/>
      <c r="E6" s="50"/>
      <c r="F6" s="21"/>
      <c r="G6" s="47"/>
      <c r="H6" s="69"/>
      <c r="I6" s="21"/>
      <c r="J6" s="67"/>
    </row>
    <row r="7" spans="1:12" s="68" customFormat="1" ht="14.25" hidden="1" x14ac:dyDescent="0.25">
      <c r="A7" s="67"/>
      <c r="B7" s="21"/>
      <c r="C7" s="21"/>
      <c r="D7" s="21"/>
      <c r="E7" s="50"/>
      <c r="F7" s="21"/>
      <c r="G7" s="47"/>
      <c r="H7" s="66"/>
      <c r="I7" s="21"/>
      <c r="J7" s="67"/>
    </row>
    <row r="8" spans="1:12" s="68" customFormat="1" ht="9" hidden="1" customHeight="1" x14ac:dyDescent="0.25">
      <c r="A8" s="67"/>
      <c r="B8" s="21"/>
      <c r="C8" s="21"/>
      <c r="D8" s="21"/>
      <c r="E8" s="50"/>
      <c r="F8" s="21"/>
      <c r="G8" s="50"/>
      <c r="H8" s="21"/>
      <c r="I8" s="21"/>
      <c r="J8" s="67"/>
    </row>
    <row r="9" spans="1:12" x14ac:dyDescent="0.25">
      <c r="A9" s="346" t="s">
        <v>0</v>
      </c>
      <c r="B9" s="346"/>
      <c r="C9" s="346"/>
      <c r="D9" s="346"/>
      <c r="E9" s="346"/>
      <c r="F9" s="346"/>
      <c r="G9" s="346"/>
      <c r="H9" s="346"/>
      <c r="I9" s="70"/>
      <c r="J9" s="70"/>
    </row>
    <row r="10" spans="1:12" x14ac:dyDescent="0.25">
      <c r="A10" s="346" t="s">
        <v>38</v>
      </c>
      <c r="B10" s="346"/>
      <c r="C10" s="346"/>
      <c r="D10" s="346"/>
      <c r="E10" s="346"/>
      <c r="F10" s="346"/>
      <c r="G10" s="346"/>
      <c r="H10" s="346"/>
      <c r="I10" s="70"/>
      <c r="J10" s="70"/>
    </row>
    <row r="12" spans="1:12" x14ac:dyDescent="0.25">
      <c r="A12" s="72" t="s">
        <v>39</v>
      </c>
    </row>
    <row r="13" spans="1:12" x14ac:dyDescent="0.25">
      <c r="B13" s="348" t="s">
        <v>40</v>
      </c>
      <c r="C13" s="348"/>
      <c r="D13" s="348"/>
      <c r="F13" s="73"/>
      <c r="G13" s="74" t="s">
        <v>41</v>
      </c>
      <c r="H13" s="75"/>
      <c r="J13" s="21"/>
      <c r="K13"/>
      <c r="L13"/>
    </row>
    <row r="14" spans="1:12" ht="12.75" customHeight="1" x14ac:dyDescent="0.25">
      <c r="A14" s="76" t="s">
        <v>42</v>
      </c>
      <c r="B14" s="77" t="s">
        <v>43</v>
      </c>
      <c r="C14" s="77" t="s">
        <v>44</v>
      </c>
      <c r="D14" s="78" t="s">
        <v>45</v>
      </c>
      <c r="F14" s="77" t="s">
        <v>43</v>
      </c>
      <c r="G14" s="77" t="s">
        <v>44</v>
      </c>
      <c r="H14" s="78" t="s">
        <v>45</v>
      </c>
      <c r="J14" s="21"/>
      <c r="K14"/>
      <c r="L14"/>
    </row>
    <row r="15" spans="1:12" ht="12.75" customHeight="1" x14ac:dyDescent="0.25">
      <c r="A15" s="79" t="s">
        <v>169</v>
      </c>
      <c r="B15" s="80">
        <f>'3. Revenue at Curr,Prop Rates'!B26</f>
        <v>102.45124498745115</v>
      </c>
      <c r="C15" s="81">
        <f>'1. 2019 Equivalent Rates'!G48</f>
        <v>0.64115474065877032</v>
      </c>
      <c r="D15" s="81">
        <f>1-C15</f>
        <v>0.35884525934122968</v>
      </c>
      <c r="F15" s="82">
        <v>103.55718615752301</v>
      </c>
      <c r="G15" s="81">
        <f>C15</f>
        <v>0.64115474065877032</v>
      </c>
      <c r="H15" s="81">
        <f>1-G15</f>
        <v>0.35884525934122968</v>
      </c>
      <c r="J15" s="21"/>
      <c r="K15"/>
      <c r="L15"/>
    </row>
    <row r="16" spans="1:12" ht="12.75" customHeight="1" x14ac:dyDescent="0.25">
      <c r="A16" s="79" t="s">
        <v>170</v>
      </c>
      <c r="B16" s="80">
        <f>'3. Revenue at Curr,Prop Rates'!B27</f>
        <v>803.25779867520134</v>
      </c>
      <c r="C16" s="81">
        <f>'1. 2019 Equivalent Rates'!G49</f>
        <v>0.1200968956263495</v>
      </c>
      <c r="D16" s="81">
        <f t="shared" ref="D16:D18" si="0">1-C16</f>
        <v>0.87990310437365049</v>
      </c>
      <c r="F16" s="82">
        <v>1265.7048406092961</v>
      </c>
      <c r="G16" s="81">
        <f>C16</f>
        <v>0.1200968956263495</v>
      </c>
      <c r="H16" s="81">
        <f>1-G16</f>
        <v>0.87990310437365049</v>
      </c>
      <c r="J16" s="21"/>
      <c r="K16"/>
      <c r="L16"/>
    </row>
    <row r="17" spans="1:12" ht="12.75" customHeight="1" x14ac:dyDescent="0.25">
      <c r="A17" s="79" t="s">
        <v>25</v>
      </c>
      <c r="B17" s="80">
        <f>'3. Revenue at Curr,Prop Rates'!B28</f>
        <v>54.753827365778783</v>
      </c>
      <c r="C17" s="81">
        <f>'3. Revenue at Curr,Prop Rates'!G28</f>
        <v>0.68903026749887919</v>
      </c>
      <c r="D17" s="81">
        <f t="shared" si="0"/>
        <v>0.31096973250112081</v>
      </c>
      <c r="F17" s="82">
        <v>55.759097403312175</v>
      </c>
      <c r="G17" s="81">
        <f>C17</f>
        <v>0.68903026749887919</v>
      </c>
      <c r="H17" s="81">
        <f>1-G17</f>
        <v>0.31096973250112081</v>
      </c>
      <c r="J17" s="21"/>
      <c r="K17"/>
      <c r="L17"/>
    </row>
    <row r="18" spans="1:12" ht="12.75" customHeight="1" x14ac:dyDescent="0.25">
      <c r="A18" s="79" t="s">
        <v>26</v>
      </c>
      <c r="B18" s="80">
        <f>'3. Revenue at Curr,Prop Rates'!B29</f>
        <v>2.0514472965576078</v>
      </c>
      <c r="C18" s="81">
        <f>'3. Revenue at Curr,Prop Rates'!G29</f>
        <v>0.12612282997228558</v>
      </c>
      <c r="D18" s="81">
        <f t="shared" si="0"/>
        <v>0.87387717002771437</v>
      </c>
      <c r="F18" s="82">
        <v>1.8868462386505216</v>
      </c>
      <c r="G18" s="81">
        <f>C18</f>
        <v>0.12612282997228558</v>
      </c>
      <c r="H18" s="81">
        <f>1-G18</f>
        <v>0.87387717002771437</v>
      </c>
      <c r="J18" s="21"/>
      <c r="K18"/>
      <c r="L18"/>
    </row>
    <row r="19" spans="1:12" ht="12.75" hidden="1" customHeight="1" x14ac:dyDescent="0.25">
      <c r="A19" s="79" t="s">
        <v>88</v>
      </c>
      <c r="B19" s="80"/>
      <c r="C19" s="81" t="s">
        <v>46</v>
      </c>
      <c r="D19" s="81" t="s">
        <v>46</v>
      </c>
      <c r="F19" s="82"/>
      <c r="G19" s="81"/>
      <c r="H19" s="81"/>
      <c r="J19" s="21"/>
      <c r="K19"/>
      <c r="L19"/>
    </row>
    <row r="20" spans="1:12" ht="12.75" hidden="1" customHeight="1" x14ac:dyDescent="0.25">
      <c r="A20" s="79" t="s">
        <v>88</v>
      </c>
      <c r="B20" s="80"/>
      <c r="C20" s="81" t="s">
        <v>46</v>
      </c>
      <c r="D20" s="81" t="s">
        <v>46</v>
      </c>
      <c r="F20" s="82"/>
      <c r="G20" s="81"/>
      <c r="H20" s="81"/>
      <c r="J20" s="21"/>
      <c r="K20"/>
      <c r="L20"/>
    </row>
    <row r="21" spans="1:12" ht="12.75" hidden="1" customHeight="1" x14ac:dyDescent="0.25">
      <c r="A21" s="79" t="s">
        <v>88</v>
      </c>
      <c r="B21" s="80"/>
      <c r="C21" s="81"/>
      <c r="D21" s="81"/>
      <c r="F21" s="80"/>
      <c r="G21" s="81"/>
      <c r="H21" s="81"/>
      <c r="J21" s="21"/>
      <c r="K21"/>
      <c r="L21"/>
    </row>
    <row r="22" spans="1:12" ht="12.75" hidden="1" customHeight="1" x14ac:dyDescent="0.25">
      <c r="A22" s="79" t="s">
        <v>88</v>
      </c>
      <c r="B22" s="80"/>
      <c r="C22" s="81"/>
      <c r="D22" s="81"/>
      <c r="F22" s="80"/>
      <c r="G22" s="81"/>
      <c r="H22" s="81"/>
      <c r="J22" s="21"/>
      <c r="K22"/>
      <c r="L22"/>
    </row>
    <row r="23" spans="1:12" ht="12.75" hidden="1" customHeight="1" x14ac:dyDescent="0.25">
      <c r="A23" s="79" t="s">
        <v>88</v>
      </c>
      <c r="B23" s="80"/>
      <c r="C23" s="81"/>
      <c r="D23" s="81"/>
      <c r="F23" s="80"/>
      <c r="G23" s="81"/>
      <c r="H23" s="81"/>
      <c r="J23" s="21"/>
      <c r="K23"/>
      <c r="L23"/>
    </row>
    <row r="24" spans="1:12" ht="12.75" customHeight="1" x14ac:dyDescent="0.25">
      <c r="A24" s="79" t="s">
        <v>47</v>
      </c>
      <c r="B24" s="83"/>
      <c r="C24" s="84"/>
      <c r="D24" s="84"/>
      <c r="F24" s="85"/>
      <c r="G24" s="86"/>
      <c r="H24" s="86"/>
      <c r="J24" s="21"/>
      <c r="K24"/>
      <c r="L24"/>
    </row>
    <row r="27" spans="1:12" s="68" customFormat="1" ht="14.25" x14ac:dyDescent="0.25">
      <c r="A27" s="72" t="s">
        <v>48</v>
      </c>
      <c r="B27" s="87"/>
      <c r="C27" s="88"/>
      <c r="D27" s="88"/>
      <c r="E27" s="88"/>
      <c r="F27" s="89"/>
      <c r="G27" s="90"/>
      <c r="H27" s="90"/>
      <c r="I27" s="21"/>
      <c r="J27" s="67"/>
    </row>
    <row r="28" spans="1:12" s="68" customFormat="1" ht="17.25" customHeight="1" x14ac:dyDescent="0.25">
      <c r="A28" s="91"/>
      <c r="B28" s="74"/>
      <c r="C28" s="74" t="s">
        <v>49</v>
      </c>
      <c r="D28" s="92"/>
      <c r="E28" s="93"/>
      <c r="F28" s="94"/>
      <c r="G28" s="74" t="s">
        <v>50</v>
      </c>
      <c r="H28" s="94"/>
      <c r="I28" s="21"/>
      <c r="J28" s="95" t="s">
        <v>51</v>
      </c>
    </row>
    <row r="29" spans="1:12" s="68" customFormat="1" ht="14.25" x14ac:dyDescent="0.25">
      <c r="A29" s="96" t="s">
        <v>42</v>
      </c>
      <c r="B29" s="77" t="s">
        <v>43</v>
      </c>
      <c r="C29" s="77" t="s">
        <v>44</v>
      </c>
      <c r="D29" s="78" t="s">
        <v>45</v>
      </c>
      <c r="E29" s="97"/>
      <c r="F29" s="77" t="s">
        <v>43</v>
      </c>
      <c r="G29" s="77" t="s">
        <v>44</v>
      </c>
      <c r="H29" s="78" t="s">
        <v>45</v>
      </c>
      <c r="I29" s="21"/>
      <c r="J29" s="34"/>
    </row>
    <row r="30" spans="1:12" s="68" customFormat="1" ht="14.25" x14ac:dyDescent="0.25">
      <c r="A30" s="98" t="str">
        <f>A15</f>
        <v>Residential R1</v>
      </c>
      <c r="B30" s="83">
        <v>12.38554368641261</v>
      </c>
      <c r="C30" s="81">
        <v>7.6682752253430769E-2</v>
      </c>
      <c r="D30" s="81">
        <v>0.9233172477465692</v>
      </c>
      <c r="E30" s="99"/>
      <c r="F30" s="83">
        <v>102.45124498745115</v>
      </c>
      <c r="G30" s="81">
        <v>0.63430751498190918</v>
      </c>
      <c r="H30" s="81">
        <v>0.36569248501809082</v>
      </c>
      <c r="I30" s="21"/>
      <c r="J30" s="100">
        <v>92.714849395273006</v>
      </c>
    </row>
    <row r="31" spans="1:12" s="68" customFormat="1" ht="14.25" x14ac:dyDescent="0.25">
      <c r="A31" s="98" t="str">
        <f t="shared" ref="A31:A38" si="1">A16</f>
        <v>Residential R2</v>
      </c>
      <c r="B31" s="83">
        <v>302.23635821327281</v>
      </c>
      <c r="C31" s="81">
        <v>2.8677814291485308E-2</v>
      </c>
      <c r="D31" s="81">
        <v>0.9713221857085147</v>
      </c>
      <c r="E31" s="99"/>
      <c r="F31" s="83">
        <v>803.25779867520134</v>
      </c>
      <c r="G31" s="81">
        <v>7.6217428355656702E-2</v>
      </c>
      <c r="H31" s="81">
        <v>0.9237825716443433</v>
      </c>
      <c r="I31" s="21"/>
      <c r="J31" s="100">
        <v>604.45993123075129</v>
      </c>
    </row>
    <row r="32" spans="1:12" s="68" customFormat="1" ht="14.25" x14ac:dyDescent="0.25">
      <c r="A32" s="98" t="str">
        <f t="shared" si="1"/>
        <v>Seasonal</v>
      </c>
      <c r="B32" s="83">
        <v>10.446091436344053</v>
      </c>
      <c r="C32" s="81">
        <v>0.12908518092823973</v>
      </c>
      <c r="D32" s="81">
        <v>0.87091481907176027</v>
      </c>
      <c r="E32" s="101"/>
      <c r="F32" s="83">
        <v>87.202870984516082</v>
      </c>
      <c r="G32" s="81">
        <v>1.07758949336153</v>
      </c>
      <c r="H32" s="81">
        <v>-7.7589493361529982E-2</v>
      </c>
      <c r="I32" s="21"/>
      <c r="J32" s="100">
        <v>87.202870984516082</v>
      </c>
    </row>
    <row r="33" spans="1:11" s="68" customFormat="1" ht="14.25" x14ac:dyDescent="0.25">
      <c r="A33" s="98" t="str">
        <f t="shared" si="1"/>
        <v>Street Lighting</v>
      </c>
      <c r="B33" s="83">
        <v>0.74630893217138539</v>
      </c>
      <c r="C33" s="81">
        <v>4.9885673051116922E-2</v>
      </c>
      <c r="D33" s="81">
        <v>0.95011432694888309</v>
      </c>
      <c r="E33" s="101"/>
      <c r="F33" s="83">
        <v>12.488921808932441</v>
      </c>
      <c r="G33" s="81">
        <v>0.83479942858073031</v>
      </c>
      <c r="H33" s="81">
        <v>0.16520057141926969</v>
      </c>
      <c r="I33" s="21"/>
      <c r="J33" s="100">
        <v>12.488921808932441</v>
      </c>
    </row>
    <row r="34" spans="1:11" s="68" customFormat="1" ht="14.25" hidden="1" x14ac:dyDescent="0.25">
      <c r="A34" s="98" t="str">
        <f t="shared" si="1"/>
        <v>other</v>
      </c>
      <c r="B34" s="83"/>
      <c r="C34" s="81"/>
      <c r="D34" s="81"/>
      <c r="E34" s="99"/>
      <c r="F34" s="83"/>
      <c r="G34" s="81"/>
      <c r="H34" s="81"/>
      <c r="I34" s="21"/>
      <c r="J34" s="100"/>
    </row>
    <row r="35" spans="1:11" s="68" customFormat="1" ht="14.25" hidden="1" x14ac:dyDescent="0.25">
      <c r="A35" s="98" t="str">
        <f t="shared" si="1"/>
        <v>other</v>
      </c>
      <c r="B35" s="83"/>
      <c r="C35" s="81"/>
      <c r="D35" s="81"/>
      <c r="E35" s="99"/>
      <c r="F35" s="83"/>
      <c r="G35" s="81"/>
      <c r="H35" s="81"/>
      <c r="I35" s="21"/>
      <c r="J35" s="100"/>
    </row>
    <row r="36" spans="1:11" s="68" customFormat="1" ht="14.25" hidden="1" x14ac:dyDescent="0.25">
      <c r="A36" s="98" t="str">
        <f t="shared" si="1"/>
        <v>other</v>
      </c>
      <c r="B36" s="83"/>
      <c r="C36" s="81"/>
      <c r="D36" s="81"/>
      <c r="E36" s="99"/>
      <c r="F36" s="83"/>
      <c r="G36" s="81"/>
      <c r="H36" s="81"/>
      <c r="I36" s="21"/>
      <c r="J36" s="100"/>
    </row>
    <row r="37" spans="1:11" s="68" customFormat="1" ht="14.25" hidden="1" x14ac:dyDescent="0.25">
      <c r="A37" s="98" t="str">
        <f t="shared" si="1"/>
        <v>other</v>
      </c>
      <c r="B37" s="83"/>
      <c r="C37" s="81"/>
      <c r="D37" s="81"/>
      <c r="E37" s="99"/>
      <c r="F37" s="83"/>
      <c r="G37" s="81"/>
      <c r="H37" s="81"/>
      <c r="I37" s="21"/>
      <c r="J37" s="100"/>
    </row>
    <row r="38" spans="1:11" s="68" customFormat="1" ht="14.25" hidden="1" x14ac:dyDescent="0.25">
      <c r="A38" s="98" t="str">
        <f t="shared" si="1"/>
        <v>other</v>
      </c>
      <c r="B38" s="83"/>
      <c r="C38" s="81"/>
      <c r="D38" s="81"/>
      <c r="E38" s="99"/>
      <c r="F38" s="83"/>
      <c r="G38" s="81"/>
      <c r="H38" s="81"/>
      <c r="I38" s="21"/>
      <c r="J38" s="100"/>
    </row>
    <row r="39" spans="1:11" s="68" customFormat="1" ht="14.25" x14ac:dyDescent="0.25">
      <c r="A39" s="98" t="s">
        <v>47</v>
      </c>
      <c r="B39" s="83"/>
      <c r="C39" s="84"/>
      <c r="D39" s="84"/>
      <c r="E39" s="99"/>
      <c r="F39" s="83"/>
      <c r="G39" s="84"/>
      <c r="H39" s="84"/>
      <c r="I39" s="21"/>
      <c r="J39" s="102"/>
    </row>
    <row r="40" spans="1:11" s="68" customFormat="1" ht="14.25" x14ac:dyDescent="0.25">
      <c r="A40" s="103"/>
      <c r="B40" s="87"/>
      <c r="C40" s="88"/>
      <c r="D40" s="88"/>
      <c r="E40" s="88"/>
      <c r="F40" s="89"/>
      <c r="G40" s="90"/>
      <c r="H40" s="90"/>
      <c r="I40" s="21"/>
      <c r="J40" s="67"/>
    </row>
    <row r="41" spans="1:11" s="68" customFormat="1" ht="14.25" x14ac:dyDescent="0.25">
      <c r="A41" s="21"/>
      <c r="B41" s="21"/>
      <c r="C41" s="21"/>
      <c r="D41" s="21"/>
      <c r="E41" s="21"/>
      <c r="F41" s="21"/>
      <c r="G41" s="21"/>
      <c r="H41" s="21"/>
      <c r="I41" s="21"/>
      <c r="J41" s="67"/>
    </row>
    <row r="42" spans="1:11" s="68" customFormat="1" ht="14.25" x14ac:dyDescent="0.25">
      <c r="A42" s="104"/>
      <c r="B42" s="105"/>
      <c r="C42" s="105"/>
      <c r="D42" s="105"/>
      <c r="E42" s="105"/>
      <c r="F42" s="105"/>
      <c r="G42" s="105"/>
      <c r="H42" s="105"/>
      <c r="I42" s="105"/>
      <c r="J42" s="67"/>
    </row>
    <row r="43" spans="1:11" s="68" customFormat="1" ht="14.25" x14ac:dyDescent="0.25">
      <c r="A43" s="72" t="s">
        <v>52</v>
      </c>
      <c r="B43" s="105"/>
      <c r="C43" s="105"/>
      <c r="D43" s="105"/>
      <c r="E43" s="105"/>
      <c r="F43" s="105"/>
      <c r="G43" s="105"/>
      <c r="H43" s="105"/>
      <c r="I43" s="105"/>
      <c r="J43" s="67"/>
    </row>
    <row r="44" spans="1:11" s="68" customFormat="1" ht="14.25" x14ac:dyDescent="0.25">
      <c r="A44" s="106"/>
      <c r="B44" s="74"/>
      <c r="C44" s="74" t="s">
        <v>53</v>
      </c>
      <c r="D44" s="92"/>
      <c r="E44" s="105"/>
      <c r="F44" s="349" t="s">
        <v>54</v>
      </c>
      <c r="G44" s="349"/>
      <c r="H44" s="349"/>
      <c r="I44" s="21"/>
      <c r="J44" s="21"/>
    </row>
    <row r="45" spans="1:11" s="68" customFormat="1" ht="14.25" x14ac:dyDescent="0.25">
      <c r="A45" s="76" t="s">
        <v>42</v>
      </c>
      <c r="B45" s="107" t="s">
        <v>55</v>
      </c>
      <c r="C45" s="107" t="s">
        <v>44</v>
      </c>
      <c r="D45" s="107" t="s">
        <v>45</v>
      </c>
      <c r="E45" s="50"/>
      <c r="F45" s="108" t="s">
        <v>20</v>
      </c>
      <c r="G45" s="109" t="s">
        <v>43</v>
      </c>
      <c r="H45" s="110" t="s">
        <v>56</v>
      </c>
      <c r="I45" s="21"/>
      <c r="J45" s="21"/>
    </row>
    <row r="46" spans="1:11" s="68" customFormat="1" ht="14.25" x14ac:dyDescent="0.25">
      <c r="A46" s="79" t="str">
        <f>A30</f>
        <v>Residential R1</v>
      </c>
      <c r="B46" s="310">
        <f>ROUND(F15,2)</f>
        <v>103.56</v>
      </c>
      <c r="C46" s="81">
        <f>G61/F61</f>
        <v>0.64117216203251104</v>
      </c>
      <c r="D46" s="81">
        <f>1-C46</f>
        <v>0.35882783796748896</v>
      </c>
      <c r="E46" s="50"/>
      <c r="F46" s="112">
        <f>H61+D61</f>
        <v>6337803.1568879392</v>
      </c>
      <c r="G46" s="113">
        <f>F46/'3. Revenue at Curr,Prop Rates'!D15</f>
        <v>5.5919950658825629E-2</v>
      </c>
      <c r="H46" s="114" t="s">
        <v>13</v>
      </c>
      <c r="I46" s="21"/>
      <c r="J46" s="21"/>
      <c r="K46" s="115"/>
    </row>
    <row r="47" spans="1:11" s="68" customFormat="1" ht="14.25" x14ac:dyDescent="0.25">
      <c r="A47" s="79" t="str">
        <f t="shared" ref="A47:A54" si="2">A31</f>
        <v>Residential R2</v>
      </c>
      <c r="B47" s="310">
        <f t="shared" ref="B47:B49" si="3">ROUND(F16,2)</f>
        <v>1265.7</v>
      </c>
      <c r="C47" s="81">
        <f>G62/F62</f>
        <v>0.12009643632325549</v>
      </c>
      <c r="D47" s="81">
        <f>1-C47</f>
        <v>0.87990356367674449</v>
      </c>
      <c r="E47" s="50"/>
      <c r="F47" s="112">
        <f>H62+D62</f>
        <v>4258951.8607138284</v>
      </c>
      <c r="G47" s="113">
        <f>F47/'3. Revenue at Curr,Prop Rates'!D16</f>
        <v>17.131406992684422</v>
      </c>
      <c r="H47" s="114" t="s">
        <v>14</v>
      </c>
      <c r="I47" s="21"/>
      <c r="J47" s="21"/>
    </row>
    <row r="48" spans="1:11" s="68" customFormat="1" ht="14.25" x14ac:dyDescent="0.25">
      <c r="A48" s="79" t="str">
        <f t="shared" si="2"/>
        <v>Seasonal</v>
      </c>
      <c r="B48" s="310">
        <f t="shared" si="3"/>
        <v>55.76</v>
      </c>
      <c r="C48" s="81">
        <f>G63/F63</f>
        <v>0.6890414211305953</v>
      </c>
      <c r="D48" s="81">
        <f>1-C48</f>
        <v>0.3109585788694047</v>
      </c>
      <c r="E48" s="50"/>
      <c r="F48" s="112">
        <f>H63+D63</f>
        <v>893882.02182342578</v>
      </c>
      <c r="G48" s="113">
        <f>F48/'3. Revenue at Curr,Prop Rates'!D17</f>
        <v>0.15216638754797149</v>
      </c>
      <c r="H48" s="114" t="s">
        <v>13</v>
      </c>
      <c r="I48" s="21"/>
      <c r="J48" s="21"/>
    </row>
    <row r="49" spans="1:11" s="68" customFormat="1" ht="14.25" x14ac:dyDescent="0.25">
      <c r="A49" s="79" t="str">
        <f t="shared" si="2"/>
        <v>Street Lighting</v>
      </c>
      <c r="B49" s="310">
        <f t="shared" si="3"/>
        <v>1.89</v>
      </c>
      <c r="C49" s="81">
        <f>G64/F64</f>
        <v>0.12633363745532558</v>
      </c>
      <c r="D49" s="81">
        <f>1-C49</f>
        <v>0.87366636254467445</v>
      </c>
      <c r="E49" s="50"/>
      <c r="F49" s="112">
        <f>H64+D64</f>
        <v>176858.52691420319</v>
      </c>
      <c r="G49" s="113">
        <f>F49/'3. Revenue at Curr,Prop Rates'!D18</f>
        <v>0.3043489449873078</v>
      </c>
      <c r="H49" s="114" t="s">
        <v>13</v>
      </c>
      <c r="I49" s="21"/>
      <c r="J49" s="21"/>
    </row>
    <row r="50" spans="1:11" s="68" customFormat="1" ht="14.25" hidden="1" x14ac:dyDescent="0.25">
      <c r="A50" s="79" t="str">
        <f t="shared" si="2"/>
        <v>other</v>
      </c>
      <c r="B50" s="111"/>
      <c r="C50" s="81"/>
      <c r="D50" s="81"/>
      <c r="E50" s="50"/>
      <c r="F50" s="112"/>
      <c r="G50" s="113"/>
      <c r="H50" s="114"/>
      <c r="I50" s="21"/>
      <c r="J50" s="21"/>
    </row>
    <row r="51" spans="1:11" s="68" customFormat="1" ht="14.25" hidden="1" x14ac:dyDescent="0.25">
      <c r="A51" s="79" t="str">
        <f t="shared" si="2"/>
        <v>other</v>
      </c>
      <c r="B51" s="111"/>
      <c r="C51" s="81"/>
      <c r="D51" s="81"/>
      <c r="E51" s="50"/>
      <c r="F51" s="112"/>
      <c r="G51" s="113"/>
      <c r="H51" s="114"/>
      <c r="I51" s="21"/>
      <c r="J51" s="21"/>
    </row>
    <row r="52" spans="1:11" s="68" customFormat="1" ht="14.25" hidden="1" x14ac:dyDescent="0.25">
      <c r="A52" s="79" t="str">
        <f t="shared" si="2"/>
        <v>other</v>
      </c>
      <c r="B52" s="111"/>
      <c r="C52" s="81"/>
      <c r="D52" s="81"/>
      <c r="E52" s="50"/>
      <c r="F52" s="112"/>
      <c r="G52" s="113"/>
      <c r="H52" s="114"/>
      <c r="I52" s="21"/>
      <c r="J52" s="21"/>
    </row>
    <row r="53" spans="1:11" s="68" customFormat="1" ht="14.25" hidden="1" x14ac:dyDescent="0.25">
      <c r="A53" s="79" t="str">
        <f t="shared" si="2"/>
        <v>other</v>
      </c>
      <c r="B53" s="111"/>
      <c r="C53" s="81"/>
      <c r="D53" s="81"/>
      <c r="E53" s="50"/>
      <c r="F53" s="112"/>
      <c r="G53" s="113"/>
      <c r="H53" s="114"/>
      <c r="I53" s="21"/>
      <c r="J53" s="21"/>
    </row>
    <row r="54" spans="1:11" s="68" customFormat="1" ht="14.25" hidden="1" x14ac:dyDescent="0.25">
      <c r="A54" s="79" t="str">
        <f t="shared" si="2"/>
        <v>other</v>
      </c>
      <c r="B54" s="111"/>
      <c r="C54" s="81"/>
      <c r="D54" s="81"/>
      <c r="E54" s="50"/>
      <c r="F54" s="112"/>
      <c r="G54" s="113"/>
      <c r="H54" s="114"/>
      <c r="I54" s="21"/>
      <c r="J54" s="21"/>
    </row>
    <row r="55" spans="1:11" s="68" customFormat="1" ht="14.25" x14ac:dyDescent="0.25">
      <c r="A55" s="79" t="s">
        <v>47</v>
      </c>
      <c r="B55" s="116"/>
      <c r="C55" s="84"/>
      <c r="D55" s="84"/>
      <c r="E55" s="50"/>
      <c r="F55" s="117"/>
      <c r="G55" s="117" t="s">
        <v>46</v>
      </c>
      <c r="H55" s="117" t="s">
        <v>46</v>
      </c>
      <c r="I55" s="21"/>
      <c r="J55" s="21"/>
    </row>
    <row r="56" spans="1:11" s="68" customFormat="1" ht="14.25" x14ac:dyDescent="0.25">
      <c r="A56" s="104"/>
      <c r="B56" s="21"/>
      <c r="C56" s="21"/>
      <c r="D56" s="21"/>
      <c r="E56" s="50"/>
      <c r="F56" s="21"/>
      <c r="G56" s="21"/>
      <c r="H56" s="21"/>
      <c r="I56" s="105"/>
      <c r="J56" s="118"/>
      <c r="K56" s="119"/>
    </row>
    <row r="57" spans="1:11" s="68" customFormat="1" ht="14.25" x14ac:dyDescent="0.25">
      <c r="A57" s="104"/>
      <c r="B57" s="105"/>
      <c r="C57" s="105"/>
      <c r="D57" s="105"/>
      <c r="E57" s="105"/>
      <c r="F57" s="105"/>
      <c r="G57" s="120"/>
      <c r="H57" s="105"/>
      <c r="I57" s="105"/>
      <c r="J57" s="118"/>
      <c r="K57" s="119"/>
    </row>
    <row r="58" spans="1:11" s="68" customFormat="1" ht="14.25" x14ac:dyDescent="0.25">
      <c r="A58" s="121"/>
      <c r="B58" s="105"/>
      <c r="C58" s="105"/>
      <c r="D58" s="105"/>
      <c r="E58" s="105"/>
      <c r="F58" s="105"/>
      <c r="G58" s="105"/>
      <c r="H58" s="105"/>
      <c r="I58" s="105"/>
      <c r="J58" s="118"/>
      <c r="K58" s="119"/>
    </row>
    <row r="59" spans="1:11" s="68" customFormat="1" ht="14.25" x14ac:dyDescent="0.25">
      <c r="A59" s="122"/>
      <c r="B59" s="123"/>
      <c r="C59" s="124" t="s">
        <v>57</v>
      </c>
      <c r="D59" s="116">
        <v>-0.60000000000000009</v>
      </c>
      <c r="E59" s="125"/>
      <c r="F59" s="126"/>
      <c r="G59" s="126" t="s">
        <v>58</v>
      </c>
      <c r="H59" s="110"/>
      <c r="I59" s="21"/>
      <c r="J59" s="67"/>
    </row>
    <row r="60" spans="1:11" s="68" customFormat="1" ht="14.25" x14ac:dyDescent="0.25">
      <c r="A60" s="127" t="s">
        <v>42</v>
      </c>
      <c r="B60" s="108" t="s">
        <v>14</v>
      </c>
      <c r="C60" s="109" t="s">
        <v>43</v>
      </c>
      <c r="D60" s="109" t="s">
        <v>174</v>
      </c>
      <c r="E60" s="128"/>
      <c r="F60" s="107" t="s">
        <v>89</v>
      </c>
      <c r="G60" s="107" t="s">
        <v>59</v>
      </c>
      <c r="H60" s="107" t="s">
        <v>20</v>
      </c>
      <c r="I60" s="21"/>
      <c r="J60" s="67"/>
    </row>
    <row r="61" spans="1:11" s="68" customFormat="1" ht="14.25" x14ac:dyDescent="0.25">
      <c r="A61" s="79" t="str">
        <f>A46</f>
        <v>Residential R1</v>
      </c>
      <c r="B61" s="112">
        <v>0</v>
      </c>
      <c r="C61" s="80">
        <f>IF(B61=0,0,-D$59)</f>
        <v>0</v>
      </c>
      <c r="D61" s="112">
        <f>B61*C61</f>
        <v>0</v>
      </c>
      <c r="E61" s="129"/>
      <c r="F61" s="112">
        <v>17662518.027551048</v>
      </c>
      <c r="G61" s="130">
        <f>B46*12*'3. Revenue at Curr,Prop Rates'!C26</f>
        <v>11324714.870663108</v>
      </c>
      <c r="H61" s="112">
        <f>F61-G61</f>
        <v>6337803.1568879392</v>
      </c>
      <c r="I61" s="21"/>
      <c r="J61" s="67"/>
    </row>
    <row r="62" spans="1:11" s="68" customFormat="1" ht="14.25" x14ac:dyDescent="0.25">
      <c r="A62" s="79" t="str">
        <f t="shared" ref="A62:A69" si="4">A47</f>
        <v>Residential R2</v>
      </c>
      <c r="B62" s="112">
        <f>'3. Revenue at Curr,Prop Rates'!G40</f>
        <v>183646.12908238586</v>
      </c>
      <c r="C62" s="80">
        <f>IF(B62=0,0,-D$59)</f>
        <v>0.60000000000000009</v>
      </c>
      <c r="D62" s="112">
        <f>B62*C62</f>
        <v>110187.67744943153</v>
      </c>
      <c r="E62" s="129"/>
      <c r="F62" s="112">
        <v>4715021.4574975325</v>
      </c>
      <c r="G62" s="130">
        <f>B47*12*'3. Revenue at Curr,Prop Rates'!C27</f>
        <v>566257.27423313574</v>
      </c>
      <c r="H62" s="112">
        <f>F62-G62</f>
        <v>4148764.1832643966</v>
      </c>
      <c r="I62" s="21"/>
      <c r="J62" s="67"/>
    </row>
    <row r="63" spans="1:11" s="68" customFormat="1" ht="14.25" x14ac:dyDescent="0.25">
      <c r="A63" s="79" t="str">
        <f t="shared" si="4"/>
        <v>Seasonal</v>
      </c>
      <c r="B63" s="112">
        <v>0</v>
      </c>
      <c r="C63" s="80">
        <f>IF(B63=0,0,-D$59)</f>
        <v>0</v>
      </c>
      <c r="D63" s="112">
        <f>B63*C63</f>
        <v>0</v>
      </c>
      <c r="E63" s="131"/>
      <c r="F63" s="112">
        <v>2874601.5790059138</v>
      </c>
      <c r="G63" s="130">
        <f>B48*12*'3. Revenue at Curr,Prop Rates'!C28</f>
        <v>1980719.557182488</v>
      </c>
      <c r="H63" s="112">
        <f>F63-G63</f>
        <v>893882.02182342578</v>
      </c>
      <c r="I63" s="21"/>
      <c r="J63" s="67"/>
    </row>
    <row r="64" spans="1:11" s="68" customFormat="1" ht="14.25" x14ac:dyDescent="0.25">
      <c r="A64" s="79" t="str">
        <f t="shared" si="4"/>
        <v>Street Lighting</v>
      </c>
      <c r="B64" s="112">
        <v>0</v>
      </c>
      <c r="C64" s="80">
        <f>IF(B64=0,0,-D$59)</f>
        <v>0</v>
      </c>
      <c r="D64" s="112">
        <f>B64*C64</f>
        <v>0</v>
      </c>
      <c r="E64" s="131"/>
      <c r="F64" s="112">
        <v>202432.56979595529</v>
      </c>
      <c r="G64" s="130">
        <f>B49*12*'3. Revenue at Curr,Prop Rates'!C29</f>
        <v>25574.04288175211</v>
      </c>
      <c r="H64" s="112">
        <f>F64-G64</f>
        <v>176858.52691420319</v>
      </c>
      <c r="I64" s="21"/>
      <c r="J64" s="67"/>
    </row>
    <row r="65" spans="1:11" s="68" customFormat="1" ht="14.25" hidden="1" x14ac:dyDescent="0.25">
      <c r="A65" s="79" t="str">
        <f t="shared" si="4"/>
        <v>other</v>
      </c>
      <c r="B65" s="112"/>
      <c r="C65" s="80"/>
      <c r="D65" s="112"/>
      <c r="E65" s="129"/>
      <c r="F65" s="112"/>
      <c r="G65" s="130"/>
      <c r="H65" s="112"/>
      <c r="I65" s="21"/>
      <c r="J65" s="67"/>
    </row>
    <row r="66" spans="1:11" s="68" customFormat="1" ht="14.25" hidden="1" x14ac:dyDescent="0.25">
      <c r="A66" s="79" t="str">
        <f t="shared" si="4"/>
        <v>other</v>
      </c>
      <c r="B66" s="112"/>
      <c r="C66" s="80"/>
      <c r="D66" s="112"/>
      <c r="E66" s="129"/>
      <c r="F66" s="112"/>
      <c r="G66" s="132"/>
      <c r="H66" s="112"/>
      <c r="I66" s="21"/>
      <c r="J66" s="67"/>
    </row>
    <row r="67" spans="1:11" s="68" customFormat="1" ht="14.25" hidden="1" x14ac:dyDescent="0.25">
      <c r="A67" s="79" t="str">
        <f t="shared" si="4"/>
        <v>other</v>
      </c>
      <c r="B67" s="112"/>
      <c r="C67" s="80"/>
      <c r="D67" s="112"/>
      <c r="E67" s="129"/>
      <c r="F67" s="112"/>
      <c r="G67" s="132"/>
      <c r="H67" s="112"/>
      <c r="I67" s="21"/>
      <c r="J67" s="67"/>
    </row>
    <row r="68" spans="1:11" s="68" customFormat="1" ht="14.25" hidden="1" x14ac:dyDescent="0.25">
      <c r="A68" s="79" t="str">
        <f t="shared" si="4"/>
        <v>other</v>
      </c>
      <c r="B68" s="112"/>
      <c r="C68" s="80"/>
      <c r="D68" s="112"/>
      <c r="E68" s="129"/>
      <c r="F68" s="112"/>
      <c r="G68" s="132"/>
      <c r="H68" s="112"/>
      <c r="I68" s="21"/>
      <c r="J68" s="67"/>
    </row>
    <row r="69" spans="1:11" s="68" customFormat="1" ht="14.25" hidden="1" x14ac:dyDescent="0.25">
      <c r="A69" s="79" t="str">
        <f t="shared" si="4"/>
        <v>other</v>
      </c>
      <c r="B69" s="112"/>
      <c r="C69" s="80"/>
      <c r="D69" s="112"/>
      <c r="E69" s="129"/>
      <c r="F69" s="112"/>
      <c r="G69" s="132"/>
      <c r="H69" s="112"/>
      <c r="I69" s="21"/>
      <c r="J69" s="67"/>
    </row>
    <row r="70" spans="1:11" s="68" customFormat="1" ht="14.25" x14ac:dyDescent="0.25">
      <c r="A70" s="79" t="s">
        <v>47</v>
      </c>
      <c r="B70" s="112">
        <f>SUM(B61:B69)</f>
        <v>183646.12908238586</v>
      </c>
      <c r="C70" s="133"/>
      <c r="D70" s="112">
        <f>SUM(D61:D69)</f>
        <v>110187.67744943153</v>
      </c>
      <c r="E70" s="129"/>
      <c r="F70" s="134">
        <f>SUM(F61:F69)</f>
        <v>25454573.633850452</v>
      </c>
      <c r="G70" s="135">
        <f>SUM(G61:G69)</f>
        <v>13897265.744960485</v>
      </c>
      <c r="H70" s="117">
        <f>SUM(H61:H69)</f>
        <v>11557307.888889967</v>
      </c>
      <c r="I70" s="21"/>
      <c r="J70" s="67"/>
    </row>
    <row r="71" spans="1:11" s="68" customFormat="1" ht="14.25" x14ac:dyDescent="0.25">
      <c r="A71" s="104"/>
      <c r="B71" s="105"/>
      <c r="C71" s="105"/>
      <c r="D71" s="136" t="s">
        <v>37</v>
      </c>
      <c r="E71" s="105"/>
      <c r="F71" s="137">
        <v>25454573.633850452</v>
      </c>
      <c r="G71" s="104"/>
      <c r="H71" s="104"/>
      <c r="I71" s="105"/>
      <c r="J71" s="118"/>
      <c r="K71" s="119"/>
    </row>
    <row r="72" spans="1:11" s="68" customFormat="1" ht="14.25" hidden="1" x14ac:dyDescent="0.25">
      <c r="A72" s="21" t="s">
        <v>60</v>
      </c>
      <c r="B72" s="138"/>
      <c r="C72" s="99"/>
      <c r="D72" s="99"/>
      <c r="E72" s="50"/>
      <c r="F72" s="21"/>
      <c r="G72" s="21"/>
      <c r="H72" s="21"/>
      <c r="I72" s="21"/>
      <c r="J72" s="67"/>
    </row>
    <row r="73" spans="1:11" s="68" customFormat="1" ht="14.25" hidden="1" x14ac:dyDescent="0.25">
      <c r="A73" s="21" t="s">
        <v>61</v>
      </c>
      <c r="B73" s="138"/>
      <c r="C73" s="99"/>
      <c r="D73" s="99"/>
      <c r="E73" s="50"/>
      <c r="F73" s="21"/>
      <c r="G73" s="21"/>
      <c r="H73" s="21"/>
      <c r="I73" s="21"/>
      <c r="J73" s="67"/>
    </row>
    <row r="74" spans="1:11" s="68" customFormat="1" ht="14.25" hidden="1" x14ac:dyDescent="0.25">
      <c r="A74" s="21" t="s">
        <v>62</v>
      </c>
      <c r="B74" s="138"/>
      <c r="C74" s="99"/>
      <c r="D74" s="99"/>
      <c r="E74" s="50"/>
      <c r="F74" s="21"/>
      <c r="G74" s="21"/>
      <c r="H74" s="21"/>
      <c r="I74" s="21"/>
      <c r="J74" s="67"/>
    </row>
    <row r="75" spans="1:11" s="68" customFormat="1" ht="14.25" hidden="1" x14ac:dyDescent="0.25">
      <c r="A75" s="21" t="s">
        <v>63</v>
      </c>
      <c r="B75" s="21"/>
      <c r="C75" s="21"/>
      <c r="D75" s="21"/>
      <c r="E75" s="50"/>
      <c r="F75" s="21"/>
      <c r="G75" s="21"/>
      <c r="H75" s="21"/>
      <c r="I75" s="21"/>
      <c r="J75" s="67"/>
    </row>
    <row r="76" spans="1:11" s="68" customFormat="1" ht="14.25" hidden="1" x14ac:dyDescent="0.25">
      <c r="A76" s="21" t="s">
        <v>64</v>
      </c>
      <c r="B76" s="21"/>
      <c r="C76" s="21"/>
      <c r="D76" s="21"/>
      <c r="E76" s="50"/>
      <c r="F76" s="21"/>
      <c r="G76" s="21"/>
      <c r="H76" s="21"/>
      <c r="I76" s="21"/>
      <c r="J76" s="67"/>
    </row>
    <row r="77" spans="1:11" s="68" customFormat="1" ht="14.25" hidden="1" x14ac:dyDescent="0.25">
      <c r="A77" s="21" t="s">
        <v>65</v>
      </c>
      <c r="B77" s="21"/>
      <c r="C77" s="21"/>
      <c r="D77" s="21"/>
      <c r="E77" s="50"/>
      <c r="F77" s="21"/>
      <c r="G77" s="21"/>
      <c r="H77" s="21"/>
      <c r="I77" s="21"/>
      <c r="J77" s="67"/>
    </row>
    <row r="78" spans="1:11" s="68" customFormat="1" ht="14.25" hidden="1" x14ac:dyDescent="0.25">
      <c r="A78" s="21" t="s">
        <v>66</v>
      </c>
      <c r="B78" s="21"/>
      <c r="C78" s="21"/>
      <c r="D78" s="21"/>
      <c r="E78" s="50"/>
      <c r="F78" s="21"/>
      <c r="G78" s="21"/>
      <c r="H78" s="21"/>
      <c r="I78" s="21"/>
      <c r="J78" s="67"/>
    </row>
    <row r="79" spans="1:11" s="68" customFormat="1" ht="14.25" hidden="1" x14ac:dyDescent="0.25">
      <c r="A79" s="21" t="s">
        <v>67</v>
      </c>
      <c r="B79" s="21"/>
      <c r="C79" s="21"/>
      <c r="D79" s="21"/>
      <c r="E79" s="50"/>
      <c r="F79" s="21"/>
      <c r="G79" s="21"/>
      <c r="H79" s="21"/>
      <c r="I79" s="21"/>
      <c r="J79" s="67"/>
    </row>
  </sheetData>
  <sheetProtection selectLockedCells="1" selectUnlockedCells="1"/>
  <mergeCells count="4">
    <mergeCell ref="A9:H9"/>
    <mergeCell ref="A10:H10"/>
    <mergeCell ref="B13:D13"/>
    <mergeCell ref="F44:H44"/>
  </mergeCells>
  <pageMargins left="0.7" right="0.7" top="0.75" bottom="0.75" header="0.51180555555555551" footer="0.51180555555555551"/>
  <pageSetup scale="67"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67E2-03CF-475F-8C25-F048660A2A10}">
  <sheetPr codeName="Sheet260">
    <pageSetUpPr fitToPage="1"/>
  </sheetPr>
  <dimension ref="A1:L71"/>
  <sheetViews>
    <sheetView showGridLines="0" topLeftCell="A7" zoomScaleNormal="100" workbookViewId="0">
      <selection activeCell="F57" sqref="F57"/>
    </sheetView>
  </sheetViews>
  <sheetFormatPr defaultColWidth="8.7109375" defaultRowHeight="14.25" x14ac:dyDescent="0.25"/>
  <cols>
    <col min="1" max="1" width="22.7109375" style="21" customWidth="1"/>
    <col min="2" max="2" width="11.85546875" style="21" bestFit="1" customWidth="1"/>
    <col min="3" max="3" width="13.42578125" style="67" customWidth="1"/>
    <col min="4" max="4" width="14" style="21" customWidth="1"/>
    <col min="5" max="5" width="13.140625" style="21" customWidth="1"/>
    <col min="6" max="6" width="14" style="21" bestFit="1" customWidth="1"/>
    <col min="7" max="8" width="10.7109375" style="21" customWidth="1"/>
    <col min="9" max="9" width="13.85546875" style="21" bestFit="1" customWidth="1"/>
    <col min="10" max="10" width="1.85546875" customWidth="1"/>
    <col min="11" max="11" width="12.7109375" customWidth="1"/>
    <col min="12" max="12" width="12.42578125" customWidth="1"/>
    <col min="13" max="13" width="1.5703125" customWidth="1"/>
  </cols>
  <sheetData>
    <row r="1" spans="1:11" ht="12" hidden="1" customHeight="1" x14ac:dyDescent="0.25">
      <c r="A1" s="65"/>
      <c r="F1" s="50"/>
      <c r="H1" s="139"/>
      <c r="I1" s="140"/>
    </row>
    <row r="2" spans="1:11" hidden="1" x14ac:dyDescent="0.25">
      <c r="A2" s="67"/>
      <c r="F2" s="50"/>
      <c r="H2" s="139"/>
      <c r="I2" s="66"/>
    </row>
    <row r="3" spans="1:11" hidden="1" x14ac:dyDescent="0.25">
      <c r="A3" s="67"/>
      <c r="F3" s="50"/>
      <c r="H3" s="139"/>
      <c r="I3" s="66"/>
    </row>
    <row r="4" spans="1:11" hidden="1" x14ac:dyDescent="0.25">
      <c r="A4" s="67"/>
      <c r="F4" s="50"/>
      <c r="H4" s="139"/>
      <c r="I4" s="66"/>
    </row>
    <row r="5" spans="1:11" hidden="1" x14ac:dyDescent="0.25">
      <c r="A5" s="67"/>
      <c r="F5" s="50"/>
      <c r="H5" s="139"/>
      <c r="I5" s="140"/>
    </row>
    <row r="6" spans="1:11" ht="9" hidden="1" customHeight="1" x14ac:dyDescent="0.25">
      <c r="A6" s="67"/>
      <c r="F6" s="50"/>
      <c r="H6" s="139"/>
      <c r="I6" s="141"/>
    </row>
    <row r="7" spans="1:11" x14ac:dyDescent="0.25">
      <c r="A7" s="346" t="s">
        <v>0</v>
      </c>
      <c r="B7" s="346"/>
      <c r="C7" s="346"/>
      <c r="D7" s="346"/>
      <c r="E7" s="346"/>
      <c r="F7" s="346"/>
      <c r="G7" s="346"/>
      <c r="H7" s="346"/>
      <c r="I7" s="346"/>
    </row>
    <row r="8" spans="1:11" x14ac:dyDescent="0.25">
      <c r="A8" s="346" t="s">
        <v>68</v>
      </c>
      <c r="B8" s="346"/>
      <c r="C8" s="346"/>
      <c r="D8" s="346"/>
      <c r="E8" s="346"/>
      <c r="F8" s="346"/>
      <c r="G8" s="346"/>
      <c r="H8" s="346"/>
      <c r="I8" s="346"/>
    </row>
    <row r="9" spans="1:11" ht="18" x14ac:dyDescent="0.2">
      <c r="A9" s="352" t="s">
        <v>46</v>
      </c>
      <c r="B9" s="352"/>
      <c r="C9" s="352"/>
      <c r="D9" s="352"/>
      <c r="E9" s="352"/>
      <c r="F9" s="352"/>
      <c r="G9" s="352"/>
      <c r="H9" s="352"/>
      <c r="I9" s="352"/>
      <c r="J9" s="352"/>
      <c r="K9" s="352"/>
    </row>
    <row r="10" spans="1:11" ht="20.25" customHeight="1" x14ac:dyDescent="0.2">
      <c r="A10" s="350" t="s">
        <v>69</v>
      </c>
      <c r="B10" s="350"/>
      <c r="C10" s="350"/>
      <c r="D10" s="350"/>
      <c r="E10" s="350"/>
      <c r="F10" s="350"/>
      <c r="G10" s="350"/>
      <c r="H10" s="350"/>
      <c r="I10" s="350"/>
      <c r="J10" s="142"/>
      <c r="K10" s="142"/>
    </row>
    <row r="12" spans="1:11" x14ac:dyDescent="0.25">
      <c r="A12" s="143" t="s">
        <v>70</v>
      </c>
    </row>
    <row r="13" spans="1:11" x14ac:dyDescent="0.25">
      <c r="B13" s="351" t="s">
        <v>71</v>
      </c>
      <c r="C13" s="351"/>
      <c r="D13" s="351"/>
      <c r="E13" s="351"/>
      <c r="F13" s="351"/>
      <c r="G13" s="351"/>
      <c r="H13" s="351"/>
      <c r="I13" s="351"/>
    </row>
    <row r="14" spans="1:11" ht="42.75" x14ac:dyDescent="0.25">
      <c r="A14" s="144" t="s">
        <v>42</v>
      </c>
      <c r="B14" s="145" t="s">
        <v>72</v>
      </c>
      <c r="C14" s="145" t="s">
        <v>56</v>
      </c>
      <c r="D14" s="145" t="s">
        <v>73</v>
      </c>
      <c r="E14" s="145" t="s">
        <v>74</v>
      </c>
      <c r="F14" s="145" t="s">
        <v>75</v>
      </c>
      <c r="G14" s="146" t="s">
        <v>76</v>
      </c>
      <c r="H14" s="146" t="s">
        <v>77</v>
      </c>
      <c r="I14" s="146" t="s">
        <v>78</v>
      </c>
    </row>
    <row r="15" spans="1:11" ht="14.25" customHeight="1" x14ac:dyDescent="0.25">
      <c r="A15" s="79" t="s">
        <v>169</v>
      </c>
      <c r="B15" s="147">
        <f>'1. 2019 Equivalent Rates'!J48</f>
        <v>5.5259346602812502E-2</v>
      </c>
      <c r="C15" s="148" t="s">
        <v>13</v>
      </c>
      <c r="D15" s="149">
        <v>113337066.32818118</v>
      </c>
      <c r="E15" s="150">
        <f>B15*D15</f>
        <v>6262932.2311749142</v>
      </c>
      <c r="F15" s="151"/>
      <c r="G15" s="152"/>
      <c r="H15" s="153">
        <f>F15*G15</f>
        <v>0</v>
      </c>
      <c r="I15" s="153">
        <f>E15+H15</f>
        <v>6262932.2311749142</v>
      </c>
    </row>
    <row r="16" spans="1:11" ht="14.25" customHeight="1" x14ac:dyDescent="0.25">
      <c r="A16" s="79" t="s">
        <v>170</v>
      </c>
      <c r="B16" s="147">
        <f>'1. 2019 Equivalent Rates'!J49</f>
        <v>17.753022476950761</v>
      </c>
      <c r="C16" s="148" t="s">
        <v>14</v>
      </c>
      <c r="D16" s="149">
        <v>248604.90808096013</v>
      </c>
      <c r="E16" s="150">
        <f>B16*D16</f>
        <v>4413488.5210415628</v>
      </c>
      <c r="F16" s="154">
        <v>-0.6</v>
      </c>
      <c r="G16" s="155">
        <v>183646.12908238586</v>
      </c>
      <c r="H16" s="153">
        <f>F16*G16</f>
        <v>-110187.67744943152</v>
      </c>
      <c r="I16" s="153">
        <f>E16+H16</f>
        <v>4303300.8435921315</v>
      </c>
    </row>
    <row r="17" spans="1:12" ht="14.25" customHeight="1" x14ac:dyDescent="0.25">
      <c r="A17" s="79" t="s">
        <v>25</v>
      </c>
      <c r="B17" s="147">
        <f>'1. 2019 Equivalent Rates'!J50</f>
        <v>0.14942836861367012</v>
      </c>
      <c r="C17" s="148" t="s">
        <v>13</v>
      </c>
      <c r="D17" s="149">
        <v>5874372.3645382812</v>
      </c>
      <c r="E17" s="150">
        <f>B17*D17</f>
        <v>877797.8790621832</v>
      </c>
      <c r="F17" s="156"/>
      <c r="G17" s="152"/>
      <c r="H17" s="153">
        <f>F17*G17</f>
        <v>0</v>
      </c>
      <c r="I17" s="153">
        <f>E17+H17</f>
        <v>877797.8790621832</v>
      </c>
    </row>
    <row r="18" spans="1:12" ht="14.25" customHeight="1" x14ac:dyDescent="0.25">
      <c r="A18" s="79" t="s">
        <v>26</v>
      </c>
      <c r="B18" s="147">
        <f>'1. 2019 Equivalent Rates'!J51</f>
        <v>0.33097899489845461</v>
      </c>
      <c r="C18" s="148" t="s">
        <v>13</v>
      </c>
      <c r="D18" s="149">
        <v>581104.4520676051</v>
      </c>
      <c r="E18" s="150">
        <f>B18*D18</f>
        <v>192333.36747635313</v>
      </c>
      <c r="F18" s="151"/>
      <c r="G18" s="152"/>
      <c r="H18" s="153">
        <f>F18*G18</f>
        <v>0</v>
      </c>
      <c r="I18" s="153">
        <f>E18+H18</f>
        <v>192333.36747635313</v>
      </c>
    </row>
    <row r="19" spans="1:12" ht="14.25" hidden="1" customHeight="1" x14ac:dyDescent="0.25">
      <c r="A19" s="79" t="s">
        <v>88</v>
      </c>
      <c r="B19" s="147">
        <v>0</v>
      </c>
      <c r="C19" s="148" t="s">
        <v>14</v>
      </c>
      <c r="D19" s="149">
        <v>0</v>
      </c>
      <c r="E19" s="150">
        <f>B19*D19</f>
        <v>0</v>
      </c>
      <c r="F19" s="151"/>
      <c r="G19" s="152"/>
      <c r="H19" s="153">
        <f>F19*G19</f>
        <v>0</v>
      </c>
      <c r="I19" s="153">
        <f>E19+H19</f>
        <v>0</v>
      </c>
    </row>
    <row r="20" spans="1:12" ht="14.25" customHeight="1" x14ac:dyDescent="0.25">
      <c r="A20" s="157" t="s">
        <v>79</v>
      </c>
      <c r="B20" s="158"/>
      <c r="C20" s="159"/>
      <c r="D20" s="160"/>
      <c r="E20" s="161">
        <f t="shared" ref="E20:I20" si="0">SUM(E15:E19)</f>
        <v>11746551.998755014</v>
      </c>
      <c r="F20" s="162">
        <f t="shared" si="0"/>
        <v>-0.6</v>
      </c>
      <c r="G20" s="163">
        <f t="shared" si="0"/>
        <v>183646.12908238586</v>
      </c>
      <c r="H20" s="161">
        <f t="shared" si="0"/>
        <v>-110187.67744943152</v>
      </c>
      <c r="I20" s="164">
        <f t="shared" si="0"/>
        <v>11636364.321305582</v>
      </c>
    </row>
    <row r="23" spans="1:12" x14ac:dyDescent="0.25">
      <c r="A23" s="143" t="s">
        <v>70</v>
      </c>
      <c r="B23" s="165"/>
      <c r="C23" s="166"/>
      <c r="D23" s="167"/>
      <c r="E23" s="167"/>
      <c r="F23" s="165"/>
      <c r="G23" s="165"/>
      <c r="H23" s="165"/>
      <c r="I23" s="69"/>
    </row>
    <row r="24" spans="1:12" x14ac:dyDescent="0.25">
      <c r="B24" s="351" t="s">
        <v>80</v>
      </c>
      <c r="C24" s="351"/>
      <c r="D24" s="351"/>
      <c r="E24" s="351"/>
      <c r="F24" s="351"/>
      <c r="G24" s="351"/>
      <c r="H24" s="351"/>
      <c r="I24" s="351"/>
    </row>
    <row r="25" spans="1:12" ht="28.5" x14ac:dyDescent="0.25">
      <c r="A25" s="144" t="s">
        <v>42</v>
      </c>
      <c r="B25" s="145" t="s">
        <v>81</v>
      </c>
      <c r="C25" s="145" t="s">
        <v>82</v>
      </c>
      <c r="D25" s="145" t="s">
        <v>83</v>
      </c>
      <c r="E25" s="145" t="s">
        <v>84</v>
      </c>
      <c r="F25" s="145" t="s">
        <v>47</v>
      </c>
      <c r="G25" s="146" t="s">
        <v>85</v>
      </c>
      <c r="H25" s="146" t="s">
        <v>86</v>
      </c>
      <c r="I25" s="146" t="s">
        <v>87</v>
      </c>
    </row>
    <row r="26" spans="1:12" ht="13.5" customHeight="1" x14ac:dyDescent="0.25">
      <c r="A26" s="79" t="str">
        <f>A15</f>
        <v>Residential R1</v>
      </c>
      <c r="B26" s="154">
        <f>'1. 2019 Equivalent Rates'!I48</f>
        <v>102.45124498745115</v>
      </c>
      <c r="C26" s="168">
        <v>9112.8451064303372</v>
      </c>
      <c r="D26" s="150">
        <f>B26*12*C26</f>
        <v>11203467.918379078</v>
      </c>
      <c r="E26" s="150">
        <f>I15</f>
        <v>6262932.2311749142</v>
      </c>
      <c r="F26" s="150">
        <f>D26+E26</f>
        <v>17466400.149553992</v>
      </c>
      <c r="G26" s="169">
        <f>IF(D26, ABS(D26/F26),"")</f>
        <v>0.64142970631902996</v>
      </c>
      <c r="H26" s="169">
        <f>IF(E26,ABS(E26/F26),"")</f>
        <v>0.35857029368097004</v>
      </c>
      <c r="I26" s="169">
        <f>IF(F26,ABS(F26/$F$31),"")</f>
        <v>0.69388386863658824</v>
      </c>
      <c r="L26" s="170"/>
    </row>
    <row r="27" spans="1:12" ht="13.5" customHeight="1" x14ac:dyDescent="0.25">
      <c r="A27" s="79" t="str">
        <f>A16</f>
        <v>Residential R2</v>
      </c>
      <c r="B27" s="154">
        <f>'1. 2019 Equivalent Rates'!I49</f>
        <v>803.25779867520134</v>
      </c>
      <c r="C27" s="168">
        <v>37.282220262380214</v>
      </c>
      <c r="D27" s="150">
        <f>B27*12*C27</f>
        <v>359366.81013220223</v>
      </c>
      <c r="E27" s="150">
        <f>I16</f>
        <v>4303300.8435921315</v>
      </c>
      <c r="F27" s="150">
        <f>D27+E27</f>
        <v>4662667.6537243333</v>
      </c>
      <c r="G27" s="169">
        <f>IF(D27, ABS(D27/F27),"")</f>
        <v>7.7073220057868777E-2</v>
      </c>
      <c r="H27" s="169">
        <f>IF(E27,ABS(E27/F27),"")</f>
        <v>0.92292677994213135</v>
      </c>
      <c r="I27" s="169">
        <f>IF(F27,ABS(F27/$F$31),"")</f>
        <v>0.18523278076939853</v>
      </c>
      <c r="L27" s="170"/>
    </row>
    <row r="28" spans="1:12" ht="13.5" customHeight="1" x14ac:dyDescent="0.25">
      <c r="A28" s="79" t="str">
        <f>A17</f>
        <v>Seasonal</v>
      </c>
      <c r="B28" s="154">
        <f>'1. 2019 Equivalent Rates'!I50</f>
        <v>54.753827365778783</v>
      </c>
      <c r="C28" s="168">
        <v>2960.1858518389645</v>
      </c>
      <c r="D28" s="150">
        <f>B28*12*C28</f>
        <v>1944978.0612265375</v>
      </c>
      <c r="E28" s="150">
        <f>I17</f>
        <v>877797.8790621832</v>
      </c>
      <c r="F28" s="150">
        <f>D28+E28</f>
        <v>2822775.9402887207</v>
      </c>
      <c r="G28" s="169">
        <f>IF(D28, ABS(D28/F28),"")</f>
        <v>0.68903026749887919</v>
      </c>
      <c r="H28" s="169">
        <f>IF(E28,ABS(E28/F28),"")</f>
        <v>0.31096973250112081</v>
      </c>
      <c r="I28" s="169">
        <f>IF(F28,ABS(F28/$F$31),"")</f>
        <v>0.1121398040220575</v>
      </c>
      <c r="L28" s="170"/>
    </row>
    <row r="29" spans="1:12" ht="13.5" customHeight="1" x14ac:dyDescent="0.25">
      <c r="A29" s="79" t="str">
        <f>A18</f>
        <v>Street Lighting</v>
      </c>
      <c r="B29" s="154">
        <f>'1. 2019 Equivalent Rates'!I51</f>
        <v>2.0514472965576078</v>
      </c>
      <c r="C29" s="168">
        <v>1127.6033016645551</v>
      </c>
      <c r="D29" s="150">
        <f>B29*12*C29</f>
        <v>27758.624937470209</v>
      </c>
      <c r="E29" s="150">
        <f>I18</f>
        <v>192333.36747635313</v>
      </c>
      <c r="F29" s="150">
        <f>D29+E29</f>
        <v>220091.99241382335</v>
      </c>
      <c r="G29" s="169">
        <f>IF(D29, ABS(D29/F29),"")</f>
        <v>0.12612282997228558</v>
      </c>
      <c r="H29" s="169">
        <f>IF(E29,ABS(E29/F29),"")</f>
        <v>0.87387717002771437</v>
      </c>
      <c r="I29" s="169">
        <f>IF(F29,ABS(F29/$F$31),"")</f>
        <v>8.7435465719556456E-3</v>
      </c>
      <c r="L29" s="170"/>
    </row>
    <row r="30" spans="1:12" ht="13.5" hidden="1" customHeight="1" x14ac:dyDescent="0.25">
      <c r="A30" s="79" t="s">
        <v>88</v>
      </c>
      <c r="B30" s="147">
        <v>0</v>
      </c>
      <c r="C30" s="168">
        <v>0</v>
      </c>
      <c r="D30" s="150">
        <f>B30*12*C30</f>
        <v>0</v>
      </c>
      <c r="E30" s="150">
        <f>I19</f>
        <v>0</v>
      </c>
      <c r="F30" s="150">
        <v>0</v>
      </c>
      <c r="G30" s="171" t="str">
        <f>IF(D30, ABS(D30/F30),"")</f>
        <v/>
      </c>
      <c r="H30" s="171" t="str">
        <f>IF(E30,ABS(E30/F30),"")</f>
        <v/>
      </c>
      <c r="I30" s="171" t="str">
        <f>IF(F30,ABS(F30/$F$31),"")</f>
        <v/>
      </c>
      <c r="L30" s="170"/>
    </row>
    <row r="31" spans="1:12" ht="13.5" customHeight="1" x14ac:dyDescent="0.2">
      <c r="A31" s="157" t="s">
        <v>89</v>
      </c>
      <c r="B31" s="158"/>
      <c r="C31" s="159">
        <f>SUM(C26:C30)</f>
        <v>13237.91648019624</v>
      </c>
      <c r="D31" s="161">
        <f>SUM(D26:D30)</f>
        <v>13535571.414675288</v>
      </c>
      <c r="E31" s="161">
        <f>SUM(E26:E30)</f>
        <v>11636364.321305582</v>
      </c>
      <c r="F31" s="161">
        <f>SUM(F26:F30)</f>
        <v>25171935.735980872</v>
      </c>
      <c r="G31" s="172"/>
      <c r="H31" s="172"/>
      <c r="I31" s="172"/>
      <c r="K31" s="173"/>
    </row>
    <row r="32" spans="1:12" ht="13.5" customHeight="1" x14ac:dyDescent="0.2">
      <c r="A32" s="174"/>
      <c r="B32" s="175"/>
      <c r="C32" s="176"/>
      <c r="D32" s="177"/>
      <c r="E32" s="177"/>
      <c r="F32" s="177"/>
      <c r="G32" s="178"/>
      <c r="H32" s="178"/>
      <c r="I32" s="178"/>
      <c r="K32" s="173"/>
    </row>
    <row r="34" spans="1:11" ht="20.25" customHeight="1" x14ac:dyDescent="0.2">
      <c r="A34" s="350" t="s">
        <v>90</v>
      </c>
      <c r="B34" s="350"/>
      <c r="C34" s="350"/>
      <c r="D34" s="350"/>
      <c r="E34" s="350"/>
      <c r="F34" s="350"/>
      <c r="G34" s="350"/>
      <c r="H34" s="350"/>
      <c r="I34" s="350"/>
      <c r="J34" s="142"/>
      <c r="K34" s="142"/>
    </row>
    <row r="36" spans="1:11" x14ac:dyDescent="0.25">
      <c r="A36" s="143" t="s">
        <v>91</v>
      </c>
    </row>
    <row r="37" spans="1:11" x14ac:dyDescent="0.25">
      <c r="B37" s="351" t="s">
        <v>92</v>
      </c>
      <c r="C37" s="351"/>
      <c r="D37" s="351"/>
      <c r="E37" s="351"/>
      <c r="F37" s="351"/>
      <c r="G37" s="351"/>
      <c r="H37" s="351"/>
      <c r="I37" s="351"/>
    </row>
    <row r="38" spans="1:11" ht="42.75" x14ac:dyDescent="0.25">
      <c r="A38" s="144" t="s">
        <v>42</v>
      </c>
      <c r="B38" s="145" t="s">
        <v>72</v>
      </c>
      <c r="C38" s="145" t="s">
        <v>56</v>
      </c>
      <c r="D38" s="145" t="s">
        <v>73</v>
      </c>
      <c r="E38" s="145" t="s">
        <v>74</v>
      </c>
      <c r="F38" s="145" t="s">
        <v>75</v>
      </c>
      <c r="G38" s="146" t="s">
        <v>76</v>
      </c>
      <c r="H38" s="146" t="s">
        <v>77</v>
      </c>
      <c r="I38" s="146" t="s">
        <v>78</v>
      </c>
    </row>
    <row r="39" spans="1:11" x14ac:dyDescent="0.25">
      <c r="A39" s="79" t="str">
        <f>A15</f>
        <v>Residential R1</v>
      </c>
      <c r="B39" s="147">
        <f>ROUND('2. RateDesign F,V Split'!G46,4)</f>
        <v>5.5899999999999998E-2</v>
      </c>
      <c r="C39" s="148" t="s">
        <v>13</v>
      </c>
      <c r="D39" s="149">
        <f>D15</f>
        <v>113337066.32818118</v>
      </c>
      <c r="E39" s="150">
        <f>B39*D39</f>
        <v>6335542.0077453274</v>
      </c>
      <c r="F39" s="151"/>
      <c r="G39" s="152"/>
      <c r="H39" s="153">
        <f>F15*G15</f>
        <v>0</v>
      </c>
      <c r="I39" s="153">
        <f>E39+H39</f>
        <v>6335542.0077453274</v>
      </c>
    </row>
    <row r="40" spans="1:11" x14ac:dyDescent="0.25">
      <c r="A40" s="79" t="str">
        <f t="shared" ref="A40:A43" si="1">A16</f>
        <v>Residential R2</v>
      </c>
      <c r="B40" s="147">
        <f>ROUND('2. RateDesign F,V Split'!G47,4)</f>
        <v>17.131399999999999</v>
      </c>
      <c r="C40" s="148" t="s">
        <v>14</v>
      </c>
      <c r="D40" s="149">
        <f t="shared" ref="D40:D42" si="2">D16</f>
        <v>248604.90808096013</v>
      </c>
      <c r="E40" s="150">
        <f>B40*D40</f>
        <v>4258950.1222981606</v>
      </c>
      <c r="F40" s="154">
        <f>F16</f>
        <v>-0.6</v>
      </c>
      <c r="G40" s="179">
        <f>G16</f>
        <v>183646.12908238586</v>
      </c>
      <c r="H40" s="153">
        <f>F16*G16</f>
        <v>-110187.67744943152</v>
      </c>
      <c r="I40" s="153">
        <f>E40+H40</f>
        <v>4148762.4448487288</v>
      </c>
    </row>
    <row r="41" spans="1:11" x14ac:dyDescent="0.25">
      <c r="A41" s="79" t="str">
        <f t="shared" si="1"/>
        <v>Seasonal</v>
      </c>
      <c r="B41" s="147">
        <f>ROUND('2. RateDesign F,V Split'!G48,4)</f>
        <v>0.1522</v>
      </c>
      <c r="C41" s="148" t="s">
        <v>13</v>
      </c>
      <c r="D41" s="149">
        <f t="shared" si="2"/>
        <v>5874372.3645382812</v>
      </c>
      <c r="E41" s="150">
        <f>B41*D41</f>
        <v>894079.47388272639</v>
      </c>
      <c r="F41" s="156"/>
      <c r="G41" s="152"/>
      <c r="H41" s="153">
        <f>F17*G17</f>
        <v>0</v>
      </c>
      <c r="I41" s="153">
        <f>E41+H41</f>
        <v>894079.47388272639</v>
      </c>
    </row>
    <row r="42" spans="1:11" x14ac:dyDescent="0.25">
      <c r="A42" s="79" t="str">
        <f t="shared" si="1"/>
        <v>Street Lighting</v>
      </c>
      <c r="B42" s="147">
        <f>ROUND('2. RateDesign F,V Split'!G49,4)</f>
        <v>0.30430000000000001</v>
      </c>
      <c r="C42" s="148" t="s">
        <v>13</v>
      </c>
      <c r="D42" s="149">
        <f t="shared" si="2"/>
        <v>581104.4520676051</v>
      </c>
      <c r="E42" s="150">
        <f>B42*D42</f>
        <v>176830.08476417224</v>
      </c>
      <c r="F42" s="151"/>
      <c r="G42" s="152"/>
      <c r="H42" s="153">
        <f>F18*G18</f>
        <v>0</v>
      </c>
      <c r="I42" s="153">
        <f>E42+H42</f>
        <v>176830.08476417224</v>
      </c>
    </row>
    <row r="43" spans="1:11" hidden="1" x14ac:dyDescent="0.25">
      <c r="A43" s="79" t="str">
        <f t="shared" si="1"/>
        <v>other</v>
      </c>
      <c r="B43" s="147">
        <f>'2. RateDesign F,V Split'!G50</f>
        <v>0</v>
      </c>
      <c r="C43" s="148" t="s">
        <v>14</v>
      </c>
      <c r="D43" s="149">
        <v>0</v>
      </c>
      <c r="E43" s="150">
        <f>B43*D43</f>
        <v>0</v>
      </c>
      <c r="F43" s="151"/>
      <c r="G43" s="152"/>
      <c r="H43" s="153">
        <f>F19*G19</f>
        <v>0</v>
      </c>
      <c r="I43" s="153">
        <f>E43+H43</f>
        <v>0</v>
      </c>
    </row>
    <row r="44" spans="1:11" x14ac:dyDescent="0.25">
      <c r="A44" s="157" t="s">
        <v>79</v>
      </c>
      <c r="B44" s="158"/>
      <c r="C44" s="159"/>
      <c r="D44" s="160"/>
      <c r="E44" s="161">
        <f t="shared" ref="E44:I44" si="3">SUM(E39:E43)</f>
        <v>11665401.688690387</v>
      </c>
      <c r="F44" s="162">
        <f t="shared" si="3"/>
        <v>-0.6</v>
      </c>
      <c r="G44" s="163">
        <f t="shared" si="3"/>
        <v>183646.12908238586</v>
      </c>
      <c r="H44" s="161">
        <f t="shared" si="3"/>
        <v>-110187.67744943152</v>
      </c>
      <c r="I44" s="164">
        <f t="shared" si="3"/>
        <v>11555214.011240955</v>
      </c>
    </row>
    <row r="47" spans="1:11" x14ac:dyDescent="0.25">
      <c r="A47" s="143" t="s">
        <v>91</v>
      </c>
      <c r="B47" s="165"/>
      <c r="C47" s="166"/>
      <c r="D47" s="167"/>
      <c r="E47" s="167"/>
      <c r="F47" s="165"/>
      <c r="G47" s="165"/>
      <c r="H47" s="165"/>
      <c r="I47" s="69"/>
    </row>
    <row r="48" spans="1:11" x14ac:dyDescent="0.25">
      <c r="B48" s="351" t="s">
        <v>93</v>
      </c>
      <c r="C48" s="351"/>
      <c r="D48" s="351"/>
      <c r="E48" s="351"/>
      <c r="F48" s="351"/>
      <c r="G48" s="351"/>
      <c r="H48" s="351"/>
      <c r="I48" s="351"/>
    </row>
    <row r="49" spans="1:9" ht="28.5" x14ac:dyDescent="0.25">
      <c r="A49" s="144" t="s">
        <v>42</v>
      </c>
      <c r="B49" s="145" t="s">
        <v>81</v>
      </c>
      <c r="C49" s="145" t="s">
        <v>82</v>
      </c>
      <c r="D49" s="145" t="s">
        <v>83</v>
      </c>
      <c r="E49" s="145" t="s">
        <v>84</v>
      </c>
      <c r="F49" s="145" t="s">
        <v>47</v>
      </c>
      <c r="G49" s="146" t="s">
        <v>85</v>
      </c>
      <c r="H49" s="146" t="s">
        <v>86</v>
      </c>
      <c r="I49" s="146" t="s">
        <v>87</v>
      </c>
    </row>
    <row r="50" spans="1:9" x14ac:dyDescent="0.25">
      <c r="A50" s="79" t="str">
        <f>A15</f>
        <v>Residential R1</v>
      </c>
      <c r="B50" s="154">
        <f>'2. RateDesign F,V Split'!B46</f>
        <v>103.56</v>
      </c>
      <c r="C50" s="168">
        <v>9112.8451064303372</v>
      </c>
      <c r="D50" s="150">
        <f>B50*12*C50</f>
        <v>11324714.870663108</v>
      </c>
      <c r="E50" s="150">
        <f>I39</f>
        <v>6335542.0077453274</v>
      </c>
      <c r="F50" s="150">
        <f>D50+E50</f>
        <v>17660256.878408436</v>
      </c>
      <c r="G50" s="169">
        <f>IF(D50, ABS(D50/F50),"")</f>
        <v>0.64125425516934531</v>
      </c>
      <c r="H50" s="169">
        <f>IF(E50,ABS(E50/F50),"")</f>
        <v>0.35874574483065469</v>
      </c>
      <c r="I50" s="169">
        <f>IF(F50,ABS(F50/$F$55),"")</f>
        <v>0.69385211372599376</v>
      </c>
    </row>
    <row r="51" spans="1:9" x14ac:dyDescent="0.25">
      <c r="A51" s="79" t="str">
        <f>A16</f>
        <v>Residential R2</v>
      </c>
      <c r="B51" s="154">
        <f>'2. RateDesign F,V Split'!B47</f>
        <v>1265.7</v>
      </c>
      <c r="C51" s="168">
        <v>37.282220262380214</v>
      </c>
      <c r="D51" s="150">
        <f>B51*12*C51</f>
        <v>566257.27423313574</v>
      </c>
      <c r="E51" s="150">
        <f>I40</f>
        <v>4148762.4448487288</v>
      </c>
      <c r="F51" s="150">
        <f>D51+E51</f>
        <v>4715019.7190818647</v>
      </c>
      <c r="G51" s="169">
        <f>IF(D51, ABS(D51/F51),"")</f>
        <v>0.1200964806025033</v>
      </c>
      <c r="H51" s="169">
        <f>IF(E51,ABS(E51/F51),"")</f>
        <v>0.87990351939749667</v>
      </c>
      <c r="I51" s="169">
        <f>IF(F51,ABS(F51/$F$55),"")</f>
        <v>0.18524795085763937</v>
      </c>
    </row>
    <row r="52" spans="1:9" x14ac:dyDescent="0.25">
      <c r="A52" s="79" t="str">
        <f>A17</f>
        <v>Seasonal</v>
      </c>
      <c r="B52" s="154">
        <f>'2. RateDesign F,V Split'!B48</f>
        <v>55.76</v>
      </c>
      <c r="C52" s="168">
        <v>2960.1858518389645</v>
      </c>
      <c r="D52" s="150">
        <f>B52*12*C52</f>
        <v>1980719.557182488</v>
      </c>
      <c r="E52" s="150">
        <f>I41</f>
        <v>894079.47388272639</v>
      </c>
      <c r="F52" s="150">
        <f>D52+E52</f>
        <v>2874799.0310652144</v>
      </c>
      <c r="G52" s="169">
        <f>IF(D52, ABS(D52/F52),"")</f>
        <v>0.6889940951623883</v>
      </c>
      <c r="H52" s="169">
        <f>IF(E52,ABS(E52/F52),"")</f>
        <v>0.3110059048376117</v>
      </c>
      <c r="I52" s="169">
        <f>IF(F52,ABS(F52/$F$55),"")</f>
        <v>0.11294769934409932</v>
      </c>
    </row>
    <row r="53" spans="1:9" x14ac:dyDescent="0.25">
      <c r="A53" s="79" t="str">
        <f>A18</f>
        <v>Street Lighting</v>
      </c>
      <c r="B53" s="154">
        <f>'2. RateDesign F,V Split'!B49</f>
        <v>1.89</v>
      </c>
      <c r="C53" s="168">
        <v>1127.6033016645551</v>
      </c>
      <c r="D53" s="150">
        <f>B53*12*C53</f>
        <v>25574.04288175211</v>
      </c>
      <c r="E53" s="150">
        <f>I42</f>
        <v>176830.08476417224</v>
      </c>
      <c r="F53" s="150">
        <f>D53+E53</f>
        <v>202404.12764592434</v>
      </c>
      <c r="G53" s="169">
        <f>IF(D53, ABS(D53/F53),"")</f>
        <v>0.12635139005905088</v>
      </c>
      <c r="H53" s="169">
        <f>IF(E53,ABS(E53/F53),"")</f>
        <v>0.87364860994094917</v>
      </c>
      <c r="I53" s="169">
        <f>IF(F53,ABS(F53/$F$55),"")</f>
        <v>7.9522360722675371E-3</v>
      </c>
    </row>
    <row r="54" spans="1:9" hidden="1" x14ac:dyDescent="0.25">
      <c r="A54" s="79" t="str">
        <f>A19</f>
        <v>other</v>
      </c>
      <c r="B54" s="147">
        <f>'2. RateDesign F,V Split'!B50</f>
        <v>0</v>
      </c>
      <c r="C54" s="168">
        <v>0</v>
      </c>
      <c r="D54" s="150">
        <f>B54*12*C54</f>
        <v>0</v>
      </c>
      <c r="E54" s="150">
        <f>I43</f>
        <v>0</v>
      </c>
      <c r="F54" s="150">
        <f>D54+E54</f>
        <v>0</v>
      </c>
      <c r="G54" s="171" t="str">
        <f>IF(D54, ABS(D54/F54),"")</f>
        <v/>
      </c>
      <c r="H54" s="171" t="str">
        <f>IF(E54,ABS(E54/F54),"")</f>
        <v/>
      </c>
      <c r="I54" s="171" t="str">
        <f>IF(F54,ABS(F54/$F$55),"")</f>
        <v/>
      </c>
    </row>
    <row r="55" spans="1:9" ht="14.25" customHeight="1" x14ac:dyDescent="0.2">
      <c r="A55" s="157" t="s">
        <v>89</v>
      </c>
      <c r="B55" s="158"/>
      <c r="C55" s="159">
        <f>SUM(C50:C54)</f>
        <v>13237.91648019624</v>
      </c>
      <c r="D55" s="161">
        <f>SUM(D50:D54)</f>
        <v>13897265.744960485</v>
      </c>
      <c r="E55" s="161">
        <f>SUM(E50:E54)</f>
        <v>11555214.011240955</v>
      </c>
      <c r="F55" s="161">
        <f>SUM(F50:F54)</f>
        <v>25452479.756201439</v>
      </c>
      <c r="G55" s="172"/>
      <c r="H55" s="172"/>
      <c r="I55" s="172"/>
    </row>
    <row r="57" spans="1:9" x14ac:dyDescent="0.25">
      <c r="D57" s="180" t="s">
        <v>94</v>
      </c>
      <c r="F57" s="181">
        <f>'2. RateDesign F,V Split'!F71</f>
        <v>25454573.633850452</v>
      </c>
    </row>
    <row r="58" spans="1:9" x14ac:dyDescent="0.25">
      <c r="D58" s="180" t="s">
        <v>95</v>
      </c>
      <c r="F58" s="181">
        <f>F55-F57</f>
        <v>-2093.877649012953</v>
      </c>
    </row>
    <row r="59" spans="1:9" x14ac:dyDescent="0.25">
      <c r="F59" s="182">
        <f>F58/F57</f>
        <v>-8.2259388003593813E-5</v>
      </c>
    </row>
    <row r="71" spans="4:4" x14ac:dyDescent="0.25">
      <c r="D71" s="21" t="s">
        <v>37</v>
      </c>
    </row>
  </sheetData>
  <sheetProtection selectLockedCells="1" selectUnlockedCells="1"/>
  <mergeCells count="9">
    <mergeCell ref="A34:I34"/>
    <mergeCell ref="B37:I37"/>
    <mergeCell ref="B48:I48"/>
    <mergeCell ref="A7:I7"/>
    <mergeCell ref="A8:I8"/>
    <mergeCell ref="A9:K9"/>
    <mergeCell ref="A10:I10"/>
    <mergeCell ref="B13:I13"/>
    <mergeCell ref="B24:I24"/>
  </mergeCells>
  <pageMargins left="0.7" right="0.7" top="0.75" bottom="0.75" header="0.51180555555555551" footer="0.51180555555555551"/>
  <pageSetup scale="72" firstPageNumber="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C590-F6B8-40D4-9065-8DD67C814FE2}">
  <sheetPr codeName="Sheet3">
    <pageSetUpPr fitToPage="1"/>
  </sheetPr>
  <dimension ref="B1:O71"/>
  <sheetViews>
    <sheetView showGridLines="0" zoomScaleNormal="100" workbookViewId="0">
      <selection activeCell="N23" sqref="N23"/>
    </sheetView>
  </sheetViews>
  <sheetFormatPr defaultColWidth="9.140625" defaultRowHeight="14.25" x14ac:dyDescent="0.25"/>
  <cols>
    <col min="1" max="1" width="3.42578125" customWidth="1"/>
    <col min="2" max="2" width="19.85546875" style="21" customWidth="1"/>
    <col min="3" max="3" width="7.42578125" style="21" customWidth="1"/>
    <col min="4" max="4" width="10.140625" style="21" customWidth="1"/>
    <col min="5" max="5" width="12.42578125" style="21" bestFit="1" customWidth="1"/>
    <col min="6" max="6" width="12" style="21" customWidth="1"/>
    <col min="7" max="9" width="12.28515625" style="21" customWidth="1"/>
    <col min="10" max="10" width="11.42578125" style="21" bestFit="1" customWidth="1"/>
    <col min="11" max="12" width="11.28515625" style="21" customWidth="1"/>
    <col min="13" max="13" width="10.42578125" style="21" bestFit="1" customWidth="1"/>
    <col min="14" max="14" width="12.42578125" style="21" bestFit="1" customWidth="1"/>
    <col min="15" max="15" width="15.85546875" style="21" bestFit="1" customWidth="1"/>
  </cols>
  <sheetData>
    <row r="1" spans="2:15" ht="15.75" customHeight="1" x14ac:dyDescent="0.25">
      <c r="B1" s="346" t="s">
        <v>0</v>
      </c>
      <c r="C1" s="346"/>
      <c r="D1" s="346"/>
      <c r="E1" s="346"/>
      <c r="F1" s="346"/>
      <c r="G1" s="346"/>
      <c r="H1" s="346"/>
      <c r="I1" s="346"/>
      <c r="J1" s="346"/>
      <c r="K1" s="346"/>
      <c r="L1" s="346"/>
      <c r="M1" s="346"/>
      <c r="N1" s="346"/>
      <c r="O1" s="346"/>
    </row>
    <row r="2" spans="2:15" x14ac:dyDescent="0.25">
      <c r="B2" s="346" t="s">
        <v>96</v>
      </c>
      <c r="C2" s="346"/>
      <c r="D2" s="346"/>
      <c r="E2" s="346"/>
      <c r="F2" s="346"/>
      <c r="G2" s="346"/>
      <c r="H2" s="346"/>
      <c r="I2" s="346"/>
      <c r="J2" s="346"/>
      <c r="K2" s="346"/>
      <c r="L2" s="346"/>
      <c r="M2" s="346"/>
      <c r="N2" s="346"/>
      <c r="O2" s="346"/>
    </row>
    <row r="3" spans="2:15" ht="15" thickBot="1" x14ac:dyDescent="0.3">
      <c r="B3" s="183"/>
      <c r="C3" s="183"/>
      <c r="D3" s="183"/>
      <c r="E3" s="183"/>
      <c r="F3" s="183"/>
      <c r="G3" s="183"/>
      <c r="H3" s="183"/>
      <c r="I3" s="183"/>
      <c r="J3" s="183"/>
      <c r="K3" s="183"/>
      <c r="L3" s="183"/>
      <c r="M3" s="183"/>
      <c r="N3" s="183"/>
      <c r="O3" s="184"/>
    </row>
    <row r="4" spans="2:15" ht="15" thickBot="1" x14ac:dyDescent="0.3">
      <c r="B4" s="185" t="s">
        <v>97</v>
      </c>
      <c r="C4" s="185"/>
      <c r="D4" s="185"/>
      <c r="E4" s="185"/>
      <c r="F4" s="185"/>
      <c r="G4" s="185"/>
      <c r="H4" s="185"/>
      <c r="I4" s="185"/>
      <c r="J4" s="185"/>
      <c r="K4" s="185"/>
      <c r="L4" s="185"/>
      <c r="M4" s="185"/>
      <c r="N4" s="185"/>
      <c r="O4" s="186">
        <f>'2. RateDesign F,V Split'!F61+'2. RateDesign F,V Split'!F62</f>
        <v>22377539.485048581</v>
      </c>
    </row>
    <row r="5" spans="2:15" ht="15" thickBot="1" x14ac:dyDescent="0.3"/>
    <row r="6" spans="2:15" x14ac:dyDescent="0.25">
      <c r="B6" s="355" t="s">
        <v>98</v>
      </c>
      <c r="C6" s="356"/>
      <c r="D6" s="356"/>
      <c r="E6" s="356"/>
      <c r="F6" s="356"/>
      <c r="G6" s="356"/>
      <c r="H6" s="356"/>
      <c r="I6" s="356"/>
      <c r="J6" s="356"/>
      <c r="K6" s="356"/>
      <c r="L6" s="356"/>
      <c r="M6" s="356"/>
      <c r="N6" s="356"/>
      <c r="O6" s="357"/>
    </row>
    <row r="7" spans="2:15" x14ac:dyDescent="0.25">
      <c r="B7" s="334" t="s">
        <v>99</v>
      </c>
      <c r="C7" s="335"/>
      <c r="D7" s="335"/>
      <c r="E7" s="335"/>
      <c r="F7" s="335"/>
      <c r="G7" s="335"/>
      <c r="H7" s="335"/>
      <c r="I7" s="335"/>
      <c r="J7" s="335"/>
      <c r="K7" s="335"/>
      <c r="L7" s="335"/>
      <c r="M7" s="335"/>
      <c r="N7" s="335"/>
      <c r="O7" s="336"/>
    </row>
    <row r="8" spans="2:15" x14ac:dyDescent="0.25">
      <c r="B8" s="345" t="s">
        <v>100</v>
      </c>
      <c r="C8" s="329"/>
      <c r="D8" s="329"/>
      <c r="E8" s="329"/>
      <c r="F8" s="329"/>
      <c r="G8" s="329"/>
      <c r="H8" s="329"/>
      <c r="I8" s="329"/>
      <c r="J8" s="329"/>
      <c r="K8" s="329"/>
      <c r="L8" s="329"/>
      <c r="M8" s="329"/>
      <c r="N8" s="328"/>
      <c r="O8" s="187">
        <v>1.17E-2</v>
      </c>
    </row>
    <row r="9" spans="2:15" x14ac:dyDescent="0.25">
      <c r="B9" s="337" t="s">
        <v>6</v>
      </c>
      <c r="C9" s="338" t="s">
        <v>7</v>
      </c>
      <c r="D9" s="358" t="s">
        <v>8</v>
      </c>
      <c r="E9" s="335" t="s">
        <v>9</v>
      </c>
      <c r="F9" s="335"/>
      <c r="G9" s="335" t="s">
        <v>101</v>
      </c>
      <c r="H9" s="335"/>
      <c r="I9" s="335" t="s">
        <v>102</v>
      </c>
      <c r="J9" s="335"/>
      <c r="K9" s="335" t="s">
        <v>10</v>
      </c>
      <c r="L9" s="335"/>
      <c r="M9" s="335" t="s">
        <v>103</v>
      </c>
      <c r="N9" s="335"/>
      <c r="O9" s="336"/>
    </row>
    <row r="10" spans="2:15" ht="42.75" x14ac:dyDescent="0.2">
      <c r="B10" s="337"/>
      <c r="C10" s="338"/>
      <c r="D10" s="359"/>
      <c r="E10" s="5" t="s">
        <v>13</v>
      </c>
      <c r="F10" s="5" t="s">
        <v>14</v>
      </c>
      <c r="G10" s="6" t="s">
        <v>17</v>
      </c>
      <c r="H10" s="6" t="s">
        <v>18</v>
      </c>
      <c r="I10" s="6" t="s">
        <v>17</v>
      </c>
      <c r="J10" s="6" t="s">
        <v>18</v>
      </c>
      <c r="K10" s="6" t="s">
        <v>15</v>
      </c>
      <c r="L10" s="6" t="s">
        <v>16</v>
      </c>
      <c r="M10" s="6" t="s">
        <v>19</v>
      </c>
      <c r="N10" s="6" t="s">
        <v>20</v>
      </c>
      <c r="O10" s="24" t="s">
        <v>21</v>
      </c>
    </row>
    <row r="11" spans="2:15" x14ac:dyDescent="0.25">
      <c r="B11" s="8" t="s">
        <v>104</v>
      </c>
      <c r="C11" s="9" t="s">
        <v>13</v>
      </c>
      <c r="D11" s="10">
        <v>8115.5292008802571</v>
      </c>
      <c r="E11" s="11">
        <v>84857055.570733279</v>
      </c>
      <c r="F11" s="11"/>
      <c r="G11" s="188">
        <v>42.23</v>
      </c>
      <c r="H11" s="189">
        <v>1.72E-2</v>
      </c>
      <c r="I11" s="13">
        <f>ROUND(G11*(1+$O$8),2)</f>
        <v>42.72</v>
      </c>
      <c r="J11" s="190">
        <f>ROUND(H11*(1+$O$8),4)</f>
        <v>1.7399999999999999E-2</v>
      </c>
      <c r="K11" s="12">
        <f>M11/O11</f>
        <v>0.73806101609892349</v>
      </c>
      <c r="L11" s="12">
        <f>N11/O11</f>
        <v>0.26193898390107656</v>
      </c>
      <c r="M11" s="11">
        <f>D11*I11*12</f>
        <v>4160344.8895392548</v>
      </c>
      <c r="N11" s="11">
        <f>J11*E11</f>
        <v>1476512.766930759</v>
      </c>
      <c r="O11" s="16">
        <f>M11+N11</f>
        <v>5636857.6564700138</v>
      </c>
    </row>
    <row r="12" spans="2:15" x14ac:dyDescent="0.25">
      <c r="B12" s="8" t="s">
        <v>105</v>
      </c>
      <c r="C12" s="9" t="s">
        <v>13</v>
      </c>
      <c r="D12" s="10">
        <v>997.31590555008074</v>
      </c>
      <c r="E12" s="11">
        <v>28480010.757447898</v>
      </c>
      <c r="F12" s="11"/>
      <c r="G12" s="188">
        <v>25.64</v>
      </c>
      <c r="H12" s="189">
        <v>3.61E-2</v>
      </c>
      <c r="I12" s="13">
        <f>ROUND(G12*(1+$O$8),2)</f>
        <v>25.94</v>
      </c>
      <c r="J12" s="190">
        <f>ROUND(H12*(1+$O$8),4)</f>
        <v>3.6499999999999998E-2</v>
      </c>
      <c r="K12" s="12">
        <f>M12/O12</f>
        <v>0.22996486642142186</v>
      </c>
      <c r="L12" s="12">
        <f>N12/O12</f>
        <v>0.77003513357857811</v>
      </c>
      <c r="M12" s="11">
        <f>D12*I12*12</f>
        <v>310444.49507962912</v>
      </c>
      <c r="N12" s="11">
        <f>J12*E12</f>
        <v>1039520.3926468482</v>
      </c>
      <c r="O12" s="16">
        <f>M12+N12</f>
        <v>1349964.8877264773</v>
      </c>
    </row>
    <row r="13" spans="2:15" x14ac:dyDescent="0.25">
      <c r="B13" s="191" t="s">
        <v>24</v>
      </c>
      <c r="C13" s="192" t="s">
        <v>14</v>
      </c>
      <c r="D13" s="193">
        <v>37.282220262380214</v>
      </c>
      <c r="E13" s="194"/>
      <c r="F13" s="194">
        <v>248604.90808096013</v>
      </c>
      <c r="G13" s="195">
        <v>659.94</v>
      </c>
      <c r="H13" s="196">
        <v>3.4194</v>
      </c>
      <c r="I13" s="13">
        <f>ROUND(G13*(1+$O$8),2)</f>
        <v>667.66</v>
      </c>
      <c r="J13" s="190">
        <f>ROUND(H13*(1+$O$8),4)</f>
        <v>3.4594</v>
      </c>
      <c r="K13" s="197">
        <f>M13/O13</f>
        <v>0.25778498970851033</v>
      </c>
      <c r="L13" s="197">
        <f>N13/O13</f>
        <v>0.74221501029148973</v>
      </c>
      <c r="M13" s="194">
        <f>D13*I13*12</f>
        <v>298702.16616456927</v>
      </c>
      <c r="N13" s="194">
        <f>J13*F13</f>
        <v>860023.81901527348</v>
      </c>
      <c r="O13" s="198">
        <f>M13+N13</f>
        <v>1158725.9851798427</v>
      </c>
    </row>
    <row r="14" spans="2:15" x14ac:dyDescent="0.25">
      <c r="B14" s="8" t="s">
        <v>106</v>
      </c>
      <c r="C14" s="9"/>
      <c r="D14" s="10"/>
      <c r="E14" s="11"/>
      <c r="F14" s="11"/>
      <c r="G14" s="12"/>
      <c r="H14" s="12"/>
      <c r="I14" s="13"/>
      <c r="J14" s="14"/>
      <c r="K14" s="14"/>
      <c r="L14" s="14"/>
      <c r="M14" s="11"/>
      <c r="N14" s="11">
        <f>'2. RateDesign F,V Split'!D62</f>
        <v>110187.67744943153</v>
      </c>
      <c r="O14" s="16">
        <f>M14+N14</f>
        <v>110187.67744943153</v>
      </c>
    </row>
    <row r="15" spans="2:15" x14ac:dyDescent="0.25">
      <c r="B15" s="33"/>
      <c r="C15" s="34"/>
      <c r="D15" s="34"/>
      <c r="E15" s="34"/>
      <c r="F15" s="34"/>
      <c r="G15" s="34"/>
      <c r="H15" s="34"/>
      <c r="I15" s="34"/>
      <c r="J15" s="34"/>
      <c r="K15" s="34"/>
      <c r="L15" s="34"/>
      <c r="M15" s="34"/>
      <c r="N15" s="34"/>
      <c r="O15" s="35"/>
    </row>
    <row r="16" spans="2:15" ht="15" thickBot="1" x14ac:dyDescent="0.3">
      <c r="B16" s="353" t="s">
        <v>107</v>
      </c>
      <c r="C16" s="354"/>
      <c r="D16" s="354"/>
      <c r="E16" s="354"/>
      <c r="F16" s="354"/>
      <c r="G16" s="354"/>
      <c r="H16" s="354"/>
      <c r="I16" s="354"/>
      <c r="J16" s="354"/>
      <c r="K16" s="354"/>
      <c r="L16" s="354"/>
      <c r="M16" s="354"/>
      <c r="N16" s="354"/>
      <c r="O16" s="199">
        <f>O4-O11-O12-O13+O14</f>
        <v>14342178.633121679</v>
      </c>
    </row>
    <row r="17" spans="14:15" ht="18" customHeight="1" x14ac:dyDescent="0.25">
      <c r="N17" s="21" t="s">
        <v>22</v>
      </c>
      <c r="O17" s="200">
        <f>O4+O14-O11-O12-O13-O16</f>
        <v>0</v>
      </c>
    </row>
    <row r="21" spans="14:15" ht="12.75" customHeight="1" x14ac:dyDescent="0.25"/>
    <row r="71" spans="4:4" x14ac:dyDescent="0.25">
      <c r="D71" s="21" t="s">
        <v>37</v>
      </c>
    </row>
  </sheetData>
  <mergeCells count="14">
    <mergeCell ref="I9:J9"/>
    <mergeCell ref="K9:L9"/>
    <mergeCell ref="M9:O9"/>
    <mergeCell ref="B16:N16"/>
    <mergeCell ref="B1:O1"/>
    <mergeCell ref="B2:O2"/>
    <mergeCell ref="B6:O6"/>
    <mergeCell ref="B7:O7"/>
    <mergeCell ref="B8:N8"/>
    <mergeCell ref="B9:B10"/>
    <mergeCell ref="C9:C10"/>
    <mergeCell ref="D9:D10"/>
    <mergeCell ref="E9:F9"/>
    <mergeCell ref="G9:H9"/>
  </mergeCells>
  <pageMargins left="0.75" right="0.75" top="1" bottom="1" header="0.5" footer="0.5"/>
  <pageSetup scale="7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6C49-8A8A-403A-B1E5-4A34E7AD938B}">
  <sheetPr codeName="Sheet4">
    <pageSetUpPr fitToPage="1"/>
  </sheetPr>
  <dimension ref="B1:O71"/>
  <sheetViews>
    <sheetView showGridLines="0" topLeftCell="A9" zoomScaleNormal="100" workbookViewId="0">
      <selection activeCell="J16" sqref="J16"/>
    </sheetView>
  </sheetViews>
  <sheetFormatPr defaultColWidth="9.140625" defaultRowHeight="14.25" x14ac:dyDescent="0.25"/>
  <cols>
    <col min="1" max="1" width="4.140625" customWidth="1"/>
    <col min="2" max="2" width="19.85546875" style="21" bestFit="1" customWidth="1"/>
    <col min="3" max="3" width="6.42578125" style="21" customWidth="1"/>
    <col min="4" max="4" width="10.140625" style="21" customWidth="1"/>
    <col min="5" max="5" width="12.42578125" style="21" bestFit="1" customWidth="1"/>
    <col min="6" max="6" width="9.7109375" style="21" customWidth="1"/>
    <col min="7" max="7" width="12.42578125" style="21" bestFit="1" customWidth="1"/>
    <col min="8" max="8" width="10.28515625" style="21" bestFit="1" customWidth="1"/>
    <col min="9" max="9" width="9.5703125" style="21" bestFit="1" customWidth="1"/>
    <col min="10" max="10" width="9" style="21" bestFit="1" customWidth="1"/>
    <col min="11" max="13" width="10.5703125" style="21" bestFit="1" customWidth="1"/>
  </cols>
  <sheetData>
    <row r="1" spans="2:15" hidden="1" x14ac:dyDescent="0.25"/>
    <row r="2" spans="2:15" hidden="1" x14ac:dyDescent="0.25"/>
    <row r="3" spans="2:15" hidden="1" x14ac:dyDescent="0.25"/>
    <row r="4" spans="2:15" hidden="1" x14ac:dyDescent="0.25"/>
    <row r="5" spans="2:15" hidden="1" x14ac:dyDescent="0.25"/>
    <row r="6" spans="2:15" hidden="1" x14ac:dyDescent="0.25"/>
    <row r="7" spans="2:15" hidden="1" x14ac:dyDescent="0.25"/>
    <row r="8" spans="2:15" hidden="1" x14ac:dyDescent="0.25"/>
    <row r="9" spans="2:15" x14ac:dyDescent="0.25">
      <c r="B9" s="346" t="s">
        <v>0</v>
      </c>
      <c r="C9" s="346"/>
      <c r="D9" s="346"/>
      <c r="E9" s="346"/>
      <c r="F9" s="346"/>
      <c r="G9" s="346"/>
      <c r="H9" s="346"/>
      <c r="I9" s="346"/>
      <c r="J9" s="346"/>
      <c r="K9" s="346"/>
      <c r="L9" s="346"/>
      <c r="M9" s="346"/>
      <c r="N9" s="201"/>
      <c r="O9" s="201"/>
    </row>
    <row r="10" spans="2:15" x14ac:dyDescent="0.25">
      <c r="B10" s="346" t="s">
        <v>108</v>
      </c>
      <c r="C10" s="346"/>
      <c r="D10" s="346"/>
      <c r="E10" s="346"/>
      <c r="F10" s="346"/>
      <c r="G10" s="346"/>
      <c r="H10" s="346"/>
      <c r="I10" s="346"/>
      <c r="J10" s="346"/>
      <c r="K10" s="346"/>
      <c r="L10" s="346"/>
      <c r="M10" s="346"/>
      <c r="N10" s="201"/>
      <c r="O10" s="201"/>
    </row>
    <row r="11" spans="2:15" ht="15" thickBot="1" x14ac:dyDescent="0.3"/>
    <row r="12" spans="2:15" x14ac:dyDescent="0.25">
      <c r="B12" s="355" t="s">
        <v>109</v>
      </c>
      <c r="C12" s="356"/>
      <c r="D12" s="356"/>
      <c r="E12" s="356"/>
      <c r="F12" s="356"/>
      <c r="G12" s="356"/>
      <c r="H12" s="356"/>
      <c r="I12" s="356"/>
      <c r="J12" s="356"/>
      <c r="K12" s="356"/>
      <c r="L12" s="356"/>
      <c r="M12" s="357"/>
    </row>
    <row r="13" spans="2:15" x14ac:dyDescent="0.25">
      <c r="B13" s="337" t="s">
        <v>6</v>
      </c>
      <c r="C13" s="338" t="s">
        <v>7</v>
      </c>
      <c r="D13" s="339" t="s">
        <v>8</v>
      </c>
      <c r="E13" s="335" t="s">
        <v>9</v>
      </c>
      <c r="F13" s="335"/>
      <c r="G13" s="327" t="s">
        <v>10</v>
      </c>
      <c r="H13" s="328"/>
      <c r="I13" s="335" t="s">
        <v>11</v>
      </c>
      <c r="J13" s="335"/>
      <c r="K13" s="335" t="s">
        <v>12</v>
      </c>
      <c r="L13" s="335"/>
      <c r="M13" s="336"/>
    </row>
    <row r="14" spans="2:15" ht="42.75" x14ac:dyDescent="0.2">
      <c r="B14" s="337"/>
      <c r="C14" s="338"/>
      <c r="D14" s="339"/>
      <c r="E14" s="5" t="s">
        <v>13</v>
      </c>
      <c r="F14" s="5" t="s">
        <v>14</v>
      </c>
      <c r="G14" s="6" t="s">
        <v>15</v>
      </c>
      <c r="H14" s="6" t="s">
        <v>16</v>
      </c>
      <c r="I14" s="6" t="s">
        <v>17</v>
      </c>
      <c r="J14" s="6" t="s">
        <v>18</v>
      </c>
      <c r="K14" s="6" t="s">
        <v>19</v>
      </c>
      <c r="L14" s="6" t="s">
        <v>20</v>
      </c>
      <c r="M14" s="24" t="s">
        <v>21</v>
      </c>
    </row>
    <row r="15" spans="2:15" x14ac:dyDescent="0.25">
      <c r="B15" s="191" t="s">
        <v>25</v>
      </c>
      <c r="C15" s="192" t="s">
        <v>13</v>
      </c>
      <c r="D15" s="193">
        <v>2960.1858518389645</v>
      </c>
      <c r="E15" s="202">
        <v>5874372.3645382812</v>
      </c>
      <c r="F15" s="202"/>
      <c r="G15" s="203">
        <f>K15/M15</f>
        <v>0.6889940951623883</v>
      </c>
      <c r="H15" s="204">
        <f>L15/M15</f>
        <v>0.31100590483761176</v>
      </c>
      <c r="I15" s="205">
        <f>ROUND('2. RateDesign F,V Split'!B48,2)</f>
        <v>55.76</v>
      </c>
      <c r="J15" s="206">
        <f>ROUND('2. RateDesign F,V Split'!G48,4)</f>
        <v>0.1522</v>
      </c>
      <c r="K15" s="207">
        <f>D15*I15*12</f>
        <v>1980719.5571824876</v>
      </c>
      <c r="L15" s="207">
        <f>E15*J15</f>
        <v>894079.47388272639</v>
      </c>
      <c r="M15" s="208">
        <f>K15+L15</f>
        <v>2874799.031065214</v>
      </c>
    </row>
    <row r="16" spans="2:15" x14ac:dyDescent="0.25">
      <c r="B16" s="191" t="s">
        <v>26</v>
      </c>
      <c r="C16" s="192" t="s">
        <v>13</v>
      </c>
      <c r="D16" s="193">
        <v>1127.6033016645551</v>
      </c>
      <c r="E16" s="202">
        <v>581104.4520676051</v>
      </c>
      <c r="F16" s="202"/>
      <c r="G16" s="203">
        <f>K16/M16</f>
        <v>0.12635139005905088</v>
      </c>
      <c r="H16" s="204">
        <f>L16/M16</f>
        <v>0.87364860994094917</v>
      </c>
      <c r="I16" s="205">
        <f>ROUND('2. RateDesign F,V Split'!B49,2)</f>
        <v>1.89</v>
      </c>
      <c r="J16" s="206">
        <f>ROUND('2. RateDesign F,V Split'!G49,4)</f>
        <v>0.30430000000000001</v>
      </c>
      <c r="K16" s="207">
        <f>D16*I16*12</f>
        <v>25574.04288175211</v>
      </c>
      <c r="L16" s="207">
        <f>E16*J16</f>
        <v>176830.08476417224</v>
      </c>
      <c r="M16" s="208">
        <f>K16+L16</f>
        <v>202404.12764592434</v>
      </c>
    </row>
    <row r="17" spans="2:13" ht="15" thickBot="1" x14ac:dyDescent="0.3">
      <c r="B17" s="17"/>
      <c r="C17" s="18"/>
      <c r="D17" s="18"/>
      <c r="E17" s="18"/>
      <c r="F17" s="18"/>
      <c r="G17" s="18"/>
      <c r="H17" s="18"/>
      <c r="I17" s="18"/>
      <c r="J17" s="18"/>
      <c r="K17" s="19">
        <f>K15+K16</f>
        <v>2006293.6000642397</v>
      </c>
      <c r="L17" s="19">
        <f>L15+L16</f>
        <v>1070909.5586468987</v>
      </c>
      <c r="M17" s="20">
        <f>K17+L17</f>
        <v>3077203.1587111382</v>
      </c>
    </row>
    <row r="19" spans="2:13" x14ac:dyDescent="0.25">
      <c r="L19" s="67"/>
      <c r="M19" s="209"/>
    </row>
    <row r="71" spans="4:4" x14ac:dyDescent="0.25">
      <c r="D71" s="21" t="s">
        <v>37</v>
      </c>
    </row>
  </sheetData>
  <mergeCells count="10">
    <mergeCell ref="B9:M9"/>
    <mergeCell ref="B10:M10"/>
    <mergeCell ref="B12:M12"/>
    <mergeCell ref="B13:B14"/>
    <mergeCell ref="C13:C14"/>
    <mergeCell ref="D13:D14"/>
    <mergeCell ref="E13:F13"/>
    <mergeCell ref="G13:H13"/>
    <mergeCell ref="I13:J13"/>
    <mergeCell ref="K13:M13"/>
  </mergeCells>
  <pageMargins left="0.75" right="0.75" top="1" bottom="1" header="0.5" footer="0.5"/>
  <pageSetup scale="89"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639A-D1DA-40F9-A742-505E5FE100A1}">
  <sheetPr codeName="Sheet256">
    <pageSetUpPr fitToPage="1"/>
  </sheetPr>
  <dimension ref="A1:L71"/>
  <sheetViews>
    <sheetView showGridLines="0" topLeftCell="A9" zoomScaleNormal="100" workbookViewId="0">
      <selection activeCell="B20" sqref="B20"/>
    </sheetView>
  </sheetViews>
  <sheetFormatPr defaultColWidth="9.140625" defaultRowHeight="14.25" x14ac:dyDescent="0.25"/>
  <cols>
    <col min="1" max="1" width="32" style="210" customWidth="1"/>
    <col min="2" max="2" width="20.7109375" style="210" customWidth="1"/>
    <col min="3" max="4" width="21" style="210" customWidth="1"/>
    <col min="5" max="5" width="19.7109375" style="210" customWidth="1"/>
    <col min="6" max="6" width="15" style="213" customWidth="1"/>
    <col min="7" max="7" width="17.28515625" style="213" customWidth="1"/>
    <col min="8" max="8" width="9.140625" style="213"/>
    <col min="9" max="9" width="9.7109375" style="213" bestFit="1" customWidth="1"/>
    <col min="10" max="16384" width="9.140625" style="213"/>
  </cols>
  <sheetData>
    <row r="1" spans="1:12" hidden="1" x14ac:dyDescent="0.25">
      <c r="E1" s="211" t="s">
        <v>110</v>
      </c>
      <c r="F1" s="212">
        <v>0</v>
      </c>
    </row>
    <row r="2" spans="1:12" hidden="1" x14ac:dyDescent="0.25">
      <c r="E2" s="211" t="s">
        <v>111</v>
      </c>
      <c r="F2" s="214"/>
    </row>
    <row r="3" spans="1:12" hidden="1" x14ac:dyDescent="0.25">
      <c r="E3" s="211" t="s">
        <v>112</v>
      </c>
      <c r="F3" s="214"/>
    </row>
    <row r="4" spans="1:12" hidden="1" x14ac:dyDescent="0.25">
      <c r="E4" s="211" t="s">
        <v>113</v>
      </c>
      <c r="F4" s="214"/>
    </row>
    <row r="5" spans="1:12" hidden="1" x14ac:dyDescent="0.25">
      <c r="E5" s="211" t="s">
        <v>114</v>
      </c>
      <c r="F5" s="215"/>
    </row>
    <row r="6" spans="1:12" hidden="1" x14ac:dyDescent="0.25">
      <c r="E6" s="211"/>
      <c r="F6" s="212"/>
    </row>
    <row r="7" spans="1:12" hidden="1" x14ac:dyDescent="0.25">
      <c r="E7" s="211" t="s">
        <v>115</v>
      </c>
      <c r="F7" s="215"/>
    </row>
    <row r="8" spans="1:12" hidden="1" x14ac:dyDescent="0.25"/>
    <row r="9" spans="1:12" x14ac:dyDescent="0.25">
      <c r="A9" s="346" t="s">
        <v>0</v>
      </c>
      <c r="B9" s="346"/>
      <c r="C9" s="346"/>
      <c r="D9" s="346"/>
      <c r="E9" s="346"/>
      <c r="F9" s="201"/>
      <c r="G9" s="201"/>
      <c r="H9" s="201"/>
      <c r="I9" s="201"/>
      <c r="J9" s="201"/>
      <c r="K9" s="201"/>
      <c r="L9" s="201"/>
    </row>
    <row r="10" spans="1:12" x14ac:dyDescent="0.25">
      <c r="A10" s="346" t="s">
        <v>116</v>
      </c>
      <c r="B10" s="346"/>
      <c r="C10" s="346"/>
      <c r="D10" s="346"/>
      <c r="E10" s="346"/>
      <c r="F10" s="201"/>
      <c r="G10" s="201"/>
      <c r="H10" s="201"/>
      <c r="I10" s="201"/>
      <c r="J10" s="201"/>
      <c r="K10" s="201"/>
      <c r="L10" s="201"/>
    </row>
    <row r="12" spans="1:12" hidden="1" x14ac:dyDescent="0.25">
      <c r="A12" s="210" t="s">
        <v>117</v>
      </c>
    </row>
    <row r="13" spans="1:12" hidden="1" x14ac:dyDescent="0.25"/>
    <row r="14" spans="1:12" x14ac:dyDescent="0.25">
      <c r="A14" s="216" t="s">
        <v>118</v>
      </c>
      <c r="B14" s="216"/>
    </row>
    <row r="15" spans="1:12" ht="15" thickBot="1" x14ac:dyDescent="0.3"/>
    <row r="16" spans="1:12" x14ac:dyDescent="0.25">
      <c r="A16" s="362" t="s">
        <v>119</v>
      </c>
      <c r="B16" s="363"/>
    </row>
    <row r="17" spans="1:5" ht="12.75" customHeight="1" x14ac:dyDescent="0.25">
      <c r="A17" s="217" t="s">
        <v>120</v>
      </c>
      <c r="B17" s="218">
        <f>'4. API 2020 RRRP Rate Design'!D11</f>
        <v>8115.5292008802571</v>
      </c>
    </row>
    <row r="18" spans="1:5" ht="15" thickBot="1" x14ac:dyDescent="0.3">
      <c r="A18" s="219" t="s">
        <v>13</v>
      </c>
      <c r="B18" s="218">
        <f>'4. API 2020 RRRP Rate Design'!E11</f>
        <v>84857055.570733279</v>
      </c>
    </row>
    <row r="19" spans="1:5" ht="15" thickBot="1" x14ac:dyDescent="0.3"/>
    <row r="20" spans="1:5" ht="30.75" thickBot="1" x14ac:dyDescent="0.3">
      <c r="A20" s="220" t="s">
        <v>121</v>
      </c>
      <c r="B20" s="221">
        <f>'4. API 2020 RRRP Rate Design'!O11</f>
        <v>5636857.6564700138</v>
      </c>
    </row>
    <row r="21" spans="1:5" ht="15" thickBot="1" x14ac:dyDescent="0.3"/>
    <row r="22" spans="1:5" x14ac:dyDescent="0.25">
      <c r="A22" s="362" t="s">
        <v>122</v>
      </c>
      <c r="B22" s="363"/>
    </row>
    <row r="23" spans="1:5" ht="12.75" customHeight="1" x14ac:dyDescent="0.25">
      <c r="A23" s="217" t="s">
        <v>123</v>
      </c>
      <c r="B23" s="222">
        <f>'4. API 2020 RRRP Rate Design'!I11</f>
        <v>42.72</v>
      </c>
    </row>
    <row r="24" spans="1:5" ht="15" thickBot="1" x14ac:dyDescent="0.3">
      <c r="A24" s="219" t="s">
        <v>124</v>
      </c>
      <c r="B24" s="223">
        <f>'4. API 2020 RRRP Rate Design'!J11</f>
        <v>1.7399999999999999E-2</v>
      </c>
    </row>
    <row r="25" spans="1:5" ht="12.75" customHeight="1" x14ac:dyDescent="0.25"/>
    <row r="26" spans="1:5" ht="12.75" customHeight="1" x14ac:dyDescent="0.25">
      <c r="A26" s="216" t="s">
        <v>125</v>
      </c>
    </row>
    <row r="27" spans="1:5" ht="15" thickBot="1" x14ac:dyDescent="0.3"/>
    <row r="28" spans="1:5" ht="12.75" customHeight="1" x14ac:dyDescent="0.25">
      <c r="A28" s="224"/>
      <c r="B28" s="225" t="s">
        <v>126</v>
      </c>
      <c r="C28" s="226" t="s">
        <v>127</v>
      </c>
      <c r="D28" s="227" t="s">
        <v>128</v>
      </c>
      <c r="E28" s="228" t="s">
        <v>129</v>
      </c>
    </row>
    <row r="29" spans="1:5" ht="12.75" customHeight="1" x14ac:dyDescent="0.25">
      <c r="A29" s="217" t="s">
        <v>19</v>
      </c>
      <c r="B29" s="229">
        <f>IF(B23="","",B23)</f>
        <v>42.72</v>
      </c>
      <c r="C29" s="230">
        <f>IF(B17="","",B17)</f>
        <v>8115.5292008802571</v>
      </c>
      <c r="D29" s="231">
        <f>IF(ISERROR(B29*C29*12),"",B29*C29*12)</f>
        <v>4160344.8895392548</v>
      </c>
      <c r="E29" s="232">
        <f>IF(ISERROR(D29/D31),"",D29/D31)</f>
        <v>0.73806101609892349</v>
      </c>
    </row>
    <row r="30" spans="1:5" ht="12.75" customHeight="1" x14ac:dyDescent="0.25">
      <c r="A30" s="217" t="s">
        <v>20</v>
      </c>
      <c r="B30" s="233">
        <f>IF(B24="","",B24)</f>
        <v>1.7399999999999999E-2</v>
      </c>
      <c r="C30" s="234">
        <f>IF(B18="","",B18)</f>
        <v>84857055.570733279</v>
      </c>
      <c r="D30" s="231">
        <f>IF(ISERROR(B30*C30),"",B30*C30)</f>
        <v>1476512.766930759</v>
      </c>
      <c r="E30" s="232">
        <f>IF(ISERROR(D30/D31),"",D30/D31)</f>
        <v>0.26193898390107656</v>
      </c>
    </row>
    <row r="31" spans="1:5" ht="15" thickBot="1" x14ac:dyDescent="0.3">
      <c r="A31" s="235" t="s">
        <v>47</v>
      </c>
      <c r="B31" s="236" t="s">
        <v>130</v>
      </c>
      <c r="C31" s="237" t="s">
        <v>130</v>
      </c>
      <c r="D31" s="238">
        <f>IF(ISERROR(D29+D30),"",D29+D30)</f>
        <v>5636857.6564700138</v>
      </c>
      <c r="E31" s="239" t="s">
        <v>130</v>
      </c>
    </row>
    <row r="32" spans="1:5" ht="12.75" customHeight="1" x14ac:dyDescent="0.25"/>
    <row r="33" spans="1:10" ht="12.75" customHeight="1" x14ac:dyDescent="0.25">
      <c r="A33" s="240" t="s">
        <v>131</v>
      </c>
    </row>
    <row r="34" spans="1:10" ht="15" thickBot="1" x14ac:dyDescent="0.3"/>
    <row r="35" spans="1:10" ht="30.75" thickBot="1" x14ac:dyDescent="0.3">
      <c r="A35" s="241" t="s">
        <v>132</v>
      </c>
      <c r="B35" s="242"/>
    </row>
    <row r="36" spans="1:10" ht="15" thickBot="1" x14ac:dyDescent="0.3"/>
    <row r="37" spans="1:10" ht="42.75" x14ac:dyDescent="0.25">
      <c r="A37" s="243"/>
      <c r="B37" s="244" t="s">
        <v>133</v>
      </c>
      <c r="C37" s="245" t="s">
        <v>134</v>
      </c>
      <c r="D37" s="246" t="s">
        <v>135</v>
      </c>
    </row>
    <row r="38" spans="1:10" ht="12.75" customHeight="1" x14ac:dyDescent="0.25">
      <c r="A38" s="217" t="s">
        <v>19</v>
      </c>
      <c r="B38" s="231">
        <f>IF(ISERROR(B$20*E29),"",B$20*E29)</f>
        <v>4160344.8895392548</v>
      </c>
      <c r="C38" s="247">
        <f>IF(ISERROR(ROUND(B38/B17/12,2)),"",ROUND(B38/B17/12,2))</f>
        <v>42.72</v>
      </c>
      <c r="D38" s="248">
        <f>IF(ISERROR(C38*B17*12),"",C38*B17*12)</f>
        <v>4160344.8895392548</v>
      </c>
    </row>
    <row r="39" spans="1:10" ht="12.75" customHeight="1" x14ac:dyDescent="0.25">
      <c r="A39" s="249" t="s">
        <v>20</v>
      </c>
      <c r="B39" s="250">
        <f>IF(ISERROR(B$20*E30),"",B$20*E30)</f>
        <v>1476512.7669307592</v>
      </c>
      <c r="C39" s="251">
        <f>IF(ISERROR(ROUND(B39/B18,4)),"",ROUND(B39/B18,4))</f>
        <v>1.7399999999999999E-2</v>
      </c>
      <c r="D39" s="248">
        <f>IF(ISERROR(C39*B18),"",C39*B18)</f>
        <v>1476512.766930759</v>
      </c>
    </row>
    <row r="40" spans="1:10" ht="15" thickBot="1" x14ac:dyDescent="0.3">
      <c r="A40" s="252" t="s">
        <v>47</v>
      </c>
      <c r="B40" s="253">
        <f>IF(ISERROR(B38+B39),"",B38+B39)</f>
        <v>5636857.6564700138</v>
      </c>
      <c r="C40" s="254" t="s">
        <v>130</v>
      </c>
      <c r="D40" s="255">
        <f>IF(ISERROR(D38+D39),"",D38+D39)</f>
        <v>5636857.6564700138</v>
      </c>
    </row>
    <row r="41" spans="1:10" ht="15" thickBot="1" x14ac:dyDescent="0.3"/>
    <row r="42" spans="1:10" ht="42" customHeight="1" x14ac:dyDescent="0.25">
      <c r="A42" s="243"/>
      <c r="B42" s="226" t="s">
        <v>136</v>
      </c>
      <c r="C42" s="256" t="s">
        <v>137</v>
      </c>
      <c r="D42" s="257" t="s">
        <v>138</v>
      </c>
      <c r="E42" s="258" t="s">
        <v>139</v>
      </c>
      <c r="F42" s="259"/>
      <c r="G42"/>
      <c r="H42"/>
      <c r="I42"/>
      <c r="J42"/>
    </row>
    <row r="43" spans="1:10" ht="12.75" customHeight="1" x14ac:dyDescent="0.25">
      <c r="A43" s="217" t="s">
        <v>19</v>
      </c>
      <c r="B43" s="260">
        <f>IF(ISERROR(C43/B20),"",C43/B20)</f>
        <v>0.80716785281230585</v>
      </c>
      <c r="C43" s="229">
        <f>IF(ISERROR(D43*12*B17),"",D43*12*B17)</f>
        <v>4549890.2911815075</v>
      </c>
      <c r="D43" s="247">
        <f>C38+4</f>
        <v>46.72</v>
      </c>
      <c r="E43" s="248">
        <f>IF(ISERROR(D43*12*B17),"",D43*12*B17)</f>
        <v>4549890.2911815075</v>
      </c>
      <c r="F43" s="259"/>
      <c r="G43"/>
      <c r="H43"/>
      <c r="I43"/>
      <c r="J43"/>
    </row>
    <row r="44" spans="1:10" ht="12.75" customHeight="1" x14ac:dyDescent="0.25">
      <c r="A44" s="249" t="s">
        <v>20</v>
      </c>
      <c r="B44" s="261">
        <f>IF(ISERROR(1-B43),"",1-B43)</f>
        <v>0.19283214718769415</v>
      </c>
      <c r="C44" s="262">
        <f>IF(ISERROR(B44*B$20),"",B44*B$20)</f>
        <v>1086967.3652885065</v>
      </c>
      <c r="D44" s="251">
        <f>IF(ISERROR(ROUND(C44/B18,4)),"",ROUND(C44/B18,4))</f>
        <v>1.2800000000000001E-2</v>
      </c>
      <c r="E44" s="263">
        <f>IF(ISERROR(D44*B18),"",D44*B18)</f>
        <v>1086170.311305386</v>
      </c>
      <c r="F44" s="259"/>
      <c r="G44"/>
      <c r="H44"/>
      <c r="I44"/>
      <c r="J44"/>
    </row>
    <row r="45" spans="1:10" ht="15" thickBot="1" x14ac:dyDescent="0.3">
      <c r="A45" s="252" t="s">
        <v>47</v>
      </c>
      <c r="B45" s="264" t="s">
        <v>130</v>
      </c>
      <c r="C45" s="238">
        <f>IF(ISERROR(SUM(C43:C44)),"",SUM(C43:C44))</f>
        <v>5636857.6564700138</v>
      </c>
      <c r="D45" s="254" t="s">
        <v>130</v>
      </c>
      <c r="E45" s="265">
        <f>IF(ISERROR(E43+E44),"",E43+E44)</f>
        <v>5636060.6024868935</v>
      </c>
      <c r="G45"/>
      <c r="H45"/>
      <c r="I45"/>
      <c r="J45"/>
    </row>
    <row r="46" spans="1:10" ht="15" thickBot="1" x14ac:dyDescent="0.3"/>
    <row r="47" spans="1:10" ht="14.25" customHeight="1" x14ac:dyDescent="0.25">
      <c r="A47" s="364" t="s">
        <v>140</v>
      </c>
      <c r="B47" s="365"/>
    </row>
    <row r="48" spans="1:10" ht="12.75" customHeight="1" x14ac:dyDescent="0.25">
      <c r="A48" s="217" t="s">
        <v>141</v>
      </c>
      <c r="B48" s="248">
        <f>IF(ISERROR(D43-C38),"",D43-C38)</f>
        <v>4</v>
      </c>
    </row>
    <row r="49" spans="1:6" x14ac:dyDescent="0.25">
      <c r="A49" s="366" t="s">
        <v>142</v>
      </c>
      <c r="B49" s="263">
        <f>IF(ISERROR((D43*12*B17)+(D44*B18)-B20),"",(D43*12*B17)+(D44*B18)-B20)</f>
        <v>-797.05398312024772</v>
      </c>
    </row>
    <row r="50" spans="1:6" ht="15" thickBot="1" x14ac:dyDescent="0.3">
      <c r="A50" s="367"/>
      <c r="B50" s="266">
        <f>IF(ISERROR(B49/B20), "", B49/B20)</f>
        <v>-1.4140040989067467E-4</v>
      </c>
    </row>
    <row r="51" spans="1:6" ht="12.75" customHeight="1" x14ac:dyDescent="0.25"/>
    <row r="52" spans="1:6" ht="12.75" customHeight="1" x14ac:dyDescent="0.25">
      <c r="A52" s="216" t="s">
        <v>60</v>
      </c>
    </row>
    <row r="54" spans="1:6" ht="12.75" customHeight="1" x14ac:dyDescent="0.2">
      <c r="A54" s="360" t="s">
        <v>143</v>
      </c>
      <c r="B54" s="360"/>
      <c r="C54" s="360"/>
      <c r="D54" s="360"/>
      <c r="E54" s="360"/>
    </row>
    <row r="55" spans="1:6" ht="12.75" x14ac:dyDescent="0.2">
      <c r="A55" s="360"/>
      <c r="B55" s="360"/>
      <c r="C55" s="360"/>
      <c r="D55" s="360"/>
      <c r="E55" s="360"/>
    </row>
    <row r="56" spans="1:6" x14ac:dyDescent="0.25">
      <c r="B56" s="267"/>
      <c r="C56" s="267"/>
      <c r="D56" s="267"/>
      <c r="E56" s="267"/>
      <c r="F56" s="268"/>
    </row>
    <row r="57" spans="1:6" ht="12.75" customHeight="1" x14ac:dyDescent="0.2">
      <c r="A57" s="361" t="s">
        <v>144</v>
      </c>
      <c r="B57" s="361"/>
      <c r="C57" s="361"/>
      <c r="D57" s="361"/>
      <c r="E57" s="361"/>
      <c r="F57" s="268"/>
    </row>
    <row r="58" spans="1:6" ht="12.75" x14ac:dyDescent="0.2">
      <c r="A58" s="361"/>
      <c r="B58" s="361"/>
      <c r="C58" s="361"/>
      <c r="D58" s="361"/>
      <c r="E58" s="361"/>
      <c r="F58" s="269"/>
    </row>
    <row r="59" spans="1:6" ht="12.75" x14ac:dyDescent="0.2">
      <c r="A59" s="361"/>
      <c r="B59" s="361"/>
      <c r="C59" s="361"/>
      <c r="D59" s="361"/>
      <c r="E59" s="361"/>
      <c r="F59" s="269"/>
    </row>
    <row r="60" spans="1:6" ht="12.75" customHeight="1" x14ac:dyDescent="0.2">
      <c r="A60" s="361" t="s">
        <v>145</v>
      </c>
      <c r="B60" s="361"/>
      <c r="C60" s="361"/>
      <c r="D60" s="361"/>
      <c r="E60" s="361"/>
      <c r="F60" s="270"/>
    </row>
    <row r="61" spans="1:6" ht="15.75" customHeight="1" x14ac:dyDescent="0.2">
      <c r="A61" s="361"/>
      <c r="B61" s="361"/>
      <c r="C61" s="361"/>
      <c r="D61" s="361"/>
      <c r="E61" s="361"/>
    </row>
    <row r="71" spans="4:4" x14ac:dyDescent="0.25">
      <c r="D71" s="210" t="s">
        <v>37</v>
      </c>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AF09D3D8-7ABC-4E4F-818B-207937ED343A}"/>
  </dataValidations>
  <pageMargins left="0.7" right="0.7" top="0.75" bottom="0.75" header="0.3" footer="0.3"/>
  <pageSetup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8428-4A65-4AFF-AF2D-78D2891A0F8D}">
  <sheetPr codeName="Sheet262">
    <pageSetUpPr fitToPage="1"/>
  </sheetPr>
  <dimension ref="A1:G61"/>
  <sheetViews>
    <sheetView showGridLines="0" topLeftCell="A9" zoomScaleNormal="100" workbookViewId="0">
      <selection activeCell="D22" sqref="D22"/>
    </sheetView>
  </sheetViews>
  <sheetFormatPr defaultColWidth="9.140625" defaultRowHeight="14.25" x14ac:dyDescent="0.25"/>
  <cols>
    <col min="1" max="1" width="32" style="210" customWidth="1"/>
    <col min="2" max="2" width="20.7109375" style="210" customWidth="1"/>
    <col min="3" max="4" width="21" style="210" customWidth="1"/>
    <col min="5" max="5" width="19.7109375" style="210" customWidth="1"/>
    <col min="6" max="6" width="15" style="213" customWidth="1"/>
    <col min="7" max="7" width="12.7109375" style="213" customWidth="1"/>
    <col min="8" max="16384" width="9.140625" style="213"/>
  </cols>
  <sheetData>
    <row r="1" spans="1:6" hidden="1" x14ac:dyDescent="0.25">
      <c r="E1" s="211" t="s">
        <v>110</v>
      </c>
      <c r="F1" s="212">
        <v>0</v>
      </c>
    </row>
    <row r="2" spans="1:6" hidden="1" x14ac:dyDescent="0.25">
      <c r="E2" s="211" t="s">
        <v>111</v>
      </c>
      <c r="F2" s="214"/>
    </row>
    <row r="3" spans="1:6" hidden="1" x14ac:dyDescent="0.25">
      <c r="E3" s="211" t="s">
        <v>112</v>
      </c>
      <c r="F3" s="214"/>
    </row>
    <row r="4" spans="1:6" hidden="1" x14ac:dyDescent="0.25">
      <c r="E4" s="211" t="s">
        <v>113</v>
      </c>
      <c r="F4" s="214"/>
    </row>
    <row r="5" spans="1:6" hidden="1" x14ac:dyDescent="0.25">
      <c r="E5" s="211" t="s">
        <v>114</v>
      </c>
      <c r="F5" s="215"/>
    </row>
    <row r="6" spans="1:6" hidden="1" x14ac:dyDescent="0.25">
      <c r="E6" s="211"/>
      <c r="F6" s="212"/>
    </row>
    <row r="7" spans="1:6" hidden="1" x14ac:dyDescent="0.25">
      <c r="E7" s="211" t="s">
        <v>115</v>
      </c>
      <c r="F7" s="215"/>
    </row>
    <row r="8" spans="1:6" hidden="1" x14ac:dyDescent="0.25"/>
    <row r="9" spans="1:6" ht="18" x14ac:dyDescent="0.25">
      <c r="A9" s="346" t="s">
        <v>0</v>
      </c>
      <c r="B9" s="346"/>
      <c r="C9" s="346"/>
      <c r="D9" s="346"/>
      <c r="E9" s="346"/>
      <c r="F9" s="271"/>
    </row>
    <row r="10" spans="1:6" ht="18" x14ac:dyDescent="0.25">
      <c r="A10" s="346" t="s">
        <v>146</v>
      </c>
      <c r="B10" s="346"/>
      <c r="C10" s="346"/>
      <c r="D10" s="346"/>
      <c r="E10" s="346"/>
      <c r="F10" s="271"/>
    </row>
    <row r="12" spans="1:6" hidden="1" x14ac:dyDescent="0.25">
      <c r="A12" s="210" t="s">
        <v>117</v>
      </c>
    </row>
    <row r="13" spans="1:6" hidden="1" x14ac:dyDescent="0.25"/>
    <row r="14" spans="1:6" x14ac:dyDescent="0.25">
      <c r="A14" s="216" t="s">
        <v>118</v>
      </c>
      <c r="B14" s="216"/>
    </row>
    <row r="15" spans="1:6" ht="15" thickBot="1" x14ac:dyDescent="0.3"/>
    <row r="16" spans="1:6" x14ac:dyDescent="0.25">
      <c r="A16" s="362" t="s">
        <v>172</v>
      </c>
      <c r="B16" s="363"/>
    </row>
    <row r="17" spans="1:5" ht="12.75" customHeight="1" x14ac:dyDescent="0.25">
      <c r="A17" s="217" t="s">
        <v>120</v>
      </c>
      <c r="B17" s="218">
        <f>'5.API 2020 Non-RRRP Rate Design'!D15</f>
        <v>2960.1858518389645</v>
      </c>
    </row>
    <row r="18" spans="1:5" ht="15" thickBot="1" x14ac:dyDescent="0.3">
      <c r="A18" s="219" t="s">
        <v>13</v>
      </c>
      <c r="B18" s="218">
        <f>'5.API 2020 Non-RRRP Rate Design'!E15</f>
        <v>5874372.3645382812</v>
      </c>
    </row>
    <row r="19" spans="1:5" ht="15" thickBot="1" x14ac:dyDescent="0.3"/>
    <row r="20" spans="1:5" ht="30.75" thickBot="1" x14ac:dyDescent="0.3">
      <c r="A20" s="220" t="s">
        <v>173</v>
      </c>
      <c r="B20" s="221">
        <f>'2. RateDesign F,V Split'!F63</f>
        <v>2874601.5790059138</v>
      </c>
    </row>
    <row r="21" spans="1:5" ht="15" thickBot="1" x14ac:dyDescent="0.3"/>
    <row r="22" spans="1:5" x14ac:dyDescent="0.25">
      <c r="A22" s="362" t="s">
        <v>171</v>
      </c>
      <c r="B22" s="363"/>
    </row>
    <row r="23" spans="1:5" ht="12.75" customHeight="1" x14ac:dyDescent="0.25">
      <c r="A23" s="217" t="s">
        <v>123</v>
      </c>
      <c r="B23" s="222">
        <f>'5.API 2020 Non-RRRP Rate Design'!I15</f>
        <v>55.76</v>
      </c>
    </row>
    <row r="24" spans="1:5" ht="15" thickBot="1" x14ac:dyDescent="0.3">
      <c r="A24" s="219" t="s">
        <v>124</v>
      </c>
      <c r="B24" s="223">
        <f>'5.API 2020 Non-RRRP Rate Design'!J15</f>
        <v>0.1522</v>
      </c>
    </row>
    <row r="25" spans="1:5" ht="12.75" customHeight="1" x14ac:dyDescent="0.25"/>
    <row r="26" spans="1:5" ht="12.75" customHeight="1" x14ac:dyDescent="0.25">
      <c r="A26" s="216" t="s">
        <v>125</v>
      </c>
    </row>
    <row r="27" spans="1:5" ht="15" thickBot="1" x14ac:dyDescent="0.3"/>
    <row r="28" spans="1:5" ht="12.75" customHeight="1" x14ac:dyDescent="0.25">
      <c r="A28" s="224"/>
      <c r="B28" s="225" t="s">
        <v>126</v>
      </c>
      <c r="C28" s="226" t="s">
        <v>127</v>
      </c>
      <c r="D28" s="227" t="s">
        <v>128</v>
      </c>
      <c r="E28" s="228" t="s">
        <v>129</v>
      </c>
    </row>
    <row r="29" spans="1:5" ht="12.75" customHeight="1" x14ac:dyDescent="0.25">
      <c r="A29" s="217" t="s">
        <v>19</v>
      </c>
      <c r="B29" s="229">
        <f>IF(B23="","",B23)</f>
        <v>55.76</v>
      </c>
      <c r="C29" s="230">
        <f>IF(B17="","",B17)</f>
        <v>2960.1858518389645</v>
      </c>
      <c r="D29" s="231">
        <f>IF(ISERROR(B29*C29*12),"",B29*C29*12)</f>
        <v>1980719.5571824876</v>
      </c>
      <c r="E29" s="232">
        <f>IF(ISERROR(D29/D31),"",D29/D31)</f>
        <v>0.6889940951623883</v>
      </c>
    </row>
    <row r="30" spans="1:5" ht="12.75" customHeight="1" x14ac:dyDescent="0.25">
      <c r="A30" s="217" t="s">
        <v>20</v>
      </c>
      <c r="B30" s="233">
        <f>IF(B24="","",B24)</f>
        <v>0.1522</v>
      </c>
      <c r="C30" s="234">
        <f>IF(B18="","",B18)</f>
        <v>5874372.3645382812</v>
      </c>
      <c r="D30" s="231">
        <f>IF(ISERROR(B30*C30),"",B30*C30)</f>
        <v>894079.47388272639</v>
      </c>
      <c r="E30" s="232">
        <f>IF(ISERROR(D30/D31),"",D30/D31)</f>
        <v>0.31100590483761176</v>
      </c>
    </row>
    <row r="31" spans="1:5" ht="15" thickBot="1" x14ac:dyDescent="0.3">
      <c r="A31" s="235" t="s">
        <v>47</v>
      </c>
      <c r="B31" s="236" t="s">
        <v>130</v>
      </c>
      <c r="C31" s="237" t="s">
        <v>130</v>
      </c>
      <c r="D31" s="238">
        <f>IF(ISERROR(D29+D30),"",D29+D30)</f>
        <v>2874799.031065214</v>
      </c>
      <c r="E31" s="239" t="s">
        <v>130</v>
      </c>
    </row>
    <row r="32" spans="1:5" ht="12.75" customHeight="1" x14ac:dyDescent="0.25"/>
    <row r="33" spans="1:7" ht="12.75" customHeight="1" x14ac:dyDescent="0.25">
      <c r="A33" s="240" t="s">
        <v>131</v>
      </c>
    </row>
    <row r="34" spans="1:7" ht="15" thickBot="1" x14ac:dyDescent="0.3"/>
    <row r="35" spans="1:7" ht="30.75" thickBot="1" x14ac:dyDescent="0.3">
      <c r="A35" s="241" t="s">
        <v>132</v>
      </c>
      <c r="B35" s="242"/>
    </row>
    <row r="36" spans="1:7" ht="15" thickBot="1" x14ac:dyDescent="0.3"/>
    <row r="37" spans="1:7" ht="42.75" x14ac:dyDescent="0.25">
      <c r="A37" s="243"/>
      <c r="B37" s="244" t="s">
        <v>133</v>
      </c>
      <c r="C37" s="245" t="s">
        <v>134</v>
      </c>
      <c r="D37" s="246" t="s">
        <v>135</v>
      </c>
    </row>
    <row r="38" spans="1:7" ht="12.75" customHeight="1" x14ac:dyDescent="0.25">
      <c r="A38" s="217" t="s">
        <v>19</v>
      </c>
      <c r="B38" s="231">
        <f>IF(ISERROR(B$20*E29),"",B$20*E29)</f>
        <v>1980583.5138795523</v>
      </c>
      <c r="C38" s="247">
        <f>IF(ISERROR(ROUND(B38/B17/12,2)),"",ROUND(B38/B17/12,2))</f>
        <v>55.76</v>
      </c>
      <c r="D38" s="248">
        <f>IF(ISERROR(C38*B17*12),"",C38*B17*12)</f>
        <v>1980719.5571824876</v>
      </c>
    </row>
    <row r="39" spans="1:7" ht="12.75" customHeight="1" x14ac:dyDescent="0.25">
      <c r="A39" s="249" t="s">
        <v>20</v>
      </c>
      <c r="B39" s="250">
        <f>IF(ISERROR(B$20*E30),"",B$20*E30)</f>
        <v>894018.06512636167</v>
      </c>
      <c r="C39" s="251">
        <f>IF(ISERROR(ROUND(B39/B18,4)),"",ROUND(B39/B18,4))</f>
        <v>0.1522</v>
      </c>
      <c r="D39" s="248">
        <f>IF(ISERROR(C39*B18),"",C39*B18)</f>
        <v>894079.47388272639</v>
      </c>
    </row>
    <row r="40" spans="1:7" ht="15" thickBot="1" x14ac:dyDescent="0.3">
      <c r="A40" s="252" t="s">
        <v>47</v>
      </c>
      <c r="B40" s="253">
        <f>IF(ISERROR(B38+B39),"",B38+B39)</f>
        <v>2874601.5790059138</v>
      </c>
      <c r="C40" s="254" t="s">
        <v>130</v>
      </c>
      <c r="D40" s="255">
        <f>IF(ISERROR(D38+D39),"",D38+D39)</f>
        <v>2874799.031065214</v>
      </c>
    </row>
    <row r="41" spans="1:7" ht="15" thickBot="1" x14ac:dyDescent="0.3"/>
    <row r="42" spans="1:7" ht="38.25" customHeight="1" x14ac:dyDescent="0.25">
      <c r="A42" s="243"/>
      <c r="B42" s="226" t="s">
        <v>136</v>
      </c>
      <c r="C42" s="256" t="s">
        <v>137</v>
      </c>
      <c r="D42" s="257" t="s">
        <v>138</v>
      </c>
      <c r="E42" s="258" t="s">
        <v>139</v>
      </c>
      <c r="F42" s="259"/>
      <c r="G42"/>
    </row>
    <row r="43" spans="1:7" ht="12.75" customHeight="1" x14ac:dyDescent="0.25">
      <c r="A43" s="217" t="s">
        <v>19</v>
      </c>
      <c r="B43" s="260">
        <f>IF(ISERROR(C43/B20),"",C43/B20)</f>
        <v>0.73847050442547302</v>
      </c>
      <c r="C43" s="229">
        <f>IF(ISERROR(D43*12*B17),"",D43*12*B17)</f>
        <v>2122808.4780707583</v>
      </c>
      <c r="D43" s="247">
        <f>C38+4</f>
        <v>59.76</v>
      </c>
      <c r="E43" s="248">
        <f>IF(ISERROR(D43*12*B17),"",D43*12*B17)</f>
        <v>2122808.4780707583</v>
      </c>
      <c r="F43" s="259"/>
      <c r="G43"/>
    </row>
    <row r="44" spans="1:7" ht="12.75" customHeight="1" x14ac:dyDescent="0.25">
      <c r="A44" s="249" t="s">
        <v>20</v>
      </c>
      <c r="B44" s="261">
        <f>IF(ISERROR(1-B43),"",1-B43)</f>
        <v>0.26152949557452698</v>
      </c>
      <c r="C44" s="262">
        <f>IF(ISERROR(B44*B$20),"",B44*B$20)</f>
        <v>751793.10093515541</v>
      </c>
      <c r="D44" s="251">
        <f>IF(ISERROR(ROUND(C44/B18,4)),"",ROUND(C44/B18,4))</f>
        <v>0.128</v>
      </c>
      <c r="E44" s="263">
        <f>IF(ISERROR(D44*B18),"",D44*B18)</f>
        <v>751919.66266090004</v>
      </c>
      <c r="F44" s="259"/>
      <c r="G44"/>
    </row>
    <row r="45" spans="1:7" ht="15" thickBot="1" x14ac:dyDescent="0.3">
      <c r="A45" s="252" t="s">
        <v>47</v>
      </c>
      <c r="B45" s="264" t="s">
        <v>130</v>
      </c>
      <c r="C45" s="238">
        <f>IF(ISERROR(SUM(C43:C44)),"",SUM(C43:C44))</f>
        <v>2874601.5790059138</v>
      </c>
      <c r="D45" s="254" t="s">
        <v>130</v>
      </c>
      <c r="E45" s="265">
        <f>IF(ISERROR(E43+E44),"",E43+E44)</f>
        <v>2874728.1407316583</v>
      </c>
      <c r="G45"/>
    </row>
    <row r="46" spans="1:7" ht="15" thickBot="1" x14ac:dyDescent="0.3"/>
    <row r="47" spans="1:7" ht="14.25" customHeight="1" x14ac:dyDescent="0.25">
      <c r="A47" s="364" t="s">
        <v>140</v>
      </c>
      <c r="B47" s="365"/>
    </row>
    <row r="48" spans="1:7" ht="12.75" customHeight="1" x14ac:dyDescent="0.25">
      <c r="A48" s="217" t="s">
        <v>141</v>
      </c>
      <c r="B48" s="248">
        <f>IF(ISERROR(D43-C38),"",D43-C38)</f>
        <v>4</v>
      </c>
    </row>
    <row r="49" spans="1:6" x14ac:dyDescent="0.25">
      <c r="A49" s="366" t="s">
        <v>142</v>
      </c>
      <c r="B49" s="263">
        <f>IF(ISERROR((D43*12*B17)+(D44*B18)-B20),"",(D43*12*B17)+(D44*B18)-B20)</f>
        <v>126.56172574451193</v>
      </c>
    </row>
    <row r="50" spans="1:6" ht="15" thickBot="1" x14ac:dyDescent="0.3">
      <c r="A50" s="367"/>
      <c r="B50" s="266">
        <f>IF(ISERROR(B49/B20), "", B49/B20)</f>
        <v>4.4027571218505741E-5</v>
      </c>
    </row>
    <row r="51" spans="1:6" ht="12.75" customHeight="1" x14ac:dyDescent="0.25"/>
    <row r="52" spans="1:6" ht="12.75" customHeight="1" x14ac:dyDescent="0.25">
      <c r="A52" s="216" t="s">
        <v>60</v>
      </c>
    </row>
    <row r="54" spans="1:6" ht="12.75" customHeight="1" x14ac:dyDescent="0.2">
      <c r="A54" s="360" t="s">
        <v>143</v>
      </c>
      <c r="B54" s="360"/>
      <c r="C54" s="360"/>
      <c r="D54" s="360"/>
      <c r="E54" s="360"/>
    </row>
    <row r="55" spans="1:6" ht="12.75" x14ac:dyDescent="0.2">
      <c r="A55" s="360"/>
      <c r="B55" s="360"/>
      <c r="C55" s="360"/>
      <c r="D55" s="360"/>
      <c r="E55" s="360"/>
    </row>
    <row r="56" spans="1:6" x14ac:dyDescent="0.25">
      <c r="B56" s="267"/>
      <c r="C56" s="267"/>
      <c r="D56" s="267"/>
      <c r="E56" s="267"/>
      <c r="F56" s="268"/>
    </row>
    <row r="57" spans="1:6" ht="12.75" customHeight="1" x14ac:dyDescent="0.2">
      <c r="A57" s="361" t="s">
        <v>144</v>
      </c>
      <c r="B57" s="361"/>
      <c r="C57" s="361"/>
      <c r="D57" s="361"/>
      <c r="E57" s="361"/>
      <c r="F57" s="268"/>
    </row>
    <row r="58" spans="1:6" ht="12.75" x14ac:dyDescent="0.2">
      <c r="A58" s="361"/>
      <c r="B58" s="361"/>
      <c r="C58" s="361"/>
      <c r="D58" s="361"/>
      <c r="E58" s="361"/>
      <c r="F58" s="269"/>
    </row>
    <row r="59" spans="1:6" ht="12.75" x14ac:dyDescent="0.2">
      <c r="A59" s="361"/>
      <c r="B59" s="361"/>
      <c r="C59" s="361"/>
      <c r="D59" s="361"/>
      <c r="E59" s="361"/>
      <c r="F59" s="269"/>
    </row>
    <row r="60" spans="1:6" ht="12.75" customHeight="1" x14ac:dyDescent="0.2">
      <c r="A60" s="361" t="s">
        <v>145</v>
      </c>
      <c r="B60" s="361"/>
      <c r="C60" s="361"/>
      <c r="D60" s="361"/>
      <c r="E60" s="361"/>
      <c r="F60" s="270"/>
    </row>
    <row r="61" spans="1:6" ht="12.75" x14ac:dyDescent="0.2">
      <c r="A61" s="361"/>
      <c r="B61" s="361"/>
      <c r="C61" s="361"/>
      <c r="D61" s="361"/>
      <c r="E61" s="361"/>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D965B1C9-336E-4F94-BEC0-C2838BBCE07E}"/>
  </dataValidations>
  <pageMargins left="0.7" right="0.7" top="0.75" bottom="0.75" header="0.3" footer="0.3"/>
  <pageSetup scale="7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6DE2-3E82-4FA1-8D90-BB0018B589A3}">
  <sheetPr codeName="Sheet255">
    <pageSetUpPr fitToPage="1"/>
  </sheetPr>
  <dimension ref="A1:R71"/>
  <sheetViews>
    <sheetView showGridLines="0" tabSelected="1" topLeftCell="A9" zoomScale="90" zoomScaleNormal="90" workbookViewId="0">
      <selection activeCell="P27" sqref="P27"/>
    </sheetView>
  </sheetViews>
  <sheetFormatPr defaultColWidth="17.28515625" defaultRowHeight="12.75" x14ac:dyDescent="0.2"/>
  <cols>
    <col min="1" max="1" width="19.140625" customWidth="1"/>
    <col min="2" max="2" width="12.5703125" style="64" customWidth="1"/>
    <col min="3" max="3" width="12.5703125" customWidth="1"/>
    <col min="4" max="4" width="13.28515625" bestFit="1" customWidth="1"/>
    <col min="5" max="5" width="9.5703125" bestFit="1" customWidth="1"/>
    <col min="6" max="8" width="8.85546875" customWidth="1"/>
    <col min="9" max="11" width="15.28515625" customWidth="1"/>
    <col min="12" max="12" width="1.42578125" style="273" customWidth="1"/>
    <col min="13" max="13" width="15.28515625" customWidth="1"/>
    <col min="14" max="14" width="12.5703125" customWidth="1"/>
    <col min="15" max="16" width="15.5703125" bestFit="1" customWidth="1"/>
    <col min="17" max="17" width="3" customWidth="1"/>
    <col min="18" max="18" width="10.140625" customWidth="1"/>
  </cols>
  <sheetData>
    <row r="1" spans="1:16" ht="12" hidden="1" customHeight="1" x14ac:dyDescent="0.2">
      <c r="A1" s="272"/>
      <c r="O1" s="274"/>
      <c r="P1" s="275"/>
    </row>
    <row r="2" spans="1:16" hidden="1" x14ac:dyDescent="0.2">
      <c r="O2" s="274"/>
      <c r="P2" s="275"/>
    </row>
    <row r="3" spans="1:16" hidden="1" x14ac:dyDescent="0.2">
      <c r="O3" s="274"/>
      <c r="P3" s="275"/>
    </row>
    <row r="4" spans="1:16" hidden="1" x14ac:dyDescent="0.2">
      <c r="O4" s="274"/>
      <c r="P4" s="275"/>
    </row>
    <row r="5" spans="1:16" hidden="1" x14ac:dyDescent="0.2">
      <c r="O5" s="274"/>
      <c r="P5" s="275"/>
    </row>
    <row r="6" spans="1:16" hidden="1" x14ac:dyDescent="0.2">
      <c r="O6" s="274"/>
      <c r="P6" s="276"/>
    </row>
    <row r="7" spans="1:16" hidden="1" x14ac:dyDescent="0.2">
      <c r="O7" s="274"/>
      <c r="P7" s="275"/>
    </row>
    <row r="8" spans="1:16" hidden="1" x14ac:dyDescent="0.2"/>
    <row r="9" spans="1:16" ht="18" customHeight="1" x14ac:dyDescent="0.25">
      <c r="A9" s="346" t="s">
        <v>0</v>
      </c>
      <c r="B9" s="346"/>
      <c r="C9" s="346"/>
      <c r="D9" s="346"/>
      <c r="E9" s="346"/>
      <c r="F9" s="346"/>
      <c r="G9" s="346"/>
      <c r="H9" s="346"/>
      <c r="I9" s="346"/>
      <c r="J9" s="346"/>
      <c r="K9" s="346"/>
      <c r="L9" s="346"/>
      <c r="M9" s="346"/>
      <c r="N9" s="346"/>
      <c r="O9" s="346"/>
      <c r="P9" s="346"/>
    </row>
    <row r="10" spans="1:16" ht="18" customHeight="1" x14ac:dyDescent="0.25">
      <c r="A10" s="346" t="s">
        <v>147</v>
      </c>
      <c r="B10" s="346"/>
      <c r="C10" s="346"/>
      <c r="D10" s="346"/>
      <c r="E10" s="346"/>
      <c r="F10" s="346"/>
      <c r="G10" s="346"/>
      <c r="H10" s="346"/>
      <c r="I10" s="346"/>
      <c r="J10" s="346"/>
      <c r="K10" s="346"/>
      <c r="L10" s="346"/>
      <c r="M10" s="346"/>
      <c r="N10" s="346"/>
      <c r="O10" s="346"/>
      <c r="P10" s="346"/>
    </row>
    <row r="12" spans="1:16" ht="13.5" customHeight="1" x14ac:dyDescent="0.2">
      <c r="A12" s="371"/>
      <c r="B12" s="369" t="s">
        <v>148</v>
      </c>
      <c r="C12" s="373" t="s">
        <v>149</v>
      </c>
      <c r="D12" s="374"/>
      <c r="E12" s="375"/>
      <c r="F12" s="370" t="s">
        <v>150</v>
      </c>
      <c r="G12" s="370"/>
      <c r="H12" s="370"/>
      <c r="I12" s="369" t="s">
        <v>151</v>
      </c>
      <c r="J12" s="369" t="s">
        <v>152</v>
      </c>
      <c r="K12" s="369" t="s">
        <v>89</v>
      </c>
      <c r="L12" s="376"/>
      <c r="M12" s="369" t="s">
        <v>153</v>
      </c>
      <c r="N12" s="369" t="s">
        <v>154</v>
      </c>
      <c r="O12" s="369" t="s">
        <v>89</v>
      </c>
      <c r="P12" s="369" t="s">
        <v>155</v>
      </c>
    </row>
    <row r="13" spans="1:16" ht="38.25" x14ac:dyDescent="0.2">
      <c r="A13" s="372"/>
      <c r="B13" s="369"/>
      <c r="C13" s="277" t="s">
        <v>156</v>
      </c>
      <c r="D13" s="278" t="s">
        <v>13</v>
      </c>
      <c r="E13" s="278" t="s">
        <v>14</v>
      </c>
      <c r="F13" s="277" t="s">
        <v>17</v>
      </c>
      <c r="G13" s="370" t="s">
        <v>157</v>
      </c>
      <c r="H13" s="370"/>
      <c r="I13" s="369"/>
      <c r="J13" s="369"/>
      <c r="K13" s="369"/>
      <c r="L13" s="377"/>
      <c r="M13" s="369"/>
      <c r="N13" s="369"/>
      <c r="O13" s="369"/>
      <c r="P13" s="369"/>
    </row>
    <row r="14" spans="1:16" x14ac:dyDescent="0.2">
      <c r="A14" s="279"/>
      <c r="B14" s="280"/>
      <c r="C14" s="279"/>
      <c r="D14" s="279"/>
      <c r="E14" s="279"/>
      <c r="F14" s="281"/>
      <c r="G14" s="282" t="s">
        <v>13</v>
      </c>
      <c r="H14" s="282" t="s">
        <v>14</v>
      </c>
      <c r="I14" s="283"/>
      <c r="J14" s="283"/>
      <c r="K14" s="283"/>
      <c r="L14" s="284"/>
      <c r="M14" s="279"/>
      <c r="N14" s="279"/>
      <c r="O14" s="279"/>
      <c r="P14" s="279"/>
    </row>
    <row r="15" spans="1:16" x14ac:dyDescent="0.2">
      <c r="A15" s="285" t="s">
        <v>158</v>
      </c>
      <c r="B15" s="286" t="s">
        <v>13</v>
      </c>
      <c r="C15" s="287">
        <v>8115.5292008802571</v>
      </c>
      <c r="D15" s="287">
        <f>'4. API 2020 RRRP Rate Design'!E11</f>
        <v>84857055.570733279</v>
      </c>
      <c r="E15" s="287">
        <v>0</v>
      </c>
      <c r="F15" s="311">
        <f>ROUND('6. Rate Design Policy R1(i)'!D43,2)</f>
        <v>46.72</v>
      </c>
      <c r="G15" s="312">
        <f>ROUND('6. Rate Design Policy R1(i)'!D44,4)</f>
        <v>1.2800000000000001E-2</v>
      </c>
      <c r="H15" s="312"/>
      <c r="I15" s="288">
        <f>F15*C15*12</f>
        <v>4549890.2911815075</v>
      </c>
      <c r="J15" s="288">
        <f>G15*D15+H15*E15</f>
        <v>1086170.311305386</v>
      </c>
      <c r="K15" s="288">
        <f>I15+J15</f>
        <v>5636060.6024868935</v>
      </c>
      <c r="L15" s="289"/>
      <c r="M15" s="290"/>
      <c r="N15" s="290"/>
      <c r="O15" s="291"/>
      <c r="P15" s="291"/>
    </row>
    <row r="16" spans="1:16" x14ac:dyDescent="0.2">
      <c r="A16" s="285" t="s">
        <v>159</v>
      </c>
      <c r="B16" s="286" t="s">
        <v>13</v>
      </c>
      <c r="C16" s="287">
        <v>997.31590555008074</v>
      </c>
      <c r="D16" s="287">
        <f>'4. API 2020 RRRP Rate Design'!E12</f>
        <v>28480010.757447898</v>
      </c>
      <c r="E16" s="287">
        <v>0</v>
      </c>
      <c r="F16" s="311">
        <f>ROUND('4. API 2020 RRRP Rate Design'!I12,2)</f>
        <v>25.94</v>
      </c>
      <c r="G16" s="312">
        <f>ROUND('4. API 2020 RRRP Rate Design'!J12,4)</f>
        <v>3.6499999999999998E-2</v>
      </c>
      <c r="H16" s="312"/>
      <c r="I16" s="288">
        <f>F16*C16*12</f>
        <v>310444.49507962912</v>
      </c>
      <c r="J16" s="288">
        <f>G16*D16+H16*E16</f>
        <v>1039520.3926468482</v>
      </c>
      <c r="K16" s="288">
        <f>I16+J16</f>
        <v>1349964.8877264773</v>
      </c>
      <c r="L16" s="289"/>
      <c r="M16" s="290"/>
      <c r="N16" s="290"/>
      <c r="O16" s="291"/>
      <c r="P16" s="291"/>
    </row>
    <row r="17" spans="1:18" ht="5.0999999999999996" customHeight="1" x14ac:dyDescent="0.2">
      <c r="A17" s="292"/>
      <c r="B17" s="293"/>
      <c r="C17" s="294"/>
      <c r="D17" s="294"/>
      <c r="E17" s="294"/>
      <c r="F17" s="313"/>
      <c r="G17" s="314"/>
      <c r="H17" s="314"/>
      <c r="I17" s="295"/>
      <c r="J17" s="295"/>
      <c r="K17" s="295"/>
      <c r="L17" s="284"/>
      <c r="M17" s="295"/>
      <c r="N17" s="295"/>
      <c r="O17" s="288"/>
      <c r="P17" s="288"/>
    </row>
    <row r="18" spans="1:18" x14ac:dyDescent="0.2">
      <c r="A18" s="292" t="s">
        <v>160</v>
      </c>
      <c r="B18" s="293"/>
      <c r="C18" s="294">
        <f>C15+C16</f>
        <v>9112.8451064303372</v>
      </c>
      <c r="D18" s="294">
        <f>D15+D16</f>
        <v>113337066.32818118</v>
      </c>
      <c r="E18" s="294"/>
      <c r="F18" s="313"/>
      <c r="G18" s="314"/>
      <c r="H18" s="314"/>
      <c r="I18" s="295">
        <f>I15+I16</f>
        <v>4860334.7862611366</v>
      </c>
      <c r="J18" s="295">
        <f>J15+J16</f>
        <v>2125690.7039522342</v>
      </c>
      <c r="K18" s="295">
        <f>K15+K16</f>
        <v>6986025.4902133709</v>
      </c>
      <c r="L18" s="284"/>
      <c r="M18" s="295">
        <f>'2. RateDesign F,V Split'!F61</f>
        <v>17662518.027551048</v>
      </c>
      <c r="N18" s="295"/>
      <c r="O18" s="288">
        <f>SUM(M18:N18)</f>
        <v>17662518.027551048</v>
      </c>
      <c r="P18" s="288">
        <f t="shared" ref="P18:P27" si="0">O18-K18</f>
        <v>10676492.537337676</v>
      </c>
    </row>
    <row r="19" spans="1:18" x14ac:dyDescent="0.2">
      <c r="A19" s="292" t="s">
        <v>161</v>
      </c>
      <c r="B19" s="293" t="s">
        <v>14</v>
      </c>
      <c r="C19" s="294">
        <f>'4. API 2020 RRRP Rate Design'!D13</f>
        <v>37.282220262380214</v>
      </c>
      <c r="D19" s="294">
        <v>107645160.66001183</v>
      </c>
      <c r="E19" s="294">
        <f>'4. API 2020 RRRP Rate Design'!F13</f>
        <v>248604.90808096013</v>
      </c>
      <c r="F19" s="313">
        <f>ROUND('4. API 2020 RRRP Rate Design'!I13,2)</f>
        <v>667.66</v>
      </c>
      <c r="G19" s="314"/>
      <c r="H19" s="314">
        <f>ROUND('4. API 2020 RRRP Rate Design'!J13,4)</f>
        <v>3.4594</v>
      </c>
      <c r="I19" s="295">
        <f>F19*C19*12</f>
        <v>298702.16616456927</v>
      </c>
      <c r="J19" s="295">
        <f>G19*D19+H19*E19</f>
        <v>860023.81901527348</v>
      </c>
      <c r="K19" s="295">
        <f>I19+J19</f>
        <v>1158725.9851798427</v>
      </c>
      <c r="L19" s="284"/>
      <c r="M19" s="295">
        <f>'2. RateDesign F,V Split'!F62</f>
        <v>4715021.4574975325</v>
      </c>
      <c r="N19" s="295">
        <f>'4. API 2020 RRRP Rate Design'!N14</f>
        <v>110187.67744943153</v>
      </c>
      <c r="O19" s="295">
        <f>SUM(M19:N19)</f>
        <v>4825209.1349469637</v>
      </c>
      <c r="P19" s="295">
        <f t="shared" si="0"/>
        <v>3666483.1497671213</v>
      </c>
    </row>
    <row r="20" spans="1:18" x14ac:dyDescent="0.2">
      <c r="A20" s="292" t="s">
        <v>162</v>
      </c>
      <c r="B20" s="293"/>
      <c r="C20" s="294"/>
      <c r="D20" s="294"/>
      <c r="E20" s="294"/>
      <c r="F20" s="313"/>
      <c r="G20" s="314"/>
      <c r="H20" s="314"/>
      <c r="I20" s="295">
        <f>'4. API 2020 RRRP Rate Design'!O16</f>
        <v>14342178.633121679</v>
      </c>
      <c r="J20" s="295">
        <v>0</v>
      </c>
      <c r="K20" s="295">
        <f>I20+J20</f>
        <v>14342178.633121679</v>
      </c>
      <c r="L20" s="284"/>
      <c r="M20" s="295"/>
      <c r="N20" s="295"/>
      <c r="O20" s="295"/>
      <c r="P20" s="295">
        <f t="shared" si="0"/>
        <v>-14342178.633121679</v>
      </c>
    </row>
    <row r="21" spans="1:18" ht="5.0999999999999996" customHeight="1" x14ac:dyDescent="0.2">
      <c r="A21" s="292"/>
      <c r="B21" s="293"/>
      <c r="C21" s="294"/>
      <c r="D21" s="294"/>
      <c r="E21" s="294"/>
      <c r="F21" s="313"/>
      <c r="G21" s="314"/>
      <c r="H21" s="314"/>
      <c r="I21" s="295"/>
      <c r="J21" s="295"/>
      <c r="K21" s="295"/>
      <c r="L21" s="284"/>
      <c r="M21" s="295"/>
      <c r="N21" s="295"/>
      <c r="O21" s="295"/>
      <c r="P21" s="295"/>
    </row>
    <row r="22" spans="1:18" x14ac:dyDescent="0.2">
      <c r="A22" s="296" t="s">
        <v>163</v>
      </c>
      <c r="B22" s="293"/>
      <c r="C22" s="294"/>
      <c r="D22" s="294"/>
      <c r="E22" s="294"/>
      <c r="F22" s="313"/>
      <c r="G22" s="314"/>
      <c r="H22" s="314"/>
      <c r="I22" s="297">
        <f>SUM(I18:I20)</f>
        <v>19501215.585547384</v>
      </c>
      <c r="J22" s="297">
        <f>SUM(J18:J20)</f>
        <v>2985714.5229675076</v>
      </c>
      <c r="K22" s="297">
        <f>I22+J22</f>
        <v>22486930.10851489</v>
      </c>
      <c r="L22" s="284"/>
      <c r="M22" s="297">
        <f>SUM(M18:M20)</f>
        <v>22377539.485048581</v>
      </c>
      <c r="N22" s="297">
        <f>SUM(N18:N20)</f>
        <v>110187.67744943153</v>
      </c>
      <c r="O22" s="297">
        <f>M22+N22</f>
        <v>22487727.162498012</v>
      </c>
      <c r="P22" s="297">
        <f t="shared" si="0"/>
        <v>797.05398312211037</v>
      </c>
      <c r="R22" s="170"/>
    </row>
    <row r="23" spans="1:18" ht="5.0999999999999996" customHeight="1" x14ac:dyDescent="0.2">
      <c r="A23" s="292"/>
      <c r="B23" s="293"/>
      <c r="C23" s="294"/>
      <c r="D23" s="294"/>
      <c r="E23" s="294"/>
      <c r="F23" s="313"/>
      <c r="G23" s="314"/>
      <c r="H23" s="314"/>
      <c r="I23" s="295"/>
      <c r="J23" s="295"/>
      <c r="K23" s="295"/>
      <c r="L23" s="284"/>
      <c r="M23" s="295"/>
      <c r="N23" s="295"/>
      <c r="O23" s="295"/>
      <c r="P23" s="295"/>
    </row>
    <row r="24" spans="1:18" x14ac:dyDescent="0.2">
      <c r="A24" s="292" t="s">
        <v>25</v>
      </c>
      <c r="B24" s="293" t="s">
        <v>13</v>
      </c>
      <c r="C24" s="294">
        <f>'5.API 2020 Non-RRRP Rate Design'!D15</f>
        <v>2960.1858518389645</v>
      </c>
      <c r="D24" s="294">
        <f>'5.API 2020 Non-RRRP Rate Design'!E15</f>
        <v>5874372.3645382812</v>
      </c>
      <c r="E24" s="294">
        <v>0</v>
      </c>
      <c r="F24" s="313">
        <f>'7. Rate Design Policy Seasonal'!D43</f>
        <v>59.76</v>
      </c>
      <c r="G24" s="314">
        <f>'7. Rate Design Policy Seasonal'!D44</f>
        <v>0.128</v>
      </c>
      <c r="H24" s="314"/>
      <c r="I24" s="295">
        <f>F24*C24*12</f>
        <v>2122808.4780707583</v>
      </c>
      <c r="J24" s="295">
        <f>G24*D24+H24*E24</f>
        <v>751919.66266090004</v>
      </c>
      <c r="K24" s="295">
        <f>I24+J24</f>
        <v>2874728.1407316583</v>
      </c>
      <c r="L24" s="284"/>
      <c r="M24" s="295">
        <f>'2. RateDesign F,V Split'!F63</f>
        <v>2874601.5790059138</v>
      </c>
      <c r="N24" s="295"/>
      <c r="O24" s="295">
        <f>SUM(M24:N24)</f>
        <v>2874601.5790059138</v>
      </c>
      <c r="P24" s="295">
        <f t="shared" si="0"/>
        <v>-126.56172574451193</v>
      </c>
      <c r="R24" s="170"/>
    </row>
    <row r="25" spans="1:18" x14ac:dyDescent="0.2">
      <c r="A25" s="292" t="s">
        <v>164</v>
      </c>
      <c r="B25" s="293" t="s">
        <v>13</v>
      </c>
      <c r="C25" s="294">
        <f>'5.API 2020 Non-RRRP Rate Design'!D16</f>
        <v>1127.6033016645551</v>
      </c>
      <c r="D25" s="294">
        <f>'5.API 2020 Non-RRRP Rate Design'!E16</f>
        <v>581104.4520676051</v>
      </c>
      <c r="E25" s="294">
        <v>0</v>
      </c>
      <c r="F25" s="313">
        <f>ROUND('5.API 2020 Non-RRRP Rate Design'!I16,2)</f>
        <v>1.89</v>
      </c>
      <c r="G25" s="314">
        <f>ROUND('5.API 2020 Non-RRRP Rate Design'!J16,4)</f>
        <v>0.30430000000000001</v>
      </c>
      <c r="H25" s="314"/>
      <c r="I25" s="295">
        <f>F25*C25*12</f>
        <v>25574.04288175211</v>
      </c>
      <c r="J25" s="295">
        <f>G25*D25+H25*E25</f>
        <v>176830.08476417224</v>
      </c>
      <c r="K25" s="295">
        <f>I25+J25</f>
        <v>202404.12764592434</v>
      </c>
      <c r="L25" s="284"/>
      <c r="M25" s="295">
        <f>'2. RateDesign F,V Split'!F64</f>
        <v>202432.56979595529</v>
      </c>
      <c r="N25" s="295"/>
      <c r="O25" s="295">
        <f>SUM(M25:N25)</f>
        <v>202432.56979595529</v>
      </c>
      <c r="P25" s="295">
        <f t="shared" si="0"/>
        <v>28.442150030954508</v>
      </c>
    </row>
    <row r="26" spans="1:18" x14ac:dyDescent="0.2">
      <c r="A26" s="279"/>
      <c r="B26" s="279"/>
      <c r="C26" s="279"/>
      <c r="D26" s="279"/>
      <c r="E26" s="279"/>
      <c r="F26" s="281"/>
      <c r="G26" s="279"/>
      <c r="H26" s="279"/>
      <c r="I26" s="281"/>
      <c r="J26" s="281"/>
      <c r="K26" s="281"/>
      <c r="L26" s="284"/>
      <c r="M26" s="281"/>
      <c r="N26" s="281"/>
      <c r="O26" s="281"/>
      <c r="P26" s="281"/>
    </row>
    <row r="27" spans="1:18" x14ac:dyDescent="0.2">
      <c r="A27" s="298" t="s">
        <v>89</v>
      </c>
      <c r="B27" s="299"/>
      <c r="C27" s="299"/>
      <c r="D27" s="299"/>
      <c r="E27" s="299"/>
      <c r="F27" s="281"/>
      <c r="G27" s="299"/>
      <c r="H27" s="299"/>
      <c r="I27" s="300">
        <f>I22+I24+I25</f>
        <v>21649598.106499895</v>
      </c>
      <c r="J27" s="300">
        <f>J22+J24+J25</f>
        <v>3914464.27039258</v>
      </c>
      <c r="K27" s="300">
        <f>I27+J27</f>
        <v>25564062.376892477</v>
      </c>
      <c r="L27" s="301"/>
      <c r="M27" s="300">
        <f>M22+M24+M25</f>
        <v>25454573.633850452</v>
      </c>
      <c r="N27" s="300">
        <f>N22+N24+N25</f>
        <v>110187.67744943153</v>
      </c>
      <c r="O27" s="302">
        <f>M27+N27</f>
        <v>25564761.311299883</v>
      </c>
      <c r="P27" s="303">
        <f t="shared" si="0"/>
        <v>698.93440740555525</v>
      </c>
      <c r="R27" s="170"/>
    </row>
    <row r="28" spans="1:18" x14ac:dyDescent="0.2">
      <c r="M28" s="304" t="s">
        <v>46</v>
      </c>
    </row>
    <row r="29" spans="1:18" ht="21" x14ac:dyDescent="0.55000000000000004">
      <c r="A29" s="305" t="s">
        <v>165</v>
      </c>
      <c r="B29" s="306"/>
      <c r="C29" s="307"/>
      <c r="D29" s="307"/>
      <c r="E29" s="307"/>
      <c r="F29" s="307"/>
      <c r="G29" s="307"/>
      <c r="H29" s="307"/>
      <c r="I29" s="307"/>
      <c r="J29" s="307" t="s">
        <v>166</v>
      </c>
      <c r="K29" s="308">
        <f>K27-SUM(K15:K16,K19:K20,K24:K25)</f>
        <v>0</v>
      </c>
      <c r="O29" s="308">
        <f>O27-M27-N27</f>
        <v>-2.6193447411060333E-10</v>
      </c>
      <c r="P29" s="309">
        <f>P27/O27</f>
        <v>2.7339758775554036E-5</v>
      </c>
    </row>
    <row r="30" spans="1:18" x14ac:dyDescent="0.2">
      <c r="A30" s="307"/>
      <c r="B30" s="306"/>
      <c r="C30" s="307"/>
      <c r="D30" s="307"/>
      <c r="E30" s="307"/>
      <c r="F30" s="307"/>
      <c r="G30" s="307"/>
      <c r="H30" s="307"/>
      <c r="I30" s="307"/>
      <c r="J30" s="307"/>
      <c r="K30" s="307"/>
    </row>
    <row r="31" spans="1:18" ht="12.75" customHeight="1" x14ac:dyDescent="0.2">
      <c r="A31" s="368" t="s">
        <v>167</v>
      </c>
      <c r="B31" s="368"/>
      <c r="C31" s="368"/>
      <c r="D31" s="368"/>
      <c r="E31" s="368"/>
      <c r="F31" s="368"/>
      <c r="G31" s="368"/>
      <c r="H31" s="368"/>
      <c r="I31" s="368"/>
      <c r="J31" s="368"/>
      <c r="K31" s="368"/>
      <c r="L31" s="368"/>
      <c r="M31" s="368"/>
      <c r="N31" s="368"/>
      <c r="O31" s="368"/>
      <c r="P31" s="368"/>
    </row>
    <row r="32" spans="1:18" x14ac:dyDescent="0.2">
      <c r="A32" s="368"/>
      <c r="B32" s="368"/>
      <c r="C32" s="368"/>
      <c r="D32" s="368"/>
      <c r="E32" s="368"/>
      <c r="F32" s="368"/>
      <c r="G32" s="368"/>
      <c r="H32" s="368"/>
      <c r="I32" s="368"/>
      <c r="J32" s="368"/>
      <c r="K32" s="368"/>
      <c r="L32" s="368"/>
      <c r="M32" s="368"/>
      <c r="N32" s="368"/>
      <c r="O32" s="368"/>
      <c r="P32" s="368"/>
    </row>
    <row r="33" spans="1:14" ht="12.75" customHeight="1" x14ac:dyDescent="0.2">
      <c r="A33" s="368" t="s">
        <v>168</v>
      </c>
      <c r="B33" s="368"/>
      <c r="C33" s="368"/>
      <c r="D33" s="368"/>
      <c r="E33" s="368"/>
      <c r="F33" s="368"/>
      <c r="G33" s="368"/>
      <c r="H33" s="368"/>
      <c r="I33" s="368"/>
      <c r="J33" s="368"/>
      <c r="K33" s="368"/>
      <c r="L33" s="368"/>
      <c r="M33" s="368"/>
      <c r="N33" s="368"/>
    </row>
    <row r="34" spans="1:14" x14ac:dyDescent="0.2">
      <c r="A34" s="368"/>
      <c r="B34" s="368"/>
      <c r="C34" s="368"/>
      <c r="D34" s="368"/>
      <c r="E34" s="368"/>
      <c r="F34" s="368"/>
      <c r="G34" s="368"/>
      <c r="H34" s="368"/>
      <c r="I34" s="368"/>
      <c r="J34" s="368"/>
      <c r="K34" s="368"/>
      <c r="L34" s="368"/>
      <c r="M34" s="368"/>
      <c r="N34" s="368"/>
    </row>
    <row r="71" spans="4:4" x14ac:dyDescent="0.2">
      <c r="D71" t="s">
        <v>37</v>
      </c>
    </row>
  </sheetData>
  <sheetProtection selectLockedCells="1" selectUnlockedCells="1"/>
  <mergeCells count="17">
    <mergeCell ref="A9:P9"/>
    <mergeCell ref="A10:P10"/>
    <mergeCell ref="A12:A13"/>
    <mergeCell ref="B12:B13"/>
    <mergeCell ref="C12:E12"/>
    <mergeCell ref="F12:H12"/>
    <mergeCell ref="I12:I13"/>
    <mergeCell ref="J12:J13"/>
    <mergeCell ref="K12:K13"/>
    <mergeCell ref="L12:L13"/>
    <mergeCell ref="A33:N34"/>
    <mergeCell ref="M12:M13"/>
    <mergeCell ref="N12:N13"/>
    <mergeCell ref="O12:O13"/>
    <mergeCell ref="P12:P13"/>
    <mergeCell ref="G13:H13"/>
    <mergeCell ref="A31:P32"/>
  </mergeCells>
  <dataValidations count="1">
    <dataValidation type="list" allowBlank="1" showInputMessage="1" showErrorMessage="1" sqref="B15:B25" xr:uid="{A75DC2B9-4A6E-423B-A188-A7B8B3B1819D}">
      <formula1>"kWh,kW"</formula1>
    </dataValidation>
  </dataValidations>
  <pageMargins left="0.75" right="0.75" top="1" bottom="1" header="0.51180555555555551" footer="0.51180555555555551"/>
  <pageSetup scale="61"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2019 Equivalent Rates</vt:lpstr>
      <vt:lpstr>2. RateDesign F,V Split</vt:lpstr>
      <vt:lpstr>3. Revenue at Curr,Prop Rates</vt:lpstr>
      <vt:lpstr>4. API 2020 RRRP Rate Design</vt:lpstr>
      <vt:lpstr>5.API 2020 Non-RRRP Rate Design</vt:lpstr>
      <vt:lpstr>6. Rate Design Policy R1(i)</vt:lpstr>
      <vt:lpstr>7. Rate Design Policy Seasonal</vt:lpstr>
      <vt:lpstr>8. Revenue Reconciliation</vt:lpstr>
      <vt:lpstr>'3. Revenue at Curr,Prop Rates'!Print_Area</vt:lpstr>
      <vt:lpstr>'8. Revenue Reconciliation'!Print_Area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2019-09-12T14:01:51Z</dcterms:created>
  <dcterms:modified xsi:type="dcterms:W3CDTF">2019-09-18T17:08:01Z</dcterms:modified>
</cp:coreProperties>
</file>