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80" windowHeight="5850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Allocations'!$B$1:$J$70</definedName>
    <definedName name="_xlnm.Print_Area" localSheetId="2">'Table 3 Tax'!$A$1:$K$64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I5" i="5" l="1"/>
  <c r="H5" i="5"/>
  <c r="G5" i="5"/>
  <c r="F5" i="5"/>
  <c r="J48" i="5" l="1"/>
  <c r="G41" i="5"/>
  <c r="H41" i="5"/>
  <c r="I41" i="5"/>
  <c r="F41" i="5"/>
  <c r="G12" i="5"/>
  <c r="H12" i="5"/>
  <c r="I12" i="5"/>
  <c r="G13" i="5"/>
  <c r="H13" i="5"/>
  <c r="I13" i="5"/>
  <c r="G14" i="5"/>
  <c r="H14" i="5"/>
  <c r="I14" i="5"/>
  <c r="F13" i="5"/>
  <c r="F14" i="5"/>
  <c r="F12" i="5"/>
  <c r="I14" i="9" l="1"/>
  <c r="I15" i="9"/>
  <c r="I16" i="9"/>
  <c r="I17" i="9"/>
  <c r="I18" i="9"/>
  <c r="I19" i="9"/>
  <c r="I20" i="9"/>
  <c r="I21" i="9"/>
  <c r="H14" i="9"/>
  <c r="H15" i="9"/>
  <c r="H16" i="9"/>
  <c r="H17" i="9"/>
  <c r="H18" i="9"/>
  <c r="H19" i="9"/>
  <c r="H20" i="9"/>
  <c r="H21" i="9"/>
  <c r="G14" i="9"/>
  <c r="G15" i="9"/>
  <c r="G16" i="9"/>
  <c r="G17" i="9"/>
  <c r="G18" i="9"/>
  <c r="G19" i="9"/>
  <c r="G20" i="9"/>
  <c r="G21" i="9"/>
  <c r="F21" i="9"/>
  <c r="F15" i="9"/>
  <c r="F16" i="9"/>
  <c r="F17" i="9"/>
  <c r="F18" i="9"/>
  <c r="F19" i="9"/>
  <c r="F20" i="9"/>
  <c r="F14" i="9"/>
  <c r="D54" i="9" l="1"/>
  <c r="E60" i="9" l="1"/>
  <c r="D52" i="9" l="1"/>
  <c r="D48" i="9"/>
  <c r="I23" i="9"/>
  <c r="I52" i="9" s="1"/>
  <c r="H23" i="9"/>
  <c r="H52" i="9" s="1"/>
  <c r="G23" i="9"/>
  <c r="G52" i="9" s="1"/>
  <c r="D23" i="9"/>
  <c r="I48" i="9" l="1"/>
  <c r="H48" i="9"/>
  <c r="G48" i="9"/>
  <c r="E6" i="9"/>
  <c r="E7" i="9"/>
  <c r="E8" i="9"/>
  <c r="D43" i="9" l="1"/>
  <c r="D45" i="9" s="1"/>
  <c r="D20" i="9"/>
  <c r="D21" i="9" l="1"/>
  <c r="E41" i="9"/>
  <c r="E40" i="9"/>
  <c r="E38" i="9"/>
  <c r="E36" i="9"/>
  <c r="E34" i="9"/>
  <c r="E32" i="9"/>
  <c r="E31" i="9"/>
  <c r="E29" i="9"/>
  <c r="E27" i="9"/>
  <c r="I43" i="9"/>
  <c r="I45" i="9" s="1"/>
  <c r="H43" i="9"/>
  <c r="H45" i="9" s="1"/>
  <c r="G43" i="9"/>
  <c r="G45" i="9" s="1"/>
  <c r="F43" i="9"/>
  <c r="F45" i="9" s="1"/>
  <c r="E58" i="9"/>
  <c r="E11" i="9"/>
  <c r="D50" i="9" l="1"/>
  <c r="D64" i="9" s="1"/>
  <c r="H50" i="9"/>
  <c r="H54" i="9" s="1"/>
  <c r="E43" i="9"/>
  <c r="E45" i="9"/>
  <c r="D56" i="9" l="1"/>
  <c r="H64" i="9"/>
  <c r="J40" i="7"/>
  <c r="I50" i="9"/>
  <c r="I54" i="9" s="1"/>
  <c r="G50" i="9"/>
  <c r="G54" i="9" s="1"/>
  <c r="D62" i="9" l="1"/>
  <c r="D66" i="9" s="1"/>
  <c r="D69" i="9" s="1"/>
  <c r="D70" i="9" s="1"/>
  <c r="G64" i="9"/>
  <c r="J57" i="7"/>
  <c r="I64" i="9"/>
  <c r="J23" i="7"/>
  <c r="P16" i="7" l="1"/>
  <c r="J45" i="5" l="1"/>
  <c r="I45" i="5"/>
  <c r="H45" i="5"/>
  <c r="F45" i="5"/>
  <c r="E45" i="5"/>
  <c r="C45" i="5"/>
  <c r="G39" i="5"/>
  <c r="G45" i="5" s="1"/>
  <c r="J24" i="5"/>
  <c r="I24" i="5"/>
  <c r="H24" i="5"/>
  <c r="F24" i="5"/>
  <c r="E24" i="5"/>
  <c r="C24" i="5"/>
  <c r="C48" i="5" s="1"/>
  <c r="C50" i="5" s="1"/>
  <c r="G18" i="5"/>
  <c r="G24" i="5" s="1"/>
  <c r="G48" i="5" l="1"/>
  <c r="H48" i="5"/>
  <c r="I48" i="5"/>
  <c r="F48" i="5"/>
  <c r="C51" i="5"/>
  <c r="C52" i="5" s="1"/>
  <c r="C54" i="5" s="1"/>
  <c r="C60" i="5" s="1"/>
  <c r="J61" i="7" l="1"/>
  <c r="P61" i="7" s="1"/>
  <c r="J50" i="7"/>
  <c r="P50" i="7" s="1"/>
  <c r="J49" i="7"/>
  <c r="P49" i="7" s="1"/>
  <c r="J67" i="7"/>
  <c r="P67" i="7" s="1"/>
  <c r="J66" i="7" l="1"/>
  <c r="P66" i="7" s="1"/>
  <c r="P51" i="7"/>
  <c r="J62" i="7"/>
  <c r="P62" i="7" s="1"/>
  <c r="P63" i="7" s="1"/>
  <c r="J45" i="7"/>
  <c r="P45" i="7" s="1"/>
  <c r="J44" i="7"/>
  <c r="P44" i="7" s="1"/>
  <c r="J51" i="7"/>
  <c r="J68" i="7" l="1"/>
  <c r="G56" i="9"/>
  <c r="G62" i="9" s="1"/>
  <c r="J63" i="7"/>
  <c r="P46" i="7"/>
  <c r="H56" i="9" s="1"/>
  <c r="H62" i="9" s="1"/>
  <c r="J46" i="7"/>
  <c r="J53" i="7" s="1"/>
  <c r="J32" i="7"/>
  <c r="J27" i="7"/>
  <c r="J33" i="7"/>
  <c r="P33" i="7" s="1"/>
  <c r="P84" i="7" s="1"/>
  <c r="J28" i="7"/>
  <c r="P28" i="7" s="1"/>
  <c r="P68" i="7"/>
  <c r="J70" i="7" l="1"/>
  <c r="P53" i="7"/>
  <c r="P27" i="7"/>
  <c r="J29" i="7"/>
  <c r="P32" i="7"/>
  <c r="J34" i="7"/>
  <c r="P70" i="7"/>
  <c r="P29" i="7" l="1"/>
  <c r="I56" i="9" s="1"/>
  <c r="I62" i="9" s="1"/>
  <c r="J36" i="7"/>
  <c r="P34" i="7"/>
  <c r="P36" i="7" l="1"/>
  <c r="E13" i="9" l="1"/>
  <c r="E21" i="9"/>
  <c r="E23" i="9" l="1"/>
  <c r="F23" i="9"/>
  <c r="F48" i="9" l="1"/>
  <c r="F52" i="9"/>
  <c r="F50" i="9" l="1"/>
  <c r="F54" i="9" s="1"/>
  <c r="E54" i="9" s="1"/>
  <c r="E48" i="9"/>
  <c r="E50" i="9" s="1"/>
  <c r="E52" i="9"/>
  <c r="F56" i="9" l="1"/>
  <c r="F62" i="9" s="1"/>
  <c r="E56" i="9"/>
  <c r="E62" i="9" s="1"/>
  <c r="E64" i="9"/>
  <c r="J74" i="7"/>
  <c r="F64" i="9"/>
  <c r="F66" i="9" s="1"/>
  <c r="F69" i="9" s="1"/>
  <c r="F70" i="9" s="1"/>
  <c r="J6" i="7"/>
  <c r="E66" i="9" l="1"/>
  <c r="J83" i="7"/>
  <c r="J84" i="7"/>
  <c r="J79" i="7"/>
  <c r="J78" i="7"/>
  <c r="J10" i="7"/>
  <c r="J11" i="7"/>
  <c r="P11" i="7" s="1"/>
  <c r="P79" i="7" s="1"/>
  <c r="J15" i="7"/>
  <c r="J80" i="7" l="1"/>
  <c r="J17" i="7"/>
  <c r="P15" i="7"/>
  <c r="L79" i="7"/>
  <c r="P10" i="7"/>
  <c r="J12" i="7"/>
  <c r="J85" i="7"/>
  <c r="J87" i="7" l="1"/>
  <c r="P12" i="7"/>
  <c r="P78" i="7"/>
  <c r="P83" i="7"/>
  <c r="L83" i="7" s="1"/>
  <c r="P17" i="7"/>
  <c r="J19" i="7"/>
  <c r="P19" i="7" l="1"/>
  <c r="P87" i="7" s="1"/>
  <c r="L87" i="7" s="1"/>
  <c r="P85" i="7"/>
  <c r="L85" i="7" s="1"/>
  <c r="L78" i="7"/>
  <c r="P80" i="7"/>
  <c r="L80" i="7" s="1"/>
</calcChain>
</file>

<file path=xl/sharedStrings.xml><?xml version="1.0" encoding="utf-8"?>
<sst xmlns="http://schemas.openxmlformats.org/spreadsheetml/2006/main" count="293" uniqueCount="140">
  <si>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</si>
  <si>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</si>
  <si>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</si>
  <si>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</si>
  <si>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</si>
  <si>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</si>
  <si>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</si>
  <si>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</si>
  <si>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</si>
  <si>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</si>
  <si>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</si>
  <si>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</si>
  <si>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</si>
  <si>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</si>
  <si>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</si>
  <si>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</si>
  <si>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</si>
  <si>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</si>
  <si>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</si>
  <si>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</si>
  <si>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</si>
  <si>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</si>
  <si>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</si>
  <si>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</si>
  <si>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</si>
  <si>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</si>
  <si>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</si>
  <si>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</si>
  <si>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</si>
  <si>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</si>
  <si>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</si>
  <si>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</si>
  <si>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HRZ Portion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</si>
  <si>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</si>
  <si>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</si>
  <si>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</si>
  <si>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</si>
  <si>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</si>
  <si>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</si>
  <si>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</si>
  <si>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</si>
  <si>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</si>
  <si>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</si>
  <si>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</si>
  <si>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</si>
  <si>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</si>
  <si>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</si>
  <si>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</si>
  <si>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</si>
  <si>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</si>
  <si>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</si>
  <si>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</si>
  <si>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</si>
  <si>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</si>
  <si>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</si>
  <si>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</si>
  <si>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Reverse book income on joint venture</t>
  </si>
  <si>
    <t>Removal Costs (Included in deprecation above; deductible for tax)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</si>
  <si>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</si>
  <si>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</si>
  <si>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</si>
  <si>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</si>
  <si>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</si>
  <si>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</si>
  <si>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Stranded Meter Rate Rider applied against UCC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</si>
  <si>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</si>
  <si>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</si>
  <si>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</si>
  <si>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</si>
  <si>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</si>
  <si>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</si>
  <si>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</si>
  <si>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</si>
  <si>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</si>
  <si>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</si>
  <si>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Current Tax Expense</t>
  </si>
  <si>
    <t>[A]</t>
  </si>
  <si>
    <t>One-time adjustments to current tax for prior years</t>
  </si>
  <si>
    <t>Deferred Tax Expense</t>
  </si>
  <si>
    <t>Total IFRS Tax Expense</t>
  </si>
  <si>
    <t>SUM OF [A]</t>
  </si>
  <si>
    <t>Per Original Filing</t>
  </si>
  <si>
    <t>Horizon</t>
  </si>
  <si>
    <t>Enersource</t>
  </si>
  <si>
    <t>Brampton</t>
  </si>
  <si>
    <t>PowerStream</t>
  </si>
  <si>
    <t>AUC - LDC Provision</t>
  </si>
  <si>
    <t>11 months: (February 1 - December 31, 2017)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</si>
  <si>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</si>
  <si>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</si>
  <si>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</si>
  <si>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</si>
  <si>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</si>
  <si>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</si>
  <si>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</si>
  <si>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</si>
  <si>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</si>
  <si>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</si>
  <si>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</si>
  <si>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</si>
  <si>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</si>
  <si>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</si>
  <si>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</si>
  <si>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</si>
  <si>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</si>
  <si>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</si>
  <si>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</si>
  <si>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</si>
  <si>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</si>
  <si>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</si>
  <si>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</si>
  <si>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</si>
  <si>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</si>
  <si>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</si>
  <si>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Per Annual Filling EB-2016-0077</t>
  </si>
  <si>
    <t xml:space="preserve">Return in Excess </t>
  </si>
  <si>
    <t>Amount Payable to Ratepayers</t>
  </si>
  <si>
    <t>Net Merger Costs</t>
  </si>
  <si>
    <t>Regulatory Net Income before interest &amp; tax</t>
  </si>
  <si>
    <t>Revised ESM</t>
  </si>
  <si>
    <t>HRZ- Staff #17</t>
  </si>
  <si>
    <t>OM&amp;A</t>
  </si>
  <si>
    <t>PILs</t>
  </si>
  <si>
    <t>Alectra OM&amp;A - Direct Allocations: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</si>
  <si>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</si>
  <si>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</si>
  <si>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</si>
  <si>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</si>
  <si>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</si>
  <si>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</si>
  <si>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Table 2: Capitalization / Cost of Capital 2017 Actual  (12 Months)</t>
  </si>
  <si>
    <t xml:space="preserve">              Table 3: Reconciliation of additions / (deductions) for tax</t>
  </si>
  <si>
    <t>Updated Cost of Capital Calculation - See Table 2</t>
  </si>
  <si>
    <t xml:space="preserve">Table 1: Allocations for Calculation of HRZ Earnings Sharing - (HRZ-Staff 2 e.) Updated to 5 Year Average </t>
  </si>
  <si>
    <t>Reference updates</t>
  </si>
  <si>
    <t>Updated OM&amp;A Allocation 5 Year Average</t>
  </si>
  <si>
    <t xml:space="preserve">Updated Working Capital Calculation </t>
  </si>
  <si>
    <t>Updated PILs - See Table 3</t>
  </si>
  <si>
    <t xml:space="preserve">Updated Deemed Equity Calculation </t>
  </si>
  <si>
    <t>Updated 5 Yr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</si>
</sst>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3460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92" fillId="62" borderId="0" xfId="15705" applyFont="1" applyFill="1" applyAlignment="1">
      <alignment horizontal="center"/>
    </xf>
    <xf numFmtId="0" fontId="92" fillId="62" borderId="12" xfId="15705" applyFont="1" applyFill="1" applyBorder="1" applyAlignment="1">
      <alignment horizontal="center"/>
    </xf>
    <xf numFmtId="174" fontId="3" fillId="62" borderId="12" xfId="8506" applyNumberFormat="1" applyFont="1" applyFill="1" applyBorder="1" applyAlignment="1">
      <alignment horizontal="center" wrapText="1"/>
    </xf>
    <xf numFmtId="174" fontId="4" fillId="62" borderId="0" xfId="6610" applyNumberFormat="1" applyFill="1"/>
    <xf numFmtId="174" fontId="4" fillId="62" borderId="0" xfId="15705" applyNumberFormat="1" applyFill="1"/>
    <xf numFmtId="43" fontId="92" fillId="62" borderId="0" xfId="6610" applyFont="1" applyFill="1"/>
    <xf numFmtId="174" fontId="4" fillId="62" borderId="0" xfId="6610" applyNumberFormat="1" applyFill="1" applyAlignment="1">
      <alignment horizontal="center"/>
    </xf>
    <xf numFmtId="43" fontId="4" fillId="62" borderId="0" xfId="6610" applyFill="1"/>
    <xf numFmtId="43" fontId="0" fillId="62" borderId="0" xfId="6610" applyFont="1" applyFill="1"/>
    <xf numFmtId="174" fontId="4" fillId="62" borderId="0" xfId="15705" applyNumberFormat="1" applyFont="1" applyFill="1"/>
    <xf numFmtId="0" fontId="4" fillId="62" borderId="0" xfId="15705" applyFont="1" applyFill="1" applyAlignment="1">
      <alignment horizontal="center"/>
    </xf>
    <xf numFmtId="0" fontId="4" fillId="62" borderId="0" xfId="15705" applyFont="1" applyFill="1"/>
    <xf numFmtId="174" fontId="0" fillId="62" borderId="0" xfId="8506" applyNumberFormat="1" applyFont="1" applyFill="1" applyAlignment="1">
      <alignment horizontal="center"/>
    </xf>
    <xf numFmtId="174" fontId="4" fillId="62" borderId="0" xfId="6610" applyNumberFormat="1" applyFont="1" applyFill="1" applyBorder="1"/>
    <xf numFmtId="174" fontId="4" fillId="62" borderId="37" xfId="6610" applyNumberFormat="1" applyFont="1" applyFill="1" applyBorder="1"/>
    <xf numFmtId="174" fontId="0" fillId="62" borderId="37" xfId="6610" applyNumberFormat="1" applyFont="1" applyFill="1" applyBorder="1"/>
    <xf numFmtId="174" fontId="4" fillId="62" borderId="0" xfId="6610" applyNumberFormat="1" applyFont="1" applyFill="1"/>
    <xf numFmtId="174" fontId="4" fillId="62" borderId="37" xfId="6610" applyNumberFormat="1" applyFont="1" applyFill="1" applyBorder="1" applyAlignment="1">
      <alignment horizontal="center"/>
    </xf>
    <xf numFmtId="174" fontId="4" fillId="62" borderId="12" xfId="6610" applyNumberFormat="1" applyFill="1" applyBorder="1"/>
    <xf numFmtId="10" fontId="4" fillId="62" borderId="0" xfId="32536" applyNumberFormat="1" applyFill="1"/>
    <xf numFmtId="174" fontId="4" fillId="62" borderId="38" xfId="6610" applyNumberFormat="1" applyFill="1" applyBorder="1"/>
    <xf numFmtId="174" fontId="4" fillId="0" borderId="0" xfId="6610" applyNumberFormat="1"/>
    <xf numFmtId="0" fontId="4" fillId="0" borderId="0" xfId="15705" applyAlignment="1">
      <alignment horizontal="center"/>
    </xf>
    <xf numFmtId="0" fontId="4" fillId="0" borderId="0" xfId="15705" applyAlignment="1">
      <alignment horizontal="left"/>
    </xf>
    <xf numFmtId="0" fontId="92" fillId="62" borderId="0" xfId="15705" applyFont="1" applyFill="1" applyAlignment="1">
      <alignment horizontal="center" wrapText="1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70" borderId="0" xfId="0" applyFill="1" applyAlignment="1"/>
    <xf numFmtId="0" fontId="0" fillId="70" borderId="0" xfId="0" applyFill="1"/>
    <xf numFmtId="0" fontId="92" fillId="70" borderId="0" xfId="2" applyFont="1" applyFill="1" applyBorder="1" applyAlignment="1" applyProtection="1">
      <alignment vertical="center"/>
    </xf>
    <xf numFmtId="172" fontId="92" fillId="70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1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9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172" fontId="126" fillId="0" borderId="0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26" fillId="0" borderId="56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9" fillId="0" borderId="0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92" fillId="68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0" fontId="92" fillId="68" borderId="60" xfId="0" applyNumberFormat="1" applyFont="1" applyFill="1" applyBorder="1" applyAlignment="1" applyProtection="1">
      <alignment horizontal="center"/>
    </xf>
    <xf numFmtId="0" fontId="88" fillId="0" borderId="61" xfId="0" applyNumberFormat="1" applyFont="1" applyFill="1" applyBorder="1" applyAlignment="1" applyProtection="1">
      <alignment horizontal="center"/>
    </xf>
    <xf numFmtId="0" fontId="88" fillId="0" borderId="60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4" fillId="68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4" fillId="68" borderId="57" xfId="0" applyNumberFormat="1" applyFont="1" applyFill="1" applyBorder="1" applyAlignment="1" applyProtection="1"/>
    <xf numFmtId="172" fontId="26" fillId="0" borderId="56" xfId="0" applyNumberFormat="1" applyFont="1" applyFill="1" applyBorder="1" applyAlignment="1" applyProtection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0" fontId="4" fillId="68" borderId="57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31" fillId="0" borderId="57" xfId="0" applyNumberFormat="1" applyFont="1" applyFill="1" applyBorder="1" applyAlignment="1" applyProtection="1"/>
    <xf numFmtId="172" fontId="26" fillId="0" borderId="57" xfId="0" applyNumberFormat="1" applyFont="1" applyFill="1" applyBorder="1" applyAlignment="1" applyProtection="1">
      <alignment horizontal="center"/>
    </xf>
    <xf numFmtId="172" fontId="26" fillId="0" borderId="57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7" xfId="0" applyFont="1" applyFill="1" applyBorder="1"/>
    <xf numFmtId="172" fontId="40" fillId="0" borderId="56" xfId="1" applyNumberFormat="1" applyFont="1" applyBorder="1" applyAlignment="1">
      <alignment horizontal="center"/>
    </xf>
    <xf numFmtId="172" fontId="4" fillId="68" borderId="37" xfId="1" applyNumberFormat="1" applyFont="1" applyFill="1" applyBorder="1"/>
    <xf numFmtId="172" fontId="40" fillId="0" borderId="56" xfId="1" applyNumberFormat="1" applyFont="1" applyBorder="1"/>
    <xf numFmtId="172" fontId="40" fillId="0" borderId="37" xfId="1" applyNumberFormat="1" applyFont="1" applyBorder="1"/>
    <xf numFmtId="172" fontId="4" fillId="0" borderId="56" xfId="1" applyNumberFormat="1" applyFont="1" applyBorder="1"/>
    <xf numFmtId="172" fontId="26" fillId="0" borderId="43" xfId="0" applyNumberFormat="1" applyFont="1" applyFill="1" applyBorder="1" applyAlignment="1" applyProtection="1"/>
    <xf numFmtId="172" fontId="132" fillId="0" borderId="56" xfId="1" applyNumberFormat="1" applyFont="1" applyBorder="1" applyAlignment="1">
      <alignment horizontal="center"/>
    </xf>
    <xf numFmtId="172" fontId="43" fillId="68" borderId="57" xfId="0" applyNumberFormat="1" applyFont="1" applyFill="1" applyBorder="1" applyAlignment="1" applyProtection="1"/>
    <xf numFmtId="172" fontId="131" fillId="0" borderId="57" xfId="0" applyNumberFormat="1" applyFont="1" applyFill="1" applyBorder="1" applyAlignment="1" applyProtection="1">
      <alignment horizontal="center"/>
    </xf>
    <xf numFmtId="172" fontId="131" fillId="0" borderId="57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>
      <alignment horizontal="center"/>
    </xf>
    <xf numFmtId="172" fontId="92" fillId="68" borderId="57" xfId="0" applyNumberFormat="1" applyFont="1" applyFill="1" applyBorder="1" applyAlignment="1" applyProtection="1"/>
    <xf numFmtId="172" fontId="88" fillId="0" borderId="56" xfId="0" applyNumberFormat="1" applyFont="1" applyFill="1" applyBorder="1" applyAlignment="1" applyProtection="1"/>
    <xf numFmtId="172" fontId="88" fillId="0" borderId="57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6" xfId="0" applyNumberFormat="1" applyFont="1" applyFill="1" applyBorder="1" applyAlignment="1" applyProtection="1"/>
    <xf numFmtId="172" fontId="4" fillId="68" borderId="57" xfId="1" applyNumberFormat="1" applyFont="1" applyFill="1" applyBorder="1" applyAlignment="1" applyProtection="1"/>
    <xf numFmtId="172" fontId="4" fillId="0" borderId="57" xfId="1" applyNumberFormat="1" applyFont="1" applyFill="1" applyBorder="1" applyAlignment="1" applyProtection="1"/>
    <xf numFmtId="0" fontId="89" fillId="0" borderId="57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6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4" fillId="68" borderId="57" xfId="0" applyNumberFormat="1" applyFont="1" applyFill="1" applyBorder="1" applyAlignment="1" applyProtection="1"/>
    <xf numFmtId="10" fontId="26" fillId="0" borderId="56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>
      <alignment horizontal="center"/>
    </xf>
    <xf numFmtId="172" fontId="26" fillId="62" borderId="56" xfId="0" applyNumberFormat="1" applyFont="1" applyFill="1" applyBorder="1" applyAlignment="1" applyProtection="1"/>
    <xf numFmtId="172" fontId="26" fillId="62" borderId="57" xfId="0" applyNumberFormat="1" applyFont="1" applyFill="1" applyBorder="1" applyAlignment="1" applyProtection="1"/>
    <xf numFmtId="172" fontId="26" fillId="62" borderId="43" xfId="0" applyNumberFormat="1" applyFont="1" applyFill="1" applyBorder="1" applyAlignment="1" applyProtection="1"/>
    <xf numFmtId="172" fontId="26" fillId="62" borderId="33" xfId="0" applyNumberFormat="1" applyFont="1" applyFill="1" applyBorder="1" applyAlignment="1" applyProtection="1"/>
    <xf numFmtId="172" fontId="26" fillId="62" borderId="55" xfId="0" applyNumberFormat="1" applyFont="1" applyFill="1" applyBorder="1" applyAlignment="1" applyProtection="1"/>
    <xf numFmtId="172" fontId="26" fillId="0" borderId="57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91" fontId="4" fillId="68" borderId="57" xfId="0" applyNumberFormat="1" applyFont="1" applyFill="1" applyBorder="1" applyAlignment="1" applyProtection="1"/>
    <xf numFmtId="10" fontId="26" fillId="0" borderId="57" xfId="63458" applyNumberFormat="1" applyFont="1" applyFill="1" applyBorder="1" applyAlignment="1" applyProtection="1"/>
    <xf numFmtId="191" fontId="26" fillId="0" borderId="57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4" fillId="68" borderId="58" xfId="1" applyNumberFormat="1" applyFont="1" applyFill="1" applyBorder="1" applyAlignment="1" applyProtection="1"/>
    <xf numFmtId="172" fontId="26" fillId="0" borderId="58" xfId="1" applyNumberFormat="1" applyFont="1" applyFill="1" applyBorder="1" applyAlignment="1" applyProtection="1"/>
    <xf numFmtId="172" fontId="26" fillId="0" borderId="62" xfId="1" applyNumberFormat="1" applyFont="1" applyFill="1" applyBorder="1" applyAlignment="1" applyProtection="1"/>
    <xf numFmtId="172" fontId="26" fillId="0" borderId="64" xfId="1" applyNumberFormat="1" applyFont="1" applyFill="1" applyBorder="1" applyAlignment="1" applyProtection="1"/>
    <xf numFmtId="0" fontId="26" fillId="0" borderId="61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34" fillId="0" borderId="0" xfId="0" applyNumberFormat="1" applyFont="1" applyFill="1" applyBorder="1" applyAlignment="1" applyProtection="1">
      <alignment horizontal="center"/>
    </xf>
    <xf numFmtId="10" fontId="26" fillId="72" borderId="37" xfId="63458" applyNumberFormat="1" applyFont="1" applyFill="1" applyBorder="1" applyAlignment="1" applyProtection="1"/>
    <xf numFmtId="10" fontId="26" fillId="72" borderId="56" xfId="0" applyNumberFormat="1" applyFont="1" applyFill="1" applyBorder="1" applyAlignment="1" applyProtection="1"/>
    <xf numFmtId="172" fontId="40" fillId="0" borderId="10" xfId="1" applyNumberFormat="1" applyFont="1" applyBorder="1"/>
    <xf numFmtId="172" fontId="131" fillId="0" borderId="10" xfId="0" applyNumberFormat="1" applyFont="1" applyFill="1" applyBorder="1" applyAlignment="1" applyProtection="1"/>
    <xf numFmtId="172" fontId="26" fillId="72" borderId="57" xfId="1" applyNumberFormat="1" applyFont="1" applyFill="1" applyBorder="1" applyAlignment="1" applyProtection="1"/>
    <xf numFmtId="172" fontId="26" fillId="72" borderId="33" xfId="1" applyNumberFormat="1" applyFont="1" applyFill="1" applyBorder="1" applyAlignment="1" applyProtection="1"/>
    <xf numFmtId="172" fontId="26" fillId="72" borderId="55" xfId="1" applyNumberFormat="1" applyFont="1" applyFill="1" applyBorder="1" applyAlignment="1" applyProtection="1"/>
    <xf numFmtId="0" fontId="26" fillId="72" borderId="59" xfId="0" applyNumberFormat="1" applyFont="1" applyFill="1" applyBorder="1" applyAlignment="1" applyProtection="1"/>
    <xf numFmtId="0" fontId="26" fillId="72" borderId="56" xfId="0" applyNumberFormat="1" applyFont="1" applyFill="1" applyBorder="1" applyAlignment="1" applyProtection="1"/>
    <xf numFmtId="174" fontId="4" fillId="0" borderId="0" xfId="6610" applyNumberFormat="1" applyFill="1" applyAlignment="1">
      <alignment horizontal="center"/>
    </xf>
    <xf numFmtId="172" fontId="4" fillId="72" borderId="57" xfId="0" applyNumberFormat="1" applyFont="1" applyFill="1" applyBorder="1" applyAlignment="1" applyProtection="1"/>
    <xf numFmtId="172" fontId="26" fillId="72" borderId="57" xfId="0" applyNumberFormat="1" applyFont="1" applyFill="1" applyBorder="1" applyAlignment="1" applyProtection="1"/>
    <xf numFmtId="172" fontId="26" fillId="72" borderId="43" xfId="0" applyNumberFormat="1" applyFont="1" applyFill="1" applyBorder="1" applyAlignment="1" applyProtection="1"/>
    <xf numFmtId="172" fontId="26" fillId="72" borderId="33" xfId="0" applyNumberFormat="1" applyFont="1" applyFill="1" applyBorder="1" applyAlignment="1" applyProtection="1"/>
    <xf numFmtId="172" fontId="26" fillId="72" borderId="55" xfId="0" applyNumberFormat="1" applyFont="1" applyFill="1" applyBorder="1" applyAlignment="1" applyProtection="1"/>
    <xf numFmtId="0" fontId="133" fillId="72" borderId="0" xfId="0" applyNumberFormat="1" applyFont="1" applyFill="1" applyBorder="1" applyAlignment="1" applyProtection="1"/>
    <xf numFmtId="0" fontId="7" fillId="72" borderId="0" xfId="0" applyNumberFormat="1" applyFont="1" applyFill="1" applyBorder="1" applyAlignment="1" applyProtection="1"/>
    <xf numFmtId="0" fontId="127" fillId="72" borderId="0" xfId="0" applyNumberFormat="1" applyFont="1" applyFill="1" applyBorder="1" applyAlignment="1" applyProtection="1"/>
    <xf numFmtId="0" fontId="6" fillId="72" borderId="0" xfId="0" applyNumberFormat="1" applyFont="1" applyFill="1" applyBorder="1" applyAlignment="1" applyProtection="1"/>
    <xf numFmtId="172" fontId="4" fillId="72" borderId="56" xfId="0" applyNumberFormat="1" applyFont="1" applyFill="1" applyBorder="1" applyAlignment="1" applyProtection="1"/>
    <xf numFmtId="172" fontId="4" fillId="72" borderId="43" xfId="0" applyNumberFormat="1" applyFont="1" applyFill="1" applyBorder="1" applyAlignment="1" applyProtection="1"/>
    <xf numFmtId="172" fontId="4" fillId="72" borderId="33" xfId="0" applyNumberFormat="1" applyFont="1" applyFill="1" applyBorder="1" applyAlignment="1" applyProtection="1"/>
    <xf numFmtId="172" fontId="4" fillId="72" borderId="55" xfId="0" applyNumberFormat="1" applyFont="1" applyFill="1" applyBorder="1" applyAlignment="1" applyProtection="1"/>
    <xf numFmtId="172" fontId="26" fillId="72" borderId="56" xfId="0" applyNumberFormat="1" applyFont="1" applyFill="1" applyBorder="1" applyAlignment="1" applyProtection="1"/>
    <xf numFmtId="0" fontId="92" fillId="72" borderId="0" xfId="15705" applyFont="1" applyFill="1" applyAlignment="1">
      <alignment horizontal="center" wrapText="1"/>
    </xf>
    <xf numFmtId="0" fontId="92" fillId="72" borderId="12" xfId="15705" applyFont="1" applyFill="1" applyBorder="1" applyAlignment="1">
      <alignment horizontal="center"/>
    </xf>
    <xf numFmtId="10" fontId="4" fillId="72" borderId="0" xfId="63458" applyNumberFormat="1" applyFont="1" applyFill="1" applyAlignment="1">
      <alignment horizontal="center"/>
    </xf>
    <xf numFmtId="174" fontId="4" fillId="72" borderId="0" xfId="6610" applyNumberFormat="1" applyFill="1" applyAlignment="1">
      <alignment horizontal="center"/>
    </xf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92" fillId="0" borderId="0" xfId="2" applyNumberFormat="1" applyFont="1" applyFill="1" applyBorder="1" applyAlignment="1" applyProtection="1">
      <alignment horizontal="center"/>
    </xf>
    <xf numFmtId="0" fontId="120" fillId="0" borderId="0" xfId="2" applyFont="1" applyFill="1" applyAlignment="1" applyProtection="1">
      <alignment vertic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92" fillId="68" borderId="0" xfId="15705" applyFont="1" applyFill="1" applyAlignment="1">
      <alignment horizontal="center"/>
    </xf>
  </cellXfs>
  <cellStyles count="63460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Data - IBM Cognos" xfId="43759"/>
    <cellStyle name="AF Data - IBM Cognos 2" xfId="43760"/>
    <cellStyle name="AF Data 0 - IBM Cognos" xfId="43761"/>
    <cellStyle name="AF Data 0 - IBM Cognos 2" xfId="43762"/>
    <cellStyle name="AF Data 1 - IBM Cognos" xfId="43763"/>
    <cellStyle name="AF Data 1 - IBM Cognos 2" xfId="43764"/>
    <cellStyle name="AF Data 2 - IBM Cognos" xfId="43765"/>
    <cellStyle name="AF Data 2 - IBM Cognos 2" xfId="43766"/>
    <cellStyle name="AF Data 3 - IBM Cognos" xfId="43767"/>
    <cellStyle name="AF Data 3 - IBM Cognos 2" xfId="43768"/>
    <cellStyle name="AF Data 4 - IBM Cognos" xfId="43769"/>
    <cellStyle name="AF Data 4 - IBM Cognos 2" xfId="43770"/>
    <cellStyle name="AF Data 5 - IBM Cognos" xfId="43771"/>
    <cellStyle name="AF Data 5 - IBM Cognos 2" xfId="43772"/>
    <cellStyle name="AF Data Leaf - IBM Cognos" xfId="43773"/>
    <cellStyle name="AF Data Leaf - IBM Cognos 2" xfId="43774"/>
    <cellStyle name="AF Header - IBM Cognos" xfId="43775"/>
    <cellStyle name="AF Header - IBM Cognos 2" xfId="43776"/>
    <cellStyle name="AF Header 0 - IBM Cognos" xfId="43777"/>
    <cellStyle name="AF Header 0 - IBM Cognos 2" xfId="43778"/>
    <cellStyle name="AF Header 1 - IBM Cognos" xfId="43779"/>
    <cellStyle name="AF Header 1 - IBM Cognos 2" xfId="43780"/>
    <cellStyle name="AF Header 2 - IBM Cognos" xfId="43781"/>
    <cellStyle name="AF Header 2 - IBM Cognos 2" xfId="43782"/>
    <cellStyle name="AF Header 3 - IBM Cognos" xfId="43783"/>
    <cellStyle name="AF Header 3 - IBM Cognos 2" xfId="43784"/>
    <cellStyle name="AF Header 4 - IBM Cognos" xfId="43785"/>
    <cellStyle name="AF Header 4 - IBM Cognos 2" xfId="43786"/>
    <cellStyle name="AF Header 5 - IBM Cognos" xfId="43787"/>
    <cellStyle name="AF Header 5 - IBM Cognos 2" xfId="43788"/>
    <cellStyle name="AF Header Leaf - IBM Cognos" xfId="43789"/>
    <cellStyle name="AF Header Leaf - IBM Cognos 2" xfId="4379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5 - IBM Cognos" xfId="43803"/>
    <cellStyle name="AF Row 5 - IBM Cognos 2" xfId="43804"/>
    <cellStyle name="AF Row Leaf - IBM Cognos" xfId="43805"/>
    <cellStyle name="AF Row Leaf - IBM Cognos 2" xfId="43806"/>
    <cellStyle name="AF Subnm - IBM Cognos" xfId="43807"/>
    <cellStyle name="AF Subnm - IBM Cognos 2" xfId="43808"/>
    <cellStyle name="AF Title - IBM Cognos" xfId="43809"/>
    <cellStyle name="AF Title - IBM Cognos 2" xfId="43810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Name - IBM Cognos" xfId="43818"/>
    <cellStyle name="Calculated Column Name - IBM Cognos 2" xfId="43819"/>
    <cellStyle name="Calculated Row - IBM Cognos" xfId="43820"/>
    <cellStyle name="Calculated Row - IBM Cognos 2" xfId="43821"/>
    <cellStyle name="Calculated Row Name - IBM Cognos" xfId="43822"/>
    <cellStyle name="Calculated Row Name - IBM Cognos 2" xfId="43823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Template - IBM Cognos" xfId="43847"/>
    <cellStyle name="Column Template - IBM Cognos 2" xfId="43848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ocked - IBM Cognos" xfId="46409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Header - IBM Cognos" xfId="46412"/>
    <cellStyle name="Measure Header - IBM Cognos 2" xfId="46413"/>
    <cellStyle name="Measure Name - IBM Cognos" xfId="46414"/>
    <cellStyle name="Measure Name - IBM Cognos 2" xfId="46415"/>
    <cellStyle name="Measure Summary - IBM Cognos" xfId="46416"/>
    <cellStyle name="Measure Summary - IBM Cognos 2" xfId="46417"/>
    <cellStyle name="Measure Summary TM1 - IBM Cognos" xfId="46418"/>
    <cellStyle name="Measure Summary TM1 - IBM Cognos 2" xfId="46419"/>
    <cellStyle name="Measure Template - IBM Cognos" xfId="46420"/>
    <cellStyle name="Measure Template - IBM Cognos 2" xfId="46421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Template - IBM Cognos" xfId="59571"/>
    <cellStyle name="Row Template - IBM Cognos 2" xfId="59572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TM1 - IBM Cognos" xfId="61776"/>
    <cellStyle name="Summary Column Name TM1 - IBM Cognos 2" xfId="61777"/>
    <cellStyle name="Summary Row Name - IBM Cognos" xfId="61778"/>
    <cellStyle name="Summary Row Name - IBM Cognos 2" xfId="61779"/>
    <cellStyle name="Summary Row Name TM1 - IBM Cognos" xfId="61780"/>
    <cellStyle name="Summary Row Name TM1 - IBM Cognos 2" xfId="61781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WINDOWS\DESKTOP\CON%2099\8%20August\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2000\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1\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2\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USERS\POONJA\FORECAST\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00YEARND\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00YEARND\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Finance\Budget\Bud2010\Internal%20Budget\7.%202009%20APPENDIX%20C%20HYDRO\Appendix%20C-7%20-%20Capital%20Program\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CAPACITY\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orge.lekusz\Local%20Settings\Temporary%20Internet%20Files\Content.Outlook\MZUVSQ4Z\Capital%20Budget%20-%202010%20-%20Controllable\Optimizer%20Test%20Files\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IRENE\1999\Monthend\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MarkhamEnergy\Financial_Stmt\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RATES\2004\2004%20Budget%20rev.%20before%204_1_04%20Adj\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1.%20JohnB\2008%20Rates\Models\Rate%20Riders\scenario%20for%20Roland\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\tlamonica\Documents\LaMonica\My%20Deloitte\M&amp;E%20Model\Iowa%20Curves\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Financial%20Analysis\2004\November%202004\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Documents%20and%20Settings\mbenum\My%20Documents\Rates\Rates%20Reporting\OEB%20Quarterly%20Submissions\July%202004\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 t="str">
            <v/>
          </cell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tabSelected="1" zoomScale="80" zoomScaleNormal="80" workbookViewId="0">
      <selection activeCell="E77" sqref="E77"/>
    </sheetView>
  </sheetViews>
  <sheetFormatPr defaultColWidth="9.140625" defaultRowHeight="15"/>
  <cols>
    <col min="1" max="1" width="3.42578125" style="1" customWidth="1"/>
    <col min="2" max="2" width="54.5703125" style="1" customWidth="1"/>
    <col min="3" max="3" width="17.140625" style="1" customWidth="1"/>
    <col min="4" max="4" width="17.140625" style="89" customWidth="1"/>
    <col min="5" max="5" width="20.85546875" style="1" customWidth="1"/>
    <col min="6" max="6" width="18" style="1" customWidth="1"/>
    <col min="7" max="8" width="17.28515625" style="1" bestFit="1" customWidth="1"/>
    <col min="9" max="9" width="19.7109375" style="1" customWidth="1"/>
    <col min="10" max="10" width="42.5703125" style="1" customWidth="1"/>
    <col min="11" max="11" width="42.42578125" style="1" customWidth="1"/>
    <col min="12" max="16384" width="9.140625" style="1"/>
  </cols>
  <sheetData>
    <row r="1" spans="2:11" ht="34.5" customHeight="1">
      <c r="B1" s="208" t="s">
        <v>133</v>
      </c>
      <c r="C1" s="209"/>
      <c r="D1" s="210"/>
      <c r="E1" s="211"/>
      <c r="F1" s="211"/>
      <c r="G1" s="211"/>
      <c r="H1" s="211"/>
      <c r="I1" s="211"/>
      <c r="J1" s="211"/>
    </row>
    <row r="2" spans="2:11" ht="15.75" thickBot="1">
      <c r="B2" s="96"/>
      <c r="C2" s="96"/>
      <c r="D2" s="97"/>
      <c r="E2" s="98"/>
      <c r="F2" s="98"/>
      <c r="G2" s="98"/>
      <c r="H2" s="98"/>
      <c r="I2" s="98"/>
      <c r="J2" s="99"/>
    </row>
    <row r="3" spans="2:11">
      <c r="B3" s="100"/>
      <c r="C3" s="101" t="s">
        <v>21</v>
      </c>
      <c r="D3" s="102" t="s">
        <v>119</v>
      </c>
      <c r="E3" s="103" t="s">
        <v>10</v>
      </c>
      <c r="F3" s="221" t="s">
        <v>20</v>
      </c>
      <c r="G3" s="222"/>
      <c r="H3" s="222"/>
      <c r="I3" s="223"/>
      <c r="J3" s="104"/>
    </row>
    <row r="4" spans="2:11" ht="15.75" thickBot="1">
      <c r="B4" s="105" t="s">
        <v>0</v>
      </c>
      <c r="C4" s="105" t="s">
        <v>19</v>
      </c>
      <c r="D4" s="106" t="s">
        <v>120</v>
      </c>
      <c r="E4" s="107" t="s">
        <v>5</v>
      </c>
      <c r="F4" s="108" t="s">
        <v>6</v>
      </c>
      <c r="G4" s="109" t="s">
        <v>7</v>
      </c>
      <c r="H4" s="109" t="s">
        <v>8</v>
      </c>
      <c r="I4" s="110" t="s">
        <v>9</v>
      </c>
      <c r="J4" s="107" t="s">
        <v>134</v>
      </c>
      <c r="K4" s="192"/>
    </row>
    <row r="5" spans="2:11">
      <c r="B5" s="111" t="s">
        <v>124</v>
      </c>
      <c r="C5" s="112"/>
      <c r="D5" s="113"/>
      <c r="E5" s="95"/>
      <c r="F5" s="112"/>
      <c r="G5" s="114"/>
      <c r="H5" s="114"/>
      <c r="I5" s="115"/>
      <c r="J5" s="95"/>
    </row>
    <row r="6" spans="2:11">
      <c r="B6" s="112" t="s">
        <v>11</v>
      </c>
      <c r="C6" s="116" t="s">
        <v>18</v>
      </c>
      <c r="D6" s="117">
        <v>510177988.45999998</v>
      </c>
      <c r="E6" s="118">
        <f>+SUM(F6:I6)</f>
        <v>2776778326.250958</v>
      </c>
      <c r="F6" s="119">
        <v>510177988.45999998</v>
      </c>
      <c r="G6" s="120">
        <v>468678840.59908348</v>
      </c>
      <c r="H6" s="120">
        <v>791265939.91000009</v>
      </c>
      <c r="I6" s="121">
        <v>1006655557.2818743</v>
      </c>
      <c r="J6" s="95" t="s">
        <v>10</v>
      </c>
      <c r="K6" s="191"/>
    </row>
    <row r="7" spans="2:11">
      <c r="B7" s="122" t="s">
        <v>23</v>
      </c>
      <c r="C7" s="123" t="s">
        <v>18</v>
      </c>
      <c r="D7" s="117">
        <v>113495042</v>
      </c>
      <c r="E7" s="118">
        <f>+SUM(F7:I7)</f>
        <v>521314961.94817561</v>
      </c>
      <c r="F7" s="119">
        <v>113495042</v>
      </c>
      <c r="G7" s="124">
        <v>74436565.948175609</v>
      </c>
      <c r="H7" s="124">
        <v>131932386</v>
      </c>
      <c r="I7" s="125">
        <v>201450968</v>
      </c>
      <c r="J7" s="95" t="s">
        <v>10</v>
      </c>
    </row>
    <row r="8" spans="2:11">
      <c r="B8" s="122" t="s">
        <v>106</v>
      </c>
      <c r="C8" s="123" t="s">
        <v>18</v>
      </c>
      <c r="D8" s="117">
        <v>5300163</v>
      </c>
      <c r="E8" s="118">
        <f>+SUM(F8:I8)</f>
        <v>32013511.740000002</v>
      </c>
      <c r="F8" s="119">
        <v>5300163</v>
      </c>
      <c r="G8" s="124">
        <v>4450643.4799999995</v>
      </c>
      <c r="H8" s="124">
        <v>6318438.2599999998</v>
      </c>
      <c r="I8" s="126">
        <v>15944267</v>
      </c>
      <c r="J8" s="95" t="s">
        <v>10</v>
      </c>
      <c r="K8" s="191"/>
    </row>
    <row r="9" spans="2:11">
      <c r="B9" s="122" t="s">
        <v>10</v>
      </c>
      <c r="C9" s="123"/>
      <c r="D9" s="127"/>
      <c r="E9" s="93"/>
      <c r="F9" s="122"/>
      <c r="G9" s="128"/>
      <c r="H9" s="128"/>
      <c r="I9" s="94"/>
      <c r="J9" s="93"/>
    </row>
    <row r="10" spans="2:11">
      <c r="B10" s="129" t="s">
        <v>123</v>
      </c>
      <c r="C10" s="123"/>
      <c r="D10" s="127"/>
      <c r="E10" s="93"/>
      <c r="F10" s="122"/>
      <c r="G10" s="128"/>
      <c r="H10" s="128"/>
      <c r="I10" s="94"/>
      <c r="J10" s="93"/>
    </row>
    <row r="11" spans="2:11">
      <c r="B11" s="122" t="s">
        <v>121</v>
      </c>
      <c r="C11" s="130" t="s">
        <v>18</v>
      </c>
      <c r="D11" s="117">
        <v>5266751</v>
      </c>
      <c r="E11" s="118">
        <f>+SUM(F11:I11)</f>
        <v>29971130</v>
      </c>
      <c r="F11" s="131">
        <v>5266751</v>
      </c>
      <c r="G11" s="124">
        <v>6398891</v>
      </c>
      <c r="H11" s="124">
        <v>6321238</v>
      </c>
      <c r="I11" s="125">
        <v>11984250</v>
      </c>
      <c r="J11" s="95" t="s">
        <v>10</v>
      </c>
    </row>
    <row r="12" spans="2:11">
      <c r="B12" s="129"/>
      <c r="C12" s="123"/>
      <c r="D12" s="127"/>
      <c r="E12" s="93"/>
      <c r="F12" s="132"/>
      <c r="G12" s="133"/>
      <c r="H12" s="128"/>
      <c r="I12" s="132"/>
      <c r="J12" s="91"/>
    </row>
    <row r="13" spans="2:11">
      <c r="B13" s="129" t="s">
        <v>125</v>
      </c>
      <c r="C13" s="123"/>
      <c r="D13" s="127"/>
      <c r="E13" s="194">
        <f>SUM(F13:I13)</f>
        <v>0.99999999999999978</v>
      </c>
      <c r="F13" s="193">
        <v>0.23919281476869531</v>
      </c>
      <c r="G13" s="193">
        <v>0.11803559404068982</v>
      </c>
      <c r="H13" s="193">
        <v>0.24738969943815597</v>
      </c>
      <c r="I13" s="193">
        <v>0.3953818917524588</v>
      </c>
      <c r="J13" s="200" t="s">
        <v>135</v>
      </c>
    </row>
    <row r="14" spans="2:11">
      <c r="B14" s="134" t="s">
        <v>24</v>
      </c>
      <c r="C14" s="135" t="s">
        <v>22</v>
      </c>
      <c r="D14" s="136">
        <v>13707079.609302836</v>
      </c>
      <c r="E14" s="137">
        <v>55776105.30866003</v>
      </c>
      <c r="F14" s="138">
        <f>F$13*$E14</f>
        <v>13341243.625613561</v>
      </c>
      <c r="G14" s="195">
        <f>G$13*$E14</f>
        <v>6583565.7233837601</v>
      </c>
      <c r="H14" s="195">
        <f>H$13*$E14</f>
        <v>13798433.92814034</v>
      </c>
      <c r="I14" s="195">
        <f>I$13*$E14</f>
        <v>22052862.031522363</v>
      </c>
      <c r="J14" s="93" t="s">
        <v>10</v>
      </c>
    </row>
    <row r="15" spans="2:11">
      <c r="B15" s="134" t="s">
        <v>25</v>
      </c>
      <c r="C15" s="135" t="s">
        <v>22</v>
      </c>
      <c r="D15" s="136">
        <v>6800273.7882330725</v>
      </c>
      <c r="E15" s="137">
        <v>27671305.467780806</v>
      </c>
      <c r="F15" s="138">
        <f t="shared" ref="F15:I20" si="0">F$13*$E15</f>
        <v>6618777.4431628799</v>
      </c>
      <c r="G15" s="195">
        <f t="shared" si="0"/>
        <v>3266198.9787708959</v>
      </c>
      <c r="H15" s="195">
        <f t="shared" si="0"/>
        <v>6845595.9427356953</v>
      </c>
      <c r="I15" s="195">
        <f t="shared" si="0"/>
        <v>10940733.103111332</v>
      </c>
      <c r="J15" s="95"/>
    </row>
    <row r="16" spans="2:11">
      <c r="B16" s="134" t="s">
        <v>26</v>
      </c>
      <c r="C16" s="135" t="s">
        <v>22</v>
      </c>
      <c r="D16" s="136">
        <v>10828049.286691612</v>
      </c>
      <c r="E16" s="137">
        <v>44060911.187236488</v>
      </c>
      <c r="F16" s="138">
        <f t="shared" si="0"/>
        <v>10539053.368148591</v>
      </c>
      <c r="G16" s="195">
        <f t="shared" si="0"/>
        <v>5200755.8259595344</v>
      </c>
      <c r="H16" s="195">
        <f t="shared" si="0"/>
        <v>10900215.575581718</v>
      </c>
      <c r="I16" s="195">
        <f t="shared" si="0"/>
        <v>17420886.417546637</v>
      </c>
      <c r="J16" s="95"/>
    </row>
    <row r="17" spans="2:10">
      <c r="B17" s="134" t="s">
        <v>27</v>
      </c>
      <c r="C17" s="135" t="s">
        <v>22</v>
      </c>
      <c r="D17" s="136">
        <v>750496.29778772208</v>
      </c>
      <c r="E17" s="137">
        <v>3053878.8518276159</v>
      </c>
      <c r="F17" s="138">
        <f t="shared" si="0"/>
        <v>730465.87853123876</v>
      </c>
      <c r="G17" s="195">
        <f t="shared" si="0"/>
        <v>360466.40440377238</v>
      </c>
      <c r="H17" s="195">
        <f t="shared" si="0"/>
        <v>755498.1712741747</v>
      </c>
      <c r="I17" s="195">
        <f t="shared" si="0"/>
        <v>1207448.3976184295</v>
      </c>
      <c r="J17" s="95"/>
    </row>
    <row r="18" spans="2:10">
      <c r="B18" s="134" t="s">
        <v>28</v>
      </c>
      <c r="C18" s="135" t="s">
        <v>22</v>
      </c>
      <c r="D18" s="136">
        <v>23670282.423662622</v>
      </c>
      <c r="E18" s="139">
        <v>96317830.112542868</v>
      </c>
      <c r="F18" s="138">
        <f t="shared" si="0"/>
        <v>23038532.897032131</v>
      </c>
      <c r="G18" s="195">
        <f t="shared" si="0"/>
        <v>11368932.294044239</v>
      </c>
      <c r="H18" s="195">
        <f t="shared" si="0"/>
        <v>23828039.042077348</v>
      </c>
      <c r="I18" s="195">
        <f t="shared" si="0"/>
        <v>38082325.879389144</v>
      </c>
      <c r="J18" s="95"/>
    </row>
    <row r="19" spans="2:10">
      <c r="B19" s="134" t="s">
        <v>29</v>
      </c>
      <c r="C19" s="135" t="s">
        <v>22</v>
      </c>
      <c r="D19" s="136">
        <v>754782.0179406415</v>
      </c>
      <c r="E19" s="137">
        <v>3071318.071952262</v>
      </c>
      <c r="F19" s="138">
        <f t="shared" si="0"/>
        <v>734637.21468022384</v>
      </c>
      <c r="G19" s="195">
        <f t="shared" si="0"/>
        <v>362524.85311079136</v>
      </c>
      <c r="H19" s="195">
        <f t="shared" si="0"/>
        <v>759812.45469924679</v>
      </c>
      <c r="I19" s="195">
        <f t="shared" si="0"/>
        <v>1214343.5494619997</v>
      </c>
      <c r="J19" s="95"/>
    </row>
    <row r="20" spans="2:10">
      <c r="B20" s="122" t="s">
        <v>117</v>
      </c>
      <c r="C20" s="123" t="s">
        <v>22</v>
      </c>
      <c r="D20" s="117">
        <f>-495777</f>
        <v>-495777</v>
      </c>
      <c r="E20" s="118">
        <v>-2032671</v>
      </c>
      <c r="F20" s="138">
        <f t="shared" si="0"/>
        <v>-486200.29798869864</v>
      </c>
      <c r="G20" s="195">
        <f t="shared" si="0"/>
        <v>-239927.52897428302</v>
      </c>
      <c r="H20" s="195">
        <f t="shared" si="0"/>
        <v>-502861.86774665595</v>
      </c>
      <c r="I20" s="195">
        <f t="shared" si="0"/>
        <v>-803681.30529036222</v>
      </c>
      <c r="J20" s="92"/>
    </row>
    <row r="21" spans="2:10">
      <c r="B21" s="129" t="s">
        <v>126</v>
      </c>
      <c r="C21" s="141" t="s">
        <v>10</v>
      </c>
      <c r="D21" s="142">
        <f>+SUM(D14:D20)</f>
        <v>56015186.423618503</v>
      </c>
      <c r="E21" s="143">
        <f t="shared" ref="E21" si="1">+SUM(E14:E20)</f>
        <v>227918678.00000006</v>
      </c>
      <c r="F21" s="144">
        <f>F$13*$E21</f>
        <v>54516510.129179925</v>
      </c>
      <c r="G21" s="196">
        <f>G$13*$E21</f>
        <v>26902516.550698709</v>
      </c>
      <c r="H21" s="196">
        <f>H$13*$E21</f>
        <v>56384733.246761866</v>
      </c>
      <c r="I21" s="196">
        <f>I$13*$E21</f>
        <v>90114918.073359534</v>
      </c>
      <c r="J21" s="93" t="s">
        <v>10</v>
      </c>
    </row>
    <row r="22" spans="2:10">
      <c r="B22" s="122" t="s">
        <v>10</v>
      </c>
      <c r="C22" s="123"/>
      <c r="D22" s="127"/>
      <c r="E22" s="93"/>
      <c r="F22" s="122"/>
      <c r="G22" s="133"/>
      <c r="H22" s="128"/>
      <c r="I22" s="94"/>
      <c r="J22" s="93" t="s">
        <v>10</v>
      </c>
    </row>
    <row r="23" spans="2:10">
      <c r="B23" s="129" t="s">
        <v>127</v>
      </c>
      <c r="C23" s="145" t="s">
        <v>128</v>
      </c>
      <c r="D23" s="146">
        <f>+D21+D11</f>
        <v>61281937.423618503</v>
      </c>
      <c r="E23" s="147">
        <f>+E21+E11</f>
        <v>257889808.00000006</v>
      </c>
      <c r="F23" s="148">
        <f t="shared" ref="F23:I23" si="2">+F21+F11</f>
        <v>59783261.129179925</v>
      </c>
      <c r="G23" s="149">
        <f t="shared" si="2"/>
        <v>33301407.550698709</v>
      </c>
      <c r="H23" s="150">
        <f t="shared" si="2"/>
        <v>62705971.246761866</v>
      </c>
      <c r="I23" s="151">
        <f t="shared" si="2"/>
        <v>102099168.07335953</v>
      </c>
      <c r="J23" s="93" t="s">
        <v>10</v>
      </c>
    </row>
    <row r="24" spans="2:10">
      <c r="B24" s="122"/>
      <c r="C24" s="123"/>
      <c r="D24" s="127"/>
      <c r="E24" s="118" t="s">
        <v>10</v>
      </c>
      <c r="F24" s="122"/>
      <c r="G24" s="133"/>
      <c r="H24" s="128"/>
      <c r="I24" s="94"/>
      <c r="J24" s="93"/>
    </row>
    <row r="25" spans="2:10">
      <c r="B25" s="122"/>
      <c r="C25" s="123"/>
      <c r="D25" s="127"/>
      <c r="E25" s="118" t="s">
        <v>10</v>
      </c>
      <c r="F25" s="122"/>
      <c r="G25" s="133"/>
      <c r="H25" s="128"/>
      <c r="I25" s="94"/>
      <c r="J25" s="93"/>
    </row>
    <row r="26" spans="2:10">
      <c r="B26" s="190" t="s">
        <v>129</v>
      </c>
      <c r="C26" s="123"/>
      <c r="D26" s="127"/>
      <c r="E26" s="93"/>
      <c r="F26" s="122"/>
      <c r="G26" s="133"/>
      <c r="H26" s="128"/>
      <c r="I26" s="94"/>
      <c r="J26" s="93"/>
    </row>
    <row r="27" spans="2:10">
      <c r="B27" s="122" t="s">
        <v>101</v>
      </c>
      <c r="C27" s="123" t="s">
        <v>18</v>
      </c>
      <c r="D27" s="117">
        <v>436391621</v>
      </c>
      <c r="E27" s="118">
        <f>+SUM(F27:I27)</f>
        <v>2376442007</v>
      </c>
      <c r="F27" s="131">
        <v>436391621</v>
      </c>
      <c r="G27" s="140">
        <v>350797724</v>
      </c>
      <c r="H27" s="124">
        <v>664020095</v>
      </c>
      <c r="I27" s="125">
        <v>925232567</v>
      </c>
      <c r="J27" s="93" t="s">
        <v>10</v>
      </c>
    </row>
    <row r="28" spans="2:10">
      <c r="B28" s="129" t="s">
        <v>1</v>
      </c>
      <c r="C28" s="123"/>
      <c r="D28" s="117"/>
      <c r="E28" s="118"/>
      <c r="F28" s="131"/>
      <c r="G28" s="140"/>
      <c r="H28" s="124"/>
      <c r="I28" s="125"/>
      <c r="J28" s="93"/>
    </row>
    <row r="29" spans="2:10">
      <c r="B29" s="122" t="s">
        <v>100</v>
      </c>
      <c r="C29" s="123" t="s">
        <v>18</v>
      </c>
      <c r="D29" s="117">
        <v>51430152</v>
      </c>
      <c r="E29" s="152">
        <f>+SUM(F29:I29)</f>
        <v>300110508</v>
      </c>
      <c r="F29" s="131">
        <v>51430152</v>
      </c>
      <c r="G29" s="140">
        <v>35770525</v>
      </c>
      <c r="H29" s="124">
        <v>56468245</v>
      </c>
      <c r="I29" s="125">
        <v>156441586</v>
      </c>
      <c r="J29" s="93"/>
    </row>
    <row r="30" spans="2:10">
      <c r="B30" s="129" t="s">
        <v>2</v>
      </c>
      <c r="C30" s="123"/>
      <c r="D30" s="127"/>
      <c r="E30" s="152" t="s">
        <v>107</v>
      </c>
      <c r="F30" s="122"/>
      <c r="G30" s="128"/>
      <c r="H30" s="128"/>
      <c r="I30" s="94"/>
      <c r="J30" s="93"/>
    </row>
    <row r="31" spans="2:10">
      <c r="B31" s="122" t="s">
        <v>102</v>
      </c>
      <c r="C31" s="130" t="s">
        <v>22</v>
      </c>
      <c r="D31" s="117">
        <v>2833456</v>
      </c>
      <c r="E31" s="152">
        <f t="shared" ref="E31:E32" si="3">+SUM(F31:I31)</f>
        <v>14313050</v>
      </c>
      <c r="F31" s="131">
        <v>2833456</v>
      </c>
      <c r="G31" s="140">
        <v>714171</v>
      </c>
      <c r="H31" s="124">
        <v>7426596</v>
      </c>
      <c r="I31" s="125">
        <v>3338827</v>
      </c>
      <c r="J31" s="93"/>
    </row>
    <row r="32" spans="2:10">
      <c r="B32" s="122" t="s">
        <v>105</v>
      </c>
      <c r="C32" s="130" t="s">
        <v>22</v>
      </c>
      <c r="D32" s="153">
        <v>2891170</v>
      </c>
      <c r="E32" s="152">
        <f t="shared" si="3"/>
        <v>17174112</v>
      </c>
      <c r="F32" s="154">
        <v>2891170</v>
      </c>
      <c r="G32" s="140">
        <v>3941707</v>
      </c>
      <c r="H32" s="124">
        <v>1199302</v>
      </c>
      <c r="I32" s="125">
        <v>9141933</v>
      </c>
      <c r="J32" s="93"/>
    </row>
    <row r="33" spans="2:10">
      <c r="B33" s="129" t="s">
        <v>103</v>
      </c>
      <c r="C33" s="123"/>
      <c r="D33" s="127"/>
      <c r="E33" s="118" t="s">
        <v>107</v>
      </c>
      <c r="F33" s="155"/>
      <c r="G33" s="156"/>
      <c r="H33" s="156"/>
      <c r="I33" s="157"/>
      <c r="J33" s="93"/>
    </row>
    <row r="34" spans="2:10">
      <c r="B34" s="122" t="s">
        <v>100</v>
      </c>
      <c r="C34" s="123" t="s">
        <v>18</v>
      </c>
      <c r="D34" s="153">
        <v>15231321</v>
      </c>
      <c r="E34" s="118">
        <f>+SUM(F34:I34)</f>
        <v>89752970</v>
      </c>
      <c r="F34" s="154">
        <v>15231321</v>
      </c>
      <c r="G34" s="140">
        <v>12422030</v>
      </c>
      <c r="H34" s="124">
        <v>23222853</v>
      </c>
      <c r="I34" s="125">
        <v>38876766</v>
      </c>
      <c r="J34" s="93"/>
    </row>
    <row r="35" spans="2:10">
      <c r="B35" s="129" t="s">
        <v>104</v>
      </c>
      <c r="C35" s="130"/>
      <c r="D35" s="117" t="s">
        <v>107</v>
      </c>
      <c r="E35" s="118" t="s">
        <v>107</v>
      </c>
      <c r="F35" s="158" t="s">
        <v>107</v>
      </c>
      <c r="G35" s="159"/>
      <c r="H35" s="159"/>
      <c r="I35" s="160"/>
      <c r="J35" s="93"/>
    </row>
    <row r="36" spans="2:10">
      <c r="B36" s="122" t="s">
        <v>102</v>
      </c>
      <c r="C36" s="123" t="s">
        <v>22</v>
      </c>
      <c r="D36" s="117">
        <v>7020923</v>
      </c>
      <c r="E36" s="118">
        <f t="shared" ref="E36:E38" si="4">+SUM(F36:I36)</f>
        <v>31244277</v>
      </c>
      <c r="F36" s="158">
        <v>7020923</v>
      </c>
      <c r="G36" s="140">
        <v>4749606</v>
      </c>
      <c r="H36" s="124">
        <v>10005323</v>
      </c>
      <c r="I36" s="125">
        <v>9468425</v>
      </c>
      <c r="J36" s="93"/>
    </row>
    <row r="37" spans="2:10">
      <c r="B37" s="122"/>
      <c r="C37" s="123"/>
      <c r="D37" s="117"/>
      <c r="E37" s="118"/>
      <c r="F37" s="158"/>
      <c r="G37" s="140"/>
      <c r="H37" s="124"/>
      <c r="I37" s="125"/>
      <c r="J37" s="93"/>
    </row>
    <row r="38" spans="2:10">
      <c r="B38" s="122" t="s">
        <v>3</v>
      </c>
      <c r="C38" s="130" t="s">
        <v>18</v>
      </c>
      <c r="D38" s="153">
        <v>1629843</v>
      </c>
      <c r="E38" s="118">
        <f t="shared" si="4"/>
        <v>7807008</v>
      </c>
      <c r="F38" s="154">
        <v>1629843</v>
      </c>
      <c r="G38" s="140">
        <v>843961</v>
      </c>
      <c r="H38" s="124">
        <v>1563803</v>
      </c>
      <c r="I38" s="125">
        <v>3769401</v>
      </c>
      <c r="J38" s="93"/>
    </row>
    <row r="39" spans="2:10">
      <c r="B39" s="122" t="s">
        <v>10</v>
      </c>
      <c r="C39" s="130"/>
      <c r="D39" s="153"/>
      <c r="E39" s="161"/>
      <c r="F39" s="154"/>
      <c r="G39" s="162"/>
      <c r="H39" s="162"/>
      <c r="I39" s="163"/>
      <c r="J39" s="93"/>
    </row>
    <row r="40" spans="2:10">
      <c r="B40" s="122" t="s">
        <v>12</v>
      </c>
      <c r="C40" s="123"/>
      <c r="D40" s="153">
        <v>3158696</v>
      </c>
      <c r="E40" s="118">
        <f t="shared" ref="E40:E41" si="5">+SUM(F40:I40)</f>
        <v>21287460</v>
      </c>
      <c r="F40" s="154">
        <v>3158696</v>
      </c>
      <c r="G40" s="140">
        <v>460295</v>
      </c>
      <c r="H40" s="124">
        <v>1468007</v>
      </c>
      <c r="I40" s="125">
        <v>16200462</v>
      </c>
      <c r="J40" s="93"/>
    </row>
    <row r="41" spans="2:10">
      <c r="B41" s="122" t="s">
        <v>4</v>
      </c>
      <c r="C41" s="123" t="s">
        <v>18</v>
      </c>
      <c r="D41" s="153">
        <v>4761239</v>
      </c>
      <c r="E41" s="118">
        <f t="shared" si="5"/>
        <v>61155634</v>
      </c>
      <c r="F41" s="154">
        <v>4761239</v>
      </c>
      <c r="G41" s="140">
        <v>11891967</v>
      </c>
      <c r="H41" s="124">
        <v>3733074</v>
      </c>
      <c r="I41" s="125">
        <v>40769354</v>
      </c>
      <c r="J41" s="93"/>
    </row>
    <row r="42" spans="2:10">
      <c r="B42" s="122"/>
      <c r="C42" s="123"/>
      <c r="D42" s="117" t="s">
        <v>10</v>
      </c>
      <c r="E42" s="118" t="s">
        <v>10</v>
      </c>
      <c r="F42" s="131" t="s">
        <v>10</v>
      </c>
      <c r="G42" s="140" t="s">
        <v>10</v>
      </c>
      <c r="H42" s="124" t="s">
        <v>10</v>
      </c>
      <c r="I42" s="125" t="s">
        <v>10</v>
      </c>
      <c r="J42" s="93"/>
    </row>
    <row r="43" spans="2:10">
      <c r="B43" s="122" t="s">
        <v>13</v>
      </c>
      <c r="C43" s="123"/>
      <c r="D43" s="117">
        <f>+D27+D29+D31+D32-D34-D36-D38-D40-D41</f>
        <v>461744377</v>
      </c>
      <c r="E43" s="118">
        <f>+E27+E29+E31+E32-E34-E36-E38-E40-E41</f>
        <v>2496792328</v>
      </c>
      <c r="F43" s="131">
        <f>+F27+F29+F31+F32-F34-F36-F38-F40-F41</f>
        <v>461744377</v>
      </c>
      <c r="G43" s="140">
        <f t="shared" ref="G43:I43" si="6">+G27+G29+G31+G32-G34-G36-G38-G40-G41</f>
        <v>360856268</v>
      </c>
      <c r="H43" s="124">
        <f t="shared" si="6"/>
        <v>689121178</v>
      </c>
      <c r="I43" s="125">
        <f t="shared" si="6"/>
        <v>985070505</v>
      </c>
      <c r="J43" s="93" t="s">
        <v>10</v>
      </c>
    </row>
    <row r="44" spans="2:10">
      <c r="B44" s="122"/>
      <c r="C44" s="123"/>
      <c r="D44" s="117"/>
      <c r="E44" s="118"/>
      <c r="F44" s="131"/>
      <c r="G44" s="140"/>
      <c r="H44" s="124"/>
      <c r="I44" s="125"/>
      <c r="J44" s="93"/>
    </row>
    <row r="45" spans="2:10">
      <c r="B45" s="122" t="s">
        <v>14</v>
      </c>
      <c r="C45" s="123"/>
      <c r="D45" s="117">
        <f t="shared" ref="D45:I45" si="7">AVERAGE(D27,D43)</f>
        <v>449067999</v>
      </c>
      <c r="E45" s="118">
        <f t="shared" si="7"/>
        <v>2436617167.5</v>
      </c>
      <c r="F45" s="131">
        <f t="shared" si="7"/>
        <v>449067999</v>
      </c>
      <c r="G45" s="140">
        <f t="shared" si="7"/>
        <v>355826996</v>
      </c>
      <c r="H45" s="124">
        <f t="shared" si="7"/>
        <v>676570636.5</v>
      </c>
      <c r="I45" s="125">
        <f t="shared" si="7"/>
        <v>955151536</v>
      </c>
      <c r="J45" s="93" t="s">
        <v>10</v>
      </c>
    </row>
    <row r="46" spans="2:10">
      <c r="B46" s="122"/>
      <c r="C46" s="123" t="s">
        <v>10</v>
      </c>
      <c r="D46" s="117"/>
      <c r="E46" s="118"/>
      <c r="F46" s="131"/>
      <c r="G46" s="140"/>
      <c r="H46" s="124"/>
      <c r="I46" s="125"/>
      <c r="J46" s="93"/>
    </row>
    <row r="47" spans="2:10">
      <c r="B47" s="122" t="s">
        <v>15</v>
      </c>
      <c r="C47" s="123"/>
      <c r="D47" s="164">
        <v>0.12</v>
      </c>
      <c r="E47" s="165" t="s">
        <v>10</v>
      </c>
      <c r="F47" s="166">
        <v>0.12</v>
      </c>
      <c r="G47" s="167">
        <v>0.13</v>
      </c>
      <c r="H47" s="168">
        <v>0.13500000000000001</v>
      </c>
      <c r="I47" s="169">
        <v>7.4999999999999997E-2</v>
      </c>
      <c r="J47" s="93"/>
    </row>
    <row r="48" spans="2:10">
      <c r="B48" s="122" t="s">
        <v>16</v>
      </c>
      <c r="C48" s="123"/>
      <c r="D48" s="117">
        <f>+(D6+D23)*D47</f>
        <v>68575191.106034219</v>
      </c>
      <c r="E48" s="216">
        <f>+SUM(F48:I48)</f>
        <v>332095594.61797869</v>
      </c>
      <c r="F48" s="204">
        <f>+(F6+F23)*F47</f>
        <v>68395349.950701579</v>
      </c>
      <c r="G48" s="205">
        <f t="shared" ref="G48:I48" si="8">+(G6+G23)*G47</f>
        <v>65257432.259471685</v>
      </c>
      <c r="H48" s="206">
        <f t="shared" si="8"/>
        <v>115286208.00616288</v>
      </c>
      <c r="I48" s="207">
        <f t="shared" si="8"/>
        <v>83156604.401642546</v>
      </c>
      <c r="J48" s="201" t="s">
        <v>136</v>
      </c>
    </row>
    <row r="49" spans="2:10">
      <c r="B49" s="122"/>
      <c r="C49" s="123"/>
      <c r="D49" s="117"/>
      <c r="E49" s="118"/>
      <c r="F49" s="131"/>
      <c r="G49" s="140"/>
      <c r="H49" s="124"/>
      <c r="I49" s="125"/>
      <c r="J49" s="93"/>
    </row>
    <row r="50" spans="2:10">
      <c r="B50" s="170" t="s">
        <v>17</v>
      </c>
      <c r="C50" s="171"/>
      <c r="D50" s="117">
        <f t="shared" ref="D50:I50" si="9">D45+D48</f>
        <v>517643190.10603422</v>
      </c>
      <c r="E50" s="172">
        <f t="shared" si="9"/>
        <v>2768712762.1179786</v>
      </c>
      <c r="F50" s="173">
        <f t="shared" si="9"/>
        <v>517463348.95070159</v>
      </c>
      <c r="G50" s="174">
        <f t="shared" si="9"/>
        <v>421084428.25947165</v>
      </c>
      <c r="H50" s="175">
        <f t="shared" si="9"/>
        <v>791856844.50616288</v>
      </c>
      <c r="I50" s="176">
        <f t="shared" si="9"/>
        <v>1038308140.4016426</v>
      </c>
      <c r="J50" s="93" t="s">
        <v>10</v>
      </c>
    </row>
    <row r="51" spans="2:10">
      <c r="B51" s="122"/>
      <c r="C51" s="123"/>
      <c r="D51" s="117"/>
      <c r="E51" s="118"/>
      <c r="F51" s="131"/>
      <c r="G51" s="140"/>
      <c r="H51" s="124"/>
      <c r="I51" s="125"/>
      <c r="J51" s="93"/>
    </row>
    <row r="52" spans="2:10">
      <c r="B52" s="122" t="s">
        <v>118</v>
      </c>
      <c r="C52" s="123"/>
      <c r="D52" s="117">
        <f t="shared" ref="D52" si="10">+D7+D8-D23-D34-D36-D38</f>
        <v>33631180.576381497</v>
      </c>
      <c r="E52" s="118">
        <f>+SUM(F52:I52)</f>
        <v>166634410.68817556</v>
      </c>
      <c r="F52" s="131">
        <f t="shared" ref="F52:I52" si="11">+F7+F8-F23-F34-F36-F38</f>
        <v>35129856.870820075</v>
      </c>
      <c r="G52" s="140">
        <f t="shared" si="11"/>
        <v>27570204.877476901</v>
      </c>
      <c r="H52" s="124">
        <f t="shared" si="11"/>
        <v>40752874.013238132</v>
      </c>
      <c r="I52" s="125">
        <f t="shared" si="11"/>
        <v>63181474.926640466</v>
      </c>
      <c r="J52" s="93" t="s">
        <v>10</v>
      </c>
    </row>
    <row r="53" spans="2:10">
      <c r="B53" s="122"/>
      <c r="C53" s="123"/>
      <c r="D53" s="117"/>
      <c r="E53" s="118" t="s">
        <v>10</v>
      </c>
      <c r="F53" s="131"/>
      <c r="G53" s="140"/>
      <c r="H53" s="124"/>
      <c r="I53" s="125"/>
      <c r="J53" s="93"/>
    </row>
    <row r="54" spans="2:10">
      <c r="B54" s="122" t="s">
        <v>112</v>
      </c>
      <c r="C54" s="123"/>
      <c r="D54" s="153">
        <f>D50*'Table 2 COC'!F10*'Table 2 COC'!L10+'Table 1 Allocations'!D50*'Table 2 COC'!F11*'Table 2 COC'!L11-22</f>
        <v>10427055.488954835</v>
      </c>
      <c r="E54" s="197">
        <f>+SUM(F54:I54)</f>
        <v>71649528.517628491</v>
      </c>
      <c r="F54" s="197">
        <f>F50*'Table 2 COC'!F10*'Table 2 COC'!L10+F50*'Table 2 COC'!F11*'Table 2 COC'!L11-22</f>
        <v>10423432.8823057</v>
      </c>
      <c r="G54" s="198">
        <f>G50*'Table 2 COC'!F61*'Table 2 COC'!L61+'Table 2 COC'!F62*'Table 2 COC'!L62*G50</f>
        <v>14684088.967426594</v>
      </c>
      <c r="H54" s="198">
        <f>H50*'Table 2 COC'!F44*'Table 2 COC'!L44+H50*'Table 2 COC'!F45*'Table 2 COC'!L45</f>
        <v>23236120.548093725</v>
      </c>
      <c r="I54" s="199">
        <f>I50*'Table 2 COC'!F27*'Table 2 COC'!L27+I50*'Table 2 COC'!F28*'Table 2 COC'!L28</f>
        <v>23305886.119802479</v>
      </c>
      <c r="J54" s="201" t="s">
        <v>132</v>
      </c>
    </row>
    <row r="55" spans="2:10">
      <c r="B55" s="122"/>
      <c r="C55" s="123"/>
      <c r="D55" s="153"/>
      <c r="E55" s="177"/>
      <c r="F55" s="177"/>
      <c r="G55" s="178"/>
      <c r="H55" s="178"/>
      <c r="I55" s="179"/>
      <c r="J55" s="93"/>
    </row>
    <row r="56" spans="2:10">
      <c r="B56" s="122" t="s">
        <v>109</v>
      </c>
      <c r="C56" s="123"/>
      <c r="D56" s="117">
        <f t="shared" ref="D56:I56" si="12">+D52-D54</f>
        <v>23204125.087426662</v>
      </c>
      <c r="E56" s="131">
        <f t="shared" si="12"/>
        <v>94984882.170547068</v>
      </c>
      <c r="F56" s="131">
        <f t="shared" si="12"/>
        <v>24706423.988514375</v>
      </c>
      <c r="G56" s="178">
        <f t="shared" si="12"/>
        <v>12886115.910050306</v>
      </c>
      <c r="H56" s="178">
        <f t="shared" si="12"/>
        <v>17516753.465144407</v>
      </c>
      <c r="I56" s="179">
        <f t="shared" si="12"/>
        <v>39875588.806837991</v>
      </c>
      <c r="J56" s="93"/>
    </row>
    <row r="57" spans="2:10">
      <c r="B57" s="122"/>
      <c r="C57" s="123"/>
      <c r="D57" s="117"/>
      <c r="E57" s="122"/>
      <c r="F57" s="131"/>
      <c r="G57" s="133"/>
      <c r="H57" s="128"/>
      <c r="I57" s="94"/>
      <c r="J57" s="93"/>
    </row>
    <row r="58" spans="2:10">
      <c r="B58" s="122" t="s">
        <v>110</v>
      </c>
      <c r="C58" s="123"/>
      <c r="D58" s="153">
        <v>487232</v>
      </c>
      <c r="E58" s="131">
        <f>+SUM(F58:I58)</f>
        <v>487232</v>
      </c>
      <c r="F58" s="177">
        <v>487232</v>
      </c>
      <c r="G58" s="178">
        <v>0</v>
      </c>
      <c r="H58" s="178">
        <v>0</v>
      </c>
      <c r="I58" s="179">
        <v>0</v>
      </c>
      <c r="J58" s="93" t="s">
        <v>10</v>
      </c>
    </row>
    <row r="59" spans="2:10">
      <c r="B59" s="122"/>
      <c r="C59" s="123"/>
      <c r="D59" s="117"/>
      <c r="E59" s="122"/>
      <c r="F59" s="131"/>
      <c r="G59" s="133"/>
      <c r="H59" s="128"/>
      <c r="I59" s="94"/>
      <c r="J59" s="93"/>
    </row>
    <row r="60" spans="2:10">
      <c r="B60" s="122" t="s">
        <v>122</v>
      </c>
      <c r="C60" s="123" t="s">
        <v>10</v>
      </c>
      <c r="D60" s="117">
        <v>3578190.4517588215</v>
      </c>
      <c r="E60" s="212">
        <f>+SUM(F60:I60)</f>
        <v>13482778</v>
      </c>
      <c r="F60" s="203">
        <v>3976754.0899090683</v>
      </c>
      <c r="G60" s="213">
        <v>1631233.7725620475</v>
      </c>
      <c r="H60" s="214">
        <v>745423.15482021868</v>
      </c>
      <c r="I60" s="215">
        <v>7129366.9827086646</v>
      </c>
      <c r="J60" s="201" t="s">
        <v>137</v>
      </c>
    </row>
    <row r="61" spans="2:10">
      <c r="B61" s="122"/>
      <c r="C61" s="123"/>
      <c r="D61" s="127"/>
      <c r="E61" s="122"/>
      <c r="F61" s="122"/>
      <c r="G61" s="128"/>
      <c r="H61" s="128"/>
      <c r="I61" s="94"/>
      <c r="J61" s="93"/>
    </row>
    <row r="62" spans="2:10">
      <c r="B62" s="122" t="s">
        <v>108</v>
      </c>
      <c r="C62" s="123"/>
      <c r="D62" s="153">
        <f>+D56+D58-D60</f>
        <v>20113166.635667842</v>
      </c>
      <c r="E62" s="177">
        <f t="shared" ref="E62:I62" si="13">+E56+E58-E60</f>
        <v>81989336.170547068</v>
      </c>
      <c r="F62" s="177">
        <f t="shared" si="13"/>
        <v>21216901.898605306</v>
      </c>
      <c r="G62" s="178">
        <f t="shared" si="13"/>
        <v>11254882.137488259</v>
      </c>
      <c r="H62" s="178">
        <f t="shared" si="13"/>
        <v>16771330.310324188</v>
      </c>
      <c r="I62" s="179">
        <f t="shared" si="13"/>
        <v>32746221.824129328</v>
      </c>
      <c r="J62" s="94" t="s">
        <v>10</v>
      </c>
    </row>
    <row r="63" spans="2:10">
      <c r="B63" s="122"/>
      <c r="C63" s="123"/>
      <c r="D63" s="153"/>
      <c r="E63" s="177"/>
      <c r="F63" s="177"/>
      <c r="G63" s="178"/>
      <c r="H63" s="178"/>
      <c r="I63" s="179"/>
      <c r="J63" s="93"/>
    </row>
    <row r="64" spans="2:10">
      <c r="B64" s="122" t="s">
        <v>111</v>
      </c>
      <c r="C64" s="123"/>
      <c r="D64" s="117">
        <f t="shared" ref="D64:I64" si="14">+D50*0.4</f>
        <v>207057276.04241371</v>
      </c>
      <c r="E64" s="197">
        <f t="shared" si="14"/>
        <v>1107485104.8471916</v>
      </c>
      <c r="F64" s="204">
        <f t="shared" si="14"/>
        <v>206985339.58028066</v>
      </c>
      <c r="G64" s="198">
        <f t="shared" si="14"/>
        <v>168433771.30378866</v>
      </c>
      <c r="H64" s="198">
        <f t="shared" si="14"/>
        <v>316742737.80246514</v>
      </c>
      <c r="I64" s="199">
        <f t="shared" si="14"/>
        <v>415323256.16065705</v>
      </c>
      <c r="J64" s="201" t="s">
        <v>138</v>
      </c>
    </row>
    <row r="65" spans="2:10">
      <c r="B65" s="122"/>
      <c r="C65" s="123"/>
      <c r="D65" s="117"/>
      <c r="E65" s="177"/>
      <c r="F65" s="131"/>
      <c r="G65" s="178"/>
      <c r="H65" s="178"/>
      <c r="I65" s="179"/>
      <c r="J65" s="93"/>
    </row>
    <row r="66" spans="2:10">
      <c r="B66" s="122" t="s">
        <v>113</v>
      </c>
      <c r="C66" s="123"/>
      <c r="D66" s="180">
        <f t="shared" ref="D66" si="15">+D62/D64</f>
        <v>9.7138178479407075E-2</v>
      </c>
      <c r="E66" s="181">
        <f>+E62/E64</f>
        <v>7.4031998996374568E-2</v>
      </c>
      <c r="F66" s="182">
        <f t="shared" ref="F66" si="16">+F62/F64</f>
        <v>0.1025043703173779</v>
      </c>
      <c r="G66" s="167"/>
      <c r="H66" s="168"/>
      <c r="I66" s="169"/>
      <c r="J66" s="93"/>
    </row>
    <row r="67" spans="2:10">
      <c r="B67" s="122"/>
      <c r="C67" s="123"/>
      <c r="D67" s="153"/>
      <c r="E67" s="177"/>
      <c r="F67" s="177"/>
      <c r="G67" s="178"/>
      <c r="H67" s="178"/>
      <c r="I67" s="179"/>
      <c r="J67" s="93"/>
    </row>
    <row r="68" spans="2:10">
      <c r="B68" s="122" t="s">
        <v>114</v>
      </c>
      <c r="C68" s="123"/>
      <c r="D68" s="180">
        <v>8.7800000000000003E-2</v>
      </c>
      <c r="E68" s="181" t="s">
        <v>10</v>
      </c>
      <c r="F68" s="182">
        <v>8.7800000000000003E-2</v>
      </c>
      <c r="G68" s="178"/>
      <c r="H68" s="178"/>
      <c r="I68" s="179"/>
      <c r="J68" s="93"/>
    </row>
    <row r="69" spans="2:10">
      <c r="B69" s="122" t="s">
        <v>115</v>
      </c>
      <c r="C69" s="123"/>
      <c r="D69" s="153">
        <f>+(D66-D68)*D64</f>
        <v>1933537.7991439172</v>
      </c>
      <c r="E69" s="177"/>
      <c r="F69" s="177">
        <f>+(F66-F68)*F64</f>
        <v>3043589.0834566629</v>
      </c>
      <c r="G69" s="178"/>
      <c r="H69" s="178"/>
      <c r="I69" s="179"/>
      <c r="J69" s="93"/>
    </row>
    <row r="70" spans="2:10" ht="15.75" thickBot="1">
      <c r="B70" s="183" t="s">
        <v>116</v>
      </c>
      <c r="C70" s="184"/>
      <c r="D70" s="185">
        <f>+D69/2</f>
        <v>966768.89957195858</v>
      </c>
      <c r="E70" s="186"/>
      <c r="F70" s="186">
        <f>+F69/2</f>
        <v>1521794.5417283315</v>
      </c>
      <c r="G70" s="187"/>
      <c r="H70" s="187"/>
      <c r="I70" s="188"/>
      <c r="J70" s="189"/>
    </row>
    <row r="71" spans="2:10">
      <c r="E71" s="83"/>
    </row>
    <row r="72" spans="2:10">
      <c r="E72" s="87"/>
    </row>
    <row r="73" spans="2:10">
      <c r="D73" s="90"/>
      <c r="E73" s="88"/>
      <c r="F73" s="83"/>
    </row>
    <row r="74" spans="2:10">
      <c r="E74" s="83"/>
      <c r="G74" s="83"/>
      <c r="H74" s="83"/>
      <c r="I74" s="83"/>
      <c r="J74" s="83"/>
    </row>
    <row r="75" spans="2:10">
      <c r="E75" s="85"/>
    </row>
    <row r="76" spans="2:10">
      <c r="B76" s="1" t="s">
        <v>10</v>
      </c>
      <c r="E76" s="84"/>
    </row>
    <row r="77" spans="2:10">
      <c r="G77" s="83"/>
      <c r="H77" s="83"/>
      <c r="I77" s="83"/>
    </row>
  </sheetData>
  <mergeCells count="1">
    <mergeCell ref="F3:I3"/>
  </mergeCells>
  <pageMargins left="0.70866141732283472" right="0.70866141732283472" top="0.23622047244094491" bottom="0.23622047244094491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Normal="100" workbookViewId="0">
      <selection activeCell="E77" sqref="E77"/>
    </sheetView>
  </sheetViews>
  <sheetFormatPr defaultColWidth="9.140625" defaultRowHeight="15"/>
  <cols>
    <col min="1" max="3" width="9.140625" style="2"/>
    <col min="4" max="4" width="16.140625" style="2" bestFit="1" customWidth="1"/>
    <col min="5" max="5" width="5.140625" style="2" customWidth="1"/>
    <col min="6" max="6" width="9.140625" style="2"/>
    <col min="7" max="7" width="5.28515625" style="2" customWidth="1"/>
    <col min="8" max="8" width="4.5703125" style="2" customWidth="1"/>
    <col min="9" max="9" width="5.5703125" style="2" customWidth="1"/>
    <col min="10" max="10" width="15" style="2" customWidth="1"/>
    <col min="11" max="11" width="3.85546875" style="2" customWidth="1"/>
    <col min="12" max="12" width="9.140625" style="2"/>
    <col min="13" max="13" width="3.7109375" style="2" customWidth="1"/>
    <col min="14" max="14" width="3.28515625" style="2" customWidth="1"/>
    <col min="15" max="15" width="3.42578125" style="2" customWidth="1"/>
    <col min="16" max="16" width="16.42578125" style="2" customWidth="1"/>
    <col min="17" max="16384" width="9.140625" style="2"/>
  </cols>
  <sheetData>
    <row r="1" spans="1:16" ht="19.5" customHeight="1"/>
    <row r="2" spans="1:16" ht="18">
      <c r="B2" s="225" t="s">
        <v>130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5"/>
      <c r="P2" s="35"/>
    </row>
    <row r="3" spans="1:16">
      <c r="B3" s="59"/>
      <c r="P3" s="35"/>
    </row>
    <row r="4" spans="1:16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.75" customHeight="1">
      <c r="B5" s="226" t="s">
        <v>82</v>
      </c>
      <c r="C5" s="226"/>
      <c r="D5" s="36"/>
      <c r="E5" s="31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B6" s="227" t="s">
        <v>10</v>
      </c>
      <c r="C6" s="227"/>
      <c r="D6" s="38" t="s">
        <v>88</v>
      </c>
      <c r="E6" s="39"/>
      <c r="F6" s="39"/>
      <c r="G6" s="40"/>
      <c r="H6" s="40"/>
      <c r="I6" s="40"/>
      <c r="J6" s="41">
        <f>+'Table 1 Allocations'!F50</f>
        <v>517463348.95070159</v>
      </c>
      <c r="K6" s="37"/>
      <c r="L6" s="37"/>
      <c r="M6" s="37"/>
      <c r="N6" s="37"/>
      <c r="O6" s="37"/>
      <c r="P6" s="37"/>
    </row>
    <row r="7" spans="1:16">
      <c r="B7" s="42"/>
      <c r="C7" s="37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</row>
    <row r="8" spans="1:16">
      <c r="B8" s="42"/>
      <c r="C8" s="37"/>
      <c r="D8" s="37"/>
      <c r="E8" s="37"/>
      <c r="F8" s="43" t="s">
        <v>89</v>
      </c>
      <c r="G8" s="43"/>
      <c r="H8" s="43"/>
      <c r="I8" s="43"/>
      <c r="J8" s="43" t="s">
        <v>90</v>
      </c>
      <c r="K8" s="44"/>
      <c r="L8" s="43" t="s">
        <v>89</v>
      </c>
      <c r="M8" s="43"/>
      <c r="N8" s="44"/>
      <c r="O8" s="44"/>
      <c r="P8" s="43" t="s">
        <v>90</v>
      </c>
    </row>
    <row r="9" spans="1:16">
      <c r="B9" s="42"/>
      <c r="C9" s="37"/>
      <c r="D9" s="45" t="s">
        <v>91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B10" s="42">
        <v>8</v>
      </c>
      <c r="C10" s="37"/>
      <c r="D10" s="46" t="s">
        <v>92</v>
      </c>
      <c r="E10" s="37"/>
      <c r="F10" s="47">
        <v>0.56000000000000005</v>
      </c>
      <c r="G10" s="47"/>
      <c r="H10" s="48"/>
      <c r="I10" s="49"/>
      <c r="J10" s="50">
        <f>+$J$6*F10</f>
        <v>289779475.41239291</v>
      </c>
      <c r="K10" s="37"/>
      <c r="L10" s="47">
        <v>3.4713157894736842E-2</v>
      </c>
      <c r="M10" s="47"/>
      <c r="N10" s="48"/>
      <c r="O10" s="49"/>
      <c r="P10" s="50">
        <f>+J10*L10</f>
        <v>10059160.684644407</v>
      </c>
    </row>
    <row r="11" spans="1:16">
      <c r="B11" s="42">
        <v>9</v>
      </c>
      <c r="C11" s="37"/>
      <c r="D11" s="46" t="s">
        <v>93</v>
      </c>
      <c r="E11" s="37"/>
      <c r="F11" s="51">
        <v>0.04</v>
      </c>
      <c r="G11" s="47"/>
      <c r="H11" s="48"/>
      <c r="I11" s="49"/>
      <c r="J11" s="52">
        <f>+$J$6*F11</f>
        <v>20698533.958028063</v>
      </c>
      <c r="K11" s="37"/>
      <c r="L11" s="51">
        <v>1.7600000000000001E-2</v>
      </c>
      <c r="M11" s="47"/>
      <c r="N11" s="48"/>
      <c r="O11" s="49"/>
      <c r="P11" s="52">
        <f>+J11*L11</f>
        <v>364294.19766129396</v>
      </c>
    </row>
    <row r="12" spans="1:16" ht="15.75" thickBot="1">
      <c r="B12" s="42">
        <v>10</v>
      </c>
      <c r="C12" s="37"/>
      <c r="D12" s="53" t="s">
        <v>94</v>
      </c>
      <c r="E12" s="37"/>
      <c r="F12" s="54">
        <v>0.60000000000000009</v>
      </c>
      <c r="G12" s="55"/>
      <c r="H12" s="56"/>
      <c r="I12" s="57"/>
      <c r="J12" s="58">
        <f>SUM(J10:J11)</f>
        <v>310478009.37042099</v>
      </c>
      <c r="K12" s="37"/>
      <c r="L12" s="54">
        <v>3.357228070175438E-2</v>
      </c>
      <c r="M12" s="55"/>
      <c r="N12" s="37"/>
      <c r="O12" s="59"/>
      <c r="P12" s="58">
        <f>+P10+P11</f>
        <v>10423454.8823057</v>
      </c>
    </row>
    <row r="13" spans="1:16" ht="15.75" thickTop="1">
      <c r="B13" s="42"/>
      <c r="C13" s="37"/>
      <c r="D13" s="37"/>
      <c r="E13" s="37"/>
      <c r="F13" s="56"/>
      <c r="G13" s="56"/>
      <c r="H13" s="56"/>
      <c r="I13" s="57"/>
      <c r="J13" s="60"/>
      <c r="K13" s="37"/>
      <c r="L13" s="55"/>
      <c r="M13" s="55"/>
      <c r="N13" s="37"/>
      <c r="O13" s="59"/>
      <c r="P13" s="60"/>
    </row>
    <row r="14" spans="1:16">
      <c r="B14" s="42"/>
      <c r="C14" s="37"/>
      <c r="D14" s="45" t="s">
        <v>95</v>
      </c>
      <c r="E14" s="37"/>
      <c r="F14" s="56"/>
      <c r="G14" s="56"/>
      <c r="H14" s="56"/>
      <c r="I14" s="57"/>
      <c r="J14" s="60"/>
      <c r="K14" s="37"/>
      <c r="L14" s="55"/>
      <c r="M14" s="55"/>
      <c r="N14" s="37"/>
      <c r="O14" s="59"/>
      <c r="P14" s="60"/>
    </row>
    <row r="15" spans="1:16">
      <c r="B15" s="42">
        <v>11</v>
      </c>
      <c r="C15" s="37"/>
      <c r="D15" s="46" t="s">
        <v>96</v>
      </c>
      <c r="E15" s="37"/>
      <c r="F15" s="55">
        <v>0.4</v>
      </c>
      <c r="G15" s="56"/>
      <c r="H15" s="48"/>
      <c r="I15" s="49"/>
      <c r="J15" s="50">
        <f>+$J$6*F15</f>
        <v>206985339.58028066</v>
      </c>
      <c r="K15" s="37"/>
      <c r="L15" s="47">
        <v>8.7800000000000003E-2</v>
      </c>
      <c r="M15" s="47"/>
      <c r="N15" s="48"/>
      <c r="O15" s="49"/>
      <c r="P15" s="50">
        <f>+J15*L15</f>
        <v>18173312.815148644</v>
      </c>
    </row>
    <row r="16" spans="1:16">
      <c r="B16" s="42">
        <v>12</v>
      </c>
      <c r="C16" s="37"/>
      <c r="D16" s="46" t="s">
        <v>97</v>
      </c>
      <c r="E16" s="37"/>
      <c r="F16" s="51">
        <v>0</v>
      </c>
      <c r="G16" s="57"/>
      <c r="H16" s="48"/>
      <c r="I16" s="49"/>
      <c r="J16" s="52">
        <v>0</v>
      </c>
      <c r="K16" s="37"/>
      <c r="L16" s="51">
        <v>0</v>
      </c>
      <c r="M16" s="47"/>
      <c r="N16" s="48"/>
      <c r="O16" s="49"/>
      <c r="P16" s="52">
        <f>+J16*L16</f>
        <v>0</v>
      </c>
    </row>
    <row r="17" spans="1:16" ht="15.75" thickBot="1">
      <c r="B17" s="42">
        <v>13</v>
      </c>
      <c r="C17" s="37"/>
      <c r="D17" s="53" t="s">
        <v>98</v>
      </c>
      <c r="E17" s="37"/>
      <c r="F17" s="54">
        <v>0.4</v>
      </c>
      <c r="G17" s="56"/>
      <c r="H17" s="56"/>
      <c r="I17" s="56"/>
      <c r="J17" s="58">
        <f>+J15+J16</f>
        <v>206985339.58028066</v>
      </c>
      <c r="K17" s="37"/>
      <c r="L17" s="54">
        <v>8.7800000000000003E-2</v>
      </c>
      <c r="M17" s="55"/>
      <c r="N17" s="37"/>
      <c r="O17" s="37"/>
      <c r="P17" s="58">
        <f>+P15+P16</f>
        <v>18173312.815148644</v>
      </c>
    </row>
    <row r="18" spans="1:16" ht="15.75" thickTop="1">
      <c r="B18" s="42"/>
      <c r="C18" s="37"/>
      <c r="D18" s="37"/>
      <c r="E18" s="37"/>
      <c r="F18" s="37"/>
      <c r="G18" s="37"/>
      <c r="H18" s="37"/>
      <c r="I18" s="37"/>
      <c r="J18" s="60"/>
      <c r="K18" s="37"/>
      <c r="L18" s="55"/>
      <c r="M18" s="55"/>
      <c r="N18" s="37"/>
      <c r="O18" s="37"/>
      <c r="P18" s="60"/>
    </row>
    <row r="19" spans="1:16" ht="15.75" thickBot="1">
      <c r="B19" s="42">
        <v>14</v>
      </c>
      <c r="C19" s="37"/>
      <c r="D19" s="53" t="s">
        <v>72</v>
      </c>
      <c r="E19" s="37"/>
      <c r="F19" s="61">
        <v>1</v>
      </c>
      <c r="G19" s="62"/>
      <c r="H19" s="62"/>
      <c r="I19" s="62"/>
      <c r="J19" s="63">
        <f>+J17+J12</f>
        <v>517463348.95070165</v>
      </c>
      <c r="K19" s="37"/>
      <c r="L19" s="64">
        <v>5.5263368421052637E-2</v>
      </c>
      <c r="M19" s="55"/>
      <c r="N19" s="37"/>
      <c r="O19" s="37"/>
      <c r="P19" s="63">
        <f>+P17+P12</f>
        <v>28596767.697454344</v>
      </c>
    </row>
    <row r="20" spans="1:16" ht="15.75" thickTop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8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15.75">
      <c r="B22" s="226" t="s">
        <v>85</v>
      </c>
      <c r="C22" s="226"/>
    </row>
    <row r="23" spans="1:16">
      <c r="A23" s="33"/>
      <c r="D23" s="38" t="s">
        <v>88</v>
      </c>
      <c r="E23" s="39"/>
      <c r="F23" s="39"/>
      <c r="G23" s="40"/>
      <c r="H23" s="40"/>
      <c r="I23" s="40"/>
      <c r="J23" s="41">
        <f>+'Table 1 Allocations'!I50</f>
        <v>1038308140.4016426</v>
      </c>
      <c r="K23" s="37"/>
      <c r="L23" s="32" t="s">
        <v>10</v>
      </c>
      <c r="M23" s="37"/>
      <c r="N23" s="37"/>
      <c r="O23" s="37"/>
      <c r="P23" s="37"/>
    </row>
    <row r="24" spans="1:16">
      <c r="A24" s="33"/>
      <c r="B24" s="42"/>
      <c r="C24" s="37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</row>
    <row r="25" spans="1:16">
      <c r="A25" s="33"/>
      <c r="B25" s="42"/>
      <c r="C25" s="37"/>
      <c r="D25" s="37"/>
      <c r="E25" s="37"/>
      <c r="F25" s="43" t="s">
        <v>89</v>
      </c>
      <c r="G25" s="43"/>
      <c r="H25" s="43"/>
      <c r="I25" s="43"/>
      <c r="J25" s="43" t="s">
        <v>90</v>
      </c>
      <c r="K25" s="44"/>
      <c r="L25" s="43" t="s">
        <v>89</v>
      </c>
      <c r="M25" s="43"/>
      <c r="N25" s="44"/>
      <c r="O25" s="44"/>
      <c r="P25" s="43" t="s">
        <v>90</v>
      </c>
    </row>
    <row r="26" spans="1:16">
      <c r="A26" s="33"/>
      <c r="B26" s="42"/>
      <c r="C26" s="37"/>
      <c r="D26" s="45" t="s">
        <v>91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A27" s="33"/>
      <c r="B27" s="42">
        <v>8</v>
      </c>
      <c r="C27" s="37"/>
      <c r="D27" s="46" t="s">
        <v>92</v>
      </c>
      <c r="E27" s="37"/>
      <c r="F27" s="47">
        <v>0.56000000000000005</v>
      </c>
      <c r="G27" s="47"/>
      <c r="H27" s="48"/>
      <c r="I27" s="49"/>
      <c r="J27" s="50">
        <f>+$J$23*F27</f>
        <v>581452558.62491989</v>
      </c>
      <c r="K27" s="37"/>
      <c r="L27" s="47">
        <v>3.8825037148941706E-2</v>
      </c>
      <c r="M27" s="47"/>
      <c r="N27" s="48"/>
      <c r="O27" s="49"/>
      <c r="P27" s="50">
        <f>+J27*L27</f>
        <v>22574917.188959721</v>
      </c>
    </row>
    <row r="28" spans="1:16">
      <c r="A28" s="33"/>
      <c r="B28" s="42">
        <v>9</v>
      </c>
      <c r="C28" s="37"/>
      <c r="D28" s="46" t="s">
        <v>93</v>
      </c>
      <c r="E28" s="37"/>
      <c r="F28" s="51">
        <v>0.04</v>
      </c>
      <c r="G28" s="47"/>
      <c r="H28" s="48"/>
      <c r="I28" s="49"/>
      <c r="J28" s="52">
        <f>+$J$23*F28</f>
        <v>41532325.616065703</v>
      </c>
      <c r="K28" s="37"/>
      <c r="L28" s="51">
        <v>1.7600000000000001E-2</v>
      </c>
      <c r="M28" s="47"/>
      <c r="N28" s="48"/>
      <c r="O28" s="49"/>
      <c r="P28" s="52">
        <f>+J28*L28</f>
        <v>730968.93084275641</v>
      </c>
    </row>
    <row r="29" spans="1:16" ht="15.75" thickBot="1">
      <c r="A29" s="33"/>
      <c r="B29" s="42">
        <v>10</v>
      </c>
      <c r="C29" s="37"/>
      <c r="D29" s="53" t="s">
        <v>94</v>
      </c>
      <c r="E29" s="37"/>
      <c r="F29" s="54">
        <v>0.60000000000000009</v>
      </c>
      <c r="G29" s="55"/>
      <c r="H29" s="56"/>
      <c r="I29" s="57"/>
      <c r="J29" s="58">
        <f>+SUM(J27:J28)</f>
        <v>622984884.24098563</v>
      </c>
      <c r="K29" s="37"/>
      <c r="L29" s="54">
        <v>3.7410034672345591E-2</v>
      </c>
      <c r="M29" s="55"/>
      <c r="N29" s="37"/>
      <c r="O29" s="59"/>
      <c r="P29" s="58">
        <f>+P27+P28</f>
        <v>23305886.119802479</v>
      </c>
    </row>
    <row r="30" spans="1:16" ht="15.75" thickTop="1">
      <c r="A30" s="33"/>
      <c r="B30" s="42"/>
      <c r="C30" s="37"/>
      <c r="D30" s="37"/>
      <c r="E30" s="37"/>
      <c r="F30" s="56"/>
      <c r="G30" s="56"/>
      <c r="H30" s="56"/>
      <c r="I30" s="57"/>
      <c r="J30" s="60"/>
      <c r="K30" s="37"/>
      <c r="L30" s="55"/>
      <c r="M30" s="55"/>
      <c r="N30" s="37"/>
      <c r="O30" s="59"/>
      <c r="P30" s="60"/>
    </row>
    <row r="31" spans="1:16">
      <c r="A31" s="33"/>
      <c r="B31" s="42"/>
      <c r="C31" s="37"/>
      <c r="D31" s="45" t="s">
        <v>95</v>
      </c>
      <c r="E31" s="37"/>
      <c r="F31" s="56"/>
      <c r="G31" s="56"/>
      <c r="H31" s="56"/>
      <c r="I31" s="57"/>
      <c r="J31" s="60"/>
      <c r="K31" s="37"/>
      <c r="L31" s="55"/>
      <c r="M31" s="55"/>
      <c r="N31" s="37"/>
      <c r="O31" s="59"/>
      <c r="P31" s="60"/>
    </row>
    <row r="32" spans="1:16">
      <c r="A32" s="33"/>
      <c r="B32" s="42">
        <v>11</v>
      </c>
      <c r="C32" s="37"/>
      <c r="D32" s="46" t="s">
        <v>96</v>
      </c>
      <c r="E32" s="37"/>
      <c r="F32" s="55">
        <v>0.4</v>
      </c>
      <c r="G32" s="56"/>
      <c r="H32" s="48"/>
      <c r="I32" s="49"/>
      <c r="J32" s="50">
        <f>+$J$23*F32</f>
        <v>415323256.16065705</v>
      </c>
      <c r="K32" s="37"/>
      <c r="L32" s="47">
        <v>8.7800000000000003E-2</v>
      </c>
      <c r="M32" s="47"/>
      <c r="N32" s="48"/>
      <c r="O32" s="49"/>
      <c r="P32" s="50">
        <f>+J32*L32</f>
        <v>36465381.890905693</v>
      </c>
    </row>
    <row r="33" spans="1:16">
      <c r="A33" s="33"/>
      <c r="B33" s="42">
        <v>12</v>
      </c>
      <c r="C33" s="37"/>
      <c r="D33" s="46" t="s">
        <v>97</v>
      </c>
      <c r="E33" s="37"/>
      <c r="F33" s="51">
        <v>0</v>
      </c>
      <c r="G33" s="57"/>
      <c r="H33" s="48"/>
      <c r="I33" s="49"/>
      <c r="J33" s="52">
        <f>+$J$23*F33</f>
        <v>0</v>
      </c>
      <c r="K33" s="37"/>
      <c r="L33" s="51">
        <v>0</v>
      </c>
      <c r="M33" s="47"/>
      <c r="N33" s="48"/>
      <c r="O33" s="49"/>
      <c r="P33" s="52">
        <f>+J33*L33</f>
        <v>0</v>
      </c>
    </row>
    <row r="34" spans="1:16" ht="15.75" thickBot="1">
      <c r="A34" s="33"/>
      <c r="B34" s="42">
        <v>13</v>
      </c>
      <c r="C34" s="37"/>
      <c r="D34" s="53" t="s">
        <v>98</v>
      </c>
      <c r="E34" s="37"/>
      <c r="F34" s="54">
        <v>0.4</v>
      </c>
      <c r="G34" s="56"/>
      <c r="H34" s="56"/>
      <c r="I34" s="56"/>
      <c r="J34" s="58">
        <f>+SUM(J32:J33)</f>
        <v>415323256.16065705</v>
      </c>
      <c r="K34" s="37"/>
      <c r="L34" s="54">
        <v>8.7800000000000003E-2</v>
      </c>
      <c r="M34" s="55"/>
      <c r="N34" s="37"/>
      <c r="O34" s="37"/>
      <c r="P34" s="58">
        <f>+P32+P33</f>
        <v>36465381.890905693</v>
      </c>
    </row>
    <row r="35" spans="1:16" ht="15.75" thickTop="1">
      <c r="A35" s="33"/>
      <c r="B35" s="42"/>
      <c r="C35" s="37"/>
      <c r="D35" s="37"/>
      <c r="E35" s="37"/>
      <c r="F35" s="37"/>
      <c r="G35" s="37"/>
      <c r="H35" s="37"/>
      <c r="I35" s="37"/>
      <c r="J35" s="60"/>
      <c r="K35" s="37"/>
      <c r="L35" s="55"/>
      <c r="M35" s="55"/>
      <c r="N35" s="37"/>
      <c r="O35" s="37"/>
      <c r="P35" s="60"/>
    </row>
    <row r="36" spans="1:16" ht="15.75" thickBot="1">
      <c r="A36" s="33"/>
      <c r="B36" s="42">
        <v>14</v>
      </c>
      <c r="C36" s="37"/>
      <c r="D36" s="53" t="s">
        <v>72</v>
      </c>
      <c r="E36" s="37"/>
      <c r="F36" s="61">
        <v>1</v>
      </c>
      <c r="G36" s="62"/>
      <c r="H36" s="62"/>
      <c r="I36" s="62"/>
      <c r="J36" s="63">
        <f>+J34+J29</f>
        <v>1038308140.4016427</v>
      </c>
      <c r="K36" s="37"/>
      <c r="L36" s="64">
        <v>5.7566020803407364E-2</v>
      </c>
      <c r="M36" s="55"/>
      <c r="N36" s="37"/>
      <c r="O36" s="37"/>
      <c r="P36" s="63">
        <f>+P34+P29</f>
        <v>59771268.010708168</v>
      </c>
    </row>
    <row r="37" spans="1:16" ht="15.75" thickTop="1">
      <c r="A37" s="3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6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.75">
      <c r="A39" s="66"/>
      <c r="B39" s="226" t="s">
        <v>83</v>
      </c>
      <c r="C39" s="22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>
      <c r="A40" s="33"/>
      <c r="D40" s="38" t="s">
        <v>88</v>
      </c>
      <c r="E40" s="39"/>
      <c r="F40" s="39"/>
      <c r="G40" s="40"/>
      <c r="H40" s="40"/>
      <c r="I40" s="40"/>
      <c r="J40" s="41">
        <f>+'Table 1 Allocations'!H50</f>
        <v>791856844.50616288</v>
      </c>
      <c r="K40" s="37"/>
      <c r="L40" s="32" t="s">
        <v>10</v>
      </c>
      <c r="M40" s="37"/>
      <c r="N40" s="37"/>
      <c r="O40" s="37"/>
      <c r="P40" s="37"/>
    </row>
    <row r="41" spans="1:16">
      <c r="A41" s="33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</row>
    <row r="42" spans="1:16">
      <c r="A42" s="33"/>
      <c r="B42" s="42"/>
      <c r="C42" s="37"/>
      <c r="D42" s="37"/>
      <c r="E42" s="37"/>
      <c r="F42" s="43" t="s">
        <v>89</v>
      </c>
      <c r="G42" s="43"/>
      <c r="H42" s="43"/>
      <c r="I42" s="43"/>
      <c r="J42" s="43" t="s">
        <v>90</v>
      </c>
      <c r="K42" s="44"/>
      <c r="L42" s="43" t="s">
        <v>89</v>
      </c>
      <c r="M42" s="43"/>
      <c r="N42" s="44"/>
      <c r="O42" s="44"/>
      <c r="P42" s="43" t="s">
        <v>90</v>
      </c>
    </row>
    <row r="43" spans="1:16">
      <c r="A43" s="33"/>
      <c r="B43" s="42"/>
      <c r="C43" s="37"/>
      <c r="D43" s="45" t="s">
        <v>91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33"/>
      <c r="B44" s="42">
        <v>8</v>
      </c>
      <c r="C44" s="37"/>
      <c r="D44" s="46" t="s">
        <v>92</v>
      </c>
      <c r="E44" s="37"/>
      <c r="F44" s="47">
        <v>0.56000000000000005</v>
      </c>
      <c r="G44" s="47"/>
      <c r="H44" s="48"/>
      <c r="I44" s="49"/>
      <c r="J44" s="50">
        <f>+$J$40*F44</f>
        <v>443439832.92345124</v>
      </c>
      <c r="K44" s="37"/>
      <c r="L44" s="47">
        <v>5.0914000000000001E-2</v>
      </c>
      <c r="M44" s="47"/>
      <c r="N44" s="48"/>
      <c r="O44" s="49"/>
      <c r="P44" s="50">
        <f>+J44*L44</f>
        <v>22577295.653464597</v>
      </c>
    </row>
    <row r="45" spans="1:16">
      <c r="A45" s="33"/>
      <c r="B45" s="42">
        <v>9</v>
      </c>
      <c r="C45" s="37"/>
      <c r="D45" s="46" t="s">
        <v>93</v>
      </c>
      <c r="E45" s="37"/>
      <c r="F45" s="51">
        <v>0.04</v>
      </c>
      <c r="G45" s="47"/>
      <c r="H45" s="48"/>
      <c r="I45" s="49"/>
      <c r="J45" s="52">
        <f>+$J$40*F45</f>
        <v>31674273.780246515</v>
      </c>
      <c r="K45" s="37"/>
      <c r="L45" s="51">
        <v>2.0799999999999999E-2</v>
      </c>
      <c r="M45" s="47"/>
      <c r="N45" s="48"/>
      <c r="O45" s="49"/>
      <c r="P45" s="52">
        <f>+J45*L45</f>
        <v>658824.89462912746</v>
      </c>
    </row>
    <row r="46" spans="1:16" ht="15.75" thickBot="1">
      <c r="A46" s="33"/>
      <c r="B46" s="42">
        <v>10</v>
      </c>
      <c r="C46" s="37"/>
      <c r="D46" s="53" t="s">
        <v>94</v>
      </c>
      <c r="E46" s="37"/>
      <c r="F46" s="54">
        <v>0.60000000000000009</v>
      </c>
      <c r="G46" s="55"/>
      <c r="H46" s="56"/>
      <c r="I46" s="57"/>
      <c r="J46" s="58">
        <f>+SUM(J44:J45)</f>
        <v>475114106.70369774</v>
      </c>
      <c r="K46" s="37"/>
      <c r="L46" s="54">
        <v>4.8906399999999996E-2</v>
      </c>
      <c r="M46" s="55"/>
      <c r="N46" s="37"/>
      <c r="O46" s="59"/>
      <c r="P46" s="58">
        <f>+P44+P45</f>
        <v>23236120.548093725</v>
      </c>
    </row>
    <row r="47" spans="1:16" ht="15.75" thickTop="1">
      <c r="A47" s="33"/>
      <c r="B47" s="42"/>
      <c r="C47" s="37"/>
      <c r="D47" s="37"/>
      <c r="E47" s="37"/>
      <c r="F47" s="56"/>
      <c r="G47" s="56"/>
      <c r="H47" s="56"/>
      <c r="I47" s="57"/>
      <c r="J47" s="60"/>
      <c r="K47" s="37"/>
      <c r="L47" s="55"/>
      <c r="M47" s="55"/>
      <c r="N47" s="37"/>
      <c r="O47" s="59"/>
      <c r="P47" s="60"/>
    </row>
    <row r="48" spans="1:16">
      <c r="A48" s="33"/>
      <c r="B48" s="42"/>
      <c r="C48" s="37"/>
      <c r="D48" s="45" t="s">
        <v>95</v>
      </c>
      <c r="E48" s="37"/>
      <c r="F48" s="56"/>
      <c r="G48" s="56"/>
      <c r="H48" s="56"/>
      <c r="I48" s="57"/>
      <c r="J48" s="60"/>
      <c r="K48" s="37"/>
      <c r="L48" s="55"/>
      <c r="M48" s="55"/>
      <c r="N48" s="37"/>
      <c r="O48" s="59"/>
      <c r="P48" s="60"/>
    </row>
    <row r="49" spans="1:16">
      <c r="A49" s="33"/>
      <c r="B49" s="42">
        <v>11</v>
      </c>
      <c r="C49" s="37"/>
      <c r="D49" s="46" t="s">
        <v>96</v>
      </c>
      <c r="E49" s="37"/>
      <c r="F49" s="55">
        <v>0.4</v>
      </c>
      <c r="G49" s="56"/>
      <c r="H49" s="48"/>
      <c r="I49" s="49"/>
      <c r="J49" s="50">
        <f>+$J$40*F49</f>
        <v>316742737.80246514</v>
      </c>
      <c r="K49" s="37"/>
      <c r="L49" s="47">
        <v>8.9300000000000004E-2</v>
      </c>
      <c r="M49" s="47"/>
      <c r="N49" s="48"/>
      <c r="O49" s="49"/>
      <c r="P49" s="50">
        <f>+J49*L49</f>
        <v>28285126.485760137</v>
      </c>
    </row>
    <row r="50" spans="1:16">
      <c r="A50" s="33"/>
      <c r="B50" s="42">
        <v>12</v>
      </c>
      <c r="C50" s="37"/>
      <c r="D50" s="46" t="s">
        <v>97</v>
      </c>
      <c r="E50" s="37"/>
      <c r="F50" s="51">
        <v>0</v>
      </c>
      <c r="G50" s="57"/>
      <c r="H50" s="48"/>
      <c r="I50" s="49"/>
      <c r="J50" s="52">
        <f>+$J$40*F50</f>
        <v>0</v>
      </c>
      <c r="K50" s="37"/>
      <c r="L50" s="51">
        <v>0</v>
      </c>
      <c r="M50" s="47"/>
      <c r="N50" s="48"/>
      <c r="O50" s="49"/>
      <c r="P50" s="52">
        <f>+J50*L50</f>
        <v>0</v>
      </c>
    </row>
    <row r="51" spans="1:16" ht="15.75" thickBot="1">
      <c r="A51" s="33"/>
      <c r="B51" s="42">
        <v>13</v>
      </c>
      <c r="C51" s="37"/>
      <c r="D51" s="53" t="s">
        <v>98</v>
      </c>
      <c r="E51" s="37"/>
      <c r="F51" s="54">
        <v>0.4</v>
      </c>
      <c r="G51" s="56"/>
      <c r="H51" s="56"/>
      <c r="I51" s="56"/>
      <c r="J51" s="58">
        <f>+SUM(J49:J50)</f>
        <v>316742737.80246514</v>
      </c>
      <c r="K51" s="37"/>
      <c r="L51" s="54">
        <v>8.9300000000000004E-2</v>
      </c>
      <c r="M51" s="55"/>
      <c r="N51" s="37"/>
      <c r="O51" s="37"/>
      <c r="P51" s="58">
        <f>+P49+P50</f>
        <v>28285126.485760137</v>
      </c>
    </row>
    <row r="52" spans="1:16" ht="15.75" thickTop="1">
      <c r="A52" s="33"/>
      <c r="B52" s="42"/>
      <c r="C52" s="37"/>
      <c r="D52" s="37"/>
      <c r="E52" s="37"/>
      <c r="F52" s="37"/>
      <c r="G52" s="37"/>
      <c r="H52" s="37"/>
      <c r="I52" s="37"/>
      <c r="J52" s="60"/>
      <c r="K52" s="37"/>
      <c r="L52" s="55"/>
      <c r="M52" s="55"/>
      <c r="N52" s="37"/>
      <c r="O52" s="37"/>
      <c r="P52" s="60"/>
    </row>
    <row r="53" spans="1:16" ht="15.75" thickBot="1">
      <c r="A53" s="33"/>
      <c r="B53" s="42">
        <v>14</v>
      </c>
      <c r="C53" s="37"/>
      <c r="D53" s="53" t="s">
        <v>72</v>
      </c>
      <c r="E53" s="37"/>
      <c r="F53" s="61">
        <v>1</v>
      </c>
      <c r="G53" s="62"/>
      <c r="H53" s="62"/>
      <c r="I53" s="62"/>
      <c r="J53" s="63">
        <f>+J51+J46</f>
        <v>791856844.50616288</v>
      </c>
      <c r="K53" s="37"/>
      <c r="L53" s="64">
        <v>6.5063840000000012E-2</v>
      </c>
      <c r="M53" s="55"/>
      <c r="N53" s="37"/>
      <c r="O53" s="37"/>
      <c r="P53" s="63">
        <f>+P51+P46</f>
        <v>51521247.033853859</v>
      </c>
    </row>
    <row r="54" spans="1:16" ht="15.75" thickTop="1"/>
    <row r="55" spans="1:16" ht="8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ht="15.75">
      <c r="A56" s="66"/>
      <c r="B56" s="226" t="s">
        <v>84</v>
      </c>
      <c r="C56" s="22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>
      <c r="A57" s="33"/>
      <c r="D57" s="38" t="s">
        <v>88</v>
      </c>
      <c r="E57" s="39"/>
      <c r="F57" s="39"/>
      <c r="G57" s="40"/>
      <c r="H57" s="40"/>
      <c r="I57" s="40"/>
      <c r="J57" s="41">
        <f>+'Table 1 Allocations'!G50</f>
        <v>421084428.25947165</v>
      </c>
      <c r="K57" s="37"/>
      <c r="L57" s="32" t="s">
        <v>10</v>
      </c>
      <c r="M57" s="37"/>
      <c r="N57" s="37"/>
      <c r="O57" s="37"/>
      <c r="P57" s="37"/>
    </row>
    <row r="58" spans="1:16">
      <c r="A58" s="3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</row>
    <row r="59" spans="1:16">
      <c r="A59" s="33"/>
      <c r="B59" s="42"/>
      <c r="C59" s="37"/>
      <c r="D59" s="37"/>
      <c r="E59" s="37"/>
      <c r="F59" s="43" t="s">
        <v>89</v>
      </c>
      <c r="G59" s="43"/>
      <c r="H59" s="43"/>
      <c r="I59" s="43"/>
      <c r="J59" s="43" t="s">
        <v>90</v>
      </c>
      <c r="K59" s="44"/>
      <c r="L59" s="43" t="s">
        <v>89</v>
      </c>
      <c r="M59" s="43"/>
      <c r="N59" s="44"/>
      <c r="O59" s="44"/>
      <c r="P59" s="43" t="s">
        <v>90</v>
      </c>
    </row>
    <row r="60" spans="1:16">
      <c r="A60" s="33"/>
      <c r="B60" s="42"/>
      <c r="C60" s="37"/>
      <c r="D60" s="45" t="s">
        <v>91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>
      <c r="A61" s="33"/>
      <c r="B61" s="42">
        <v>8</v>
      </c>
      <c r="C61" s="37"/>
      <c r="D61" s="46" t="s">
        <v>92</v>
      </c>
      <c r="E61" s="37"/>
      <c r="F61" s="47">
        <v>0.56000000000000005</v>
      </c>
      <c r="G61" s="47"/>
      <c r="H61" s="48"/>
      <c r="I61" s="49"/>
      <c r="J61" s="50">
        <f>+$J$57*F61</f>
        <v>235807279.82530415</v>
      </c>
      <c r="K61" s="37"/>
      <c r="L61" s="47">
        <v>6.0728710462287103E-2</v>
      </c>
      <c r="M61" s="47"/>
      <c r="N61" s="48"/>
      <c r="O61" s="49"/>
      <c r="P61" s="50">
        <f>+J61*L61</f>
        <v>14320272.021410411</v>
      </c>
    </row>
    <row r="62" spans="1:16">
      <c r="A62" s="33"/>
      <c r="B62" s="42">
        <v>9</v>
      </c>
      <c r="C62" s="37"/>
      <c r="D62" s="46" t="s">
        <v>93</v>
      </c>
      <c r="E62" s="37"/>
      <c r="F62" s="51">
        <v>0.04</v>
      </c>
      <c r="G62" s="47"/>
      <c r="H62" s="48"/>
      <c r="I62" s="49"/>
      <c r="J62" s="52">
        <f>+$J$57*F62</f>
        <v>16843377.130378865</v>
      </c>
      <c r="K62" s="37"/>
      <c r="L62" s="51">
        <v>2.1600000000000001E-2</v>
      </c>
      <c r="M62" s="47"/>
      <c r="N62" s="48"/>
      <c r="O62" s="49"/>
      <c r="P62" s="52">
        <f>+J62*L62</f>
        <v>363816.94601618347</v>
      </c>
    </row>
    <row r="63" spans="1:16" ht="15.75" thickBot="1">
      <c r="A63" s="33"/>
      <c r="B63" s="42">
        <v>10</v>
      </c>
      <c r="C63" s="37"/>
      <c r="D63" s="53" t="s">
        <v>94</v>
      </c>
      <c r="E63" s="37"/>
      <c r="F63" s="54">
        <v>0.60000000000000009</v>
      </c>
      <c r="G63" s="55"/>
      <c r="H63" s="56"/>
      <c r="I63" s="57"/>
      <c r="J63" s="58">
        <f>+SUM(J61:J62)</f>
        <v>252650656.95568302</v>
      </c>
      <c r="K63" s="37"/>
      <c r="L63" s="54">
        <v>5.8120129764801291E-2</v>
      </c>
      <c r="M63" s="55"/>
      <c r="N63" s="37"/>
      <c r="O63" s="59"/>
      <c r="P63" s="58">
        <f>+P61+P62</f>
        <v>14684088.967426594</v>
      </c>
    </row>
    <row r="64" spans="1:16" ht="15.75" thickTop="1">
      <c r="A64" s="33"/>
      <c r="B64" s="42"/>
      <c r="C64" s="37"/>
      <c r="D64" s="37"/>
      <c r="E64" s="37"/>
      <c r="F64" s="56"/>
      <c r="G64" s="56"/>
      <c r="H64" s="56"/>
      <c r="I64" s="57"/>
      <c r="J64" s="60"/>
      <c r="K64" s="37"/>
      <c r="L64" s="55"/>
      <c r="M64" s="55"/>
      <c r="N64" s="37"/>
      <c r="O64" s="59"/>
      <c r="P64" s="60"/>
    </row>
    <row r="65" spans="1:18">
      <c r="A65" s="33"/>
      <c r="B65" s="42"/>
      <c r="C65" s="37"/>
      <c r="D65" s="45" t="s">
        <v>95</v>
      </c>
      <c r="E65" s="37"/>
      <c r="F65" s="56"/>
      <c r="G65" s="56"/>
      <c r="H65" s="56"/>
      <c r="I65" s="57"/>
      <c r="J65" s="60"/>
      <c r="K65" s="37"/>
      <c r="L65" s="55"/>
      <c r="M65" s="55"/>
      <c r="N65" s="37"/>
      <c r="O65" s="59"/>
      <c r="P65" s="60"/>
    </row>
    <row r="66" spans="1:18">
      <c r="A66" s="33"/>
      <c r="B66" s="42">
        <v>11</v>
      </c>
      <c r="C66" s="37"/>
      <c r="D66" s="46" t="s">
        <v>96</v>
      </c>
      <c r="E66" s="37"/>
      <c r="F66" s="55">
        <v>0.39999999999999991</v>
      </c>
      <c r="G66" s="56"/>
      <c r="H66" s="48"/>
      <c r="I66" s="49"/>
      <c r="J66" s="50">
        <f>+$J$57*F66</f>
        <v>168433771.30378863</v>
      </c>
      <c r="K66" s="37"/>
      <c r="L66" s="47">
        <v>9.2999999999999999E-2</v>
      </c>
      <c r="M66" s="47"/>
      <c r="N66" s="48"/>
      <c r="O66" s="49"/>
      <c r="P66" s="50">
        <f>+J66*L66</f>
        <v>15664340.731252342</v>
      </c>
    </row>
    <row r="67" spans="1:18">
      <c r="A67" s="33"/>
      <c r="B67" s="42">
        <v>12</v>
      </c>
      <c r="C67" s="37"/>
      <c r="D67" s="46" t="s">
        <v>97</v>
      </c>
      <c r="E67" s="37"/>
      <c r="F67" s="51">
        <v>0</v>
      </c>
      <c r="G67" s="57"/>
      <c r="H67" s="48"/>
      <c r="I67" s="49"/>
      <c r="J67" s="52">
        <f>+$J$57*F67</f>
        <v>0</v>
      </c>
      <c r="K67" s="37"/>
      <c r="L67" s="51">
        <v>0</v>
      </c>
      <c r="M67" s="47"/>
      <c r="N67" s="48"/>
      <c r="O67" s="49"/>
      <c r="P67" s="52">
        <f>+J67*L67</f>
        <v>0</v>
      </c>
    </row>
    <row r="68" spans="1:18" ht="15.75" thickBot="1">
      <c r="A68" s="33"/>
      <c r="B68" s="42">
        <v>13</v>
      </c>
      <c r="C68" s="37"/>
      <c r="D68" s="53" t="s">
        <v>98</v>
      </c>
      <c r="E68" s="37"/>
      <c r="F68" s="54">
        <v>0.39999999999999991</v>
      </c>
      <c r="G68" s="56"/>
      <c r="H68" s="56"/>
      <c r="I68" s="56"/>
      <c r="J68" s="58">
        <f>+SUM(J66:J67)</f>
        <v>168433771.30378863</v>
      </c>
      <c r="K68" s="37"/>
      <c r="L68" s="54">
        <v>9.2999999999999999E-2</v>
      </c>
      <c r="M68" s="55"/>
      <c r="N68" s="37"/>
      <c r="O68" s="37"/>
      <c r="P68" s="58">
        <f>+P66+P67</f>
        <v>15664340.731252342</v>
      </c>
    </row>
    <row r="69" spans="1:18" ht="15.75" thickTop="1">
      <c r="A69" s="33"/>
      <c r="B69" s="42"/>
      <c r="C69" s="37"/>
      <c r="D69" s="37"/>
      <c r="E69" s="37"/>
      <c r="F69" s="37"/>
      <c r="G69" s="37"/>
      <c r="H69" s="37"/>
      <c r="I69" s="37"/>
      <c r="J69" s="60"/>
      <c r="K69" s="37"/>
      <c r="L69" s="55"/>
      <c r="M69" s="55"/>
      <c r="N69" s="37"/>
      <c r="O69" s="37"/>
      <c r="P69" s="60"/>
    </row>
    <row r="70" spans="1:18" ht="15.75" thickBot="1">
      <c r="A70" s="33"/>
      <c r="B70" s="42">
        <v>14</v>
      </c>
      <c r="C70" s="37"/>
      <c r="D70" s="53" t="s">
        <v>72</v>
      </c>
      <c r="E70" s="37"/>
      <c r="F70" s="61">
        <v>1</v>
      </c>
      <c r="G70" s="62"/>
      <c r="H70" s="62"/>
      <c r="I70" s="62"/>
      <c r="J70" s="63">
        <f>+J68+J63</f>
        <v>421084428.25947165</v>
      </c>
      <c r="K70" s="37"/>
      <c r="L70" s="64">
        <v>7.207207785888077E-2</v>
      </c>
      <c r="M70" s="55"/>
      <c r="N70" s="37"/>
      <c r="O70" s="37"/>
      <c r="P70" s="63">
        <f>+P68+P63</f>
        <v>30348429.698678937</v>
      </c>
    </row>
    <row r="71" spans="1:18" ht="15.75" thickTop="1">
      <c r="A71" s="31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8" ht="10.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8" ht="15.75">
      <c r="A73" s="66"/>
      <c r="B73" s="226" t="s">
        <v>99</v>
      </c>
      <c r="C73" s="22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1:18">
      <c r="A74" s="33"/>
      <c r="B74" s="227" t="s">
        <v>10</v>
      </c>
      <c r="C74" s="227"/>
      <c r="D74" s="38" t="s">
        <v>88</v>
      </c>
      <c r="E74" s="39"/>
      <c r="F74" s="39"/>
      <c r="G74" s="40"/>
      <c r="H74" s="40"/>
      <c r="I74" s="40"/>
      <c r="J74" s="41">
        <f>+'Table 1 Allocations'!E50</f>
        <v>2768712762.1179786</v>
      </c>
      <c r="K74" s="37"/>
      <c r="L74" s="32" t="s">
        <v>10</v>
      </c>
      <c r="M74" s="37"/>
      <c r="N74" s="37"/>
      <c r="O74" s="37"/>
      <c r="P74" s="37"/>
    </row>
    <row r="75" spans="1:18">
      <c r="A75" s="33"/>
      <c r="B75" s="66"/>
      <c r="C75" s="66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</row>
    <row r="76" spans="1:18">
      <c r="A76" s="33"/>
      <c r="B76" s="67"/>
      <c r="C76" s="59"/>
      <c r="D76" s="59"/>
      <c r="E76" s="59"/>
      <c r="F76" s="68" t="s">
        <v>89</v>
      </c>
      <c r="G76" s="68"/>
      <c r="H76" s="68"/>
      <c r="I76" s="68"/>
      <c r="J76" s="68" t="s">
        <v>90</v>
      </c>
      <c r="K76" s="69"/>
      <c r="L76" s="68" t="s">
        <v>89</v>
      </c>
      <c r="M76" s="68"/>
      <c r="N76" s="69"/>
      <c r="O76" s="69"/>
      <c r="P76" s="68" t="s">
        <v>90</v>
      </c>
    </row>
    <row r="77" spans="1:18">
      <c r="A77" s="33"/>
      <c r="B77" s="67"/>
      <c r="C77" s="59"/>
      <c r="D77" s="70" t="s">
        <v>91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8">
      <c r="A78" s="33"/>
      <c r="B78" s="67">
        <v>8</v>
      </c>
      <c r="C78" s="59"/>
      <c r="D78" s="71" t="s">
        <v>92</v>
      </c>
      <c r="E78" s="59"/>
      <c r="F78" s="47">
        <v>0.56000000000000005</v>
      </c>
      <c r="G78" s="47"/>
      <c r="H78" s="72"/>
      <c r="I78" s="49"/>
      <c r="J78" s="73">
        <f>+J74*F78</f>
        <v>1550479146.7860682</v>
      </c>
      <c r="K78" s="59"/>
      <c r="L78" s="47">
        <f>P78/J78</f>
        <v>4.4845263280456717E-2</v>
      </c>
      <c r="M78" s="47"/>
      <c r="N78" s="72"/>
      <c r="O78" s="49"/>
      <c r="P78" s="73">
        <f>+P61+P44+P27+P10</f>
        <v>69531645.548479125</v>
      </c>
    </row>
    <row r="79" spans="1:18">
      <c r="A79" s="33"/>
      <c r="B79" s="67">
        <v>9</v>
      </c>
      <c r="C79" s="59"/>
      <c r="D79" s="71" t="s">
        <v>93</v>
      </c>
      <c r="E79" s="59"/>
      <c r="F79" s="51">
        <v>0.04</v>
      </c>
      <c r="G79" s="47"/>
      <c r="H79" s="72"/>
      <c r="I79" s="49"/>
      <c r="J79" s="74">
        <f>+J74*F79</f>
        <v>110748510.48471914</v>
      </c>
      <c r="K79" s="59"/>
      <c r="L79" s="51">
        <f>P79/J79</f>
        <v>1.9123552631812465E-2</v>
      </c>
      <c r="M79" s="47"/>
      <c r="N79" s="72"/>
      <c r="O79" s="49"/>
      <c r="P79" s="73">
        <f>+P62+P45+P28+P11</f>
        <v>2117904.9691493614</v>
      </c>
    </row>
    <row r="80" spans="1:18" ht="15.75" thickBot="1">
      <c r="A80" s="33"/>
      <c r="B80" s="67">
        <v>10</v>
      </c>
      <c r="C80" s="59"/>
      <c r="D80" s="75" t="s">
        <v>94</v>
      </c>
      <c r="E80" s="59"/>
      <c r="F80" s="76">
        <v>0.60000000000000009</v>
      </c>
      <c r="G80" s="47"/>
      <c r="H80" s="57"/>
      <c r="I80" s="57"/>
      <c r="J80" s="77">
        <f>+J78+J79</f>
        <v>1661227657.2707872</v>
      </c>
      <c r="K80" s="59"/>
      <c r="L80" s="76">
        <f>P80/J80</f>
        <v>4.3130482570547107E-2</v>
      </c>
      <c r="M80" s="47"/>
      <c r="N80" s="59"/>
      <c r="O80" s="59"/>
      <c r="P80" s="77">
        <f>+P78+P79</f>
        <v>71649550.517628491</v>
      </c>
      <c r="Q80" s="2" t="s">
        <v>10</v>
      </c>
      <c r="R80" s="86" t="s">
        <v>10</v>
      </c>
    </row>
    <row r="81" spans="1:16" ht="15.75" thickTop="1">
      <c r="A81" s="33"/>
      <c r="B81" s="67"/>
      <c r="C81" s="59"/>
      <c r="D81" s="59"/>
      <c r="E81" s="59"/>
      <c r="F81" s="57"/>
      <c r="G81" s="57"/>
      <c r="H81" s="57"/>
      <c r="I81" s="57"/>
      <c r="J81" s="78"/>
      <c r="K81" s="59"/>
      <c r="L81" s="47"/>
      <c r="M81" s="47"/>
      <c r="N81" s="59"/>
      <c r="O81" s="59"/>
      <c r="P81" s="78"/>
    </row>
    <row r="82" spans="1:16">
      <c r="A82" s="33"/>
      <c r="B82" s="67"/>
      <c r="C82" s="59"/>
      <c r="D82" s="70" t="s">
        <v>95</v>
      </c>
      <c r="E82" s="59"/>
      <c r="F82" s="57"/>
      <c r="G82" s="57"/>
      <c r="H82" s="57"/>
      <c r="I82" s="57"/>
      <c r="J82" s="78"/>
      <c r="K82" s="59"/>
      <c r="L82" s="47"/>
      <c r="M82" s="47"/>
      <c r="N82" s="59"/>
      <c r="O82" s="59"/>
      <c r="P82" s="78"/>
    </row>
    <row r="83" spans="1:16">
      <c r="A83" s="33"/>
      <c r="B83" s="67">
        <v>11</v>
      </c>
      <c r="C83" s="59"/>
      <c r="D83" s="71" t="s">
        <v>96</v>
      </c>
      <c r="E83" s="59"/>
      <c r="F83" s="47">
        <v>0.39999999999999991</v>
      </c>
      <c r="G83" s="57"/>
      <c r="H83" s="72"/>
      <c r="I83" s="49"/>
      <c r="J83" s="73">
        <f>+J74*F83</f>
        <v>1107485104.8471911</v>
      </c>
      <c r="K83" s="59"/>
      <c r="L83" s="47">
        <f t="shared" ref="L83:L87" si="0">P83/J83</f>
        <v>8.901985362292511E-2</v>
      </c>
      <c r="M83" s="47"/>
      <c r="N83" s="72"/>
      <c r="O83" s="49"/>
      <c r="P83" s="73">
        <f>P15+P32+P49+P66</f>
        <v>98588161.923066825</v>
      </c>
    </row>
    <row r="84" spans="1:16">
      <c r="A84" s="33"/>
      <c r="B84" s="67">
        <v>12</v>
      </c>
      <c r="C84" s="59"/>
      <c r="D84" s="71" t="s">
        <v>97</v>
      </c>
      <c r="E84" s="59"/>
      <c r="F84" s="51">
        <v>0</v>
      </c>
      <c r="G84" s="57"/>
      <c r="H84" s="72"/>
      <c r="I84" s="49"/>
      <c r="J84" s="74">
        <f>+J74*F84</f>
        <v>0</v>
      </c>
      <c r="K84" s="59"/>
      <c r="L84" s="51">
        <v>0</v>
      </c>
      <c r="M84" s="47"/>
      <c r="N84" s="72"/>
      <c r="O84" s="49"/>
      <c r="P84" s="74">
        <f>P16+P33+P50+P67</f>
        <v>0</v>
      </c>
    </row>
    <row r="85" spans="1:16" ht="15.75" thickBot="1">
      <c r="A85" s="33"/>
      <c r="B85" s="67">
        <v>13</v>
      </c>
      <c r="C85" s="59"/>
      <c r="D85" s="75" t="s">
        <v>98</v>
      </c>
      <c r="E85" s="59"/>
      <c r="F85" s="76">
        <v>0.39999999999999991</v>
      </c>
      <c r="G85" s="57"/>
      <c r="H85" s="57"/>
      <c r="I85" s="57"/>
      <c r="J85" s="77">
        <f>+J83+J84</f>
        <v>1107485104.8471911</v>
      </c>
      <c r="K85" s="59"/>
      <c r="L85" s="76">
        <f t="shared" si="0"/>
        <v>8.901985362292511E-2</v>
      </c>
      <c r="M85" s="47"/>
      <c r="N85" s="59"/>
      <c r="O85" s="59"/>
      <c r="P85" s="77">
        <f>P17+P34+P51+P68</f>
        <v>98588161.923066825</v>
      </c>
    </row>
    <row r="86" spans="1:16" ht="15.75" thickTop="1">
      <c r="A86" s="33"/>
      <c r="B86" s="67"/>
      <c r="C86" s="59"/>
      <c r="D86" s="59"/>
      <c r="E86" s="59"/>
      <c r="F86" s="59"/>
      <c r="G86" s="59"/>
      <c r="H86" s="59"/>
      <c r="I86" s="59"/>
      <c r="J86" s="78"/>
      <c r="K86" s="59"/>
      <c r="L86" s="47"/>
      <c r="M86" s="47"/>
      <c r="N86" s="59"/>
      <c r="O86" s="59"/>
      <c r="P86" s="78"/>
    </row>
    <row r="87" spans="1:16" ht="15.75" thickBot="1">
      <c r="A87" s="33"/>
      <c r="B87" s="67">
        <v>14</v>
      </c>
      <c r="C87" s="59"/>
      <c r="D87" s="75" t="s">
        <v>72</v>
      </c>
      <c r="E87" s="59"/>
      <c r="F87" s="79">
        <v>1</v>
      </c>
      <c r="G87" s="80"/>
      <c r="H87" s="80"/>
      <c r="I87" s="80"/>
      <c r="J87" s="81">
        <f>+J85+J80</f>
        <v>2768712762.1179781</v>
      </c>
      <c r="K87" s="59"/>
      <c r="L87" s="82">
        <f t="shared" si="0"/>
        <v>6.148623099149831E-2</v>
      </c>
      <c r="M87" s="47"/>
      <c r="N87" s="59"/>
      <c r="O87" s="59"/>
      <c r="P87" s="81">
        <f>P19+P36+P53+P70</f>
        <v>170237712.44069532</v>
      </c>
    </row>
    <row r="88" spans="1:16" ht="15.75" thickTop="1"/>
  </sheetData>
  <mergeCells count="13">
    <mergeCell ref="D75:P75"/>
    <mergeCell ref="B39:C39"/>
    <mergeCell ref="D41:P41"/>
    <mergeCell ref="B56:C56"/>
    <mergeCell ref="D58:P58"/>
    <mergeCell ref="B73:C73"/>
    <mergeCell ref="B74:C74"/>
    <mergeCell ref="D24:P24"/>
    <mergeCell ref="B2:N2"/>
    <mergeCell ref="B5:C5"/>
    <mergeCell ref="B6:C6"/>
    <mergeCell ref="D7:P7"/>
    <mergeCell ref="B22:C22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E77" sqref="E77"/>
    </sheetView>
  </sheetViews>
  <sheetFormatPr defaultColWidth="9.140625" defaultRowHeight="12.75"/>
  <cols>
    <col min="1" max="1" width="52.5703125" style="5" customWidth="1"/>
    <col min="2" max="2" width="3.42578125" style="5" customWidth="1"/>
    <col min="3" max="3" width="15.42578125" style="5" customWidth="1"/>
    <col min="4" max="4" width="9.140625" style="5"/>
    <col min="5" max="5" width="13.85546875" style="28" hidden="1" customWidth="1"/>
    <col min="6" max="6" width="14.28515625" style="28" customWidth="1"/>
    <col min="7" max="8" width="11.85546875" style="28" bestFit="1" customWidth="1"/>
    <col min="9" max="9" width="12.85546875" style="28" bestFit="1" customWidth="1"/>
    <col min="10" max="10" width="16.5703125" style="28" customWidth="1"/>
    <col min="11" max="11" width="34.140625" style="5" customWidth="1"/>
    <col min="12" max="16384" width="9.140625" style="5"/>
  </cols>
  <sheetData>
    <row r="1" spans="1:11" ht="28.5" customHeight="1">
      <c r="A1" s="34" t="s">
        <v>131</v>
      </c>
      <c r="B1" s="3"/>
      <c r="C1" s="3"/>
      <c r="D1" s="3"/>
      <c r="E1" s="4"/>
      <c r="F1" s="4"/>
      <c r="G1" s="4"/>
      <c r="H1" s="4"/>
      <c r="I1" s="4"/>
      <c r="J1" s="4"/>
      <c r="K1" s="3"/>
    </row>
    <row r="2" spans="1:11">
      <c r="B2" s="3"/>
      <c r="C2" s="6"/>
      <c r="D2" s="3"/>
      <c r="E2" s="228" t="s">
        <v>87</v>
      </c>
      <c r="F2" s="228"/>
      <c r="G2" s="228"/>
      <c r="H2" s="228"/>
      <c r="I2" s="228"/>
      <c r="J2" s="4"/>
      <c r="K2" s="3"/>
    </row>
    <row r="3" spans="1:11" ht="37.5" customHeight="1">
      <c r="A3" s="3"/>
      <c r="B3" s="3"/>
      <c r="C3" s="30" t="s">
        <v>86</v>
      </c>
      <c r="D3" s="3"/>
      <c r="E3" s="30" t="s">
        <v>81</v>
      </c>
      <c r="F3" s="217" t="s">
        <v>139</v>
      </c>
      <c r="G3" s="6"/>
      <c r="H3" s="6"/>
      <c r="I3" s="6"/>
      <c r="J3" s="6" t="s">
        <v>30</v>
      </c>
      <c r="K3" s="3"/>
    </row>
    <row r="4" spans="1:11" ht="15.75" customHeight="1">
      <c r="A4" s="3"/>
      <c r="B4" s="3"/>
      <c r="C4" s="7" t="s">
        <v>31</v>
      </c>
      <c r="D4" s="3"/>
      <c r="E4" s="7" t="s">
        <v>32</v>
      </c>
      <c r="F4" s="218" t="s">
        <v>32</v>
      </c>
      <c r="G4" s="7" t="s">
        <v>8</v>
      </c>
      <c r="H4" s="7" t="s">
        <v>7</v>
      </c>
      <c r="I4" s="7" t="s">
        <v>9</v>
      </c>
      <c r="J4" s="7" t="s">
        <v>33</v>
      </c>
      <c r="K4" s="8" t="s">
        <v>34</v>
      </c>
    </row>
    <row r="5" spans="1:11">
      <c r="A5" s="3"/>
      <c r="B5" s="3"/>
      <c r="C5" s="9"/>
      <c r="D5" s="3"/>
      <c r="E5" s="4"/>
      <c r="F5" s="219">
        <f>'Table 1 Allocations'!F13</f>
        <v>0.23919281476869531</v>
      </c>
      <c r="G5" s="219">
        <f>'Table 1 Allocations'!G13</f>
        <v>0.11803559404068982</v>
      </c>
      <c r="H5" s="219">
        <f>'Table 1 Allocations'!H13</f>
        <v>0.24738969943815597</v>
      </c>
      <c r="I5" s="219">
        <f>'Table 1 Allocations'!I13</f>
        <v>0.3953818917524588</v>
      </c>
      <c r="J5" s="3"/>
      <c r="K5" s="3"/>
    </row>
    <row r="6" spans="1:11">
      <c r="A6" s="3" t="s">
        <v>35</v>
      </c>
      <c r="B6" s="3"/>
      <c r="C6" s="9">
        <v>99454036.867016852</v>
      </c>
      <c r="D6" s="3"/>
      <c r="E6" s="4"/>
      <c r="F6" s="4"/>
      <c r="H6" s="10"/>
      <c r="I6" s="10"/>
      <c r="J6" s="10"/>
      <c r="K6" s="3"/>
    </row>
    <row r="7" spans="1:11">
      <c r="A7" s="3"/>
      <c r="B7" s="3"/>
      <c r="C7" s="9"/>
      <c r="D7" s="3"/>
      <c r="E7" s="4"/>
      <c r="F7" s="4"/>
      <c r="G7" s="10"/>
      <c r="H7" s="10"/>
      <c r="I7" s="10"/>
      <c r="J7" s="10"/>
      <c r="K7" s="3"/>
    </row>
    <row r="8" spans="1:11">
      <c r="A8" s="11" t="s">
        <v>36</v>
      </c>
      <c r="B8" s="9"/>
      <c r="C8" s="9"/>
      <c r="D8" s="3"/>
      <c r="E8" s="12"/>
      <c r="F8" s="4"/>
      <c r="G8" s="10"/>
      <c r="H8" s="10"/>
      <c r="I8" s="10"/>
      <c r="J8" s="10"/>
      <c r="K8" s="3"/>
    </row>
    <row r="9" spans="1:11">
      <c r="A9" s="13" t="s">
        <v>37</v>
      </c>
      <c r="B9" s="9"/>
      <c r="C9" s="9">
        <v>75819.47</v>
      </c>
      <c r="D9" s="3"/>
      <c r="E9" s="12"/>
      <c r="F9" s="4"/>
      <c r="G9" s="10"/>
      <c r="H9" s="10"/>
      <c r="I9" s="10">
        <v>75819.47</v>
      </c>
      <c r="J9" s="10"/>
      <c r="K9" s="3"/>
    </row>
    <row r="10" spans="1:11" ht="15">
      <c r="A10" s="14" t="s">
        <v>38</v>
      </c>
      <c r="B10" s="9"/>
      <c r="C10" s="9">
        <v>116773494.38399999</v>
      </c>
      <c r="D10" s="3"/>
      <c r="E10" s="12">
        <v>21953638.004575301</v>
      </c>
      <c r="F10" s="12">
        <v>20355959</v>
      </c>
      <c r="G10" s="10">
        <v>30375678.439999998</v>
      </c>
      <c r="H10" s="10">
        <v>14386972.049999993</v>
      </c>
      <c r="I10" s="10">
        <v>48344969.870000005</v>
      </c>
      <c r="J10" s="15">
        <v>3309915.0999999978</v>
      </c>
      <c r="K10" s="16" t="s">
        <v>39</v>
      </c>
    </row>
    <row r="11" spans="1:11">
      <c r="A11" s="13" t="s">
        <v>40</v>
      </c>
      <c r="B11" s="9"/>
      <c r="C11" s="9">
        <v>5635328.1600000001</v>
      </c>
      <c r="D11" s="3"/>
      <c r="E11" s="12">
        <v>1564672</v>
      </c>
      <c r="F11" s="12">
        <v>1564672</v>
      </c>
      <c r="G11" s="10">
        <v>1737468.48</v>
      </c>
      <c r="H11" s="10">
        <v>678503.92</v>
      </c>
      <c r="I11" s="10">
        <v>1654684.1700000002</v>
      </c>
      <c r="J11" s="15"/>
      <c r="K11" s="16" t="s">
        <v>41</v>
      </c>
    </row>
    <row r="12" spans="1:11" ht="15">
      <c r="A12" s="13" t="s">
        <v>42</v>
      </c>
      <c r="B12" s="9"/>
      <c r="C12" s="9">
        <v>140792.29</v>
      </c>
      <c r="D12" s="3"/>
      <c r="E12" s="12">
        <v>34409.635676000005</v>
      </c>
      <c r="F12" s="220">
        <f>$C12*F$5</f>
        <v>33676.504142830432</v>
      </c>
      <c r="G12" s="12">
        <f t="shared" ref="G12:I12" si="0">$C12*G$5</f>
        <v>16618.501586499075</v>
      </c>
      <c r="H12" s="12">
        <f t="shared" si="0"/>
        <v>34830.562306309694</v>
      </c>
      <c r="I12" s="12">
        <f t="shared" si="0"/>
        <v>55666.72196436079</v>
      </c>
      <c r="J12" s="15"/>
      <c r="K12" s="18" t="s">
        <v>43</v>
      </c>
    </row>
    <row r="13" spans="1:11" ht="15">
      <c r="A13" s="13" t="s">
        <v>44</v>
      </c>
      <c r="B13" s="9"/>
      <c r="C13" s="9">
        <v>235230.41499999998</v>
      </c>
      <c r="D13" s="3"/>
      <c r="E13" s="12">
        <v>57490.313425999993</v>
      </c>
      <c r="F13" s="220">
        <f t="shared" ref="F13:I14" si="1">$C13*F$5</f>
        <v>56265.425083058319</v>
      </c>
      <c r="G13" s="12">
        <f t="shared" si="1"/>
        <v>27765.561770962991</v>
      </c>
      <c r="H13" s="12">
        <f t="shared" si="1"/>
        <v>58193.581665562691</v>
      </c>
      <c r="I13" s="12">
        <f t="shared" si="1"/>
        <v>93005.846480415959</v>
      </c>
      <c r="J13" s="15"/>
      <c r="K13" s="18" t="s">
        <v>43</v>
      </c>
    </row>
    <row r="14" spans="1:11" ht="15">
      <c r="A14" s="13" t="s">
        <v>45</v>
      </c>
      <c r="B14" s="9"/>
      <c r="C14" s="9">
        <v>15451.824444444454</v>
      </c>
      <c r="D14" s="3"/>
      <c r="E14" s="12">
        <v>3776.4258942222245</v>
      </c>
      <c r="F14" s="220">
        <f t="shared" si="1"/>
        <v>3695.9653821784004</v>
      </c>
      <c r="G14" s="12">
        <f t="shared" si="1"/>
        <v>1823.8652773124531</v>
      </c>
      <c r="H14" s="12">
        <f t="shared" si="1"/>
        <v>3822.6222050822648</v>
      </c>
      <c r="I14" s="12">
        <f t="shared" si="1"/>
        <v>6109.3715798713338</v>
      </c>
      <c r="J14" s="15"/>
      <c r="K14" s="18" t="s">
        <v>43</v>
      </c>
    </row>
    <row r="15" spans="1:11" ht="15">
      <c r="A15" s="14" t="s">
        <v>46</v>
      </c>
      <c r="B15" s="9"/>
      <c r="C15" s="9">
        <v>265786</v>
      </c>
      <c r="D15" s="3"/>
      <c r="E15" s="12">
        <v>0</v>
      </c>
      <c r="F15" s="12">
        <v>0</v>
      </c>
      <c r="G15" s="10"/>
      <c r="H15" s="10"/>
      <c r="I15" s="10"/>
      <c r="J15" s="15">
        <v>265786</v>
      </c>
      <c r="K15" s="16" t="s">
        <v>47</v>
      </c>
    </row>
    <row r="16" spans="1:11" ht="15">
      <c r="A16" s="14" t="s">
        <v>48</v>
      </c>
      <c r="B16" s="9"/>
      <c r="C16" s="9">
        <v>80364898.560000002</v>
      </c>
      <c r="D16" s="3"/>
      <c r="E16" s="12">
        <v>30754715.119999997</v>
      </c>
      <c r="F16" s="12">
        <v>30754715.119999997</v>
      </c>
      <c r="G16" s="10">
        <v>7831661.0899999999</v>
      </c>
      <c r="H16" s="10">
        <v>5514859.4499999993</v>
      </c>
      <c r="I16" s="10">
        <v>26276408.649999999</v>
      </c>
      <c r="J16" s="15">
        <v>9987254.25</v>
      </c>
      <c r="K16" s="16" t="s">
        <v>41</v>
      </c>
    </row>
    <row r="17" spans="1:11" ht="15">
      <c r="A17" s="14" t="s">
        <v>49</v>
      </c>
      <c r="B17" s="9"/>
      <c r="C17" s="9">
        <v>140000</v>
      </c>
      <c r="D17" s="3"/>
      <c r="E17" s="12">
        <v>140000</v>
      </c>
      <c r="F17" s="12">
        <v>140000</v>
      </c>
      <c r="G17" s="10"/>
      <c r="H17" s="10"/>
      <c r="I17" s="10"/>
      <c r="J17" s="15"/>
      <c r="K17" s="16" t="s">
        <v>41</v>
      </c>
    </row>
    <row r="18" spans="1:11" ht="15">
      <c r="A18" s="14" t="s">
        <v>50</v>
      </c>
      <c r="B18" s="9"/>
      <c r="C18" s="9">
        <v>102226.62</v>
      </c>
      <c r="D18" s="3"/>
      <c r="E18" s="12">
        <v>0</v>
      </c>
      <c r="F18" s="12">
        <v>0</v>
      </c>
      <c r="G18" s="10">
        <f>23792+78434.62</f>
        <v>102226.62</v>
      </c>
      <c r="H18" s="10"/>
      <c r="I18" s="10"/>
      <c r="J18" s="15" t="s">
        <v>10</v>
      </c>
      <c r="K18" s="16" t="s">
        <v>47</v>
      </c>
    </row>
    <row r="19" spans="1:11" ht="15">
      <c r="A19" s="14" t="s">
        <v>51</v>
      </c>
      <c r="B19" s="9"/>
      <c r="C19" s="9">
        <v>957923.57238693105</v>
      </c>
      <c r="D19" s="3"/>
      <c r="E19" s="12">
        <v>234116.52109136595</v>
      </c>
      <c r="F19" s="12">
        <v>0</v>
      </c>
      <c r="G19" s="10"/>
      <c r="H19" s="10"/>
      <c r="I19" s="10">
        <v>957923.57238693105</v>
      </c>
      <c r="J19" s="15"/>
      <c r="K19" s="16" t="s">
        <v>47</v>
      </c>
    </row>
    <row r="20" spans="1:11" ht="15">
      <c r="A20" s="14" t="s">
        <v>52</v>
      </c>
      <c r="B20" s="9"/>
      <c r="C20" s="9">
        <v>61886098.909999996</v>
      </c>
      <c r="D20" s="3"/>
      <c r="E20" s="12">
        <v>4687788.68</v>
      </c>
      <c r="F20" s="12">
        <v>4687788.68</v>
      </c>
      <c r="G20" s="10">
        <v>4590988.76</v>
      </c>
      <c r="H20" s="10">
        <v>11891967.920000002</v>
      </c>
      <c r="I20" s="10">
        <v>40715353.549999997</v>
      </c>
      <c r="J20" s="15"/>
      <c r="K20" s="16" t="s">
        <v>41</v>
      </c>
    </row>
    <row r="21" spans="1:11" ht="15">
      <c r="A21" s="14"/>
      <c r="B21" s="9"/>
      <c r="C21" s="9"/>
      <c r="D21" s="3"/>
      <c r="E21" s="12"/>
      <c r="F21" s="12"/>
      <c r="G21" s="10"/>
      <c r="H21" s="10"/>
      <c r="I21" s="10"/>
      <c r="J21" s="15"/>
      <c r="K21" s="16"/>
    </row>
    <row r="22" spans="1:11" ht="15">
      <c r="A22" s="14"/>
      <c r="B22" s="9"/>
      <c r="C22" s="9"/>
      <c r="D22" s="3"/>
      <c r="E22" s="12"/>
      <c r="F22" s="12"/>
      <c r="G22" s="3"/>
      <c r="H22" s="3"/>
      <c r="I22" s="3"/>
      <c r="J22" s="17"/>
      <c r="K22" s="16"/>
    </row>
    <row r="23" spans="1:11" ht="15">
      <c r="A23" s="14"/>
      <c r="B23" s="9"/>
      <c r="C23" s="9"/>
      <c r="D23" s="3"/>
      <c r="E23" s="12"/>
      <c r="F23" s="12"/>
      <c r="G23" s="3"/>
      <c r="H23" s="3"/>
      <c r="I23" s="3"/>
      <c r="J23" s="17"/>
      <c r="K23" s="16"/>
    </row>
    <row r="24" spans="1:11" ht="15">
      <c r="A24" s="14" t="s">
        <v>53</v>
      </c>
      <c r="B24" s="19"/>
      <c r="C24" s="20">
        <f>SUM(C9:C23)</f>
        <v>266593050.20583138</v>
      </c>
      <c r="D24" s="3"/>
      <c r="E24" s="20">
        <f t="shared" ref="E24:J24" si="2">SUM(E9:E23)</f>
        <v>59430606.700662881</v>
      </c>
      <c r="F24" s="20">
        <f t="shared" si="2"/>
        <v>57596772.69460807</v>
      </c>
      <c r="G24" s="20">
        <f t="shared" si="2"/>
        <v>44684231.318634771</v>
      </c>
      <c r="H24" s="20">
        <f t="shared" si="2"/>
        <v>32569150.10617695</v>
      </c>
      <c r="I24" s="20">
        <f t="shared" si="2"/>
        <v>118179941.22241157</v>
      </c>
      <c r="J24" s="21">
        <f t="shared" si="2"/>
        <v>13562955.349999998</v>
      </c>
      <c r="K24" s="16"/>
    </row>
    <row r="25" spans="1:11" ht="15">
      <c r="A25" s="14"/>
      <c r="B25" s="9"/>
      <c r="C25" s="9"/>
      <c r="D25" s="3"/>
      <c r="E25" s="12"/>
      <c r="F25" s="12"/>
      <c r="G25" s="3"/>
      <c r="H25" s="3"/>
      <c r="I25" s="3"/>
      <c r="J25" s="17"/>
      <c r="K25" s="16"/>
    </row>
    <row r="26" spans="1:11">
      <c r="A26" s="11" t="s">
        <v>54</v>
      </c>
      <c r="B26" s="9"/>
      <c r="C26" s="9"/>
      <c r="D26" s="3"/>
      <c r="E26" s="12"/>
      <c r="F26" s="12"/>
      <c r="G26" s="3"/>
      <c r="H26" s="3"/>
      <c r="I26" s="3"/>
      <c r="J26" s="17"/>
      <c r="K26" s="16"/>
    </row>
    <row r="27" spans="1:11" ht="15">
      <c r="A27" s="14" t="s">
        <v>55</v>
      </c>
      <c r="B27" s="22"/>
      <c r="C27" s="9">
        <v>-518416.88999999996</v>
      </c>
      <c r="D27" s="3"/>
      <c r="E27" s="12">
        <v>-368526.58999999997</v>
      </c>
      <c r="F27" s="12">
        <v>-368525.59</v>
      </c>
      <c r="G27" s="10">
        <v>-47115.020000000004</v>
      </c>
      <c r="H27" s="10">
        <v>-9042.1</v>
      </c>
      <c r="I27" s="10">
        <v>-93733.18</v>
      </c>
      <c r="J27" s="15"/>
      <c r="K27" s="16" t="s">
        <v>41</v>
      </c>
    </row>
    <row r="28" spans="1:11" ht="15">
      <c r="A28" s="14" t="s">
        <v>56</v>
      </c>
      <c r="B28" s="9"/>
      <c r="C28" s="9">
        <v>-121856.38000000006</v>
      </c>
      <c r="D28" s="3"/>
      <c r="E28" s="12">
        <v>0</v>
      </c>
      <c r="F28" s="12">
        <v>0</v>
      </c>
      <c r="G28" s="10"/>
      <c r="H28" s="10"/>
      <c r="I28" s="10">
        <v>-121856.38000000006</v>
      </c>
      <c r="J28" s="15"/>
      <c r="K28" s="16" t="s">
        <v>47</v>
      </c>
    </row>
    <row r="29" spans="1:11" ht="15">
      <c r="A29" s="14" t="s">
        <v>57</v>
      </c>
      <c r="B29" s="9"/>
      <c r="C29" s="9">
        <v>-94468.509999999966</v>
      </c>
      <c r="D29" s="3"/>
      <c r="E29" s="12">
        <v>0</v>
      </c>
      <c r="F29" s="12">
        <v>0</v>
      </c>
      <c r="G29" s="10"/>
      <c r="H29" s="10">
        <v>-94468.509999999966</v>
      </c>
      <c r="I29" s="10"/>
      <c r="J29" s="15"/>
      <c r="K29" s="16" t="s">
        <v>47</v>
      </c>
    </row>
    <row r="30" spans="1:11" ht="15">
      <c r="A30" s="14" t="s">
        <v>58</v>
      </c>
      <c r="B30" s="9"/>
      <c r="C30" s="9">
        <v>-460402</v>
      </c>
      <c r="D30" s="3"/>
      <c r="E30" s="12">
        <v>6285</v>
      </c>
      <c r="F30" s="12">
        <v>6285</v>
      </c>
      <c r="G30" s="10">
        <v>-466687</v>
      </c>
      <c r="H30" s="10"/>
      <c r="I30" s="10"/>
      <c r="J30" s="15"/>
      <c r="K30" s="16" t="s">
        <v>41</v>
      </c>
    </row>
    <row r="31" spans="1:11" ht="15">
      <c r="A31" s="14" t="s">
        <v>59</v>
      </c>
      <c r="B31" s="9"/>
      <c r="C31" s="9">
        <v>-165769927</v>
      </c>
      <c r="D31" s="3"/>
      <c r="E31" s="12">
        <v>-29755421.875399999</v>
      </c>
      <c r="F31" s="12">
        <v>-29755421.875399999</v>
      </c>
      <c r="G31" s="10">
        <v>-42446887</v>
      </c>
      <c r="H31" s="10">
        <v>-18731641</v>
      </c>
      <c r="I31" s="10">
        <v>-62239337</v>
      </c>
      <c r="J31" s="15">
        <v>-12596640</v>
      </c>
      <c r="K31" s="16" t="s">
        <v>41</v>
      </c>
    </row>
    <row r="32" spans="1:11" ht="15">
      <c r="A32" s="14" t="s">
        <v>60</v>
      </c>
      <c r="B32" s="9"/>
      <c r="C32" s="9">
        <v>-2668430.1499999994</v>
      </c>
      <c r="D32" s="3"/>
      <c r="E32" s="12">
        <v>0</v>
      </c>
      <c r="F32" s="12">
        <v>-306323</v>
      </c>
      <c r="G32" s="10">
        <v>-480683.1</v>
      </c>
      <c r="H32" s="10">
        <v>-342152.51</v>
      </c>
      <c r="I32" s="10">
        <v>-1539271.6599999997</v>
      </c>
      <c r="J32" s="15"/>
      <c r="K32" s="16" t="s">
        <v>41</v>
      </c>
    </row>
    <row r="33" spans="1:11" ht="15">
      <c r="A33" s="14" t="s">
        <v>61</v>
      </c>
      <c r="B33" s="9"/>
      <c r="C33" s="9">
        <v>-223631</v>
      </c>
      <c r="D33" s="3"/>
      <c r="E33" s="12">
        <v>0</v>
      </c>
      <c r="F33" s="12">
        <v>0</v>
      </c>
      <c r="G33" s="10"/>
      <c r="H33" s="10">
        <v>-223631</v>
      </c>
      <c r="I33" s="10"/>
      <c r="J33" s="15"/>
      <c r="K33" s="16" t="s">
        <v>47</v>
      </c>
    </row>
    <row r="34" spans="1:11" ht="15">
      <c r="A34" s="14" t="s">
        <v>62</v>
      </c>
      <c r="B34" s="9"/>
      <c r="C34" s="9">
        <v>-6510213.8499999996</v>
      </c>
      <c r="D34" s="3"/>
      <c r="E34" s="12">
        <v>0</v>
      </c>
      <c r="F34" s="12">
        <v>0</v>
      </c>
      <c r="G34" s="10"/>
      <c r="H34" s="10"/>
      <c r="I34" s="10"/>
      <c r="J34" s="15">
        <v>-6510213.8499999996</v>
      </c>
      <c r="K34" s="16" t="s">
        <v>63</v>
      </c>
    </row>
    <row r="35" spans="1:11" ht="15">
      <c r="A35" s="14" t="s">
        <v>64</v>
      </c>
      <c r="B35" s="9"/>
      <c r="C35" s="9">
        <v>-2438301.4521403136</v>
      </c>
      <c r="D35" s="3"/>
      <c r="E35" s="12">
        <v>0</v>
      </c>
      <c r="F35" s="12">
        <v>0</v>
      </c>
      <c r="G35" s="10"/>
      <c r="H35" s="10"/>
      <c r="I35" s="10"/>
      <c r="J35" s="15">
        <v>-2438301.4521403136</v>
      </c>
      <c r="K35" s="16" t="s">
        <v>47</v>
      </c>
    </row>
    <row r="36" spans="1:11" ht="15">
      <c r="A36" s="14" t="s">
        <v>65</v>
      </c>
      <c r="B36" s="9"/>
      <c r="C36" s="9">
        <v>-61886098.909999996</v>
      </c>
      <c r="D36" s="3"/>
      <c r="E36" s="12">
        <v>-4687788.68</v>
      </c>
      <c r="F36" s="12">
        <v>-4687788.68</v>
      </c>
      <c r="G36" s="10">
        <v>-4590988.76</v>
      </c>
      <c r="H36" s="10">
        <v>-11891967.920000002</v>
      </c>
      <c r="I36" s="10">
        <v>-40715353.549999997</v>
      </c>
      <c r="J36" s="10"/>
      <c r="K36" s="4" t="s">
        <v>41</v>
      </c>
    </row>
    <row r="37" spans="1:11" ht="15">
      <c r="A37" s="14" t="s">
        <v>66</v>
      </c>
      <c r="B37" s="9"/>
      <c r="C37" s="9">
        <v>-76554199</v>
      </c>
      <c r="D37" s="3"/>
      <c r="E37" s="12">
        <v>-34443812</v>
      </c>
      <c r="F37" s="12">
        <v>-34443812</v>
      </c>
      <c r="G37" s="10">
        <v>-7145433</v>
      </c>
      <c r="H37" s="10">
        <v>-5223726</v>
      </c>
      <c r="I37" s="10">
        <v>-23963454</v>
      </c>
      <c r="J37" s="10">
        <v>-5777774</v>
      </c>
      <c r="K37" s="4" t="s">
        <v>41</v>
      </c>
    </row>
    <row r="38" spans="1:11" ht="15">
      <c r="A38" s="14" t="s">
        <v>67</v>
      </c>
      <c r="B38" s="9"/>
      <c r="C38" s="9">
        <v>-1310752.1926595713</v>
      </c>
      <c r="D38" s="3"/>
      <c r="E38" s="12">
        <v>-320347.83588599926</v>
      </c>
      <c r="F38" s="12">
        <v>0</v>
      </c>
      <c r="G38" s="10"/>
      <c r="H38" s="10"/>
      <c r="I38" s="10">
        <v>-1310752.1926595713</v>
      </c>
      <c r="J38" s="10"/>
      <c r="K38" s="4" t="s">
        <v>47</v>
      </c>
    </row>
    <row r="39" spans="1:11" ht="15">
      <c r="A39" s="14" t="s">
        <v>68</v>
      </c>
      <c r="B39" s="9"/>
      <c r="C39" s="9">
        <v>-233437.21534246576</v>
      </c>
      <c r="D39" s="3"/>
      <c r="E39" s="12">
        <v>0</v>
      </c>
      <c r="F39" s="12">
        <v>0</v>
      </c>
      <c r="G39" s="10">
        <f>-25656-18472</f>
        <v>-44128</v>
      </c>
      <c r="H39" s="10">
        <v>-8583.2153424657536</v>
      </c>
      <c r="I39" s="10">
        <v>-180726</v>
      </c>
      <c r="J39" s="10" t="s">
        <v>10</v>
      </c>
      <c r="K39" s="4" t="s">
        <v>47</v>
      </c>
    </row>
    <row r="40" spans="1:11" ht="15">
      <c r="A40" s="14" t="s">
        <v>69</v>
      </c>
      <c r="B40" s="9"/>
      <c r="C40" s="9">
        <v>-9693160.3385689035</v>
      </c>
      <c r="D40" s="3"/>
      <c r="E40" s="12">
        <v>0</v>
      </c>
      <c r="F40" s="12">
        <v>0</v>
      </c>
      <c r="G40" s="10"/>
      <c r="H40" s="10"/>
      <c r="I40" s="10"/>
      <c r="J40" s="10">
        <v>-9693160.3385689035</v>
      </c>
      <c r="K40" s="4" t="s">
        <v>63</v>
      </c>
    </row>
    <row r="41" spans="1:11" ht="15">
      <c r="A41" s="14" t="s">
        <v>70</v>
      </c>
      <c r="B41" s="9"/>
      <c r="C41" s="9">
        <v>-800000</v>
      </c>
      <c r="D41" s="3"/>
      <c r="E41" s="12">
        <v>0</v>
      </c>
      <c r="F41" s="220">
        <f>$C41*F$5</f>
        <v>-191354.25181495625</v>
      </c>
      <c r="G41" s="12">
        <f t="shared" ref="G41:I41" si="3">$C41*G$5</f>
        <v>-94428.475232551849</v>
      </c>
      <c r="H41" s="12">
        <f t="shared" si="3"/>
        <v>-197911.75955052479</v>
      </c>
      <c r="I41" s="12">
        <f t="shared" si="3"/>
        <v>-316305.51340196707</v>
      </c>
      <c r="J41" s="10"/>
      <c r="K41" s="18" t="s">
        <v>43</v>
      </c>
    </row>
    <row r="42" spans="1:11" ht="15">
      <c r="A42" s="14"/>
      <c r="B42" s="9"/>
      <c r="C42" s="9"/>
      <c r="D42" s="3"/>
      <c r="E42" s="12"/>
      <c r="F42" s="12"/>
      <c r="G42" s="3"/>
      <c r="H42" s="3"/>
      <c r="I42" s="3"/>
      <c r="J42" s="3"/>
      <c r="K42" s="3"/>
    </row>
    <row r="43" spans="1:11" ht="15">
      <c r="A43" s="14"/>
      <c r="B43" s="9"/>
      <c r="C43" s="9"/>
      <c r="D43" s="3"/>
      <c r="E43" s="12"/>
      <c r="F43" s="12"/>
      <c r="G43" s="3"/>
      <c r="H43" s="3"/>
      <c r="I43" s="3"/>
      <c r="J43" s="3"/>
      <c r="K43" s="3"/>
    </row>
    <row r="44" spans="1:11" ht="15">
      <c r="A44" s="14"/>
      <c r="B44" s="9"/>
      <c r="C44" s="9"/>
      <c r="D44" s="3"/>
      <c r="E44" s="12"/>
      <c r="F44" s="12"/>
      <c r="G44" s="3"/>
      <c r="H44" s="3"/>
      <c r="I44" s="3"/>
      <c r="J44" s="3"/>
      <c r="K44" s="3"/>
    </row>
    <row r="45" spans="1:11" ht="15">
      <c r="A45" s="14" t="s">
        <v>71</v>
      </c>
      <c r="B45" s="19"/>
      <c r="C45" s="20">
        <f>SUM(C27:C44)</f>
        <v>-329283294.88871121</v>
      </c>
      <c r="D45" s="3"/>
      <c r="E45" s="23">
        <f>SUM(E27:E44)</f>
        <v>-69569611.981286004</v>
      </c>
      <c r="F45" s="23">
        <f>SUM(F27:F44)</f>
        <v>-69746940.397214964</v>
      </c>
      <c r="G45" s="23">
        <f t="shared" ref="G45:J45" si="4">SUM(G27:G44)</f>
        <v>-55316350.355232552</v>
      </c>
      <c r="H45" s="23">
        <f t="shared" si="4"/>
        <v>-36723124.014892995</v>
      </c>
      <c r="I45" s="23">
        <f t="shared" si="4"/>
        <v>-130480789.47606154</v>
      </c>
      <c r="J45" s="23">
        <f t="shared" si="4"/>
        <v>-37016089.640709221</v>
      </c>
      <c r="K45" s="3"/>
    </row>
    <row r="46" spans="1:11" ht="15">
      <c r="A46" s="14"/>
      <c r="B46" s="22"/>
      <c r="C46" s="9"/>
      <c r="D46" s="3"/>
      <c r="E46" s="12"/>
      <c r="F46" s="12"/>
      <c r="G46" s="3"/>
      <c r="H46" s="3"/>
      <c r="I46" s="3"/>
      <c r="J46" s="3"/>
      <c r="K46" s="3"/>
    </row>
    <row r="47" spans="1:11" ht="15">
      <c r="A47" s="14"/>
      <c r="B47" s="22"/>
      <c r="C47" s="9"/>
      <c r="D47" s="3"/>
      <c r="E47" s="12"/>
      <c r="F47" s="12"/>
      <c r="G47" s="3"/>
      <c r="H47" s="3"/>
      <c r="I47" s="3"/>
      <c r="J47" s="3"/>
      <c r="K47" s="3"/>
    </row>
    <row r="48" spans="1:11" ht="15">
      <c r="A48" s="14" t="s">
        <v>72</v>
      </c>
      <c r="B48" s="22"/>
      <c r="C48" s="9">
        <f>+SUM(C5,C6,C24,C45)</f>
        <v>36763792.184136987</v>
      </c>
      <c r="D48" s="3"/>
      <c r="E48" s="12">
        <v>-10139005.280623123</v>
      </c>
      <c r="F48" s="220">
        <f>F24+F45</f>
        <v>-12150167.702606894</v>
      </c>
      <c r="G48" s="202">
        <f t="shared" ref="G48:J48" si="5">G24+G45</f>
        <v>-10632119.036597781</v>
      </c>
      <c r="H48" s="202">
        <f t="shared" si="5"/>
        <v>-4153973.9087160453</v>
      </c>
      <c r="I48" s="202">
        <f t="shared" si="5"/>
        <v>-12300848.253649965</v>
      </c>
      <c r="J48" s="202">
        <f t="shared" si="5"/>
        <v>-23453134.290709224</v>
      </c>
      <c r="K48" s="3"/>
    </row>
    <row r="49" spans="1:11">
      <c r="A49" s="3" t="s">
        <v>73</v>
      </c>
      <c r="B49" s="3"/>
      <c r="C49" s="24">
        <v>-1185131</v>
      </c>
      <c r="D49" s="3"/>
      <c r="E49" s="12"/>
      <c r="F49" s="4"/>
      <c r="G49" s="4"/>
      <c r="H49" s="4"/>
      <c r="I49" s="4"/>
      <c r="J49" s="4"/>
      <c r="K49" s="3"/>
    </row>
    <row r="50" spans="1:11">
      <c r="A50" s="3"/>
      <c r="B50" s="3"/>
      <c r="C50" s="9">
        <f>SUM(C48:C49)</f>
        <v>35578661.184136987</v>
      </c>
      <c r="D50" s="3"/>
      <c r="E50" s="12"/>
      <c r="F50" s="4"/>
      <c r="G50" s="4"/>
      <c r="H50" s="4"/>
      <c r="I50" s="4"/>
      <c r="J50" s="4"/>
      <c r="K50" s="3"/>
    </row>
    <row r="51" spans="1:11">
      <c r="A51" s="3" t="s">
        <v>74</v>
      </c>
      <c r="B51" s="3"/>
      <c r="C51" s="24">
        <f>-C50</f>
        <v>-35578661.184136987</v>
      </c>
      <c r="D51" s="3"/>
      <c r="E51" s="12"/>
      <c r="F51" s="4"/>
      <c r="G51" s="4"/>
      <c r="H51" s="4"/>
      <c r="I51" s="4"/>
      <c r="J51" s="4"/>
      <c r="K51" s="3"/>
    </row>
    <row r="52" spans="1:11">
      <c r="A52" s="3"/>
      <c r="B52" s="3"/>
      <c r="C52" s="9">
        <f>SUM(C50:C51)</f>
        <v>0</v>
      </c>
      <c r="D52" s="3"/>
      <c r="E52" s="12"/>
      <c r="F52" s="4"/>
      <c r="G52" s="4"/>
      <c r="H52" s="4"/>
      <c r="I52" s="4"/>
      <c r="J52" s="4"/>
      <c r="K52" s="3"/>
    </row>
    <row r="53" spans="1:11">
      <c r="A53" s="3"/>
      <c r="B53" s="3"/>
      <c r="C53" s="25">
        <v>0.26500000000000001</v>
      </c>
      <c r="D53" s="3"/>
      <c r="E53" s="12"/>
      <c r="F53" s="4"/>
      <c r="G53" s="4"/>
      <c r="H53" s="4"/>
      <c r="I53" s="4"/>
      <c r="J53" s="4"/>
      <c r="K53" s="3"/>
    </row>
    <row r="54" spans="1:11" ht="13.5" thickBot="1">
      <c r="A54" s="3" t="s">
        <v>75</v>
      </c>
      <c r="B54" s="3"/>
      <c r="C54" s="26">
        <f>+C52*C53</f>
        <v>0</v>
      </c>
      <c r="D54" s="3" t="s">
        <v>76</v>
      </c>
      <c r="E54" s="12"/>
      <c r="F54" s="4"/>
      <c r="G54" s="4"/>
      <c r="H54" s="4"/>
      <c r="I54" s="4"/>
      <c r="J54" s="4"/>
      <c r="K54" s="3"/>
    </row>
    <row r="55" spans="1:11" ht="13.5" thickTop="1">
      <c r="A55" s="3"/>
      <c r="B55" s="3"/>
      <c r="C55" s="9"/>
      <c r="D55" s="3"/>
      <c r="E55" s="12"/>
      <c r="F55" s="4"/>
      <c r="G55" s="4"/>
      <c r="H55" s="4"/>
      <c r="I55" s="4"/>
      <c r="J55" s="4"/>
      <c r="K55" s="3"/>
    </row>
    <row r="56" spans="1:11">
      <c r="A56" s="3" t="s">
        <v>77</v>
      </c>
      <c r="B56" s="3"/>
      <c r="C56" s="9">
        <v>-28065</v>
      </c>
      <c r="D56" s="3" t="s">
        <v>76</v>
      </c>
      <c r="E56" s="12"/>
      <c r="F56" s="4"/>
      <c r="G56" s="4"/>
      <c r="H56" s="4"/>
      <c r="I56" s="4"/>
      <c r="J56" s="4"/>
      <c r="K56" s="3"/>
    </row>
    <row r="57" spans="1:11">
      <c r="A57" s="3"/>
      <c r="B57" s="3"/>
      <c r="C57" s="9"/>
      <c r="D57" s="3"/>
      <c r="E57" s="12"/>
      <c r="F57" s="4"/>
      <c r="G57" s="4"/>
      <c r="H57" s="4"/>
      <c r="I57" s="4"/>
      <c r="J57" s="4"/>
      <c r="K57" s="3"/>
    </row>
    <row r="58" spans="1:11">
      <c r="A58" s="3" t="s">
        <v>78</v>
      </c>
      <c r="B58" s="3"/>
      <c r="C58" s="9">
        <v>28506495.350000001</v>
      </c>
      <c r="D58" s="3" t="s">
        <v>76</v>
      </c>
      <c r="E58" s="12"/>
      <c r="F58" s="4"/>
      <c r="G58" s="4"/>
      <c r="H58" s="4"/>
      <c r="I58" s="4"/>
      <c r="J58" s="4"/>
      <c r="K58" s="3"/>
    </row>
    <row r="59" spans="1:11">
      <c r="A59" s="3"/>
      <c r="B59" s="3"/>
      <c r="C59" s="9"/>
      <c r="D59" s="3"/>
      <c r="E59" s="12"/>
      <c r="F59" s="4"/>
      <c r="G59" s="4"/>
      <c r="H59" s="4"/>
      <c r="I59" s="4"/>
      <c r="J59" s="4"/>
      <c r="K59" s="3"/>
    </row>
    <row r="60" spans="1:11">
      <c r="A60" s="3" t="s">
        <v>79</v>
      </c>
      <c r="B60" s="3"/>
      <c r="C60" s="9">
        <f>+C54+C56+C58</f>
        <v>28478430.350000001</v>
      </c>
      <c r="D60" s="3" t="s">
        <v>80</v>
      </c>
      <c r="E60" s="12"/>
      <c r="F60" s="4"/>
      <c r="G60" s="4"/>
      <c r="H60" s="4"/>
      <c r="I60" s="4"/>
      <c r="J60" s="4"/>
      <c r="K60" s="3"/>
    </row>
    <row r="61" spans="1:11">
      <c r="A61" s="3"/>
      <c r="B61" s="3"/>
      <c r="C61" s="9"/>
      <c r="D61" s="3"/>
      <c r="E61" s="4"/>
      <c r="F61" s="4"/>
      <c r="G61" s="4"/>
      <c r="H61" s="4"/>
      <c r="I61" s="4"/>
      <c r="J61" s="4"/>
    </row>
    <row r="62" spans="1:11">
      <c r="C62" s="27"/>
    </row>
    <row r="74" spans="5:10">
      <c r="E74" s="5"/>
      <c r="F74" s="29" t="s">
        <v>10</v>
      </c>
      <c r="G74" s="29"/>
      <c r="H74" s="29"/>
      <c r="I74" s="29"/>
      <c r="J74" s="29"/>
    </row>
  </sheetData>
  <mergeCells count="1">
    <mergeCell ref="E2:I2"/>
  </mergeCells>
  <pageMargins left="0.70866141732283472" right="0.70866141732283472" top="0.23622047244094491" bottom="0.2362204724409449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Sharon du Quesnay</cp:lastModifiedBy>
  <cp:lastPrinted>2019-05-27T16:45:21Z</cp:lastPrinted>
  <dcterms:created xsi:type="dcterms:W3CDTF">2018-11-12T15:51:30Z</dcterms:created>
  <dcterms:modified xsi:type="dcterms:W3CDTF">2019-10-04T13:25:30Z</dcterms:modified>
</cp:coreProperties>
</file>