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 activeTab="2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Allocations'!$A$1:$J$70</definedName>
    <definedName name="_xlnm.Print_Area" localSheetId="2">'Table 3 Tax'!$A$1:$J$94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C25" i="5" l="1"/>
  <c r="C45" i="5"/>
  <c r="H3" i="5"/>
  <c r="H40" i="5" s="1"/>
  <c r="H45" i="5" s="1"/>
  <c r="G3" i="5"/>
  <c r="G40" i="5" s="1"/>
  <c r="G45" i="5" s="1"/>
  <c r="F3" i="5"/>
  <c r="F40" i="5" s="1"/>
  <c r="F45" i="5" s="1"/>
  <c r="E3" i="5"/>
  <c r="E40" i="5" s="1"/>
  <c r="E45" i="5" s="1"/>
  <c r="H20" i="9"/>
  <c r="G20" i="9"/>
  <c r="F20" i="9"/>
  <c r="E20" i="9"/>
  <c r="H19" i="9"/>
  <c r="G19" i="9"/>
  <c r="F19" i="9"/>
  <c r="E19" i="9"/>
  <c r="H18" i="9"/>
  <c r="G18" i="9"/>
  <c r="F18" i="9"/>
  <c r="E18" i="9"/>
  <c r="H17" i="9"/>
  <c r="G17" i="9"/>
  <c r="F17" i="9"/>
  <c r="E17" i="9"/>
  <c r="H16" i="9"/>
  <c r="G16" i="9"/>
  <c r="F16" i="9"/>
  <c r="E16" i="9"/>
  <c r="H15" i="9"/>
  <c r="G15" i="9"/>
  <c r="F15" i="9"/>
  <c r="E15" i="9"/>
  <c r="H14" i="9"/>
  <c r="G14" i="9"/>
  <c r="F14" i="9"/>
  <c r="E14" i="9"/>
  <c r="D13" i="9"/>
  <c r="H8" i="9" l="1"/>
  <c r="L17" i="7" l="1"/>
  <c r="H38" i="9" l="1"/>
  <c r="E36" i="9"/>
  <c r="D21" i="9"/>
  <c r="C87" i="5"/>
  <c r="E87" i="5" s="1"/>
  <c r="F38" i="9" l="1"/>
  <c r="F8" i="9"/>
  <c r="E38" i="9"/>
  <c r="G8" i="9" l="1"/>
  <c r="F90" i="5" l="1"/>
  <c r="G90" i="5"/>
  <c r="H90" i="5"/>
  <c r="E90" i="5"/>
  <c r="A83" i="5" l="1"/>
  <c r="F15" i="5"/>
  <c r="G15" i="5"/>
  <c r="H15" i="5"/>
  <c r="E15" i="5"/>
  <c r="F14" i="5"/>
  <c r="G14" i="5"/>
  <c r="H14" i="5"/>
  <c r="E14" i="5"/>
  <c r="E13" i="5"/>
  <c r="F13" i="5"/>
  <c r="G13" i="5"/>
  <c r="H13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16" i="5"/>
  <c r="I17" i="5"/>
  <c r="I18" i="5"/>
  <c r="I19" i="5"/>
  <c r="I20" i="5"/>
  <c r="I21" i="5"/>
  <c r="I22" i="5"/>
  <c r="I23" i="5"/>
  <c r="G12" i="5"/>
  <c r="F12" i="5"/>
  <c r="H12" i="5"/>
  <c r="E12" i="5"/>
  <c r="F11" i="5"/>
  <c r="G11" i="5"/>
  <c r="H11" i="5"/>
  <c r="E11" i="5"/>
  <c r="I45" i="5" l="1"/>
  <c r="E25" i="5"/>
  <c r="E84" i="5" s="1"/>
  <c r="G25" i="5"/>
  <c r="G84" i="5" s="1"/>
  <c r="F25" i="5"/>
  <c r="F84" i="5" s="1"/>
  <c r="H25" i="5"/>
  <c r="H84" i="5" s="1"/>
  <c r="I14" i="5"/>
  <c r="I11" i="5"/>
  <c r="I12" i="5"/>
  <c r="I13" i="5"/>
  <c r="I15" i="5"/>
  <c r="C84" i="5" l="1"/>
  <c r="I25" i="5"/>
  <c r="D32" i="9"/>
  <c r="G31" i="9" l="1"/>
  <c r="E32" i="9"/>
  <c r="F32" i="9"/>
  <c r="G32" i="9"/>
  <c r="H32" i="9"/>
  <c r="H31" i="9"/>
  <c r="F31" i="9" l="1"/>
  <c r="D6" i="9" l="1"/>
  <c r="D7" i="9" l="1"/>
  <c r="D8" i="9"/>
  <c r="D41" i="9" l="1"/>
  <c r="D40" i="9"/>
  <c r="D38" i="9"/>
  <c r="D36" i="9"/>
  <c r="D34" i="9"/>
  <c r="D29" i="9"/>
  <c r="D27" i="9"/>
  <c r="H43" i="9"/>
  <c r="H45" i="9" s="1"/>
  <c r="G43" i="9"/>
  <c r="G45" i="9" s="1"/>
  <c r="F43" i="9"/>
  <c r="F45" i="9" s="1"/>
  <c r="D58" i="9"/>
  <c r="D11" i="9"/>
  <c r="D23" i="9" s="1"/>
  <c r="P16" i="7" l="1"/>
  <c r="D43" i="9" l="1"/>
  <c r="D45" i="9" s="1"/>
  <c r="E31" i="9"/>
  <c r="E43" i="9" s="1"/>
  <c r="E45" i="9" s="1"/>
  <c r="G21" i="9"/>
  <c r="G23" i="9" s="1"/>
  <c r="H21" i="9"/>
  <c r="H23" i="9" s="1"/>
  <c r="H52" i="9" s="1"/>
  <c r="F21" i="9"/>
  <c r="F23" i="9" s="1"/>
  <c r="E21" i="9"/>
  <c r="E23" i="9" s="1"/>
  <c r="E48" i="9" s="1"/>
  <c r="E50" i="9" s="1"/>
  <c r="E52" i="9" l="1"/>
  <c r="G52" i="9"/>
  <c r="G48" i="9"/>
  <c r="G50" i="9" s="1"/>
  <c r="F52" i="9"/>
  <c r="F48" i="9"/>
  <c r="F50" i="9" s="1"/>
  <c r="H48" i="9"/>
  <c r="H50" i="9" s="1"/>
  <c r="D48" i="9" l="1"/>
  <c r="D50" i="9" s="1"/>
  <c r="F64" i="9"/>
  <c r="J57" i="7"/>
  <c r="G64" i="9"/>
  <c r="J40" i="7"/>
  <c r="H64" i="9"/>
  <c r="J23" i="7"/>
  <c r="D52" i="9"/>
  <c r="D64" i="9" l="1"/>
  <c r="J74" i="7"/>
  <c r="J32" i="7"/>
  <c r="J27" i="7"/>
  <c r="J33" i="7"/>
  <c r="P33" i="7" s="1"/>
  <c r="J28" i="7"/>
  <c r="P28" i="7" s="1"/>
  <c r="J62" i="7"/>
  <c r="P62" i="7" s="1"/>
  <c r="J61" i="7"/>
  <c r="J67" i="7"/>
  <c r="P67" i="7" s="1"/>
  <c r="J66" i="7"/>
  <c r="J49" i="7"/>
  <c r="J50" i="7"/>
  <c r="P50" i="7" s="1"/>
  <c r="J44" i="7"/>
  <c r="J45" i="7"/>
  <c r="P45" i="7" s="1"/>
  <c r="E64" i="9"/>
  <c r="J6" i="7"/>
  <c r="P84" i="7" l="1"/>
  <c r="J68" i="7"/>
  <c r="P66" i="7"/>
  <c r="P68" i="7" s="1"/>
  <c r="J79" i="7"/>
  <c r="J83" i="7"/>
  <c r="J78" i="7"/>
  <c r="J84" i="7"/>
  <c r="P49" i="7"/>
  <c r="P51" i="7" s="1"/>
  <c r="J51" i="7"/>
  <c r="J34" i="7"/>
  <c r="P32" i="7"/>
  <c r="P34" i="7" s="1"/>
  <c r="J46" i="7"/>
  <c r="P44" i="7"/>
  <c r="P46" i="7" s="1"/>
  <c r="G54" i="9" s="1"/>
  <c r="G56" i="9" s="1"/>
  <c r="J10" i="7"/>
  <c r="J11" i="7"/>
  <c r="P11" i="7" s="1"/>
  <c r="P79" i="7" s="1"/>
  <c r="J15" i="7"/>
  <c r="J63" i="7"/>
  <c r="P61" i="7"/>
  <c r="P27" i="7"/>
  <c r="P29" i="7" s="1"/>
  <c r="H54" i="9" s="1"/>
  <c r="H56" i="9" s="1"/>
  <c r="J29" i="7"/>
  <c r="L79" i="7" l="1"/>
  <c r="J53" i="7"/>
  <c r="J85" i="7"/>
  <c r="J36" i="7"/>
  <c r="J80" i="7"/>
  <c r="J70" i="7"/>
  <c r="P63" i="7"/>
  <c r="F54" i="9" s="1"/>
  <c r="F56" i="9" s="1"/>
  <c r="J12" i="7"/>
  <c r="P10" i="7"/>
  <c r="P12" i="7" s="1"/>
  <c r="E54" i="9" s="1"/>
  <c r="F83" i="5"/>
  <c r="F85" i="5" s="1"/>
  <c r="F86" i="5" s="1"/>
  <c r="P15" i="7"/>
  <c r="J17" i="7"/>
  <c r="P53" i="7"/>
  <c r="H83" i="5"/>
  <c r="H85" i="5" s="1"/>
  <c r="H86" i="5" s="1"/>
  <c r="P36" i="7"/>
  <c r="J19" i="7" l="1"/>
  <c r="J87" i="7"/>
  <c r="P78" i="7"/>
  <c r="L78" i="7" s="1"/>
  <c r="P70" i="7"/>
  <c r="H88" i="5"/>
  <c r="H93" i="5" s="1"/>
  <c r="H60" i="9" s="1"/>
  <c r="H62" i="9" s="1"/>
  <c r="H66" i="9" s="1"/>
  <c r="H92" i="5"/>
  <c r="P83" i="7"/>
  <c r="L83" i="7" s="1"/>
  <c r="P17" i="7"/>
  <c r="D54" i="9"/>
  <c r="D56" i="9" s="1"/>
  <c r="E56" i="9"/>
  <c r="F88" i="5"/>
  <c r="F93" i="5" s="1"/>
  <c r="G60" i="9" s="1"/>
  <c r="G62" i="9" s="1"/>
  <c r="G66" i="9" s="1"/>
  <c r="F92" i="5"/>
  <c r="G83" i="5"/>
  <c r="G85" i="5" s="1"/>
  <c r="G86" i="5" s="1"/>
  <c r="P80" i="7" l="1"/>
  <c r="L80" i="7" s="1"/>
  <c r="C83" i="5"/>
  <c r="G92" i="5"/>
  <c r="G88" i="5"/>
  <c r="G93" i="5" s="1"/>
  <c r="F60" i="9" s="1"/>
  <c r="F62" i="9" s="1"/>
  <c r="F66" i="9" s="1"/>
  <c r="P85" i="7"/>
  <c r="L85" i="7" s="1"/>
  <c r="P19" i="7"/>
  <c r="P87" i="7" s="1"/>
  <c r="L87" i="7" s="1"/>
  <c r="E83" i="5"/>
  <c r="E85" i="5" s="1"/>
  <c r="E86" i="5" l="1"/>
  <c r="C85" i="5"/>
  <c r="E92" i="5" l="1"/>
  <c r="E88" i="5"/>
  <c r="E93" i="5" s="1"/>
  <c r="E60" i="9" s="1"/>
  <c r="C86" i="5"/>
  <c r="C88" i="5" l="1"/>
  <c r="C93" i="5" s="1"/>
  <c r="C92" i="5"/>
  <c r="D60" i="9"/>
  <c r="D62" i="9" s="1"/>
  <c r="D66" i="9" s="1"/>
  <c r="E62" i="9"/>
  <c r="E66" i="9" s="1"/>
  <c r="E69" i="9" s="1"/>
  <c r="E70" i="9" s="1"/>
</calcChain>
</file>

<file path=xl/sharedStrings.xml><?xml version="1.0" encoding="utf-8"?>
<sst xmlns="http://schemas.openxmlformats.org/spreadsheetml/2006/main" count="321" uniqueCount="155">
  <si>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</si>
  <si>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</si>
  <si>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</si>
  <si>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</si>
  <si>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</si>
  <si>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</si>
  <si>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</si>
  <si>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</si>
  <si>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</si>
  <si>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</si>
  <si>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</si>
  <si>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</si>
  <si>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</si>
  <si>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</si>
  <si>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</si>
  <si>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</si>
  <si>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</si>
  <si>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</si>
  <si>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</si>
  <si>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</si>
  <si>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</si>
  <si>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</si>
  <si>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</si>
  <si>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</si>
  <si>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</si>
  <si>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</si>
  <si>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</si>
  <si>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</si>
  <si>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</si>
  <si>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</si>
  <si>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</si>
  <si>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</si>
  <si>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</si>
  <si>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</si>
  <si>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</si>
  <si>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</si>
  <si>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</si>
  <si>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</si>
  <si>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</si>
  <si>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</si>
  <si>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</si>
  <si>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</si>
  <si>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</si>
  <si>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</si>
  <si>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</si>
  <si>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</si>
  <si>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</si>
  <si>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</si>
  <si>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</si>
  <si>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</si>
  <si>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</si>
  <si>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</si>
  <si>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</si>
  <si>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</si>
  <si>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</si>
  <si>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</si>
  <si>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</si>
  <si>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</si>
  <si>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</si>
  <si>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</si>
  <si>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</si>
  <si>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</si>
  <si>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</si>
  <si>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</si>
  <si>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</si>
  <si>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</si>
  <si>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</si>
  <si>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</si>
  <si>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</si>
  <si>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</si>
  <si>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</si>
  <si>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[A]</t>
  </si>
  <si>
    <t>One-time adjustments to current tax for prior years</t>
  </si>
  <si>
    <t>Deferred Tax Expense</t>
  </si>
  <si>
    <t>Total IFRS Tax Expense</t>
  </si>
  <si>
    <t>SUM OF [A]</t>
  </si>
  <si>
    <t>Horizon</t>
  </si>
  <si>
    <t>Enersource</t>
  </si>
  <si>
    <t>Brampton</t>
  </si>
  <si>
    <t>PowerStream</t>
  </si>
  <si>
    <t>AUC - LDC Provision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</si>
  <si>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</si>
  <si>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</si>
  <si>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</si>
  <si>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</si>
  <si>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</si>
  <si>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</si>
  <si>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</si>
  <si>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</si>
  <si>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</si>
  <si>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</si>
  <si>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</si>
  <si>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</si>
  <si>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</si>
  <si>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</si>
  <si>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</si>
  <si>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</si>
  <si>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</si>
  <si>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</si>
  <si>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</si>
  <si>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</si>
  <si>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</si>
  <si>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</si>
  <si>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</si>
  <si>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</si>
  <si>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</si>
  <si>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</si>
  <si>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Net Merger Costs</t>
  </si>
  <si>
    <t>Regulatory Net Income before interest &amp; tax</t>
  </si>
  <si>
    <t>OM&amp;A</t>
  </si>
  <si>
    <t>PILs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</si>
  <si>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</si>
  <si>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</si>
  <si>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</si>
  <si>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</si>
  <si>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</si>
  <si>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</si>
  <si>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</si>
  <si>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 xml:space="preserve">              Table 3: Reconciliation of additions / (deductions) for tax</t>
  </si>
  <si>
    <t>12 months: 2018</t>
  </si>
  <si>
    <t>Non-regulated solar</t>
  </si>
  <si>
    <t>Capital costs expensed for accounting</t>
  </si>
  <si>
    <t>Capital gain on disposition of fixed assets</t>
  </si>
  <si>
    <t>Sale of Collus</t>
  </si>
  <si>
    <t>ITC Carryforward Utilization</t>
  </si>
  <si>
    <t>Taxable income  multiplied by 38%</t>
  </si>
  <si>
    <t>Taxable income</t>
  </si>
  <si>
    <t>Aggregate Inv Inc</t>
  </si>
  <si>
    <t>Aggregate investment income</t>
  </si>
  <si>
    <t>Less: Federal tax abatement</t>
  </si>
  <si>
    <t>Less: General tax reduction</t>
  </si>
  <si>
    <t>Less: Federal invstemetn tax credit</t>
  </si>
  <si>
    <t>Federal Tax Payable</t>
  </si>
  <si>
    <t>Ontario Taxable income</t>
  </si>
  <si>
    <t>Ontario ITC Utilization</t>
  </si>
  <si>
    <t>Ontario Tax Payable</t>
  </si>
  <si>
    <t>Total Current Tax Payable / Expense</t>
  </si>
  <si>
    <t>Net Tax Adjustments</t>
  </si>
  <si>
    <t>Total Taxable income</t>
  </si>
  <si>
    <t>Total PILS</t>
  </si>
  <si>
    <t>Tax Credits</t>
  </si>
  <si>
    <t>Table 2: Capitalization / Cost of Capital 2018 Actual  (12 Months)</t>
  </si>
  <si>
    <t>Per Annual Filling EB-2017-0024</t>
  </si>
  <si>
    <t>Return in Excess / (N/A)</t>
  </si>
  <si>
    <t>Amount Payable to Ratepayers / (N/A)</t>
  </si>
  <si>
    <t>ESM Adjustments Pils Impact</t>
  </si>
  <si>
    <t>Final Pils without ESM Adjustments</t>
  </si>
  <si>
    <t>Final Pils with ESM Adjustments</t>
  </si>
  <si>
    <t>Alectra OM&amp;A - % Allocations:</t>
  </si>
  <si>
    <t>Revised 2016 YEAR OM&amp;A Allocation</t>
  </si>
  <si>
    <t>Table 1: 2018 Allocations for Calculation of HRZ Earnings Sharing - UPDATED 2016 YEAR OM&amp;A ALLOCATION (HRZ-Staff-2e)</t>
  </si>
  <si>
    <t xml:space="preserve">Updated Working Capital Calculation </t>
  </si>
  <si>
    <t>Updated Rate Base</t>
  </si>
  <si>
    <t>Updated Deemed Debt</t>
  </si>
  <si>
    <t>Adjusted PILS &amp; Updated 2016 YEAR OM&amp;A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</si>
</sst>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u/>
      <sz val="11"/>
      <color indexed="8"/>
      <name val="Calibri"/>
      <family val="2"/>
    </font>
    <font>
      <sz val="10"/>
      <color rgb="FFFF0000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sz val="10"/>
      <color theme="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3513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0" fontId="96" fillId="0" borderId="67">
      <alignment horizontal="right" vertical="center"/>
    </xf>
    <xf numFmtId="0" fontId="96" fillId="64" borderId="67">
      <alignment horizontal="right" vertical="center"/>
    </xf>
    <xf numFmtId="0" fontId="100" fillId="0" borderId="70">
      <alignment horizontal="center" vertical="center"/>
    </xf>
    <xf numFmtId="0" fontId="96" fillId="67" borderId="67"/>
    <xf numFmtId="3" fontId="105" fillId="0" borderId="67"/>
    <xf numFmtId="0" fontId="111" fillId="0" borderId="67"/>
    <xf numFmtId="3" fontId="96" fillId="0" borderId="67">
      <alignment horizontal="right" vertical="center"/>
    </xf>
    <xf numFmtId="0" fontId="95" fillId="0" borderId="69">
      <alignment horizontal="right" vertical="center"/>
    </xf>
    <xf numFmtId="3" fontId="96" fillId="0" borderId="67"/>
    <xf numFmtId="0" fontId="113" fillId="0" borderId="70">
      <alignment horizontal="left" vertical="center" indent="1"/>
    </xf>
    <xf numFmtId="0" fontId="117" fillId="0" borderId="67"/>
    <xf numFmtId="0" fontId="95" fillId="0" borderId="68">
      <alignment horizontal="left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  <xf numFmtId="0" fontId="122" fillId="0" borderId="67"/>
    <xf numFmtId="171" fontId="23" fillId="0" borderId="0" applyFont="0" applyFill="0" applyBorder="0" applyAlignment="0" applyProtection="0"/>
    <xf numFmtId="0" fontId="95" fillId="0" borderId="66" applyNumberFormat="0" applyFill="0" applyProtection="0">
      <alignment horizontal="center" vertical="center"/>
    </xf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3" fontId="96" fillId="64" borderId="67">
      <alignment horizontal="center" vertical="center"/>
    </xf>
    <xf numFmtId="0" fontId="95" fillId="0" borderId="68">
      <alignment horizontal="left" vertical="center"/>
    </xf>
    <xf numFmtId="0" fontId="95" fillId="0" borderId="69">
      <alignment horizontal="center" vertical="center"/>
    </xf>
    <xf numFmtId="3" fontId="107" fillId="0" borderId="67"/>
    <xf numFmtId="0" fontId="95" fillId="0" borderId="69">
      <alignment horizontal="left" vertical="top"/>
    </xf>
    <xf numFmtId="0" fontId="95" fillId="0" borderId="69">
      <alignment horizontal="left" vertical="center"/>
    </xf>
    <xf numFmtId="0" fontId="96" fillId="64" borderId="71"/>
    <xf numFmtId="0" fontId="96" fillId="0" borderId="70">
      <alignment horizontal="center" vertical="center"/>
    </xf>
    <xf numFmtId="3" fontId="96" fillId="0" borderId="67"/>
    <xf numFmtId="0" fontId="96" fillId="0" borderId="70">
      <alignment horizontal="center" vertical="center" wrapText="1"/>
    </xf>
    <xf numFmtId="3" fontId="96" fillId="0" borderId="67">
      <alignment horizontal="center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</cellStyleXfs>
  <cellXfs count="234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4" fillId="0" borderId="0" xfId="15705" applyAlignment="1">
      <alignment horizontal="center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69" borderId="0" xfId="0" applyFill="1" applyAlignment="1"/>
    <xf numFmtId="0" fontId="0" fillId="69" borderId="0" xfId="0" applyFill="1"/>
    <xf numFmtId="0" fontId="92" fillId="69" borderId="0" xfId="2" applyFont="1" applyFill="1" applyBorder="1" applyAlignment="1" applyProtection="1">
      <alignment vertical="center"/>
    </xf>
    <xf numFmtId="172" fontId="92" fillId="69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0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8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26" fillId="0" borderId="60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9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4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27" fillId="0" borderId="58" xfId="0" applyNumberFormat="1" applyFont="1" applyFill="1" applyBorder="1" applyAlignment="1" applyProtection="1"/>
    <xf numFmtId="172" fontId="26" fillId="0" borderId="58" xfId="0" applyNumberFormat="1" applyFont="1" applyFill="1" applyBorder="1" applyAlignment="1" applyProtection="1">
      <alignment horizontal="center"/>
    </xf>
    <xf numFmtId="172" fontId="26" fillId="0" borderId="58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8" xfId="0" applyFont="1" applyFill="1" applyBorder="1"/>
    <xf numFmtId="172" fontId="40" fillId="0" borderId="57" xfId="1" applyNumberFormat="1" applyFont="1" applyBorder="1" applyAlignment="1">
      <alignment horizontal="center"/>
    </xf>
    <xf numFmtId="172" fontId="26" fillId="0" borderId="43" xfId="0" applyNumberFormat="1" applyFont="1" applyFill="1" applyBorder="1" applyAlignment="1" applyProtection="1"/>
    <xf numFmtId="172" fontId="128" fillId="0" borderId="57" xfId="1" applyNumberFormat="1" applyFont="1" applyBorder="1" applyAlignment="1">
      <alignment horizontal="center"/>
    </xf>
    <xf numFmtId="172" fontId="127" fillId="0" borderId="58" xfId="0" applyNumberFormat="1" applyFont="1" applyFill="1" applyBorder="1" applyAlignment="1" applyProtection="1">
      <alignment horizontal="center"/>
    </xf>
    <xf numFmtId="172" fontId="127" fillId="0" borderId="58" xfId="0" applyNumberFormat="1" applyFont="1" applyFill="1" applyBorder="1" applyAlignment="1" applyProtection="1"/>
    <xf numFmtId="172" fontId="127" fillId="0" borderId="43" xfId="0" applyNumberFormat="1" applyFont="1" applyFill="1" applyBorder="1" applyAlignment="1" applyProtection="1"/>
    <xf numFmtId="172" fontId="127" fillId="0" borderId="33" xfId="0" applyNumberFormat="1" applyFont="1" applyFill="1" applyBorder="1" applyAlignment="1" applyProtection="1"/>
    <xf numFmtId="172" fontId="127" fillId="0" borderId="55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172" fontId="88" fillId="0" borderId="57" xfId="0" applyNumberFormat="1" applyFont="1" applyFill="1" applyBorder="1" applyAlignment="1" applyProtection="1"/>
    <xf numFmtId="172" fontId="88" fillId="0" borderId="58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4" fillId="0" borderId="58" xfId="1" applyNumberFormat="1" applyFont="1" applyFill="1" applyBorder="1" applyAlignment="1" applyProtection="1"/>
    <xf numFmtId="0" fontId="89" fillId="0" borderId="58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8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7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58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>
      <alignment horizontal="center"/>
    </xf>
    <xf numFmtId="172" fontId="26" fillId="0" borderId="58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0" fontId="26" fillId="0" borderId="58" xfId="63458" applyNumberFormat="1" applyFont="1" applyFill="1" applyBorder="1" applyAlignment="1" applyProtection="1"/>
    <xf numFmtId="191" fontId="26" fillId="0" borderId="58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>
      <alignment horizontal="center"/>
    </xf>
    <xf numFmtId="172" fontId="26" fillId="0" borderId="59" xfId="1" applyNumberFormat="1" applyFont="1" applyFill="1" applyBorder="1" applyAlignment="1" applyProtection="1"/>
    <xf numFmtId="172" fontId="26" fillId="0" borderId="63" xfId="1" applyNumberFormat="1" applyFont="1" applyFill="1" applyBorder="1" applyAlignment="1" applyProtection="1"/>
    <xf numFmtId="172" fontId="26" fillId="0" borderId="65" xfId="1" applyNumberFormat="1" applyFont="1" applyFill="1" applyBorder="1" applyAlignment="1" applyProtection="1"/>
    <xf numFmtId="0" fontId="26" fillId="0" borderId="62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130" fillId="0" borderId="0" xfId="0" applyNumberFormat="1" applyFont="1" applyFill="1" applyBorder="1" applyAlignment="1" applyProtection="1">
      <alignment horizontal="center"/>
    </xf>
    <xf numFmtId="0" fontId="131" fillId="0" borderId="57" xfId="0" applyNumberFormat="1" applyFont="1" applyFill="1" applyBorder="1" applyAlignment="1" applyProtection="1"/>
    <xf numFmtId="172" fontId="92" fillId="0" borderId="11" xfId="15705" applyNumberFormat="1" applyFont="1" applyBorder="1"/>
    <xf numFmtId="0" fontId="0" fillId="0" borderId="0" xfId="0"/>
    <xf numFmtId="174" fontId="0" fillId="0" borderId="0" xfId="0" applyNumberFormat="1" applyFill="1"/>
    <xf numFmtId="10" fontId="0" fillId="62" borderId="12" xfId="63458" applyNumberFormat="1" applyFont="1" applyFill="1" applyBorder="1"/>
    <xf numFmtId="0" fontId="0" fillId="62" borderId="0" xfId="0" applyFill="1"/>
    <xf numFmtId="0" fontId="0" fillId="62" borderId="0" xfId="0" applyFill="1" applyAlignment="1">
      <alignment horizontal="center"/>
    </xf>
    <xf numFmtId="0" fontId="92" fillId="62" borderId="0" xfId="0" applyFont="1" applyFill="1" applyAlignment="1">
      <alignment horizontal="center"/>
    </xf>
    <xf numFmtId="0" fontId="92" fillId="62" borderId="0" xfId="0" applyFont="1" applyFill="1" applyAlignment="1">
      <alignment horizontal="center" wrapText="1"/>
    </xf>
    <xf numFmtId="0" fontId="92" fillId="62" borderId="12" xfId="0" applyFont="1" applyFill="1" applyBorder="1" applyAlignment="1">
      <alignment horizontal="center"/>
    </xf>
    <xf numFmtId="174" fontId="3" fillId="62" borderId="12" xfId="0" applyNumberFormat="1" applyFont="1" applyFill="1" applyBorder="1" applyAlignment="1">
      <alignment horizontal="center" wrapText="1"/>
    </xf>
    <xf numFmtId="174" fontId="0" fillId="62" borderId="0" xfId="0" applyNumberFormat="1" applyFill="1"/>
    <xf numFmtId="0" fontId="92" fillId="62" borderId="0" xfId="0" applyFont="1" applyFill="1"/>
    <xf numFmtId="174" fontId="0" fillId="62" borderId="0" xfId="0" applyNumberFormat="1" applyFill="1" applyAlignment="1">
      <alignment horizontal="center"/>
    </xf>
    <xf numFmtId="0" fontId="0" fillId="62" borderId="0" xfId="0" applyFont="1" applyFill="1"/>
    <xf numFmtId="174" fontId="4" fillId="62" borderId="0" xfId="0" applyNumberFormat="1" applyFont="1" applyFill="1"/>
    <xf numFmtId="0" fontId="4" fillId="62" borderId="0" xfId="0" applyFont="1" applyFill="1" applyAlignment="1">
      <alignment horizontal="center"/>
    </xf>
    <xf numFmtId="174" fontId="0" fillId="62" borderId="0" xfId="0" applyNumberFormat="1" applyFont="1" applyFill="1" applyAlignment="1">
      <alignment horizontal="center"/>
    </xf>
    <xf numFmtId="0" fontId="4" fillId="62" borderId="0" xfId="0" applyFont="1" applyFill="1"/>
    <xf numFmtId="174" fontId="4" fillId="62" borderId="0" xfId="0" applyNumberFormat="1" applyFont="1" applyFill="1" applyBorder="1"/>
    <xf numFmtId="174" fontId="4" fillId="62" borderId="11" xfId="0" applyNumberFormat="1" applyFont="1" applyFill="1" applyBorder="1"/>
    <xf numFmtId="174" fontId="0" fillId="62" borderId="12" xfId="0" applyNumberFormat="1" applyFill="1" applyBorder="1"/>
    <xf numFmtId="174" fontId="0" fillId="62" borderId="38" xfId="0" applyNumberFormat="1" applyFill="1" applyBorder="1"/>
    <xf numFmtId="171" fontId="0" fillId="62" borderId="0" xfId="0" applyNumberFormat="1" applyFill="1"/>
    <xf numFmtId="9" fontId="0" fillId="0" borderId="0" xfId="0" applyNumberFormat="1"/>
    <xf numFmtId="10" fontId="0" fillId="0" borderId="0" xfId="0" applyNumberFormat="1"/>
    <xf numFmtId="172" fontId="92" fillId="0" borderId="11" xfId="1" applyNumberFormat="1" applyFont="1" applyBorder="1" applyAlignment="1">
      <alignment horizontal="center"/>
    </xf>
    <xf numFmtId="0" fontId="92" fillId="0" borderId="12" xfId="15705" applyFont="1" applyBorder="1"/>
    <xf numFmtId="172" fontId="92" fillId="0" borderId="12" xfId="15705" applyNumberFormat="1" applyFont="1" applyBorder="1"/>
    <xf numFmtId="172" fontId="92" fillId="0" borderId="0" xfId="1" applyNumberFormat="1" applyFont="1"/>
    <xf numFmtId="0" fontId="92" fillId="0" borderId="0" xfId="15705" applyFont="1"/>
    <xf numFmtId="0" fontId="92" fillId="0" borderId="11" xfId="15705" applyFont="1" applyBorder="1"/>
    <xf numFmtId="172" fontId="92" fillId="0" borderId="12" xfId="1" applyNumberFormat="1" applyFont="1" applyBorder="1" applyAlignment="1">
      <alignment horizontal="center"/>
    </xf>
    <xf numFmtId="172" fontId="92" fillId="0" borderId="0" xfId="15705" applyNumberFormat="1" applyFont="1"/>
    <xf numFmtId="172" fontId="92" fillId="0" borderId="0" xfId="1" applyNumberFormat="1" applyFont="1" applyAlignment="1">
      <alignment horizontal="center"/>
    </xf>
    <xf numFmtId="174" fontId="0" fillId="62" borderId="0" xfId="0" applyNumberFormat="1" applyFill="1" applyAlignment="1">
      <alignment horizontal="center"/>
    </xf>
    <xf numFmtId="0" fontId="132" fillId="0" borderId="7" xfId="0" applyNumberFormat="1" applyFont="1" applyFill="1" applyBorder="1" applyAlignment="1" applyProtection="1">
      <alignment horizontal="left" wrapText="1"/>
    </xf>
    <xf numFmtId="0" fontId="133" fillId="0" borderId="0" xfId="0" applyNumberFormat="1" applyFont="1" applyFill="1" applyBorder="1" applyAlignment="1" applyProtection="1">
      <alignment horizontal="left"/>
    </xf>
    <xf numFmtId="172" fontId="92" fillId="0" borderId="54" xfId="15705" applyNumberFormat="1" applyFont="1" applyBorder="1"/>
    <xf numFmtId="1" fontId="5" fillId="0" borderId="0" xfId="0" applyNumberFormat="1" applyFont="1" applyFill="1" applyBorder="1" applyAlignment="1" applyProtection="1"/>
    <xf numFmtId="1" fontId="5" fillId="0" borderId="0" xfId="63459" applyNumberFormat="1" applyFont="1" applyFill="1" applyBorder="1" applyAlignment="1" applyProtection="1"/>
    <xf numFmtId="10" fontId="134" fillId="0" borderId="58" xfId="0" applyNumberFormat="1" applyFont="1" applyFill="1" applyBorder="1" applyAlignment="1" applyProtection="1"/>
    <xf numFmtId="10" fontId="134" fillId="0" borderId="33" xfId="0" applyNumberFormat="1" applyFont="1" applyFill="1" applyBorder="1" applyAlignment="1" applyProtection="1"/>
    <xf numFmtId="10" fontId="134" fillId="0" borderId="55" xfId="0" applyNumberFormat="1" applyFont="1" applyFill="1" applyBorder="1" applyAlignment="1" applyProtection="1"/>
    <xf numFmtId="172" fontId="4" fillId="0" borderId="57" xfId="1" applyNumberFormat="1" applyFont="1" applyFill="1" applyBorder="1"/>
    <xf numFmtId="172" fontId="4" fillId="0" borderId="37" xfId="1" applyNumberFormat="1" applyFont="1" applyFill="1" applyBorder="1"/>
    <xf numFmtId="172" fontId="4" fillId="0" borderId="43" xfId="1" applyNumberFormat="1" applyFont="1" applyFill="1" applyBorder="1"/>
    <xf numFmtId="172" fontId="4" fillId="0" borderId="33" xfId="1" applyNumberFormat="1" applyFont="1" applyFill="1" applyBorder="1"/>
    <xf numFmtId="172" fontId="4" fillId="0" borderId="56" xfId="1" applyNumberFormat="1" applyFont="1" applyFill="1" applyBorder="1"/>
    <xf numFmtId="172" fontId="40" fillId="0" borderId="57" xfId="1" applyNumberFormat="1" applyFont="1" applyFill="1" applyBorder="1"/>
    <xf numFmtId="10" fontId="26" fillId="71" borderId="57" xfId="0" applyNumberFormat="1" applyFont="1" applyFill="1" applyBorder="1" applyAlignment="1" applyProtection="1"/>
    <xf numFmtId="10" fontId="26" fillId="71" borderId="11" xfId="63458" applyNumberFormat="1" applyFont="1" applyFill="1" applyBorder="1" applyAlignment="1" applyProtection="1"/>
    <xf numFmtId="0" fontId="26" fillId="71" borderId="60" xfId="0" applyNumberFormat="1" applyFont="1" applyFill="1" applyBorder="1" applyAlignment="1" applyProtection="1"/>
    <xf numFmtId="172" fontId="40" fillId="0" borderId="11" xfId="1" applyNumberFormat="1" applyFont="1" applyBorder="1"/>
    <xf numFmtId="172" fontId="26" fillId="71" borderId="57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5" fontId="4" fillId="0" borderId="6" xfId="0" applyNumberFormat="1" applyFont="1" applyFill="1" applyBorder="1" applyAlignment="1" applyProtection="1"/>
    <xf numFmtId="172" fontId="4" fillId="0" borderId="33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172" fontId="26" fillId="71" borderId="58" xfId="1" applyNumberFormat="1" applyFont="1" applyFill="1" applyBorder="1" applyAlignment="1" applyProtection="1"/>
    <xf numFmtId="172" fontId="26" fillId="71" borderId="33" xfId="1" applyNumberFormat="1" applyFont="1" applyFill="1" applyBorder="1" applyAlignment="1" applyProtection="1"/>
    <xf numFmtId="172" fontId="26" fillId="71" borderId="55" xfId="1" applyNumberFormat="1" applyFont="1" applyFill="1" applyBorder="1" applyAlignment="1" applyProtection="1"/>
    <xf numFmtId="172" fontId="26" fillId="71" borderId="58" xfId="0" applyNumberFormat="1" applyFont="1" applyFill="1" applyBorder="1" applyAlignment="1" applyProtection="1"/>
    <xf numFmtId="172" fontId="26" fillId="71" borderId="43" xfId="0" applyNumberFormat="1" applyFont="1" applyFill="1" applyBorder="1" applyAlignment="1" applyProtection="1"/>
    <xf numFmtId="172" fontId="26" fillId="71" borderId="33" xfId="0" applyNumberFormat="1" applyFont="1" applyFill="1" applyBorder="1" applyAlignment="1" applyProtection="1"/>
    <xf numFmtId="172" fontId="26" fillId="71" borderId="55" xfId="0" applyNumberFormat="1" applyFont="1" applyFill="1" applyBorder="1" applyAlignment="1" applyProtection="1"/>
    <xf numFmtId="172" fontId="4" fillId="71" borderId="57" xfId="0" applyNumberFormat="1" applyFont="1" applyFill="1" applyBorder="1" applyAlignment="1" applyProtection="1"/>
    <xf numFmtId="172" fontId="4" fillId="71" borderId="43" xfId="0" applyNumberFormat="1" applyFont="1" applyFill="1" applyBorder="1" applyAlignment="1" applyProtection="1"/>
    <xf numFmtId="172" fontId="4" fillId="71" borderId="33" xfId="0" applyNumberFormat="1" applyFont="1" applyFill="1" applyBorder="1" applyAlignment="1" applyProtection="1"/>
    <xf numFmtId="172" fontId="4" fillId="71" borderId="55" xfId="0" applyNumberFormat="1" applyFont="1" applyFill="1" applyBorder="1" applyAlignment="1" applyProtection="1"/>
    <xf numFmtId="0" fontId="26" fillId="71" borderId="57" xfId="0" applyNumberFormat="1" applyFont="1" applyFill="1" applyBorder="1" applyAlignment="1" applyProtection="1"/>
    <xf numFmtId="10" fontId="26" fillId="71" borderId="10" xfId="63458" applyNumberFormat="1" applyFont="1" applyFill="1" applyBorder="1" applyAlignment="1" applyProtection="1"/>
    <xf numFmtId="172" fontId="4" fillId="0" borderId="11" xfId="1" applyNumberFormat="1" applyFont="1" applyFill="1" applyBorder="1"/>
    <xf numFmtId="0" fontId="129" fillId="71" borderId="0" xfId="0" applyNumberFormat="1" applyFont="1" applyFill="1" applyBorder="1" applyAlignment="1" applyProtection="1"/>
    <xf numFmtId="0" fontId="7" fillId="71" borderId="0" xfId="0" applyNumberFormat="1" applyFont="1" applyFill="1" applyBorder="1" applyAlignment="1" applyProtection="1"/>
    <xf numFmtId="0" fontId="6" fillId="71" borderId="0" xfId="0" applyNumberFormat="1" applyFont="1" applyFill="1" applyBorder="1" applyAlignment="1" applyProtection="1"/>
    <xf numFmtId="172" fontId="4" fillId="71" borderId="58" xfId="0" applyNumberFormat="1" applyFont="1" applyFill="1" applyBorder="1" applyAlignment="1" applyProtection="1"/>
    <xf numFmtId="10" fontId="0" fillId="71" borderId="0" xfId="0" applyNumberFormat="1" applyFill="1"/>
    <xf numFmtId="0" fontId="0" fillId="0" borderId="0" xfId="0" applyFill="1" applyAlignment="1">
      <alignment horizontal="center"/>
    </xf>
    <xf numFmtId="174" fontId="0" fillId="71" borderId="0" xfId="0" applyNumberFormat="1" applyFill="1" applyAlignment="1">
      <alignment horizontal="center"/>
    </xf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0" borderId="0" xfId="0" applyFont="1" applyFill="1" applyAlignment="1">
      <alignment horizontal="center"/>
    </xf>
  </cellXfs>
  <cellStyles count="63513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Column - IBM Cognos 3" xfId="63489"/>
    <cellStyle name="AF Data - IBM Cognos" xfId="43759"/>
    <cellStyle name="AF Data - IBM Cognos 2" xfId="43760"/>
    <cellStyle name="AF Data - IBM Cognos 3" xfId="63490"/>
    <cellStyle name="AF Data 0 - IBM Cognos" xfId="43761"/>
    <cellStyle name="AF Data 0 - IBM Cognos 2" xfId="43762"/>
    <cellStyle name="AF Data 0 - IBM Cognos 3" xfId="63462"/>
    <cellStyle name="AF Data 1 - IBM Cognos" xfId="43763"/>
    <cellStyle name="AF Data 1 - IBM Cognos 2" xfId="43764"/>
    <cellStyle name="AF Data 1 - IBM Cognos 3" xfId="63463"/>
    <cellStyle name="AF Data 2 - IBM Cognos" xfId="43765"/>
    <cellStyle name="AF Data 2 - IBM Cognos 2" xfId="43766"/>
    <cellStyle name="AF Data 2 - IBM Cognos 3" xfId="63464"/>
    <cellStyle name="AF Data 3 - IBM Cognos" xfId="43767"/>
    <cellStyle name="AF Data 3 - IBM Cognos 2" xfId="43768"/>
    <cellStyle name="AF Data 3 - IBM Cognos 3" xfId="63491"/>
    <cellStyle name="AF Data 4 - IBM Cognos" xfId="43769"/>
    <cellStyle name="AF Data 4 - IBM Cognos 2" xfId="43770"/>
    <cellStyle name="AF Data 4 - IBM Cognos 3" xfId="63492"/>
    <cellStyle name="AF Data 5 - IBM Cognos" xfId="43771"/>
    <cellStyle name="AF Data 5 - IBM Cognos 2" xfId="43772"/>
    <cellStyle name="AF Data 5 - IBM Cognos 3" xfId="63465"/>
    <cellStyle name="AF Data Leaf - IBM Cognos" xfId="43773"/>
    <cellStyle name="AF Data Leaf - IBM Cognos 2" xfId="43774"/>
    <cellStyle name="AF Data Leaf - IBM Cognos 3" xfId="63466"/>
    <cellStyle name="AF Header - IBM Cognos" xfId="43775"/>
    <cellStyle name="AF Header - IBM Cognos 2" xfId="43776"/>
    <cellStyle name="AF Header - IBM Cognos 3" xfId="63493"/>
    <cellStyle name="AF Header 0 - IBM Cognos" xfId="43777"/>
    <cellStyle name="AF Header 0 - IBM Cognos 2" xfId="43778"/>
    <cellStyle name="AF Header 0 - IBM Cognos 3" xfId="63494"/>
    <cellStyle name="AF Header 1 - IBM Cognos" xfId="43779"/>
    <cellStyle name="AF Header 1 - IBM Cognos 2" xfId="43780"/>
    <cellStyle name="AF Header 1 - IBM Cognos 3" xfId="63467"/>
    <cellStyle name="AF Header 2 - IBM Cognos" xfId="43781"/>
    <cellStyle name="AF Header 2 - IBM Cognos 2" xfId="43782"/>
    <cellStyle name="AF Header 2 - IBM Cognos 3" xfId="63495"/>
    <cellStyle name="AF Header 3 - IBM Cognos" xfId="43783"/>
    <cellStyle name="AF Header 3 - IBM Cognos 2" xfId="43784"/>
    <cellStyle name="AF Header 3 - IBM Cognos 3" xfId="63496"/>
    <cellStyle name="AF Header 4 - IBM Cognos" xfId="43785"/>
    <cellStyle name="AF Header 4 - IBM Cognos 2" xfId="43786"/>
    <cellStyle name="AF Header 4 - IBM Cognos 3" xfId="63468"/>
    <cellStyle name="AF Header 5 - IBM Cognos" xfId="43787"/>
    <cellStyle name="AF Header 5 - IBM Cognos 2" xfId="43788"/>
    <cellStyle name="AF Header 5 - IBM Cognos 3" xfId="63469"/>
    <cellStyle name="AF Header Leaf - IBM Cognos" xfId="43789"/>
    <cellStyle name="AF Header Leaf - IBM Cognos 2" xfId="43790"/>
    <cellStyle name="AF Header Leaf - IBM Cognos 3" xfId="6347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4 - IBM Cognos 3" xfId="63497"/>
    <cellStyle name="AF Row 5 - IBM Cognos" xfId="43803"/>
    <cellStyle name="AF Row 5 - IBM Cognos 2" xfId="43804"/>
    <cellStyle name="AF Row 5 - IBM Cognos 3" xfId="63498"/>
    <cellStyle name="AF Row Leaf - IBM Cognos" xfId="43805"/>
    <cellStyle name="AF Row Leaf - IBM Cognos 2" xfId="43806"/>
    <cellStyle name="AF Row Leaf - IBM Cognos 3" xfId="63471"/>
    <cellStyle name="AF Subnm - IBM Cognos" xfId="43807"/>
    <cellStyle name="AF Subnm - IBM Cognos 2" xfId="43808"/>
    <cellStyle name="AF Subnm - IBM Cognos 3" xfId="63472"/>
    <cellStyle name="AF Title - IBM Cognos" xfId="43809"/>
    <cellStyle name="AF Title - IBM Cognos 2" xfId="43810"/>
    <cellStyle name="AF Title - IBM Cognos 3" xfId="63499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- IBM Cognos 3" xfId="63473"/>
    <cellStyle name="Calculated Column Name - IBM Cognos" xfId="43818"/>
    <cellStyle name="Calculated Column Name - IBM Cognos 2" xfId="43819"/>
    <cellStyle name="Calculated Column Name - IBM Cognos 3" xfId="63500"/>
    <cellStyle name="Calculated Row - IBM Cognos" xfId="43820"/>
    <cellStyle name="Calculated Row - IBM Cognos 2" xfId="43821"/>
    <cellStyle name="Calculated Row - IBM Cognos 3" xfId="63474"/>
    <cellStyle name="Calculated Row Name - IBM Cognos" xfId="43822"/>
    <cellStyle name="Calculated Row Name - IBM Cognos 2" xfId="43823"/>
    <cellStyle name="Calculated Row Name - IBM Cognos 3" xfId="63501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Name - IBM Cognos 3" xfId="63502"/>
    <cellStyle name="Column Template - IBM Cognos" xfId="43847"/>
    <cellStyle name="Column Template - IBM Cognos 2" xfId="43848"/>
    <cellStyle name="Column Template - IBM Cognos 3" xfId="63475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10" xfId="63488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58" xfId="63460"/>
    <cellStyle name="Comma 59" xfId="6346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iffers From Base - IBM Cognos 3" xfId="63476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dit - IBM Cognos 3" xfId="63477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ormula - IBM Cognos 3" xfId="63503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Group Name - IBM Cognos 3" xfId="63504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old Values - IBM Cognos 3" xfId="63478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ist Name - IBM Cognos 3" xfId="63505"/>
    <cellStyle name="Locked - IBM Cognos" xfId="46409"/>
    <cellStyle name="Locked - IBM Cognos 2" xfId="63506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- IBM Cognos 3" xfId="63479"/>
    <cellStyle name="Measure Header - IBM Cognos" xfId="46412"/>
    <cellStyle name="Measure Header - IBM Cognos 2" xfId="46413"/>
    <cellStyle name="Measure Header - IBM Cognos 3" xfId="63480"/>
    <cellStyle name="Measure Name - IBM Cognos" xfId="46414"/>
    <cellStyle name="Measure Name - IBM Cognos 2" xfId="46415"/>
    <cellStyle name="Measure Name - IBM Cognos 3" xfId="63507"/>
    <cellStyle name="Measure Summary - IBM Cognos" xfId="46416"/>
    <cellStyle name="Measure Summary - IBM Cognos 2" xfId="46417"/>
    <cellStyle name="Measure Summary - IBM Cognos 3" xfId="63481"/>
    <cellStyle name="Measure Summary TM1 - IBM Cognos" xfId="46418"/>
    <cellStyle name="Measure Summary TM1 - IBM Cognos 2" xfId="46419"/>
    <cellStyle name="Measure Summary TM1 - IBM Cognos 3" xfId="63508"/>
    <cellStyle name="Measure Template - IBM Cognos" xfId="46420"/>
    <cellStyle name="Measure Template - IBM Cognos 2" xfId="46421"/>
    <cellStyle name="Measure Template - IBM Cognos 3" xfId="63509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ore - IBM Cognos 3" xfId="63482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nding Change - IBM Cognos 3" xfId="63483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Name - IBM Cognos 3" xfId="63484"/>
    <cellStyle name="Row Template - IBM Cognos" xfId="59571"/>
    <cellStyle name="Row Template - IBM Cognos 2" xfId="59572"/>
    <cellStyle name="Row Template - IBM Cognos 3" xfId="63510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- IBM Cognos 3" xfId="63485"/>
    <cellStyle name="Summary Column Name TM1 - IBM Cognos" xfId="61776"/>
    <cellStyle name="Summary Column Name TM1 - IBM Cognos 2" xfId="61777"/>
    <cellStyle name="Summary Column Name TM1 - IBM Cognos 3" xfId="63511"/>
    <cellStyle name="Summary Row Name - IBM Cognos" xfId="61778"/>
    <cellStyle name="Summary Row Name - IBM Cognos 2" xfId="61779"/>
    <cellStyle name="Summary Row Name - IBM Cognos 3" xfId="63486"/>
    <cellStyle name="Summary Row Name TM1 - IBM Cognos" xfId="61780"/>
    <cellStyle name="Summary Row Name TM1 - IBM Cognos 2" xfId="61781"/>
    <cellStyle name="Summary Row Name TM1 - IBM Cognos 3" xfId="63512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Unsaved Change - IBM Cognos 3" xfId="63487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 refreshError="1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 refreshError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6"/>
  <sheetViews>
    <sheetView tabSelected="1" zoomScaleNormal="100" workbookViewId="0">
      <selection activeCell="E40" sqref="E40"/>
    </sheetView>
  </sheetViews>
  <sheetFormatPr defaultColWidth="9.140625" defaultRowHeight="15"/>
  <cols>
    <col min="1" max="1" width="3.42578125" style="1" customWidth="1"/>
    <col min="2" max="2" width="50.140625" style="1" customWidth="1"/>
    <col min="3" max="3" width="17.140625" style="1" customWidth="1"/>
    <col min="4" max="4" width="19.7109375" style="1" customWidth="1"/>
    <col min="5" max="5" width="18" style="1" customWidth="1"/>
    <col min="6" max="7" width="17.28515625" style="1" bestFit="1" customWidth="1"/>
    <col min="8" max="8" width="19.7109375" style="1" customWidth="1"/>
    <col min="9" max="9" width="42.5703125" style="1" customWidth="1"/>
    <col min="10" max="10" width="42.42578125" style="1" customWidth="1"/>
    <col min="11" max="16384" width="9.140625" style="1"/>
  </cols>
  <sheetData>
    <row r="1" spans="2:10" ht="34.5" customHeight="1">
      <c r="B1" s="219" t="s">
        <v>150</v>
      </c>
      <c r="C1" s="220"/>
      <c r="D1" s="221"/>
      <c r="E1" s="221"/>
      <c r="F1" s="221"/>
      <c r="G1" s="221"/>
      <c r="H1" s="221"/>
      <c r="I1" s="221"/>
    </row>
    <row r="2" spans="2:10" ht="15.75" thickBot="1">
      <c r="B2" s="69"/>
      <c r="C2" s="69"/>
      <c r="D2" s="70"/>
      <c r="E2" s="70"/>
      <c r="F2" s="70"/>
      <c r="G2" s="70"/>
      <c r="H2" s="70"/>
      <c r="I2" s="71"/>
    </row>
    <row r="3" spans="2:10">
      <c r="B3" s="72"/>
      <c r="C3" s="73" t="s">
        <v>21</v>
      </c>
      <c r="D3" s="74" t="s">
        <v>10</v>
      </c>
      <c r="E3" s="226" t="s">
        <v>20</v>
      </c>
      <c r="F3" s="227"/>
      <c r="G3" s="227"/>
      <c r="H3" s="228"/>
      <c r="I3" s="75"/>
    </row>
    <row r="4" spans="2:10" ht="15.75" thickBot="1">
      <c r="B4" s="76" t="s">
        <v>0</v>
      </c>
      <c r="C4" s="76" t="s">
        <v>19</v>
      </c>
      <c r="D4" s="77" t="s">
        <v>5</v>
      </c>
      <c r="E4" s="78" t="s">
        <v>6</v>
      </c>
      <c r="F4" s="79" t="s">
        <v>7</v>
      </c>
      <c r="G4" s="79" t="s">
        <v>8</v>
      </c>
      <c r="H4" s="80" t="s">
        <v>9</v>
      </c>
      <c r="I4" s="77" t="s">
        <v>117</v>
      </c>
      <c r="J4" s="143"/>
    </row>
    <row r="5" spans="2:10">
      <c r="B5" s="81" t="s">
        <v>111</v>
      </c>
      <c r="C5" s="82"/>
      <c r="D5" s="68"/>
      <c r="E5" s="82"/>
      <c r="F5" s="83"/>
      <c r="G5" s="83"/>
      <c r="H5" s="84"/>
      <c r="I5" s="68"/>
    </row>
    <row r="6" spans="2:10">
      <c r="B6" s="82" t="s">
        <v>11</v>
      </c>
      <c r="C6" s="85" t="s">
        <v>18</v>
      </c>
      <c r="D6" s="86">
        <f>+SUM(E6:H6)</f>
        <v>2614964903.4899998</v>
      </c>
      <c r="E6" s="199">
        <v>494866318.72000003</v>
      </c>
      <c r="F6" s="200">
        <v>443298237.44999999</v>
      </c>
      <c r="G6" s="200">
        <v>755915625.52999997</v>
      </c>
      <c r="H6" s="201">
        <v>920884721.78999996</v>
      </c>
      <c r="I6" s="68" t="s">
        <v>10</v>
      </c>
      <c r="J6" s="142"/>
    </row>
    <row r="7" spans="2:10">
      <c r="B7" s="87" t="s">
        <v>23</v>
      </c>
      <c r="C7" s="88" t="s">
        <v>18</v>
      </c>
      <c r="D7" s="86">
        <f>+SUM(E7:H7)</f>
        <v>535447023.31000006</v>
      </c>
      <c r="E7" s="199">
        <v>114566462.37</v>
      </c>
      <c r="F7" s="89">
        <v>78166702.930000007</v>
      </c>
      <c r="G7" s="89">
        <v>134161788.79000001</v>
      </c>
      <c r="H7" s="90">
        <v>208552069.22</v>
      </c>
      <c r="I7" s="68" t="s">
        <v>10</v>
      </c>
    </row>
    <row r="8" spans="2:10">
      <c r="B8" s="87" t="s">
        <v>99</v>
      </c>
      <c r="C8" s="88" t="s">
        <v>18</v>
      </c>
      <c r="D8" s="112">
        <f>+SUM(E8:H8)</f>
        <v>25505673.149999991</v>
      </c>
      <c r="E8" s="202">
        <v>4908677.6399999913</v>
      </c>
      <c r="F8" s="203">
        <f>4370735-1378922.49+262320</f>
        <v>3254132.51</v>
      </c>
      <c r="G8" s="203">
        <f>4701000</f>
        <v>4701000</v>
      </c>
      <c r="H8" s="204">
        <f>13103000+84384-545521</f>
        <v>12641863</v>
      </c>
      <c r="I8" s="180"/>
      <c r="J8" s="181"/>
    </row>
    <row r="9" spans="2:10">
      <c r="B9" s="87" t="s">
        <v>10</v>
      </c>
      <c r="C9" s="88"/>
      <c r="D9" s="66"/>
      <c r="E9" s="87"/>
      <c r="F9" s="91"/>
      <c r="G9" s="91"/>
      <c r="H9" s="67"/>
      <c r="I9" s="66"/>
    </row>
    <row r="10" spans="2:10">
      <c r="B10" s="92" t="s">
        <v>148</v>
      </c>
      <c r="C10" s="88"/>
      <c r="D10" s="66"/>
      <c r="E10" s="185">
        <v>0.245378757</v>
      </c>
      <c r="F10" s="186">
        <v>0.13343946330000001</v>
      </c>
      <c r="G10" s="186">
        <v>0.2406638663</v>
      </c>
      <c r="H10" s="187">
        <v>0.38051791340000002</v>
      </c>
      <c r="I10" s="66"/>
    </row>
    <row r="11" spans="2:10" hidden="1">
      <c r="B11" s="87" t="s">
        <v>109</v>
      </c>
      <c r="C11" s="93" t="s">
        <v>18</v>
      </c>
      <c r="D11" s="86">
        <f>+SUM(E11:H11)</f>
        <v>0</v>
      </c>
      <c r="E11" s="94">
        <v>0</v>
      </c>
      <c r="F11" s="89">
        <v>0</v>
      </c>
      <c r="G11" s="89">
        <v>0</v>
      </c>
      <c r="H11" s="90">
        <v>0</v>
      </c>
      <c r="I11" s="68" t="s">
        <v>10</v>
      </c>
    </row>
    <row r="12" spans="2:10" hidden="1">
      <c r="B12" s="92"/>
      <c r="C12" s="88"/>
      <c r="D12" s="66"/>
      <c r="E12" s="95"/>
      <c r="F12" s="96"/>
      <c r="G12" s="91"/>
      <c r="H12" s="95"/>
      <c r="I12" s="65"/>
    </row>
    <row r="13" spans="2:10">
      <c r="B13" s="92" t="s">
        <v>112</v>
      </c>
      <c r="C13" s="88"/>
      <c r="D13" s="194">
        <f>SUM(E13:H13)</f>
        <v>1</v>
      </c>
      <c r="E13" s="195">
        <v>0.23439487596069178</v>
      </c>
      <c r="F13" s="217">
        <v>0.13709030064682498</v>
      </c>
      <c r="G13" s="217">
        <v>0.2545914626339395</v>
      </c>
      <c r="H13" s="195">
        <v>0.37392336075854371</v>
      </c>
      <c r="I13" s="196" t="s">
        <v>149</v>
      </c>
    </row>
    <row r="14" spans="2:10">
      <c r="B14" s="97" t="s">
        <v>24</v>
      </c>
      <c r="C14" s="98" t="s">
        <v>22</v>
      </c>
      <c r="D14" s="188">
        <v>54422773.858256958</v>
      </c>
      <c r="E14" s="197">
        <f>E$13*$D14</f>
        <v>12756419.327942919</v>
      </c>
      <c r="F14" s="190">
        <f t="shared" ref="F14:H20" si="0">F$13*$D14</f>
        <v>7460834.4302626131</v>
      </c>
      <c r="G14" s="191">
        <f t="shared" si="0"/>
        <v>13855573.597169766</v>
      </c>
      <c r="H14" s="218">
        <f t="shared" si="0"/>
        <v>20349946.502881657</v>
      </c>
      <c r="I14" s="66" t="s">
        <v>10</v>
      </c>
    </row>
    <row r="15" spans="2:10">
      <c r="B15" s="97" t="s">
        <v>25</v>
      </c>
      <c r="C15" s="98" t="s">
        <v>22</v>
      </c>
      <c r="D15" s="193">
        <v>32782854.231088944</v>
      </c>
      <c r="E15" s="189">
        <f t="shared" ref="E15:E20" si="1">E$13*$D15</f>
        <v>7684133.051133533</v>
      </c>
      <c r="F15" s="190">
        <f t="shared" si="0"/>
        <v>4494211.3426010218</v>
      </c>
      <c r="G15" s="191">
        <f t="shared" si="0"/>
        <v>8346234.808008166</v>
      </c>
      <c r="H15" s="218">
        <f t="shared" si="0"/>
        <v>12258275.029346222</v>
      </c>
      <c r="I15" s="66" t="s">
        <v>10</v>
      </c>
    </row>
    <row r="16" spans="2:10">
      <c r="B16" s="97" t="s">
        <v>26</v>
      </c>
      <c r="C16" s="98" t="s">
        <v>22</v>
      </c>
      <c r="D16" s="193">
        <v>37049228.14489989</v>
      </c>
      <c r="E16" s="189">
        <f t="shared" si="1"/>
        <v>8684149.2354631796</v>
      </c>
      <c r="F16" s="190">
        <f t="shared" si="0"/>
        <v>5079089.8251171354</v>
      </c>
      <c r="G16" s="191">
        <f t="shared" si="0"/>
        <v>9432417.1828685794</v>
      </c>
      <c r="H16" s="218">
        <f t="shared" si="0"/>
        <v>13853571.901450993</v>
      </c>
      <c r="I16" s="66" t="s">
        <v>10</v>
      </c>
    </row>
    <row r="17" spans="2:10">
      <c r="B17" s="97" t="s">
        <v>27</v>
      </c>
      <c r="C17" s="98" t="s">
        <v>22</v>
      </c>
      <c r="D17" s="193">
        <v>3024349.2928093611</v>
      </c>
      <c r="E17" s="189">
        <f t="shared" si="1"/>
        <v>708891.97734985605</v>
      </c>
      <c r="F17" s="190">
        <f t="shared" si="0"/>
        <v>414608.95381224784</v>
      </c>
      <c r="G17" s="191">
        <f t="shared" si="0"/>
        <v>769973.50997225579</v>
      </c>
      <c r="H17" s="218">
        <f t="shared" si="0"/>
        <v>1130874.8516750012</v>
      </c>
      <c r="I17" s="66" t="s">
        <v>10</v>
      </c>
    </row>
    <row r="18" spans="2:10">
      <c r="B18" s="97" t="s">
        <v>28</v>
      </c>
      <c r="C18" s="98" t="s">
        <v>22</v>
      </c>
      <c r="D18" s="188">
        <v>101136767.59739834</v>
      </c>
      <c r="E18" s="189">
        <f t="shared" si="1"/>
        <v>23705940.096057497</v>
      </c>
      <c r="F18" s="190">
        <f t="shared" si="0"/>
        <v>13864869.876375405</v>
      </c>
      <c r="G18" s="191">
        <f t="shared" si="0"/>
        <v>25748557.588690463</v>
      </c>
      <c r="H18" s="218">
        <f t="shared" si="0"/>
        <v>37817400.036274977</v>
      </c>
      <c r="I18" s="66" t="s">
        <v>10</v>
      </c>
    </row>
    <row r="19" spans="2:10">
      <c r="B19" s="97" t="s">
        <v>29</v>
      </c>
      <c r="C19" s="98" t="s">
        <v>22</v>
      </c>
      <c r="D19" s="193">
        <v>3641978.8755465164</v>
      </c>
      <c r="E19" s="189">
        <f t="shared" si="1"/>
        <v>853661.18678518548</v>
      </c>
      <c r="F19" s="190">
        <f t="shared" si="0"/>
        <v>499279.97899805749</v>
      </c>
      <c r="G19" s="191">
        <f t="shared" si="0"/>
        <v>927216.72880729788</v>
      </c>
      <c r="H19" s="218">
        <f t="shared" si="0"/>
        <v>1361820.9809559754</v>
      </c>
      <c r="I19" s="66" t="s">
        <v>10</v>
      </c>
    </row>
    <row r="20" spans="2:10">
      <c r="B20" s="87" t="s">
        <v>107</v>
      </c>
      <c r="C20" s="88" t="s">
        <v>22</v>
      </c>
      <c r="D20" s="86">
        <v>24020161</v>
      </c>
      <c r="E20" s="189">
        <f t="shared" si="1"/>
        <v>5630202.6581508461</v>
      </c>
      <c r="F20" s="190">
        <f t="shared" si="0"/>
        <v>3292931.0930751404</v>
      </c>
      <c r="G20" s="191">
        <f t="shared" si="0"/>
        <v>6115327.9216927113</v>
      </c>
      <c r="H20" s="192">
        <f t="shared" si="0"/>
        <v>8981699.3270813022</v>
      </c>
      <c r="I20" s="66" t="s">
        <v>10</v>
      </c>
      <c r="J20" s="184"/>
    </row>
    <row r="21" spans="2:10">
      <c r="B21" s="92" t="s">
        <v>113</v>
      </c>
      <c r="C21" s="100" t="s">
        <v>10</v>
      </c>
      <c r="D21" s="101">
        <f>+SUM(D14:D20)</f>
        <v>256078113</v>
      </c>
      <c r="E21" s="102">
        <f t="shared" ref="E21:H21" si="2">+SUM(E14:E20)</f>
        <v>60023397.532883011</v>
      </c>
      <c r="F21" s="103">
        <f t="shared" si="2"/>
        <v>35105825.500241622</v>
      </c>
      <c r="G21" s="104">
        <f t="shared" si="2"/>
        <v>65195301.337209247</v>
      </c>
      <c r="H21" s="105">
        <f t="shared" si="2"/>
        <v>95753588.629666135</v>
      </c>
      <c r="I21" s="66" t="s">
        <v>10</v>
      </c>
      <c r="J21" s="183"/>
    </row>
    <row r="22" spans="2:10">
      <c r="B22" s="87" t="s">
        <v>10</v>
      </c>
      <c r="C22" s="88"/>
      <c r="D22" s="66"/>
      <c r="E22" s="87"/>
      <c r="F22" s="96"/>
      <c r="G22" s="91"/>
      <c r="H22" s="67"/>
      <c r="I22" s="66" t="s">
        <v>10</v>
      </c>
    </row>
    <row r="23" spans="2:10">
      <c r="B23" s="92" t="s">
        <v>114</v>
      </c>
      <c r="C23" s="106" t="s">
        <v>115</v>
      </c>
      <c r="D23" s="107">
        <f>+D21+D11</f>
        <v>256078113</v>
      </c>
      <c r="E23" s="108">
        <f t="shared" ref="E23:H23" si="3">+E21+E11</f>
        <v>60023397.532883011</v>
      </c>
      <c r="F23" s="109">
        <f t="shared" si="3"/>
        <v>35105825.500241622</v>
      </c>
      <c r="G23" s="110">
        <f t="shared" si="3"/>
        <v>65195301.337209247</v>
      </c>
      <c r="H23" s="111">
        <f t="shared" si="3"/>
        <v>95753588.629666135</v>
      </c>
      <c r="I23" s="66" t="s">
        <v>10</v>
      </c>
    </row>
    <row r="24" spans="2:10">
      <c r="B24" s="87"/>
      <c r="C24" s="88"/>
      <c r="D24" s="86" t="s">
        <v>10</v>
      </c>
      <c r="E24" s="87"/>
      <c r="F24" s="96"/>
      <c r="G24" s="91"/>
      <c r="H24" s="67"/>
      <c r="I24" s="66"/>
    </row>
    <row r="25" spans="2:10">
      <c r="B25" s="87"/>
      <c r="C25" s="88"/>
      <c r="D25" s="86" t="s">
        <v>10</v>
      </c>
      <c r="E25" s="87"/>
      <c r="F25" s="96"/>
      <c r="G25" s="91"/>
      <c r="H25" s="67"/>
      <c r="I25" s="66"/>
    </row>
    <row r="26" spans="2:10">
      <c r="B26" s="141" t="s">
        <v>116</v>
      </c>
      <c r="C26" s="88"/>
      <c r="D26" s="66"/>
      <c r="E26" s="87"/>
      <c r="F26" s="96"/>
      <c r="G26" s="91"/>
      <c r="H26" s="67"/>
      <c r="I26" s="66"/>
    </row>
    <row r="27" spans="2:10">
      <c r="B27" s="87" t="s">
        <v>94</v>
      </c>
      <c r="C27" s="88" t="s">
        <v>18</v>
      </c>
      <c r="D27" s="86">
        <f>+SUM(E27:H27)</f>
        <v>2496792328</v>
      </c>
      <c r="E27" s="94">
        <v>461744377</v>
      </c>
      <c r="F27" s="99">
        <v>360856268</v>
      </c>
      <c r="G27" s="89">
        <v>689121178</v>
      </c>
      <c r="H27" s="90">
        <v>985070505</v>
      </c>
      <c r="I27" s="66" t="s">
        <v>10</v>
      </c>
    </row>
    <row r="28" spans="2:10">
      <c r="B28" s="92" t="s">
        <v>1</v>
      </c>
      <c r="C28" s="88"/>
      <c r="D28" s="86"/>
      <c r="E28" s="94"/>
      <c r="F28" s="99"/>
      <c r="G28" s="89"/>
      <c r="H28" s="90"/>
      <c r="I28" s="66"/>
    </row>
    <row r="29" spans="2:10">
      <c r="B29" s="87" t="s">
        <v>93</v>
      </c>
      <c r="C29" s="88" t="s">
        <v>18</v>
      </c>
      <c r="D29" s="112">
        <f>+SUM(E29:H29)</f>
        <v>304197741</v>
      </c>
      <c r="E29" s="94">
        <v>43812267</v>
      </c>
      <c r="F29" s="99">
        <v>36276670</v>
      </c>
      <c r="G29" s="89">
        <v>89398920</v>
      </c>
      <c r="H29" s="90">
        <v>134709884</v>
      </c>
      <c r="I29" s="144" t="s">
        <v>10</v>
      </c>
    </row>
    <row r="30" spans="2:10">
      <c r="B30" s="92" t="s">
        <v>2</v>
      </c>
      <c r="C30" s="88"/>
      <c r="D30" s="112" t="s">
        <v>100</v>
      </c>
      <c r="E30" s="87"/>
      <c r="F30" s="91"/>
      <c r="G30" s="91"/>
      <c r="H30" s="67"/>
      <c r="I30" s="66"/>
    </row>
    <row r="31" spans="2:10">
      <c r="B31" s="87" t="s">
        <v>95</v>
      </c>
      <c r="C31" s="93" t="s">
        <v>22</v>
      </c>
      <c r="D31" s="112">
        <v>57924202</v>
      </c>
      <c r="E31" s="94">
        <f>+D31*0.183</f>
        <v>10600128.966</v>
      </c>
      <c r="F31" s="99">
        <f>+D31*0.152</f>
        <v>8804478.7039999999</v>
      </c>
      <c r="G31" s="89">
        <f>+D31*0.281</f>
        <v>16276700.762000002</v>
      </c>
      <c r="H31" s="90">
        <f>+D31*0.384</f>
        <v>22242893.568</v>
      </c>
      <c r="I31" s="66" t="s">
        <v>10</v>
      </c>
    </row>
    <row r="32" spans="2:10">
      <c r="B32" s="87" t="s">
        <v>98</v>
      </c>
      <c r="C32" s="93" t="s">
        <v>22</v>
      </c>
      <c r="D32" s="112">
        <f>22407124-17174112</f>
        <v>5233012</v>
      </c>
      <c r="E32" s="94">
        <f>+D32*0.183</f>
        <v>957641.196</v>
      </c>
      <c r="F32" s="99">
        <f>+D32*0.152</f>
        <v>795417.82400000002</v>
      </c>
      <c r="G32" s="89">
        <f>+D32*0.281</f>
        <v>1470476.3720000002</v>
      </c>
      <c r="H32" s="90">
        <f>+D32*0.384</f>
        <v>2009476.608</v>
      </c>
      <c r="I32" s="66" t="s">
        <v>10</v>
      </c>
    </row>
    <row r="33" spans="2:9">
      <c r="B33" s="92" t="s">
        <v>96</v>
      </c>
      <c r="C33" s="88"/>
      <c r="D33" s="86" t="s">
        <v>100</v>
      </c>
      <c r="E33" s="114"/>
      <c r="F33" s="115"/>
      <c r="G33" s="115"/>
      <c r="H33" s="116"/>
      <c r="I33" s="66"/>
    </row>
    <row r="34" spans="2:9">
      <c r="B34" s="87" t="s">
        <v>93</v>
      </c>
      <c r="C34" s="88" t="s">
        <v>18</v>
      </c>
      <c r="D34" s="86">
        <f>+SUM(E34:H34)</f>
        <v>92007358</v>
      </c>
      <c r="E34" s="113">
        <v>16034721</v>
      </c>
      <c r="F34" s="99">
        <v>14646811</v>
      </c>
      <c r="G34" s="89">
        <v>25601175</v>
      </c>
      <c r="H34" s="90">
        <v>35724651</v>
      </c>
      <c r="I34" s="66"/>
    </row>
    <row r="35" spans="2:9">
      <c r="B35" s="92" t="s">
        <v>97</v>
      </c>
      <c r="C35" s="93"/>
      <c r="D35" s="86" t="s">
        <v>100</v>
      </c>
      <c r="E35" s="117" t="s">
        <v>100</v>
      </c>
      <c r="F35" s="118"/>
      <c r="G35" s="118"/>
      <c r="H35" s="119"/>
      <c r="I35" s="66"/>
    </row>
    <row r="36" spans="2:9">
      <c r="B36" s="87" t="s">
        <v>95</v>
      </c>
      <c r="C36" s="88" t="s">
        <v>22</v>
      </c>
      <c r="D36" s="86">
        <f t="shared" ref="D36:D38" si="4">+SUM(E36:H36)</f>
        <v>31376299.600000001</v>
      </c>
      <c r="E36" s="117">
        <f>6935435</f>
        <v>6935435</v>
      </c>
      <c r="F36" s="99">
        <v>2162773</v>
      </c>
      <c r="G36" s="89">
        <v>7411051.2999999998</v>
      </c>
      <c r="H36" s="90">
        <v>14867040.300000001</v>
      </c>
      <c r="I36" s="66" t="s">
        <v>10</v>
      </c>
    </row>
    <row r="37" spans="2:9">
      <c r="B37" s="87"/>
      <c r="C37" s="88"/>
      <c r="D37" s="86"/>
      <c r="E37" s="117"/>
      <c r="F37" s="99"/>
      <c r="G37" s="89"/>
      <c r="H37" s="90"/>
      <c r="I37" s="66"/>
    </row>
    <row r="38" spans="2:9">
      <c r="B38" s="87" t="s">
        <v>3</v>
      </c>
      <c r="C38" s="93" t="s">
        <v>18</v>
      </c>
      <c r="D38" s="86">
        <f t="shared" si="4"/>
        <v>7163199</v>
      </c>
      <c r="E38" s="113">
        <f>2395404</f>
        <v>2395404</v>
      </c>
      <c r="F38" s="99">
        <f>739320</f>
        <v>739320</v>
      </c>
      <c r="G38" s="89">
        <v>1656091</v>
      </c>
      <c r="H38" s="90">
        <f>2372384</f>
        <v>2372384</v>
      </c>
      <c r="I38" s="66"/>
    </row>
    <row r="39" spans="2:9">
      <c r="B39" s="87" t="s">
        <v>10</v>
      </c>
      <c r="C39" s="93"/>
      <c r="D39" s="120"/>
      <c r="E39" s="113"/>
      <c r="F39" s="121"/>
      <c r="G39" s="121"/>
      <c r="H39" s="122"/>
      <c r="I39" s="66"/>
    </row>
    <row r="40" spans="2:9">
      <c r="B40" s="87" t="s">
        <v>12</v>
      </c>
      <c r="C40" s="88"/>
      <c r="D40" s="86">
        <f t="shared" ref="D40:D41" si="5">+SUM(E40:H40)</f>
        <v>17477371</v>
      </c>
      <c r="E40" s="113">
        <v>6743683</v>
      </c>
      <c r="F40" s="99">
        <v>380760</v>
      </c>
      <c r="G40" s="89">
        <v>6328097</v>
      </c>
      <c r="H40" s="90">
        <v>4024831</v>
      </c>
      <c r="I40" s="66"/>
    </row>
    <row r="41" spans="2:9">
      <c r="B41" s="87" t="s">
        <v>4</v>
      </c>
      <c r="C41" s="88" t="s">
        <v>18</v>
      </c>
      <c r="D41" s="86">
        <f t="shared" si="5"/>
        <v>63392161</v>
      </c>
      <c r="E41" s="113">
        <v>5996189</v>
      </c>
      <c r="F41" s="99">
        <v>9416961</v>
      </c>
      <c r="G41" s="89">
        <v>4662297</v>
      </c>
      <c r="H41" s="90">
        <v>43316714</v>
      </c>
      <c r="I41" s="66"/>
    </row>
    <row r="42" spans="2:9">
      <c r="B42" s="87"/>
      <c r="C42" s="88"/>
      <c r="D42" s="86" t="s">
        <v>10</v>
      </c>
      <c r="E42" s="94" t="s">
        <v>10</v>
      </c>
      <c r="F42" s="99" t="s">
        <v>10</v>
      </c>
      <c r="G42" s="89" t="s">
        <v>10</v>
      </c>
      <c r="H42" s="90" t="s">
        <v>10</v>
      </c>
      <c r="I42" s="66"/>
    </row>
    <row r="43" spans="2:9">
      <c r="B43" s="87" t="s">
        <v>13</v>
      </c>
      <c r="C43" s="93" t="s">
        <v>10</v>
      </c>
      <c r="D43" s="86">
        <f>+D27+D29+D31+D32-D34-D36-D38-D40-D41</f>
        <v>2652730894.4000001</v>
      </c>
      <c r="E43" s="94">
        <f>+E27+E29+E31+E32-E34-E36-E38-E40-E41</f>
        <v>479008982.162</v>
      </c>
      <c r="F43" s="99">
        <f t="shared" ref="F43:H43" si="6">+F27+F29+F31+F32-F34-F36-F38-F40-F41</f>
        <v>379386209.528</v>
      </c>
      <c r="G43" s="89">
        <f t="shared" si="6"/>
        <v>750608563.83399999</v>
      </c>
      <c r="H43" s="90">
        <f t="shared" si="6"/>
        <v>1043727138.8760002</v>
      </c>
      <c r="I43" s="66" t="s">
        <v>10</v>
      </c>
    </row>
    <row r="44" spans="2:9">
      <c r="B44" s="87"/>
      <c r="C44" s="88"/>
      <c r="D44" s="86"/>
      <c r="E44" s="94"/>
      <c r="F44" s="99"/>
      <c r="G44" s="89"/>
      <c r="H44" s="90"/>
      <c r="I44" s="66"/>
    </row>
    <row r="45" spans="2:9">
      <c r="B45" s="87" t="s">
        <v>14</v>
      </c>
      <c r="C45" s="88"/>
      <c r="D45" s="86">
        <f t="shared" ref="D45:H45" si="7">AVERAGE(D27,D43)</f>
        <v>2574761611.1999998</v>
      </c>
      <c r="E45" s="94">
        <f t="shared" si="7"/>
        <v>470376679.58099997</v>
      </c>
      <c r="F45" s="99">
        <f t="shared" si="7"/>
        <v>370121238.764</v>
      </c>
      <c r="G45" s="89">
        <f t="shared" si="7"/>
        <v>719864870.91700006</v>
      </c>
      <c r="H45" s="90">
        <f t="shared" si="7"/>
        <v>1014398821.9380001</v>
      </c>
      <c r="I45" s="66" t="s">
        <v>10</v>
      </c>
    </row>
    <row r="46" spans="2:9">
      <c r="B46" s="87"/>
      <c r="C46" s="88" t="s">
        <v>10</v>
      </c>
      <c r="D46" s="86"/>
      <c r="E46" s="94"/>
      <c r="F46" s="99"/>
      <c r="G46" s="89"/>
      <c r="H46" s="90"/>
      <c r="I46" s="66"/>
    </row>
    <row r="47" spans="2:9">
      <c r="B47" s="87" t="s">
        <v>15</v>
      </c>
      <c r="C47" s="88"/>
      <c r="D47" s="123" t="s">
        <v>10</v>
      </c>
      <c r="E47" s="124">
        <v>0.12</v>
      </c>
      <c r="F47" s="125">
        <v>0.13</v>
      </c>
      <c r="G47" s="126">
        <v>0.13500000000000001</v>
      </c>
      <c r="H47" s="127">
        <v>7.4999999999999997E-2</v>
      </c>
      <c r="I47" s="66"/>
    </row>
    <row r="48" spans="2:9">
      <c r="B48" s="87" t="s">
        <v>16</v>
      </c>
      <c r="C48" s="88"/>
      <c r="D48" s="198">
        <f>+SUM(E48:H48)</f>
        <v>315877142.54242557</v>
      </c>
      <c r="E48" s="208">
        <f>+(E6+E23)*E47</f>
        <v>66586765.950345963</v>
      </c>
      <c r="F48" s="209">
        <f t="shared" ref="F48:H48" si="8">+(F6+F23)*F47</f>
        <v>62192528.183531411</v>
      </c>
      <c r="G48" s="210">
        <f t="shared" si="8"/>
        <v>110849975.12707324</v>
      </c>
      <c r="H48" s="211">
        <f t="shared" si="8"/>
        <v>76247873.281474948</v>
      </c>
      <c r="I48" s="216" t="s">
        <v>151</v>
      </c>
    </row>
    <row r="49" spans="2:9">
      <c r="B49" s="87"/>
      <c r="C49" s="88"/>
      <c r="D49" s="86"/>
      <c r="E49" s="94"/>
      <c r="F49" s="99"/>
      <c r="G49" s="89"/>
      <c r="H49" s="90"/>
      <c r="I49" s="66"/>
    </row>
    <row r="50" spans="2:9">
      <c r="B50" s="128" t="s">
        <v>17</v>
      </c>
      <c r="C50" s="129"/>
      <c r="D50" s="198">
        <f t="shared" ref="D50:H50" si="9">D45+D48</f>
        <v>2890638753.7424254</v>
      </c>
      <c r="E50" s="208">
        <f>E45+E48</f>
        <v>536963445.53134596</v>
      </c>
      <c r="F50" s="209">
        <f t="shared" si="9"/>
        <v>432313766.9475314</v>
      </c>
      <c r="G50" s="210">
        <f t="shared" si="9"/>
        <v>830714846.04407334</v>
      </c>
      <c r="H50" s="211">
        <f t="shared" si="9"/>
        <v>1090646695.219475</v>
      </c>
      <c r="I50" s="196" t="s">
        <v>152</v>
      </c>
    </row>
    <row r="51" spans="2:9">
      <c r="B51" s="87"/>
      <c r="C51" s="88"/>
      <c r="D51" s="86"/>
      <c r="E51" s="94"/>
      <c r="F51" s="99"/>
      <c r="G51" s="89"/>
      <c r="H51" s="90"/>
      <c r="I51" s="66"/>
    </row>
    <row r="52" spans="2:9">
      <c r="B52" s="87" t="s">
        <v>108</v>
      </c>
      <c r="C52" s="88"/>
      <c r="D52" s="86">
        <f>+SUM(E52:H52)</f>
        <v>174327726.86000001</v>
      </c>
      <c r="E52" s="94">
        <f t="shared" ref="E52:H52" si="10">+E7+E8-E23-E34-E36-E38</f>
        <v>34086182.47711698</v>
      </c>
      <c r="F52" s="99">
        <f t="shared" si="10"/>
        <v>28766105.93975839</v>
      </c>
      <c r="G52" s="89">
        <f t="shared" si="10"/>
        <v>38999170.15279077</v>
      </c>
      <c r="H52" s="90">
        <f t="shared" si="10"/>
        <v>72476268.290333867</v>
      </c>
      <c r="I52" s="66" t="s">
        <v>10</v>
      </c>
    </row>
    <row r="53" spans="2:9">
      <c r="B53" s="87"/>
      <c r="C53" s="88"/>
      <c r="D53" s="86" t="s">
        <v>10</v>
      </c>
      <c r="E53" s="94" t="s">
        <v>10</v>
      </c>
      <c r="F53" s="99"/>
      <c r="G53" s="89"/>
      <c r="H53" s="90"/>
      <c r="I53" s="66"/>
    </row>
    <row r="54" spans="2:9">
      <c r="B54" s="87" t="s">
        <v>105</v>
      </c>
      <c r="C54" s="88"/>
      <c r="D54" s="205">
        <f>+SUM(E54:H54)</f>
        <v>75316895.529942721</v>
      </c>
      <c r="E54" s="205">
        <f>+'Table 2 COC'!P12</f>
        <v>11384174.251476627</v>
      </c>
      <c r="F54" s="206">
        <f>+'Table 2 COC'!P63</f>
        <v>15075679.340460354</v>
      </c>
      <c r="G54" s="206">
        <f>+'Table 2 COC'!P46</f>
        <v>24376363.527941924</v>
      </c>
      <c r="H54" s="207">
        <f>+'Table 2 COC'!P29</f>
        <v>24480678.410063818</v>
      </c>
      <c r="I54" s="196" t="s">
        <v>153</v>
      </c>
    </row>
    <row r="55" spans="2:9">
      <c r="B55" s="87"/>
      <c r="C55" s="88"/>
      <c r="D55" s="130"/>
      <c r="E55" s="130"/>
      <c r="F55" s="131"/>
      <c r="G55" s="131"/>
      <c r="H55" s="132"/>
      <c r="I55" s="66"/>
    </row>
    <row r="56" spans="2:9">
      <c r="B56" s="87" t="s">
        <v>102</v>
      </c>
      <c r="C56" s="88"/>
      <c r="D56" s="94">
        <f t="shared" ref="D56:H56" si="11">+D52-D54</f>
        <v>99010831.330057293</v>
      </c>
      <c r="E56" s="94">
        <f t="shared" si="11"/>
        <v>22702008.225640353</v>
      </c>
      <c r="F56" s="131">
        <f t="shared" si="11"/>
        <v>13690426.599298036</v>
      </c>
      <c r="G56" s="131">
        <f t="shared" si="11"/>
        <v>14622806.624848846</v>
      </c>
      <c r="H56" s="132">
        <f t="shared" si="11"/>
        <v>47995589.880270049</v>
      </c>
      <c r="I56" s="66"/>
    </row>
    <row r="57" spans="2:9">
      <c r="B57" s="87"/>
      <c r="C57" s="88"/>
      <c r="D57" s="87"/>
      <c r="E57" s="94"/>
      <c r="F57" s="96"/>
      <c r="G57" s="91"/>
      <c r="H57" s="67"/>
      <c r="I57" s="66"/>
    </row>
    <row r="58" spans="2:9">
      <c r="B58" s="87" t="s">
        <v>103</v>
      </c>
      <c r="C58" s="88"/>
      <c r="D58" s="94">
        <f>+SUM(E58:H58)</f>
        <v>-57048</v>
      </c>
      <c r="E58" s="130">
        <v>-57048</v>
      </c>
      <c r="F58" s="131">
        <v>0</v>
      </c>
      <c r="G58" s="131">
        <v>0</v>
      </c>
      <c r="H58" s="132">
        <v>0</v>
      </c>
      <c r="I58" s="66" t="s">
        <v>10</v>
      </c>
    </row>
    <row r="59" spans="2:9">
      <c r="B59" s="87"/>
      <c r="C59" s="88"/>
      <c r="D59" s="87"/>
      <c r="E59" s="94"/>
      <c r="F59" s="96"/>
      <c r="G59" s="91"/>
      <c r="H59" s="67"/>
      <c r="I59" s="66"/>
    </row>
    <row r="60" spans="2:9">
      <c r="B60" s="87" t="s">
        <v>110</v>
      </c>
      <c r="C60" s="88" t="s">
        <v>10</v>
      </c>
      <c r="D60" s="212">
        <f>+SUM(E60:H60)</f>
        <v>10826591.985112011</v>
      </c>
      <c r="E60" s="222">
        <f>+'Table 3 Tax'!E93</f>
        <v>3324117.9831937565</v>
      </c>
      <c r="F60" s="213">
        <f>+'Table 3 Tax'!G93</f>
        <v>2347300.2584648328</v>
      </c>
      <c r="G60" s="214">
        <f>+'Table 3 Tax'!F93</f>
        <v>174560.94497429358</v>
      </c>
      <c r="H60" s="215">
        <f>+'Table 3 Tax'!H93</f>
        <v>4980612.7984791296</v>
      </c>
      <c r="I60" s="216" t="s">
        <v>154</v>
      </c>
    </row>
    <row r="61" spans="2:9">
      <c r="B61" s="87"/>
      <c r="C61" s="88"/>
      <c r="D61" s="87"/>
      <c r="E61" s="87"/>
      <c r="F61" s="91"/>
      <c r="G61" s="91"/>
      <c r="H61" s="67"/>
      <c r="I61" s="66"/>
    </row>
    <row r="62" spans="2:9">
      <c r="B62" s="87" t="s">
        <v>101</v>
      </c>
      <c r="C62" s="88"/>
      <c r="D62" s="130">
        <f t="shared" ref="D62:H62" si="12">+D56+D58-D60</f>
        <v>88127191.344945282</v>
      </c>
      <c r="E62" s="130">
        <f>+E56+E58-E60</f>
        <v>19320842.242446598</v>
      </c>
      <c r="F62" s="131">
        <f t="shared" si="12"/>
        <v>11343126.340833202</v>
      </c>
      <c r="G62" s="131">
        <f t="shared" si="12"/>
        <v>14448245.679874552</v>
      </c>
      <c r="H62" s="132">
        <f t="shared" si="12"/>
        <v>43014977.081790917</v>
      </c>
      <c r="I62" s="66"/>
    </row>
    <row r="63" spans="2:9">
      <c r="B63" s="87"/>
      <c r="C63" s="88"/>
      <c r="D63" s="130"/>
      <c r="E63" s="130" t="s">
        <v>10</v>
      </c>
      <c r="F63" s="131"/>
      <c r="G63" s="131"/>
      <c r="H63" s="132"/>
      <c r="I63" s="66"/>
    </row>
    <row r="64" spans="2:9">
      <c r="B64" s="87" t="s">
        <v>104</v>
      </c>
      <c r="C64" s="88"/>
      <c r="D64" s="130">
        <f t="shared" ref="D64:H64" si="13">+D50*0.4</f>
        <v>1156255501.4969702</v>
      </c>
      <c r="E64" s="94">
        <f t="shared" si="13"/>
        <v>214785378.21253839</v>
      </c>
      <c r="F64" s="131">
        <f t="shared" si="13"/>
        <v>172925506.77901256</v>
      </c>
      <c r="G64" s="131">
        <f t="shared" si="13"/>
        <v>332285938.41762936</v>
      </c>
      <c r="H64" s="132">
        <f t="shared" si="13"/>
        <v>436258678.08779001</v>
      </c>
      <c r="I64" s="66"/>
    </row>
    <row r="65" spans="2:10">
      <c r="B65" s="87"/>
      <c r="C65" s="88"/>
      <c r="D65" s="130"/>
      <c r="E65" s="94"/>
      <c r="F65" s="131"/>
      <c r="G65" s="131"/>
      <c r="H65" s="132"/>
      <c r="I65" s="66"/>
    </row>
    <row r="66" spans="2:10">
      <c r="B66" s="87" t="s">
        <v>106</v>
      </c>
      <c r="C66" s="88"/>
      <c r="D66" s="133">
        <f>+D62/D64</f>
        <v>7.6217748785497308E-2</v>
      </c>
      <c r="E66" s="134">
        <f t="shared" ref="E66:H66" si="14">+E62/E64</f>
        <v>8.9954178460546236E-2</v>
      </c>
      <c r="F66" s="125">
        <f t="shared" si="14"/>
        <v>6.5595449463270755E-2</v>
      </c>
      <c r="G66" s="126">
        <f t="shared" si="14"/>
        <v>4.3481363516849933E-2</v>
      </c>
      <c r="H66" s="127">
        <f t="shared" si="14"/>
        <v>9.8599705271959881E-2</v>
      </c>
      <c r="I66" s="66"/>
    </row>
    <row r="67" spans="2:10">
      <c r="B67" s="87"/>
      <c r="C67" s="88"/>
      <c r="D67" s="130"/>
      <c r="E67" s="130"/>
      <c r="F67" s="131"/>
      <c r="G67" s="131"/>
      <c r="H67" s="132"/>
      <c r="I67" s="66"/>
    </row>
    <row r="68" spans="2:10">
      <c r="B68" s="87" t="s">
        <v>142</v>
      </c>
      <c r="C68" s="88"/>
      <c r="D68" s="133" t="s">
        <v>10</v>
      </c>
      <c r="E68" s="134">
        <v>0.09</v>
      </c>
      <c r="F68" s="131"/>
      <c r="G68" s="131"/>
      <c r="H68" s="132"/>
      <c r="I68" s="66"/>
    </row>
    <row r="69" spans="2:10">
      <c r="B69" s="87" t="s">
        <v>143</v>
      </c>
      <c r="C69" s="88"/>
      <c r="D69" s="130"/>
      <c r="E69" s="130">
        <f>+(E66-E68)*E64</f>
        <v>-9841.796681856782</v>
      </c>
      <c r="F69" s="131"/>
      <c r="G69" s="131"/>
      <c r="H69" s="132"/>
      <c r="I69" s="66"/>
    </row>
    <row r="70" spans="2:10" ht="15.75" thickBot="1">
      <c r="B70" s="135" t="s">
        <v>144</v>
      </c>
      <c r="C70" s="136"/>
      <c r="D70" s="137"/>
      <c r="E70" s="137">
        <f>+E69/2</f>
        <v>-4920.898340928391</v>
      </c>
      <c r="F70" s="138"/>
      <c r="G70" s="138"/>
      <c r="H70" s="139"/>
      <c r="I70" s="140"/>
    </row>
    <row r="71" spans="2:10">
      <c r="D71" s="59"/>
    </row>
    <row r="72" spans="2:10">
      <c r="D72" s="63"/>
    </row>
    <row r="73" spans="2:10">
      <c r="B73" s="1" t="s">
        <v>10</v>
      </c>
      <c r="D73" s="64"/>
      <c r="J73" s="1" t="s">
        <v>10</v>
      </c>
    </row>
    <row r="74" spans="2:10">
      <c r="B74" s="1" t="s">
        <v>10</v>
      </c>
      <c r="D74" s="59"/>
    </row>
    <row r="75" spans="2:10">
      <c r="D75" s="61"/>
    </row>
    <row r="76" spans="2:10">
      <c r="B76" s="1" t="s">
        <v>10</v>
      </c>
      <c r="D76" s="60"/>
    </row>
  </sheetData>
  <mergeCells count="1">
    <mergeCell ref="E3:H3"/>
  </mergeCells>
  <pageMargins left="0.7" right="0.7" top="0.25" bottom="0.25" header="0.3" footer="0.3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E40" sqref="E40"/>
    </sheetView>
  </sheetViews>
  <sheetFormatPr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32" t="s">
        <v>141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11"/>
      <c r="P2" s="11"/>
    </row>
    <row r="3" spans="1:16">
      <c r="B3" s="35"/>
      <c r="P3" s="11"/>
    </row>
    <row r="4" spans="1:16" ht="7.5" customHeigh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customHeight="1">
      <c r="B5" s="230" t="s">
        <v>76</v>
      </c>
      <c r="C5" s="230"/>
      <c r="D5" s="12"/>
      <c r="E5" s="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>
      <c r="B6" s="231" t="s">
        <v>10</v>
      </c>
      <c r="C6" s="231"/>
      <c r="D6" s="14" t="s">
        <v>81</v>
      </c>
      <c r="E6" s="15"/>
      <c r="F6" s="15"/>
      <c r="G6" s="16"/>
      <c r="H6" s="16"/>
      <c r="I6" s="16"/>
      <c r="J6" s="17">
        <f>+'Table 1 Allocations'!E50</f>
        <v>536963445.53134596</v>
      </c>
      <c r="K6" s="13"/>
      <c r="L6" s="13"/>
      <c r="M6" s="13"/>
      <c r="N6" s="13"/>
      <c r="O6" s="13"/>
      <c r="P6" s="13"/>
    </row>
    <row r="7" spans="1:16">
      <c r="B7" s="18"/>
      <c r="C7" s="13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</row>
    <row r="8" spans="1:16">
      <c r="B8" s="18"/>
      <c r="C8" s="13"/>
      <c r="D8" s="13"/>
      <c r="E8" s="13"/>
      <c r="F8" s="19" t="s">
        <v>82</v>
      </c>
      <c r="G8" s="19"/>
      <c r="H8" s="19"/>
      <c r="I8" s="19"/>
      <c r="J8" s="19" t="s">
        <v>83</v>
      </c>
      <c r="K8" s="20"/>
      <c r="L8" s="19" t="s">
        <v>82</v>
      </c>
      <c r="M8" s="19"/>
      <c r="N8" s="20"/>
      <c r="O8" s="20"/>
      <c r="P8" s="19" t="s">
        <v>83</v>
      </c>
    </row>
    <row r="9" spans="1:16">
      <c r="B9" s="18"/>
      <c r="C9" s="13"/>
      <c r="D9" s="21" t="s">
        <v>84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B10" s="18">
        <v>8</v>
      </c>
      <c r="C10" s="13"/>
      <c r="D10" s="22" t="s">
        <v>85</v>
      </c>
      <c r="E10" s="13"/>
      <c r="F10" s="23">
        <v>0.56000000000000005</v>
      </c>
      <c r="G10" s="23"/>
      <c r="H10" s="24"/>
      <c r="I10" s="25"/>
      <c r="J10" s="26">
        <f>+$J$6*F10</f>
        <v>300699529.49755377</v>
      </c>
      <c r="K10" s="13"/>
      <c r="L10" s="23">
        <v>3.6223255000000003E-2</v>
      </c>
      <c r="M10" s="23"/>
      <c r="N10" s="24"/>
      <c r="O10" s="25"/>
      <c r="P10" s="26">
        <f>+J10*L10</f>
        <v>10892315.735369913</v>
      </c>
    </row>
    <row r="11" spans="1:16">
      <c r="B11" s="18">
        <v>9</v>
      </c>
      <c r="C11" s="13"/>
      <c r="D11" s="22" t="s">
        <v>86</v>
      </c>
      <c r="E11" s="13"/>
      <c r="F11" s="27">
        <v>0.04</v>
      </c>
      <c r="G11" s="23"/>
      <c r="H11" s="24"/>
      <c r="I11" s="25"/>
      <c r="J11" s="28">
        <f>+$J$6*F11</f>
        <v>21478537.82125384</v>
      </c>
      <c r="K11" s="13"/>
      <c r="L11" s="27">
        <v>2.29E-2</v>
      </c>
      <c r="M11" s="23"/>
      <c r="N11" s="24"/>
      <c r="O11" s="25"/>
      <c r="P11" s="28">
        <f>+J11*L11</f>
        <v>491858.51610671292</v>
      </c>
    </row>
    <row r="12" spans="1:16" ht="15.75" thickBot="1">
      <c r="B12" s="18">
        <v>10</v>
      </c>
      <c r="C12" s="13"/>
      <c r="D12" s="29" t="s">
        <v>87</v>
      </c>
      <c r="E12" s="13"/>
      <c r="F12" s="30">
        <v>0.60000000000000009</v>
      </c>
      <c r="G12" s="31"/>
      <c r="H12" s="32"/>
      <c r="I12" s="33"/>
      <c r="J12" s="34">
        <f>SUM(J10:J11)</f>
        <v>322178067.3188076</v>
      </c>
      <c r="K12" s="13"/>
      <c r="L12" s="52">
        <v>3.357228070175438E-2</v>
      </c>
      <c r="M12" s="31"/>
      <c r="N12" s="13"/>
      <c r="O12" s="35"/>
      <c r="P12" s="34">
        <f>+P10+P11</f>
        <v>11384174.251476627</v>
      </c>
    </row>
    <row r="13" spans="1:16" ht="15.75" thickTop="1">
      <c r="B13" s="18"/>
      <c r="C13" s="13"/>
      <c r="D13" s="13"/>
      <c r="E13" s="13"/>
      <c r="F13" s="32"/>
      <c r="G13" s="32"/>
      <c r="H13" s="32"/>
      <c r="I13" s="33"/>
      <c r="J13" s="36"/>
      <c r="K13" s="13"/>
      <c r="L13" s="23"/>
      <c r="M13" s="31"/>
      <c r="N13" s="13"/>
      <c r="O13" s="35"/>
      <c r="P13" s="36"/>
    </row>
    <row r="14" spans="1:16">
      <c r="B14" s="18"/>
      <c r="C14" s="13"/>
      <c r="D14" s="21" t="s">
        <v>88</v>
      </c>
      <c r="E14" s="13"/>
      <c r="F14" s="32"/>
      <c r="G14" s="32"/>
      <c r="H14" s="32"/>
      <c r="I14" s="33"/>
      <c r="J14" s="36"/>
      <c r="K14" s="13"/>
      <c r="L14" s="23"/>
      <c r="M14" s="31"/>
      <c r="N14" s="13"/>
      <c r="O14" s="35"/>
      <c r="P14" s="36"/>
    </row>
    <row r="15" spans="1:16">
      <c r="B15" s="18">
        <v>11</v>
      </c>
      <c r="C15" s="13"/>
      <c r="D15" s="22" t="s">
        <v>89</v>
      </c>
      <c r="E15" s="13"/>
      <c r="F15" s="31">
        <v>0.4</v>
      </c>
      <c r="G15" s="32"/>
      <c r="H15" s="24"/>
      <c r="I15" s="25"/>
      <c r="J15" s="26">
        <f>+$J$6*F15</f>
        <v>214785378.21253839</v>
      </c>
      <c r="K15" s="13"/>
      <c r="L15" s="23">
        <v>0.09</v>
      </c>
      <c r="M15" s="23"/>
      <c r="N15" s="24"/>
      <c r="O15" s="25"/>
      <c r="P15" s="26">
        <f>+J15*L15</f>
        <v>19330684.039128456</v>
      </c>
    </row>
    <row r="16" spans="1:16">
      <c r="B16" s="18">
        <v>12</v>
      </c>
      <c r="C16" s="13"/>
      <c r="D16" s="22" t="s">
        <v>90</v>
      </c>
      <c r="E16" s="13"/>
      <c r="F16" s="27">
        <v>0</v>
      </c>
      <c r="G16" s="33"/>
      <c r="H16" s="24"/>
      <c r="I16" s="25"/>
      <c r="J16" s="28">
        <v>0</v>
      </c>
      <c r="K16" s="13"/>
      <c r="L16" s="27">
        <v>0</v>
      </c>
      <c r="M16" s="23"/>
      <c r="N16" s="24"/>
      <c r="O16" s="25"/>
      <c r="P16" s="28">
        <f>+J16*L16</f>
        <v>0</v>
      </c>
    </row>
    <row r="17" spans="1:16" ht="15.75" thickBot="1">
      <c r="B17" s="18">
        <v>13</v>
      </c>
      <c r="C17" s="13"/>
      <c r="D17" s="29" t="s">
        <v>91</v>
      </c>
      <c r="E17" s="13"/>
      <c r="F17" s="30">
        <v>0.4</v>
      </c>
      <c r="G17" s="32"/>
      <c r="H17" s="32"/>
      <c r="I17" s="32"/>
      <c r="J17" s="34">
        <f>+J15+J16</f>
        <v>214785378.21253839</v>
      </c>
      <c r="K17" s="13"/>
      <c r="L17" s="52">
        <f>+L15</f>
        <v>0.09</v>
      </c>
      <c r="M17" s="31"/>
      <c r="N17" s="13"/>
      <c r="O17" s="13"/>
      <c r="P17" s="34">
        <f>+P15+P16</f>
        <v>19330684.039128456</v>
      </c>
    </row>
    <row r="18" spans="1:16" ht="15.75" thickTop="1">
      <c r="B18" s="18"/>
      <c r="C18" s="13"/>
      <c r="D18" s="13"/>
      <c r="E18" s="13"/>
      <c r="F18" s="13"/>
      <c r="G18" s="13"/>
      <c r="H18" s="13"/>
      <c r="I18" s="13"/>
      <c r="J18" s="36"/>
      <c r="K18" s="13"/>
      <c r="L18" s="31"/>
      <c r="M18" s="31"/>
      <c r="N18" s="13"/>
      <c r="O18" s="13"/>
      <c r="P18" s="36"/>
    </row>
    <row r="19" spans="1:16" ht="15.75" thickBot="1">
      <c r="B19" s="18">
        <v>14</v>
      </c>
      <c r="C19" s="13"/>
      <c r="D19" s="29" t="s">
        <v>68</v>
      </c>
      <c r="E19" s="13"/>
      <c r="F19" s="37">
        <v>1</v>
      </c>
      <c r="G19" s="38"/>
      <c r="H19" s="38"/>
      <c r="I19" s="38"/>
      <c r="J19" s="39">
        <f>+J17+J12</f>
        <v>536963445.53134596</v>
      </c>
      <c r="K19" s="13"/>
      <c r="L19" s="40">
        <v>5.5263368421052637E-2</v>
      </c>
      <c r="M19" s="31"/>
      <c r="N19" s="13"/>
      <c r="O19" s="13"/>
      <c r="P19" s="39">
        <f>+P17+P12</f>
        <v>30714858.290605083</v>
      </c>
    </row>
    <row r="20" spans="1:16" ht="15.75" thickTop="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</row>
    <row r="21" spans="1:16" ht="8.2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16" ht="15.75">
      <c r="B22" s="230" t="s">
        <v>79</v>
      </c>
      <c r="C22" s="230"/>
    </row>
    <row r="23" spans="1:16">
      <c r="A23" s="9"/>
      <c r="D23" s="14" t="s">
        <v>81</v>
      </c>
      <c r="E23" s="15"/>
      <c r="F23" s="15"/>
      <c r="G23" s="16"/>
      <c r="H23" s="16"/>
      <c r="I23" s="16"/>
      <c r="J23" s="17">
        <f>+'Table 1 Allocations'!H50</f>
        <v>1090646695.219475</v>
      </c>
      <c r="K23" s="13"/>
      <c r="L23" s="8" t="s">
        <v>10</v>
      </c>
      <c r="M23" s="13"/>
      <c r="N23" s="13"/>
      <c r="O23" s="13"/>
      <c r="P23" s="13"/>
    </row>
    <row r="24" spans="1:16">
      <c r="A24" s="9"/>
      <c r="B24" s="18"/>
      <c r="C24" s="13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</row>
    <row r="25" spans="1:16">
      <c r="A25" s="9"/>
      <c r="B25" s="18"/>
      <c r="C25" s="13"/>
      <c r="D25" s="13"/>
      <c r="E25" s="13"/>
      <c r="F25" s="19" t="s">
        <v>82</v>
      </c>
      <c r="G25" s="19"/>
      <c r="H25" s="19"/>
      <c r="I25" s="19"/>
      <c r="J25" s="19" t="s">
        <v>83</v>
      </c>
      <c r="K25" s="20"/>
      <c r="L25" s="19" t="s">
        <v>82</v>
      </c>
      <c r="M25" s="19"/>
      <c r="N25" s="20"/>
      <c r="O25" s="20"/>
      <c r="P25" s="19" t="s">
        <v>83</v>
      </c>
    </row>
    <row r="26" spans="1:16">
      <c r="A26" s="9"/>
      <c r="B26" s="18"/>
      <c r="C26" s="13"/>
      <c r="D26" s="21" t="s">
        <v>84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16">
      <c r="A27" s="9"/>
      <c r="B27" s="18">
        <v>8</v>
      </c>
      <c r="C27" s="13"/>
      <c r="D27" s="22" t="s">
        <v>85</v>
      </c>
      <c r="E27" s="13"/>
      <c r="F27" s="23">
        <v>0.56000000000000005</v>
      </c>
      <c r="G27" s="23"/>
      <c r="H27" s="24"/>
      <c r="I27" s="25"/>
      <c r="J27" s="26">
        <f>+$J$23*F27</f>
        <v>610762149.32290602</v>
      </c>
      <c r="K27" s="13"/>
      <c r="L27" s="23">
        <v>3.8825037148941706E-2</v>
      </c>
      <c r="M27" s="23"/>
      <c r="N27" s="24"/>
      <c r="O27" s="25"/>
      <c r="P27" s="26">
        <f>+J27*L27</f>
        <v>23712863.136629306</v>
      </c>
    </row>
    <row r="28" spans="1:16">
      <c r="A28" s="9"/>
      <c r="B28" s="18">
        <v>9</v>
      </c>
      <c r="C28" s="13"/>
      <c r="D28" s="22" t="s">
        <v>86</v>
      </c>
      <c r="E28" s="13"/>
      <c r="F28" s="27">
        <v>0.04</v>
      </c>
      <c r="G28" s="23"/>
      <c r="H28" s="24"/>
      <c r="I28" s="25"/>
      <c r="J28" s="28">
        <f>+$J$23*F28</f>
        <v>43625867.808779001</v>
      </c>
      <c r="K28" s="13"/>
      <c r="L28" s="27">
        <v>1.7600000000000001E-2</v>
      </c>
      <c r="M28" s="23"/>
      <c r="N28" s="24"/>
      <c r="O28" s="25"/>
      <c r="P28" s="28">
        <f>+J28*L28</f>
        <v>767815.27343451045</v>
      </c>
    </row>
    <row r="29" spans="1:16" ht="15.75" thickBot="1">
      <c r="A29" s="9"/>
      <c r="B29" s="18">
        <v>10</v>
      </c>
      <c r="C29" s="13"/>
      <c r="D29" s="29" t="s">
        <v>87</v>
      </c>
      <c r="E29" s="13"/>
      <c r="F29" s="30">
        <v>0.60000000000000009</v>
      </c>
      <c r="G29" s="31"/>
      <c r="H29" s="32"/>
      <c r="I29" s="33"/>
      <c r="J29" s="34">
        <f>+SUM(J27:J28)</f>
        <v>654388017.13168502</v>
      </c>
      <c r="K29" s="13"/>
      <c r="L29" s="30">
        <v>3.7410034672345591E-2</v>
      </c>
      <c r="M29" s="31"/>
      <c r="N29" s="13"/>
      <c r="O29" s="35"/>
      <c r="P29" s="34">
        <f>+P27+P28</f>
        <v>24480678.410063818</v>
      </c>
    </row>
    <row r="30" spans="1:16" ht="15.75" thickTop="1">
      <c r="A30" s="9"/>
      <c r="B30" s="18"/>
      <c r="C30" s="13"/>
      <c r="D30" s="13"/>
      <c r="E30" s="13"/>
      <c r="F30" s="32"/>
      <c r="G30" s="32"/>
      <c r="H30" s="32"/>
      <c r="I30" s="33"/>
      <c r="J30" s="36"/>
      <c r="K30" s="13"/>
      <c r="L30" s="31"/>
      <c r="M30" s="31"/>
      <c r="N30" s="13"/>
      <c r="O30" s="35"/>
      <c r="P30" s="36"/>
    </row>
    <row r="31" spans="1:16">
      <c r="A31" s="9"/>
      <c r="B31" s="18"/>
      <c r="C31" s="13"/>
      <c r="D31" s="21" t="s">
        <v>88</v>
      </c>
      <c r="E31" s="13"/>
      <c r="F31" s="32"/>
      <c r="G31" s="32"/>
      <c r="H31" s="32"/>
      <c r="I31" s="33"/>
      <c r="J31" s="36"/>
      <c r="K31" s="13"/>
      <c r="L31" s="31"/>
      <c r="M31" s="31"/>
      <c r="N31" s="13"/>
      <c r="O31" s="35"/>
      <c r="P31" s="36"/>
    </row>
    <row r="32" spans="1:16">
      <c r="A32" s="9"/>
      <c r="B32" s="18">
        <v>11</v>
      </c>
      <c r="C32" s="13"/>
      <c r="D32" s="22" t="s">
        <v>89</v>
      </c>
      <c r="E32" s="13"/>
      <c r="F32" s="31">
        <v>0.4</v>
      </c>
      <c r="G32" s="32"/>
      <c r="H32" s="24"/>
      <c r="I32" s="25"/>
      <c r="J32" s="26">
        <f>+$J$23*F32</f>
        <v>436258678.08779001</v>
      </c>
      <c r="K32" s="13"/>
      <c r="L32" s="23">
        <v>8.7800000000000003E-2</v>
      </c>
      <c r="M32" s="23"/>
      <c r="N32" s="24"/>
      <c r="O32" s="25"/>
      <c r="P32" s="26">
        <f>+J32*L32</f>
        <v>38303511.936107963</v>
      </c>
    </row>
    <row r="33" spans="1:16">
      <c r="A33" s="9"/>
      <c r="B33" s="18">
        <v>12</v>
      </c>
      <c r="C33" s="13"/>
      <c r="D33" s="22" t="s">
        <v>90</v>
      </c>
      <c r="E33" s="13"/>
      <c r="F33" s="27">
        <v>0</v>
      </c>
      <c r="G33" s="33"/>
      <c r="H33" s="24"/>
      <c r="I33" s="25"/>
      <c r="J33" s="28">
        <f>+$J$23*F33</f>
        <v>0</v>
      </c>
      <c r="K33" s="13"/>
      <c r="L33" s="27">
        <v>0</v>
      </c>
      <c r="M33" s="23"/>
      <c r="N33" s="24"/>
      <c r="O33" s="25"/>
      <c r="P33" s="28">
        <f>+J33*L33</f>
        <v>0</v>
      </c>
    </row>
    <row r="34" spans="1:16" ht="15.75" thickBot="1">
      <c r="A34" s="9"/>
      <c r="B34" s="18">
        <v>13</v>
      </c>
      <c r="C34" s="13"/>
      <c r="D34" s="29" t="s">
        <v>91</v>
      </c>
      <c r="E34" s="13"/>
      <c r="F34" s="30">
        <v>0.4</v>
      </c>
      <c r="G34" s="32"/>
      <c r="H34" s="32"/>
      <c r="I34" s="32"/>
      <c r="J34" s="34">
        <f>+SUM(J32:J33)</f>
        <v>436258678.08779001</v>
      </c>
      <c r="K34" s="13"/>
      <c r="L34" s="30">
        <v>8.7800000000000003E-2</v>
      </c>
      <c r="M34" s="31"/>
      <c r="N34" s="13"/>
      <c r="O34" s="13"/>
      <c r="P34" s="34">
        <f>+P32+P33</f>
        <v>38303511.936107963</v>
      </c>
    </row>
    <row r="35" spans="1:16" ht="15.75" thickTop="1">
      <c r="A35" s="9"/>
      <c r="B35" s="18"/>
      <c r="C35" s="13"/>
      <c r="D35" s="13"/>
      <c r="E35" s="13"/>
      <c r="F35" s="13"/>
      <c r="G35" s="13"/>
      <c r="H35" s="13"/>
      <c r="I35" s="13"/>
      <c r="J35" s="36"/>
      <c r="K35" s="13"/>
      <c r="L35" s="31"/>
      <c r="M35" s="31"/>
      <c r="N35" s="13"/>
      <c r="O35" s="13"/>
      <c r="P35" s="36"/>
    </row>
    <row r="36" spans="1:16" ht="15.75" thickBot="1">
      <c r="A36" s="9"/>
      <c r="B36" s="18">
        <v>14</v>
      </c>
      <c r="C36" s="13"/>
      <c r="D36" s="29" t="s">
        <v>68</v>
      </c>
      <c r="E36" s="13"/>
      <c r="F36" s="37">
        <v>1</v>
      </c>
      <c r="G36" s="38"/>
      <c r="H36" s="38"/>
      <c r="I36" s="38"/>
      <c r="J36" s="39">
        <f>+J34+J29</f>
        <v>1090646695.219475</v>
      </c>
      <c r="K36" s="13"/>
      <c r="L36" s="40">
        <v>5.7566020803407364E-2</v>
      </c>
      <c r="M36" s="31"/>
      <c r="N36" s="13"/>
      <c r="O36" s="13"/>
      <c r="P36" s="39">
        <f>+P34+P29</f>
        <v>62784190.346171781</v>
      </c>
    </row>
    <row r="37" spans="1:16" ht="15.75" thickTop="1">
      <c r="A37" s="7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ht="6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ht="15.75">
      <c r="A39" s="42"/>
      <c r="B39" s="230" t="s">
        <v>77</v>
      </c>
      <c r="C39" s="230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</row>
    <row r="40" spans="1:16">
      <c r="A40" s="9"/>
      <c r="D40" s="14" t="s">
        <v>81</v>
      </c>
      <c r="E40" s="15"/>
      <c r="F40" s="15"/>
      <c r="G40" s="16"/>
      <c r="H40" s="16"/>
      <c r="I40" s="16"/>
      <c r="J40" s="17">
        <f>+'Table 1 Allocations'!G50</f>
        <v>830714846.04407334</v>
      </c>
      <c r="K40" s="13"/>
      <c r="L40" s="8" t="s">
        <v>10</v>
      </c>
      <c r="M40" s="13"/>
      <c r="N40" s="13"/>
      <c r="O40" s="13"/>
      <c r="P40" s="13"/>
    </row>
    <row r="41" spans="1:16">
      <c r="A41" s="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</row>
    <row r="42" spans="1:16">
      <c r="A42" s="9"/>
      <c r="B42" s="18"/>
      <c r="C42" s="13"/>
      <c r="D42" s="13"/>
      <c r="E42" s="13"/>
      <c r="F42" s="19" t="s">
        <v>82</v>
      </c>
      <c r="G42" s="19"/>
      <c r="H42" s="19"/>
      <c r="I42" s="19"/>
      <c r="J42" s="19" t="s">
        <v>83</v>
      </c>
      <c r="K42" s="20"/>
      <c r="L42" s="19" t="s">
        <v>82</v>
      </c>
      <c r="M42" s="19"/>
      <c r="N42" s="20"/>
      <c r="O42" s="20"/>
      <c r="P42" s="19" t="s">
        <v>83</v>
      </c>
    </row>
    <row r="43" spans="1:16">
      <c r="A43" s="9"/>
      <c r="B43" s="18"/>
      <c r="C43" s="13"/>
      <c r="D43" s="21" t="s">
        <v>84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>
      <c r="A44" s="9"/>
      <c r="B44" s="18">
        <v>8</v>
      </c>
      <c r="C44" s="13"/>
      <c r="D44" s="22" t="s">
        <v>85</v>
      </c>
      <c r="E44" s="13"/>
      <c r="F44" s="23">
        <v>0.56000000000000005</v>
      </c>
      <c r="G44" s="23"/>
      <c r="H44" s="24"/>
      <c r="I44" s="25"/>
      <c r="J44" s="26">
        <f>+$J$40*F44</f>
        <v>465200313.78468114</v>
      </c>
      <c r="K44" s="13"/>
      <c r="L44" s="23">
        <v>5.0914000000000001E-2</v>
      </c>
      <c r="M44" s="23"/>
      <c r="N44" s="24"/>
      <c r="O44" s="25"/>
      <c r="P44" s="26">
        <f>+J44*L44</f>
        <v>23685208.776033256</v>
      </c>
    </row>
    <row r="45" spans="1:16">
      <c r="A45" s="9"/>
      <c r="B45" s="18">
        <v>9</v>
      </c>
      <c r="C45" s="13"/>
      <c r="D45" s="22" t="s">
        <v>86</v>
      </c>
      <c r="E45" s="13"/>
      <c r="F45" s="27">
        <v>0.04</v>
      </c>
      <c r="G45" s="23"/>
      <c r="H45" s="24"/>
      <c r="I45" s="25"/>
      <c r="J45" s="28">
        <f>+$J$40*F45</f>
        <v>33228593.841762934</v>
      </c>
      <c r="K45" s="13"/>
      <c r="L45" s="27">
        <v>2.0799999999999999E-2</v>
      </c>
      <c r="M45" s="23"/>
      <c r="N45" s="24"/>
      <c r="O45" s="25"/>
      <c r="P45" s="28">
        <f>+J45*L45</f>
        <v>691154.75190866902</v>
      </c>
    </row>
    <row r="46" spans="1:16" ht="15.75" thickBot="1">
      <c r="A46" s="9"/>
      <c r="B46" s="18">
        <v>10</v>
      </c>
      <c r="C46" s="13"/>
      <c r="D46" s="29" t="s">
        <v>87</v>
      </c>
      <c r="E46" s="13"/>
      <c r="F46" s="30">
        <v>0.60000000000000009</v>
      </c>
      <c r="G46" s="31"/>
      <c r="H46" s="32"/>
      <c r="I46" s="33"/>
      <c r="J46" s="34">
        <f>+SUM(J44:J45)</f>
        <v>498428907.6264441</v>
      </c>
      <c r="K46" s="13"/>
      <c r="L46" s="30">
        <v>4.8906399999999996E-2</v>
      </c>
      <c r="M46" s="31"/>
      <c r="N46" s="13"/>
      <c r="O46" s="35"/>
      <c r="P46" s="34">
        <f>+P44+P45</f>
        <v>24376363.527941924</v>
      </c>
    </row>
    <row r="47" spans="1:16" ht="15.75" thickTop="1">
      <c r="A47" s="9"/>
      <c r="B47" s="18"/>
      <c r="C47" s="13"/>
      <c r="D47" s="13"/>
      <c r="E47" s="13"/>
      <c r="F47" s="32"/>
      <c r="G47" s="32"/>
      <c r="H47" s="32"/>
      <c r="I47" s="33"/>
      <c r="J47" s="36"/>
      <c r="K47" s="13"/>
      <c r="L47" s="31"/>
      <c r="M47" s="31"/>
      <c r="N47" s="13"/>
      <c r="O47" s="35"/>
      <c r="P47" s="36"/>
    </row>
    <row r="48" spans="1:16">
      <c r="A48" s="9"/>
      <c r="B48" s="18"/>
      <c r="C48" s="13"/>
      <c r="D48" s="21" t="s">
        <v>88</v>
      </c>
      <c r="E48" s="13"/>
      <c r="F48" s="32"/>
      <c r="G48" s="32"/>
      <c r="H48" s="32"/>
      <c r="I48" s="33"/>
      <c r="J48" s="36"/>
      <c r="K48" s="13"/>
      <c r="L48" s="31"/>
      <c r="M48" s="31"/>
      <c r="N48" s="13"/>
      <c r="O48" s="35"/>
      <c r="P48" s="36"/>
    </row>
    <row r="49" spans="1:16">
      <c r="A49" s="9"/>
      <c r="B49" s="18">
        <v>11</v>
      </c>
      <c r="C49" s="13"/>
      <c r="D49" s="22" t="s">
        <v>89</v>
      </c>
      <c r="E49" s="13"/>
      <c r="F49" s="31">
        <v>0.4</v>
      </c>
      <c r="G49" s="32"/>
      <c r="H49" s="24"/>
      <c r="I49" s="25"/>
      <c r="J49" s="26">
        <f>+$J$40*F49</f>
        <v>332285938.41762936</v>
      </c>
      <c r="K49" s="13"/>
      <c r="L49" s="23">
        <v>8.9300000000000004E-2</v>
      </c>
      <c r="M49" s="23"/>
      <c r="N49" s="24"/>
      <c r="O49" s="25"/>
      <c r="P49" s="26">
        <f>+J49*L49</f>
        <v>29673134.300694302</v>
      </c>
    </row>
    <row r="50" spans="1:16">
      <c r="A50" s="9"/>
      <c r="B50" s="18">
        <v>12</v>
      </c>
      <c r="C50" s="13"/>
      <c r="D50" s="22" t="s">
        <v>90</v>
      </c>
      <c r="E50" s="13"/>
      <c r="F50" s="27">
        <v>0</v>
      </c>
      <c r="G50" s="33"/>
      <c r="H50" s="24"/>
      <c r="I50" s="25"/>
      <c r="J50" s="28">
        <f>+$J$40*F50</f>
        <v>0</v>
      </c>
      <c r="K50" s="13"/>
      <c r="L50" s="27">
        <v>0</v>
      </c>
      <c r="M50" s="23"/>
      <c r="N50" s="24"/>
      <c r="O50" s="25"/>
      <c r="P50" s="28">
        <f>+J50*L50</f>
        <v>0</v>
      </c>
    </row>
    <row r="51" spans="1:16" ht="15.75" thickBot="1">
      <c r="A51" s="9"/>
      <c r="B51" s="18">
        <v>13</v>
      </c>
      <c r="C51" s="13"/>
      <c r="D51" s="29" t="s">
        <v>91</v>
      </c>
      <c r="E51" s="13"/>
      <c r="F51" s="30">
        <v>0.4</v>
      </c>
      <c r="G51" s="32"/>
      <c r="H51" s="32"/>
      <c r="I51" s="32"/>
      <c r="J51" s="34">
        <f>+SUM(J49:J50)</f>
        <v>332285938.41762936</v>
      </c>
      <c r="K51" s="13"/>
      <c r="L51" s="30">
        <v>8.9300000000000004E-2</v>
      </c>
      <c r="M51" s="31"/>
      <c r="N51" s="13"/>
      <c r="O51" s="13"/>
      <c r="P51" s="34">
        <f>+P49+P50</f>
        <v>29673134.300694302</v>
      </c>
    </row>
    <row r="52" spans="1:16" ht="15.75" thickTop="1">
      <c r="A52" s="9"/>
      <c r="B52" s="18"/>
      <c r="C52" s="13"/>
      <c r="D52" s="13"/>
      <c r="E52" s="13"/>
      <c r="F52" s="13"/>
      <c r="G52" s="13"/>
      <c r="H52" s="13"/>
      <c r="I52" s="13"/>
      <c r="J52" s="36"/>
      <c r="K52" s="13"/>
      <c r="L52" s="31"/>
      <c r="M52" s="31"/>
      <c r="N52" s="13"/>
      <c r="O52" s="13"/>
      <c r="P52" s="36"/>
    </row>
    <row r="53" spans="1:16" ht="15.75" thickBot="1">
      <c r="A53" s="9"/>
      <c r="B53" s="18">
        <v>14</v>
      </c>
      <c r="C53" s="13"/>
      <c r="D53" s="29" t="s">
        <v>68</v>
      </c>
      <c r="E53" s="13"/>
      <c r="F53" s="37">
        <v>1</v>
      </c>
      <c r="G53" s="38"/>
      <c r="H53" s="38"/>
      <c r="I53" s="38"/>
      <c r="J53" s="39">
        <f>+J51+J46</f>
        <v>830714846.04407346</v>
      </c>
      <c r="K53" s="13"/>
      <c r="L53" s="40">
        <v>6.5063840000000012E-2</v>
      </c>
      <c r="M53" s="31"/>
      <c r="N53" s="13"/>
      <c r="O53" s="13"/>
      <c r="P53" s="39">
        <f>+P51+P46</f>
        <v>54049497.828636229</v>
      </c>
    </row>
    <row r="54" spans="1:16" ht="15.75" thickTop="1"/>
    <row r="55" spans="1:16" ht="8.2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</row>
    <row r="56" spans="1:16" ht="15.75">
      <c r="A56" s="42"/>
      <c r="B56" s="230" t="s">
        <v>78</v>
      </c>
      <c r="C56" s="230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</row>
    <row r="57" spans="1:16">
      <c r="A57" s="9"/>
      <c r="D57" s="14" t="s">
        <v>81</v>
      </c>
      <c r="E57" s="15"/>
      <c r="F57" s="15"/>
      <c r="G57" s="16"/>
      <c r="H57" s="16"/>
      <c r="I57" s="16"/>
      <c r="J57" s="17">
        <f>+'Table 1 Allocations'!F50</f>
        <v>432313766.9475314</v>
      </c>
      <c r="K57" s="13"/>
      <c r="L57" s="8" t="s">
        <v>10</v>
      </c>
      <c r="M57" s="13"/>
      <c r="N57" s="13"/>
      <c r="O57" s="13"/>
      <c r="P57" s="13"/>
    </row>
    <row r="58" spans="1:16">
      <c r="A58" s="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</row>
    <row r="59" spans="1:16">
      <c r="A59" s="9"/>
      <c r="B59" s="18"/>
      <c r="C59" s="13"/>
      <c r="D59" s="13"/>
      <c r="E59" s="13"/>
      <c r="F59" s="19" t="s">
        <v>82</v>
      </c>
      <c r="G59" s="19"/>
      <c r="H59" s="19"/>
      <c r="I59" s="19"/>
      <c r="J59" s="19" t="s">
        <v>83</v>
      </c>
      <c r="K59" s="20"/>
      <c r="L59" s="19" t="s">
        <v>82</v>
      </c>
      <c r="M59" s="19"/>
      <c r="N59" s="20"/>
      <c r="O59" s="20"/>
      <c r="P59" s="19" t="s">
        <v>83</v>
      </c>
    </row>
    <row r="60" spans="1:16">
      <c r="A60" s="9"/>
      <c r="B60" s="18"/>
      <c r="C60" s="13"/>
      <c r="D60" s="21" t="s">
        <v>84</v>
      </c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  <row r="61" spans="1:16">
      <c r="A61" s="9"/>
      <c r="B61" s="18">
        <v>8</v>
      </c>
      <c r="C61" s="13"/>
      <c r="D61" s="22" t="s">
        <v>85</v>
      </c>
      <c r="E61" s="13"/>
      <c r="F61" s="23">
        <v>0.56000000000000005</v>
      </c>
      <c r="G61" s="23"/>
      <c r="H61" s="24"/>
      <c r="I61" s="25"/>
      <c r="J61" s="26">
        <f>+$J$57*F61</f>
        <v>242095709.4906176</v>
      </c>
      <c r="K61" s="13"/>
      <c r="L61" s="23">
        <v>6.0728710462287103E-2</v>
      </c>
      <c r="M61" s="23"/>
      <c r="N61" s="24"/>
      <c r="O61" s="25"/>
      <c r="P61" s="26">
        <f>+J61*L61</f>
        <v>14702160.245817687</v>
      </c>
    </row>
    <row r="62" spans="1:16">
      <c r="A62" s="9"/>
      <c r="B62" s="18">
        <v>9</v>
      </c>
      <c r="C62" s="13"/>
      <c r="D62" s="22" t="s">
        <v>86</v>
      </c>
      <c r="E62" s="13"/>
      <c r="F62" s="27">
        <v>0.04</v>
      </c>
      <c r="G62" s="23"/>
      <c r="H62" s="24"/>
      <c r="I62" s="25"/>
      <c r="J62" s="28">
        <f>+$J$57*F62</f>
        <v>17292550.677901257</v>
      </c>
      <c r="K62" s="13"/>
      <c r="L62" s="27">
        <v>2.1600000000000001E-2</v>
      </c>
      <c r="M62" s="23"/>
      <c r="N62" s="24"/>
      <c r="O62" s="25"/>
      <c r="P62" s="28">
        <f>+J62*L62</f>
        <v>373519.09464266716</v>
      </c>
    </row>
    <row r="63" spans="1:16" ht="15.75" thickBot="1">
      <c r="A63" s="9"/>
      <c r="B63" s="18">
        <v>10</v>
      </c>
      <c r="C63" s="13"/>
      <c r="D63" s="29" t="s">
        <v>87</v>
      </c>
      <c r="E63" s="13"/>
      <c r="F63" s="30">
        <v>0.60000000000000009</v>
      </c>
      <c r="G63" s="31"/>
      <c r="H63" s="32"/>
      <c r="I63" s="33"/>
      <c r="J63" s="34">
        <f>+SUM(J61:J62)</f>
        <v>259388260.16851887</v>
      </c>
      <c r="K63" s="13"/>
      <c r="L63" s="30">
        <v>5.8120129764801291E-2</v>
      </c>
      <c r="M63" s="31"/>
      <c r="N63" s="13"/>
      <c r="O63" s="35"/>
      <c r="P63" s="34">
        <f>+P61+P62</f>
        <v>15075679.340460354</v>
      </c>
    </row>
    <row r="64" spans="1:16" ht="15.75" thickTop="1">
      <c r="A64" s="9"/>
      <c r="B64" s="18"/>
      <c r="C64" s="13"/>
      <c r="D64" s="13"/>
      <c r="E64" s="13"/>
      <c r="F64" s="32"/>
      <c r="G64" s="32"/>
      <c r="H64" s="32"/>
      <c r="I64" s="33"/>
      <c r="J64" s="36"/>
      <c r="K64" s="13"/>
      <c r="L64" s="31"/>
      <c r="M64" s="31"/>
      <c r="N64" s="13"/>
      <c r="O64" s="35"/>
      <c r="P64" s="36"/>
    </row>
    <row r="65" spans="1:18">
      <c r="A65" s="9"/>
      <c r="B65" s="18"/>
      <c r="C65" s="13"/>
      <c r="D65" s="21" t="s">
        <v>88</v>
      </c>
      <c r="E65" s="13"/>
      <c r="F65" s="32"/>
      <c r="G65" s="32"/>
      <c r="H65" s="32"/>
      <c r="I65" s="33"/>
      <c r="J65" s="36"/>
      <c r="K65" s="13"/>
      <c r="L65" s="31"/>
      <c r="M65" s="31"/>
      <c r="N65" s="13"/>
      <c r="O65" s="35"/>
      <c r="P65" s="36"/>
    </row>
    <row r="66" spans="1:18">
      <c r="A66" s="9"/>
      <c r="B66" s="18">
        <v>11</v>
      </c>
      <c r="C66" s="13"/>
      <c r="D66" s="22" t="s">
        <v>89</v>
      </c>
      <c r="E66" s="13"/>
      <c r="F66" s="31">
        <v>0.39999999999999991</v>
      </c>
      <c r="G66" s="32"/>
      <c r="H66" s="24"/>
      <c r="I66" s="25"/>
      <c r="J66" s="26">
        <f>+$J$57*F66</f>
        <v>172925506.77901253</v>
      </c>
      <c r="K66" s="13"/>
      <c r="L66" s="23">
        <v>9.2999999999999999E-2</v>
      </c>
      <c r="M66" s="23"/>
      <c r="N66" s="24"/>
      <c r="O66" s="25"/>
      <c r="P66" s="26">
        <f>+J66*L66</f>
        <v>16082072.130448164</v>
      </c>
    </row>
    <row r="67" spans="1:18">
      <c r="A67" s="9"/>
      <c r="B67" s="18">
        <v>12</v>
      </c>
      <c r="C67" s="13"/>
      <c r="D67" s="22" t="s">
        <v>90</v>
      </c>
      <c r="E67" s="13"/>
      <c r="F67" s="27">
        <v>0</v>
      </c>
      <c r="G67" s="33"/>
      <c r="H67" s="24"/>
      <c r="I67" s="25"/>
      <c r="J67" s="28">
        <f>+$J$57*F67</f>
        <v>0</v>
      </c>
      <c r="K67" s="13"/>
      <c r="L67" s="27">
        <v>0</v>
      </c>
      <c r="M67" s="23"/>
      <c r="N67" s="24"/>
      <c r="O67" s="25"/>
      <c r="P67" s="28">
        <f>+J67*L67</f>
        <v>0</v>
      </c>
    </row>
    <row r="68" spans="1:18" ht="15.75" thickBot="1">
      <c r="A68" s="9"/>
      <c r="B68" s="18">
        <v>13</v>
      </c>
      <c r="C68" s="13"/>
      <c r="D68" s="29" t="s">
        <v>91</v>
      </c>
      <c r="E68" s="13"/>
      <c r="F68" s="30">
        <v>0.39999999999999991</v>
      </c>
      <c r="G68" s="32"/>
      <c r="H68" s="32"/>
      <c r="I68" s="32"/>
      <c r="J68" s="34">
        <f>+SUM(J66:J67)</f>
        <v>172925506.77901253</v>
      </c>
      <c r="K68" s="13"/>
      <c r="L68" s="30">
        <v>9.2999999999999999E-2</v>
      </c>
      <c r="M68" s="31"/>
      <c r="N68" s="13"/>
      <c r="O68" s="13"/>
      <c r="P68" s="34">
        <f>+P66+P67</f>
        <v>16082072.130448164</v>
      </c>
    </row>
    <row r="69" spans="1:18" ht="15.75" thickTop="1">
      <c r="A69" s="9"/>
      <c r="B69" s="18"/>
      <c r="C69" s="13"/>
      <c r="D69" s="13"/>
      <c r="E69" s="13"/>
      <c r="F69" s="13"/>
      <c r="G69" s="13"/>
      <c r="H69" s="13"/>
      <c r="I69" s="13"/>
      <c r="J69" s="36"/>
      <c r="K69" s="13"/>
      <c r="L69" s="31"/>
      <c r="M69" s="31"/>
      <c r="N69" s="13"/>
      <c r="O69" s="13"/>
      <c r="P69" s="36"/>
    </row>
    <row r="70" spans="1:18" ht="15.75" thickBot="1">
      <c r="A70" s="9"/>
      <c r="B70" s="18">
        <v>14</v>
      </c>
      <c r="C70" s="13"/>
      <c r="D70" s="29" t="s">
        <v>68</v>
      </c>
      <c r="E70" s="13"/>
      <c r="F70" s="37">
        <v>1</v>
      </c>
      <c r="G70" s="38"/>
      <c r="H70" s="38"/>
      <c r="I70" s="38"/>
      <c r="J70" s="39">
        <f>+J68+J63</f>
        <v>432313766.9475314</v>
      </c>
      <c r="K70" s="13"/>
      <c r="L70" s="40">
        <v>7.207207785888077E-2</v>
      </c>
      <c r="M70" s="31"/>
      <c r="N70" s="13"/>
      <c r="O70" s="13"/>
      <c r="P70" s="39">
        <f>+P68+P63</f>
        <v>31157751.470908519</v>
      </c>
    </row>
    <row r="71" spans="1:18" ht="15.75" thickTop="1">
      <c r="A71" s="7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18" ht="10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1:18" ht="15.75">
      <c r="A73" s="42"/>
      <c r="B73" s="230" t="s">
        <v>92</v>
      </c>
      <c r="C73" s="230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</row>
    <row r="74" spans="1:18">
      <c r="A74" s="9"/>
      <c r="B74" s="231" t="s">
        <v>10</v>
      </c>
      <c r="C74" s="231"/>
      <c r="D74" s="14" t="s">
        <v>81</v>
      </c>
      <c r="E74" s="15"/>
      <c r="F74" s="15"/>
      <c r="G74" s="16"/>
      <c r="H74" s="16"/>
      <c r="I74" s="16"/>
      <c r="J74" s="17">
        <f>+'Table 1 Allocations'!D50</f>
        <v>2890638753.7424254</v>
      </c>
      <c r="K74" s="13"/>
      <c r="L74" s="8" t="s">
        <v>10</v>
      </c>
      <c r="M74" s="13"/>
      <c r="N74" s="13"/>
      <c r="O74" s="13"/>
      <c r="P74" s="13"/>
    </row>
    <row r="75" spans="1:18">
      <c r="A75" s="9"/>
      <c r="B75" s="42"/>
      <c r="C75" s="42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</row>
    <row r="76" spans="1:18">
      <c r="A76" s="9"/>
      <c r="B76" s="43"/>
      <c r="C76" s="35"/>
      <c r="D76" s="35"/>
      <c r="E76" s="35"/>
      <c r="F76" s="44" t="s">
        <v>82</v>
      </c>
      <c r="G76" s="44"/>
      <c r="H76" s="44"/>
      <c r="I76" s="44"/>
      <c r="J76" s="44" t="s">
        <v>83</v>
      </c>
      <c r="K76" s="45"/>
      <c r="L76" s="44" t="s">
        <v>82</v>
      </c>
      <c r="M76" s="44"/>
      <c r="N76" s="45"/>
      <c r="O76" s="45"/>
      <c r="P76" s="44" t="s">
        <v>83</v>
      </c>
    </row>
    <row r="77" spans="1:18">
      <c r="A77" s="9"/>
      <c r="B77" s="43"/>
      <c r="C77" s="35"/>
      <c r="D77" s="46" t="s">
        <v>84</v>
      </c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8">
      <c r="A78" s="9"/>
      <c r="B78" s="43">
        <v>8</v>
      </c>
      <c r="C78" s="35"/>
      <c r="D78" s="47" t="s">
        <v>85</v>
      </c>
      <c r="E78" s="35"/>
      <c r="F78" s="23">
        <v>0.56000000000000005</v>
      </c>
      <c r="G78" s="23"/>
      <c r="H78" s="48"/>
      <c r="I78" s="25"/>
      <c r="J78" s="49">
        <f>+J74*F78</f>
        <v>1618757702.0957584</v>
      </c>
      <c r="K78" s="35"/>
      <c r="L78" s="23">
        <f>P78/J78</f>
        <v>4.5091706930165544E-2</v>
      </c>
      <c r="M78" s="23"/>
      <c r="N78" s="48"/>
      <c r="O78" s="25"/>
      <c r="P78" s="49">
        <f>+P61+P44+P27+P10</f>
        <v>72992547.893850163</v>
      </c>
    </row>
    <row r="79" spans="1:18">
      <c r="A79" s="9"/>
      <c r="B79" s="43">
        <v>9</v>
      </c>
      <c r="C79" s="35"/>
      <c r="D79" s="47" t="s">
        <v>86</v>
      </c>
      <c r="E79" s="35"/>
      <c r="F79" s="27">
        <v>0.04</v>
      </c>
      <c r="G79" s="23"/>
      <c r="H79" s="48"/>
      <c r="I79" s="25"/>
      <c r="J79" s="50">
        <f>+J74*F79</f>
        <v>115625550.14969702</v>
      </c>
      <c r="K79" s="35"/>
      <c r="L79" s="27">
        <f>P79/J79</f>
        <v>2.0102370393769324E-2</v>
      </c>
      <c r="M79" s="23"/>
      <c r="N79" s="48"/>
      <c r="O79" s="25"/>
      <c r="P79" s="49">
        <f>+P62+P45+P28+P11</f>
        <v>2324347.6360925594</v>
      </c>
    </row>
    <row r="80" spans="1:18" ht="15.75" thickBot="1">
      <c r="A80" s="9"/>
      <c r="B80" s="43">
        <v>10</v>
      </c>
      <c r="C80" s="35"/>
      <c r="D80" s="51" t="s">
        <v>87</v>
      </c>
      <c r="E80" s="35"/>
      <c r="F80" s="52">
        <v>0.60000000000000009</v>
      </c>
      <c r="G80" s="23"/>
      <c r="H80" s="33"/>
      <c r="I80" s="33"/>
      <c r="J80" s="53">
        <f>+J78+J79</f>
        <v>1734383252.2454555</v>
      </c>
      <c r="K80" s="35"/>
      <c r="L80" s="52">
        <f>P80/J80</f>
        <v>4.3425751161072459E-2</v>
      </c>
      <c r="M80" s="23"/>
      <c r="N80" s="35"/>
      <c r="O80" s="35"/>
      <c r="P80" s="53">
        <f>+P78+P79</f>
        <v>75316895.529942721</v>
      </c>
      <c r="Q80" s="2" t="s">
        <v>10</v>
      </c>
      <c r="R80" s="62" t="s">
        <v>10</v>
      </c>
    </row>
    <row r="81" spans="1:16" ht="15.75" thickTop="1">
      <c r="A81" s="9"/>
      <c r="B81" s="43"/>
      <c r="C81" s="35"/>
      <c r="D81" s="35"/>
      <c r="E81" s="35"/>
      <c r="F81" s="33"/>
      <c r="G81" s="33"/>
      <c r="H81" s="33"/>
      <c r="I81" s="33"/>
      <c r="J81" s="54"/>
      <c r="K81" s="35"/>
      <c r="L81" s="23"/>
      <c r="M81" s="23"/>
      <c r="N81" s="35"/>
      <c r="O81" s="35"/>
      <c r="P81" s="54"/>
    </row>
    <row r="82" spans="1:16">
      <c r="A82" s="9"/>
      <c r="B82" s="43"/>
      <c r="C82" s="35"/>
      <c r="D82" s="46" t="s">
        <v>88</v>
      </c>
      <c r="E82" s="35"/>
      <c r="F82" s="33"/>
      <c r="G82" s="33"/>
      <c r="H82" s="33"/>
      <c r="I82" s="33"/>
      <c r="J82" s="54"/>
      <c r="K82" s="35"/>
      <c r="L82" s="23"/>
      <c r="M82" s="23"/>
      <c r="N82" s="35"/>
      <c r="O82" s="35"/>
      <c r="P82" s="54"/>
    </row>
    <row r="83" spans="1:16">
      <c r="A83" s="9"/>
      <c r="B83" s="43">
        <v>11</v>
      </c>
      <c r="C83" s="35"/>
      <c r="D83" s="47" t="s">
        <v>89</v>
      </c>
      <c r="E83" s="35"/>
      <c r="F83" s="23">
        <v>0.39999999999999991</v>
      </c>
      <c r="G83" s="33"/>
      <c r="H83" s="48"/>
      <c r="I83" s="25"/>
      <c r="J83" s="49">
        <f>+J74*F83</f>
        <v>1156255501.4969699</v>
      </c>
      <c r="K83" s="35"/>
      <c r="L83" s="23">
        <f t="shared" ref="L83:L87" si="0">P83/J83</f>
        <v>8.9417436087892044E-2</v>
      </c>
      <c r="M83" s="23"/>
      <c r="N83" s="48"/>
      <c r="O83" s="25"/>
      <c r="P83" s="49">
        <f>P15+P32+P49+P66</f>
        <v>103389402.40637888</v>
      </c>
    </row>
    <row r="84" spans="1:16">
      <c r="A84" s="9"/>
      <c r="B84" s="43">
        <v>12</v>
      </c>
      <c r="C84" s="35"/>
      <c r="D84" s="47" t="s">
        <v>90</v>
      </c>
      <c r="E84" s="35"/>
      <c r="F84" s="27">
        <v>0</v>
      </c>
      <c r="G84" s="33"/>
      <c r="H84" s="48"/>
      <c r="I84" s="25"/>
      <c r="J84" s="50">
        <f>+J74*F84</f>
        <v>0</v>
      </c>
      <c r="K84" s="35"/>
      <c r="L84" s="27">
        <v>0</v>
      </c>
      <c r="M84" s="23"/>
      <c r="N84" s="48"/>
      <c r="O84" s="25"/>
      <c r="P84" s="50">
        <f>P16+P33+P50+P67</f>
        <v>0</v>
      </c>
    </row>
    <row r="85" spans="1:16" ht="15.75" thickBot="1">
      <c r="A85" s="9"/>
      <c r="B85" s="43">
        <v>13</v>
      </c>
      <c r="C85" s="35"/>
      <c r="D85" s="51" t="s">
        <v>91</v>
      </c>
      <c r="E85" s="35"/>
      <c r="F85" s="52">
        <v>0.39999999999999991</v>
      </c>
      <c r="G85" s="33"/>
      <c r="H85" s="33"/>
      <c r="I85" s="33"/>
      <c r="J85" s="53">
        <f>+J83+J84</f>
        <v>1156255501.4969699</v>
      </c>
      <c r="K85" s="35"/>
      <c r="L85" s="52">
        <f t="shared" si="0"/>
        <v>8.9417436087892044E-2</v>
      </c>
      <c r="M85" s="23"/>
      <c r="N85" s="35"/>
      <c r="O85" s="35"/>
      <c r="P85" s="53">
        <f>P17+P34+P51+P68</f>
        <v>103389402.40637888</v>
      </c>
    </row>
    <row r="86" spans="1:16" ht="15.75" thickTop="1">
      <c r="A86" s="9"/>
      <c r="B86" s="43"/>
      <c r="C86" s="35"/>
      <c r="D86" s="35"/>
      <c r="E86" s="35"/>
      <c r="F86" s="35"/>
      <c r="G86" s="35"/>
      <c r="H86" s="35"/>
      <c r="I86" s="35"/>
      <c r="J86" s="54"/>
      <c r="K86" s="35"/>
      <c r="L86" s="23"/>
      <c r="M86" s="23"/>
      <c r="N86" s="35"/>
      <c r="O86" s="35"/>
      <c r="P86" s="54"/>
    </row>
    <row r="87" spans="1:16" ht="15.75" thickBot="1">
      <c r="A87" s="9"/>
      <c r="B87" s="43">
        <v>14</v>
      </c>
      <c r="C87" s="35"/>
      <c r="D87" s="51" t="s">
        <v>68</v>
      </c>
      <c r="E87" s="35"/>
      <c r="F87" s="55">
        <v>1</v>
      </c>
      <c r="G87" s="56"/>
      <c r="H87" s="56"/>
      <c r="I87" s="56"/>
      <c r="J87" s="57">
        <f>+J85+J80</f>
        <v>2890638753.7424254</v>
      </c>
      <c r="K87" s="35"/>
      <c r="L87" s="58">
        <f t="shared" si="0"/>
        <v>6.18224251318003E-2</v>
      </c>
      <c r="M87" s="23"/>
      <c r="N87" s="35"/>
      <c r="O87" s="35"/>
      <c r="P87" s="57">
        <f>P19+P36+P53+P70</f>
        <v>178706297.93632162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" right="0.7" top="0.75" bottom="0.75" header="0.3" footer="0.3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4"/>
  <sheetViews>
    <sheetView tabSelected="1" topLeftCell="A4" zoomScaleNormal="100" workbookViewId="0">
      <pane ySplit="1215" activePane="bottomLeft"/>
      <selection activeCell="L4" sqref="L1:L1048576"/>
      <selection pane="bottomLeft" activeCell="E40" sqref="E40"/>
    </sheetView>
  </sheetViews>
  <sheetFormatPr defaultRowHeight="12.75"/>
  <cols>
    <col min="1" max="1" width="58.8554687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6" customWidth="1"/>
    <col min="6" max="6" width="15.140625" style="6" bestFit="1" customWidth="1"/>
    <col min="7" max="7" width="16.42578125" style="6" bestFit="1" customWidth="1"/>
    <col min="8" max="8" width="15" style="6" bestFit="1" customWidth="1"/>
    <col min="9" max="9" width="15.85546875" style="6" bestFit="1" customWidth="1"/>
    <col min="10" max="10" width="30.7109375" style="6" bestFit="1" customWidth="1"/>
    <col min="11" max="16384" width="9.140625" style="5"/>
  </cols>
  <sheetData>
    <row r="1" spans="1:10" ht="28.5" customHeight="1">
      <c r="A1" s="10" t="s">
        <v>118</v>
      </c>
      <c r="B1" s="3"/>
      <c r="C1" s="3"/>
      <c r="D1" s="3"/>
      <c r="E1" s="4"/>
      <c r="F1" s="4"/>
      <c r="G1" s="4"/>
      <c r="H1" s="4"/>
      <c r="I1" s="4"/>
      <c r="J1" s="4"/>
    </row>
    <row r="2" spans="1:10" ht="15">
      <c r="A2" s="146"/>
      <c r="B2" s="149"/>
      <c r="C2" s="151"/>
      <c r="D2" s="149"/>
      <c r="E2" s="233" t="s">
        <v>119</v>
      </c>
      <c r="F2" s="233"/>
      <c r="G2" s="233"/>
      <c r="H2" s="233"/>
      <c r="I2" s="150"/>
      <c r="J2" s="149"/>
    </row>
    <row r="3" spans="1:10" ht="37.5" customHeight="1">
      <c r="A3" s="146"/>
      <c r="B3" s="149"/>
      <c r="C3" s="151"/>
      <c r="D3" s="149"/>
      <c r="E3" s="223">
        <f>'Table 1 Allocations'!E13</f>
        <v>0.23439487596069178</v>
      </c>
      <c r="F3" s="223">
        <f>'Table 1 Allocations'!F13</f>
        <v>0.13709030064682498</v>
      </c>
      <c r="G3" s="223">
        <f>'Table 1 Allocations'!G13</f>
        <v>0.2545914626339395</v>
      </c>
      <c r="H3" s="223">
        <f>'Table 1 Allocations'!H13</f>
        <v>0.37392336075854371</v>
      </c>
      <c r="I3" s="224"/>
      <c r="J3" s="149"/>
    </row>
    <row r="4" spans="1:10" ht="15.75" customHeight="1">
      <c r="A4" s="149"/>
      <c r="B4" s="149"/>
      <c r="C4" s="152" t="s">
        <v>80</v>
      </c>
      <c r="D4" s="149"/>
      <c r="E4" s="152"/>
      <c r="F4" s="151"/>
      <c r="G4" s="151"/>
      <c r="H4" s="151"/>
      <c r="I4" s="151" t="s">
        <v>30</v>
      </c>
      <c r="J4" s="149"/>
    </row>
    <row r="5" spans="1:10" ht="15">
      <c r="A5" s="149"/>
      <c r="B5" s="149"/>
      <c r="C5" s="153" t="s">
        <v>31</v>
      </c>
      <c r="D5" s="149"/>
      <c r="E5" s="153" t="s">
        <v>6</v>
      </c>
      <c r="F5" s="153" t="s">
        <v>8</v>
      </c>
      <c r="G5" s="153" t="s">
        <v>7</v>
      </c>
      <c r="H5" s="153" t="s">
        <v>9</v>
      </c>
      <c r="I5" s="153" t="s">
        <v>32</v>
      </c>
      <c r="J5" s="154" t="s">
        <v>33</v>
      </c>
    </row>
    <row r="6" spans="1:10" ht="15">
      <c r="A6" s="149"/>
      <c r="B6" s="149"/>
      <c r="C6" s="155"/>
      <c r="D6" s="149"/>
      <c r="E6" s="150"/>
      <c r="F6" s="149"/>
      <c r="G6" s="149"/>
      <c r="H6" s="149"/>
      <c r="I6" s="149"/>
      <c r="J6" s="149"/>
    </row>
    <row r="7" spans="1:10" ht="15">
      <c r="A7" s="149" t="s">
        <v>34</v>
      </c>
      <c r="B7" s="149"/>
      <c r="C7" s="155">
        <v>148270098.97999901</v>
      </c>
      <c r="D7" s="149"/>
      <c r="E7" s="150"/>
      <c r="F7" s="155"/>
      <c r="G7" s="155"/>
      <c r="H7" s="155"/>
      <c r="I7" s="155"/>
      <c r="J7" s="149"/>
    </row>
    <row r="8" spans="1:10" ht="15">
      <c r="A8" s="149"/>
      <c r="B8" s="149"/>
      <c r="C8" s="155"/>
      <c r="D8" s="149"/>
      <c r="E8" s="150"/>
      <c r="F8" s="155"/>
      <c r="G8" s="155"/>
      <c r="H8" s="155"/>
      <c r="I8" s="155"/>
      <c r="J8" s="149"/>
    </row>
    <row r="9" spans="1:10" ht="15">
      <c r="A9" s="156" t="s">
        <v>35</v>
      </c>
      <c r="B9" s="155"/>
      <c r="C9" s="155"/>
      <c r="D9" s="149"/>
      <c r="E9" s="157"/>
      <c r="F9" s="155"/>
      <c r="G9" s="155"/>
      <c r="H9" s="155"/>
      <c r="I9" s="155"/>
      <c r="J9" s="149"/>
    </row>
    <row r="10" spans="1:10" ht="15">
      <c r="A10" s="149" t="s">
        <v>36</v>
      </c>
      <c r="B10" s="155"/>
      <c r="C10" s="155">
        <v>-3162.4700000000003</v>
      </c>
      <c r="D10" s="149"/>
      <c r="E10" s="157">
        <v>-3162.4700000000003</v>
      </c>
      <c r="F10" s="155"/>
      <c r="G10" s="155"/>
      <c r="H10" s="155"/>
      <c r="I10" s="155"/>
      <c r="J10" s="149"/>
    </row>
    <row r="11" spans="1:10" ht="15">
      <c r="A11" s="158" t="s">
        <v>37</v>
      </c>
      <c r="B11" s="155"/>
      <c r="C11" s="155">
        <v>131754575.44000024</v>
      </c>
      <c r="D11" s="149"/>
      <c r="E11" s="157">
        <f>+'Table 1 Allocations'!E34+'Table 1 Allocations'!E36</f>
        <v>22970156</v>
      </c>
      <c r="F11" s="179">
        <f>+'Table 1 Allocations'!G34+'Table 1 Allocations'!G36</f>
        <v>33012226.300000001</v>
      </c>
      <c r="G11" s="179">
        <f>+'Table 1 Allocations'!F34+'Table 1 Allocations'!F36</f>
        <v>16809584</v>
      </c>
      <c r="H11" s="179">
        <f>+'Table 1 Allocations'!H34+'Table 1 Allocations'!H36</f>
        <v>50591691.299999997</v>
      </c>
      <c r="I11" s="179">
        <f>+C11-SUM(E11:H11)</f>
        <v>8370917.840000242</v>
      </c>
      <c r="J11" s="160" t="s">
        <v>38</v>
      </c>
    </row>
    <row r="12" spans="1:10" ht="15">
      <c r="A12" s="149" t="s">
        <v>39</v>
      </c>
      <c r="B12" s="155"/>
      <c r="C12" s="155">
        <v>7305330</v>
      </c>
      <c r="D12" s="149"/>
      <c r="E12" s="157">
        <f>+'Table 1 Allocations'!E38</f>
        <v>2395404</v>
      </c>
      <c r="F12" s="179">
        <f>+'Table 1 Allocations'!G38</f>
        <v>1656091</v>
      </c>
      <c r="G12" s="179">
        <f>+'Table 1 Allocations'!F38</f>
        <v>739320</v>
      </c>
      <c r="H12" s="179">
        <f>+'Table 1 Allocations'!H38</f>
        <v>2372384</v>
      </c>
      <c r="I12" s="179">
        <f t="shared" ref="I12:I23" si="0">+C12-SUM(E12:H12)</f>
        <v>142131</v>
      </c>
      <c r="J12" s="160" t="s">
        <v>40</v>
      </c>
    </row>
    <row r="13" spans="1:10" ht="15">
      <c r="A13" s="149" t="s">
        <v>41</v>
      </c>
      <c r="B13" s="155"/>
      <c r="C13" s="155">
        <v>79909</v>
      </c>
      <c r="D13" s="149"/>
      <c r="E13" s="225">
        <f>+$C$13*E3</f>
        <v>18730.260143142921</v>
      </c>
      <c r="F13" s="179">
        <f t="shared" ref="F13:H13" si="1">+$C$13*F3</f>
        <v>10954.748834387137</v>
      </c>
      <c r="G13" s="179">
        <f t="shared" si="1"/>
        <v>20344.149187615472</v>
      </c>
      <c r="H13" s="179">
        <f t="shared" si="1"/>
        <v>29879.841834854469</v>
      </c>
      <c r="I13" s="179">
        <f t="shared" si="0"/>
        <v>0</v>
      </c>
      <c r="J13" s="161" t="s">
        <v>42</v>
      </c>
    </row>
    <row r="14" spans="1:10" ht="15">
      <c r="A14" s="149" t="s">
        <v>43</v>
      </c>
      <c r="B14" s="155"/>
      <c r="C14" s="155">
        <v>284113.73999999987</v>
      </c>
      <c r="D14" s="149"/>
      <c r="E14" s="225">
        <f>+$C$14*E3</f>
        <v>66594.804846028201</v>
      </c>
      <c r="F14" s="179">
        <f t="shared" ref="F14:H14" si="2">+$C$14*F3</f>
        <v>38949.23803449385</v>
      </c>
      <c r="G14" s="179">
        <f t="shared" si="2"/>
        <v>72332.932620998778</v>
      </c>
      <c r="H14" s="179">
        <f t="shared" si="2"/>
        <v>106236.76449847904</v>
      </c>
      <c r="I14" s="179">
        <f t="shared" si="0"/>
        <v>0</v>
      </c>
      <c r="J14" s="161" t="s">
        <v>42</v>
      </c>
    </row>
    <row r="15" spans="1:10" ht="15">
      <c r="A15" s="149" t="s">
        <v>44</v>
      </c>
      <c r="B15" s="155"/>
      <c r="C15" s="155">
        <v>16867</v>
      </c>
      <c r="D15" s="149"/>
      <c r="E15" s="225">
        <f>+$C$15*E3</f>
        <v>3953.538372828988</v>
      </c>
      <c r="F15" s="179">
        <f t="shared" ref="F15:H15" si="3">+$C$15*F3</f>
        <v>2312.3021010099969</v>
      </c>
      <c r="G15" s="179">
        <f t="shared" si="3"/>
        <v>4294.1942002466576</v>
      </c>
      <c r="H15" s="179">
        <f t="shared" si="3"/>
        <v>6306.965325914357</v>
      </c>
      <c r="I15" s="179">
        <f t="shared" si="0"/>
        <v>0</v>
      </c>
      <c r="J15" s="161" t="s">
        <v>42</v>
      </c>
    </row>
    <row r="16" spans="1:10" ht="15">
      <c r="A16" s="158" t="s">
        <v>45</v>
      </c>
      <c r="B16" s="155"/>
      <c r="C16" s="155"/>
      <c r="D16" s="149"/>
      <c r="E16" s="157"/>
      <c r="F16" s="157"/>
      <c r="G16" s="157"/>
      <c r="H16" s="157"/>
      <c r="I16" s="179">
        <f t="shared" si="0"/>
        <v>0</v>
      </c>
      <c r="J16" s="160" t="s">
        <v>46</v>
      </c>
    </row>
    <row r="17" spans="1:10" ht="15">
      <c r="A17" s="158" t="s">
        <v>47</v>
      </c>
      <c r="B17" s="155"/>
      <c r="C17" s="155">
        <v>67037175.030000001</v>
      </c>
      <c r="D17" s="149"/>
      <c r="E17" s="157">
        <v>30660572.579999998</v>
      </c>
      <c r="F17" s="157">
        <v>8263444.8200000003</v>
      </c>
      <c r="G17" s="157">
        <v>5705601.6800000006</v>
      </c>
      <c r="H17" s="157">
        <v>19860914.359999999</v>
      </c>
      <c r="I17" s="179">
        <f t="shared" si="0"/>
        <v>2546641.5900000036</v>
      </c>
      <c r="J17" s="160" t="s">
        <v>40</v>
      </c>
    </row>
    <row r="18" spans="1:10" ht="15">
      <c r="A18" s="158" t="s">
        <v>48</v>
      </c>
      <c r="B18" s="155"/>
      <c r="C18" s="155"/>
      <c r="D18" s="149"/>
      <c r="E18" s="157"/>
      <c r="F18" s="157"/>
      <c r="G18" s="157"/>
      <c r="H18" s="157"/>
      <c r="I18" s="179">
        <f t="shared" si="0"/>
        <v>0</v>
      </c>
      <c r="J18" s="160" t="s">
        <v>40</v>
      </c>
    </row>
    <row r="19" spans="1:10" ht="15">
      <c r="A19" s="158" t="s">
        <v>49</v>
      </c>
      <c r="B19" s="155"/>
      <c r="C19" s="155">
        <v>85565.04</v>
      </c>
      <c r="D19" s="149"/>
      <c r="E19" s="157"/>
      <c r="F19" s="157">
        <v>85565.04</v>
      </c>
      <c r="G19" s="157"/>
      <c r="H19" s="157"/>
      <c r="I19" s="179">
        <f t="shared" si="0"/>
        <v>0</v>
      </c>
      <c r="J19" s="160" t="s">
        <v>46</v>
      </c>
    </row>
    <row r="20" spans="1:10" ht="15">
      <c r="A20" s="158" t="s">
        <v>50</v>
      </c>
      <c r="B20" s="155"/>
      <c r="C20" s="155">
        <v>1020052.500153548</v>
      </c>
      <c r="D20" s="149"/>
      <c r="E20" s="157"/>
      <c r="F20" s="157"/>
      <c r="G20" s="157"/>
      <c r="H20" s="157">
        <v>1020052.500153548</v>
      </c>
      <c r="I20" s="179">
        <f t="shared" si="0"/>
        <v>0</v>
      </c>
      <c r="J20" s="160" t="s">
        <v>46</v>
      </c>
    </row>
    <row r="21" spans="1:10" ht="15">
      <c r="A21" s="158" t="s">
        <v>51</v>
      </c>
      <c r="B21" s="155"/>
      <c r="C21" s="155">
        <v>68266584</v>
      </c>
      <c r="D21" s="149"/>
      <c r="E21" s="157">
        <v>5996189</v>
      </c>
      <c r="F21" s="157">
        <v>9048363</v>
      </c>
      <c r="G21" s="157">
        <v>9416961</v>
      </c>
      <c r="H21" s="157">
        <v>43805071</v>
      </c>
      <c r="I21" s="179">
        <f t="shared" si="0"/>
        <v>0</v>
      </c>
      <c r="J21" s="160" t="s">
        <v>40</v>
      </c>
    </row>
    <row r="22" spans="1:10" ht="15">
      <c r="A22" s="158" t="s">
        <v>120</v>
      </c>
      <c r="B22" s="155"/>
      <c r="C22" s="155">
        <v>918287</v>
      </c>
      <c r="D22" s="149"/>
      <c r="E22" s="157"/>
      <c r="F22" s="157"/>
      <c r="G22" s="157"/>
      <c r="H22" s="157"/>
      <c r="I22" s="179">
        <f t="shared" si="0"/>
        <v>918287</v>
      </c>
      <c r="J22" s="160"/>
    </row>
    <row r="23" spans="1:10" ht="15">
      <c r="A23" s="158" t="s">
        <v>121</v>
      </c>
      <c r="B23" s="155"/>
      <c r="C23" s="155">
        <v>268362.37</v>
      </c>
      <c r="D23" s="149"/>
      <c r="E23" s="157"/>
      <c r="F23" s="157"/>
      <c r="G23" s="157"/>
      <c r="H23" s="157"/>
      <c r="I23" s="179">
        <f t="shared" si="0"/>
        <v>268362.37</v>
      </c>
      <c r="J23" s="160"/>
    </row>
    <row r="24" spans="1:10" ht="15">
      <c r="A24" s="158"/>
      <c r="B24" s="155"/>
      <c r="C24" s="155"/>
      <c r="D24" s="149"/>
      <c r="E24" s="157"/>
      <c r="F24" s="149"/>
      <c r="G24" s="149"/>
      <c r="H24" s="149"/>
      <c r="I24" s="162"/>
      <c r="J24" s="160"/>
    </row>
    <row r="25" spans="1:10" ht="15">
      <c r="A25" s="158" t="s">
        <v>52</v>
      </c>
      <c r="B25" s="163"/>
      <c r="C25" s="164">
        <f>SUM(C10:C23)</f>
        <v>277033658.65015376</v>
      </c>
      <c r="D25" s="149"/>
      <c r="E25" s="164">
        <f t="shared" ref="E25:H25" si="4">SUM(E10:E23)</f>
        <v>62108437.713362001</v>
      </c>
      <c r="F25" s="164">
        <f t="shared" si="4"/>
        <v>52117906.448969886</v>
      </c>
      <c r="G25" s="164">
        <f t="shared" si="4"/>
        <v>32768437.956008863</v>
      </c>
      <c r="H25" s="164">
        <f t="shared" si="4"/>
        <v>117792536.73181279</v>
      </c>
      <c r="I25" s="164">
        <f>SUM(I10:I23)</f>
        <v>12246339.800000245</v>
      </c>
      <c r="J25" s="160"/>
    </row>
    <row r="26" spans="1:10" ht="15">
      <c r="A26" s="158"/>
      <c r="B26" s="155"/>
      <c r="C26" s="155"/>
      <c r="D26" s="149"/>
      <c r="E26" s="157"/>
      <c r="F26" s="149"/>
      <c r="G26" s="149"/>
      <c r="H26" s="149"/>
      <c r="I26" s="162"/>
      <c r="J26" s="160"/>
    </row>
    <row r="27" spans="1:10" ht="15">
      <c r="A27" s="156" t="s">
        <v>53</v>
      </c>
      <c r="B27" s="155"/>
      <c r="C27" s="155"/>
      <c r="D27" s="149"/>
      <c r="E27" s="157"/>
      <c r="F27" s="149"/>
      <c r="G27" s="149"/>
      <c r="H27" s="149"/>
      <c r="I27" s="162"/>
      <c r="J27" s="160"/>
    </row>
    <row r="28" spans="1:10" ht="15">
      <c r="A28" s="158" t="s">
        <v>54</v>
      </c>
      <c r="B28" s="159"/>
      <c r="C28" s="155">
        <v>-680975.38</v>
      </c>
      <c r="D28" s="149"/>
      <c r="E28" s="157">
        <v>-396824.80000000005</v>
      </c>
      <c r="F28" s="155">
        <v>-150874.59999999998</v>
      </c>
      <c r="G28" s="155">
        <v>14587.779999999999</v>
      </c>
      <c r="H28" s="155">
        <v>-147863.76</v>
      </c>
      <c r="I28" s="179">
        <f t="shared" ref="I28:I41" si="5">+C28-SUM(E28:H28)</f>
        <v>0</v>
      </c>
      <c r="J28" s="160" t="s">
        <v>40</v>
      </c>
    </row>
    <row r="29" spans="1:10" ht="15">
      <c r="A29" s="158" t="s">
        <v>55</v>
      </c>
      <c r="B29" s="155"/>
      <c r="C29" s="155"/>
      <c r="D29" s="149"/>
      <c r="E29" s="157"/>
      <c r="F29" s="155"/>
      <c r="G29" s="155"/>
      <c r="H29" s="155"/>
      <c r="I29" s="179">
        <f t="shared" si="5"/>
        <v>0</v>
      </c>
      <c r="J29" s="160" t="s">
        <v>40</v>
      </c>
    </row>
    <row r="30" spans="1:10" ht="15">
      <c r="A30" s="158" t="s">
        <v>56</v>
      </c>
      <c r="B30" s="155"/>
      <c r="C30" s="155">
        <v>-200441645</v>
      </c>
      <c r="D30" s="149"/>
      <c r="E30" s="157">
        <v>-33064772</v>
      </c>
      <c r="F30" s="147">
        <v>-47011284</v>
      </c>
      <c r="G30" s="147">
        <v>-20887268</v>
      </c>
      <c r="H30" s="147">
        <v>-69177711</v>
      </c>
      <c r="I30" s="179">
        <f t="shared" si="5"/>
        <v>-30300610</v>
      </c>
      <c r="J30" s="160" t="s">
        <v>40</v>
      </c>
    </row>
    <row r="31" spans="1:10" ht="15">
      <c r="A31" s="158" t="s">
        <v>57</v>
      </c>
      <c r="B31" s="155"/>
      <c r="C31" s="155">
        <v>-3776038.46</v>
      </c>
      <c r="D31" s="149"/>
      <c r="E31" s="157">
        <v>-316884.98000000004</v>
      </c>
      <c r="F31" s="155">
        <v>-406001.05</v>
      </c>
      <c r="G31" s="155">
        <v>-458274.38999999996</v>
      </c>
      <c r="H31" s="155">
        <v>-2594878.04</v>
      </c>
      <c r="I31" s="179">
        <f t="shared" si="5"/>
        <v>0</v>
      </c>
      <c r="J31" s="160" t="s">
        <v>40</v>
      </c>
    </row>
    <row r="32" spans="1:10" ht="15">
      <c r="A32" s="158" t="s">
        <v>58</v>
      </c>
      <c r="B32" s="155"/>
      <c r="C32" s="155">
        <v>-4861883</v>
      </c>
      <c r="D32" s="149"/>
      <c r="E32" s="157">
        <v>-968230.71710944129</v>
      </c>
      <c r="F32" s="155">
        <v>-1174142.8625852361</v>
      </c>
      <c r="G32" s="155">
        <v>-532095.05157970393</v>
      </c>
      <c r="H32" s="155">
        <v>-2187414.3687256188</v>
      </c>
      <c r="I32" s="179">
        <f t="shared" si="5"/>
        <v>0</v>
      </c>
      <c r="J32" s="160" t="s">
        <v>40</v>
      </c>
    </row>
    <row r="33" spans="1:10" ht="15">
      <c r="A33" s="158" t="s">
        <v>59</v>
      </c>
      <c r="B33" s="155"/>
      <c r="C33" s="155">
        <v>-8824271.7899999991</v>
      </c>
      <c r="D33" s="149"/>
      <c r="E33" s="157"/>
      <c r="F33" s="155"/>
      <c r="G33" s="155"/>
      <c r="H33" s="155"/>
      <c r="I33" s="179">
        <f t="shared" si="5"/>
        <v>-8824271.7899999991</v>
      </c>
      <c r="J33" s="160" t="s">
        <v>60</v>
      </c>
    </row>
    <row r="34" spans="1:10" ht="15">
      <c r="A34" s="158" t="s">
        <v>61</v>
      </c>
      <c r="B34" s="155"/>
      <c r="C34" s="155">
        <v>-68266584</v>
      </c>
      <c r="D34" s="149"/>
      <c r="E34" s="155">
        <v>-5996189</v>
      </c>
      <c r="F34" s="155">
        <v>-9048363</v>
      </c>
      <c r="G34" s="155">
        <v>-9416961</v>
      </c>
      <c r="H34" s="155">
        <v>-43805071</v>
      </c>
      <c r="I34" s="179">
        <f t="shared" si="5"/>
        <v>0</v>
      </c>
      <c r="J34" s="150" t="s">
        <v>40</v>
      </c>
    </row>
    <row r="35" spans="1:10" ht="15">
      <c r="A35" s="158" t="s">
        <v>122</v>
      </c>
      <c r="B35" s="155"/>
      <c r="C35" s="155">
        <v>25298.555</v>
      </c>
      <c r="D35" s="149"/>
      <c r="E35" s="157">
        <v>20962.555</v>
      </c>
      <c r="F35" s="155"/>
      <c r="G35" s="155"/>
      <c r="H35" s="155">
        <v>4336</v>
      </c>
      <c r="I35" s="179">
        <f t="shared" si="5"/>
        <v>0</v>
      </c>
      <c r="J35" s="150" t="s">
        <v>40</v>
      </c>
    </row>
    <row r="36" spans="1:10" ht="15">
      <c r="A36" s="158" t="s">
        <v>62</v>
      </c>
      <c r="B36" s="155"/>
      <c r="C36" s="155">
        <v>-80364898.560000002</v>
      </c>
      <c r="D36" s="149"/>
      <c r="E36" s="157">
        <v>-30754715.119999997</v>
      </c>
      <c r="F36" s="155">
        <v>-7831661.0899999999</v>
      </c>
      <c r="G36" s="155">
        <v>-5514859.4499999993</v>
      </c>
      <c r="H36" s="155">
        <v>-26276408.649999999</v>
      </c>
      <c r="I36" s="179">
        <f t="shared" si="5"/>
        <v>-9987254.25</v>
      </c>
      <c r="J36" s="150" t="s">
        <v>40</v>
      </c>
    </row>
    <row r="37" spans="1:10" ht="15">
      <c r="A37" s="158" t="s">
        <v>63</v>
      </c>
      <c r="B37" s="155"/>
      <c r="C37" s="155">
        <v>-1429911.4829013506</v>
      </c>
      <c r="D37" s="149"/>
      <c r="E37" s="157"/>
      <c r="F37" s="155"/>
      <c r="G37" s="155"/>
      <c r="H37" s="155">
        <v>-1429911.4829013506</v>
      </c>
      <c r="I37" s="179">
        <f t="shared" si="5"/>
        <v>0</v>
      </c>
      <c r="J37" s="150" t="s">
        <v>46</v>
      </c>
    </row>
    <row r="38" spans="1:10" ht="15">
      <c r="A38" s="158" t="s">
        <v>64</v>
      </c>
      <c r="B38" s="155"/>
      <c r="C38" s="155">
        <v>-250479.8</v>
      </c>
      <c r="D38" s="149"/>
      <c r="E38" s="157"/>
      <c r="F38" s="155">
        <v>-31014</v>
      </c>
      <c r="G38" s="155">
        <v>-10204.799999999999</v>
      </c>
      <c r="H38" s="155">
        <v>-209261</v>
      </c>
      <c r="I38" s="179">
        <f t="shared" si="5"/>
        <v>0</v>
      </c>
      <c r="J38" s="150" t="s">
        <v>46</v>
      </c>
    </row>
    <row r="39" spans="1:10" ht="15">
      <c r="A39" s="158" t="s">
        <v>65</v>
      </c>
      <c r="B39" s="155"/>
      <c r="C39" s="155">
        <v>8034409.1399091836</v>
      </c>
      <c r="D39" s="149"/>
      <c r="E39" s="157"/>
      <c r="F39" s="155"/>
      <c r="G39" s="155"/>
      <c r="H39" s="155"/>
      <c r="I39" s="179">
        <f t="shared" si="5"/>
        <v>8034409.1399091836</v>
      </c>
      <c r="J39" s="150" t="s">
        <v>60</v>
      </c>
    </row>
    <row r="40" spans="1:10" ht="15">
      <c r="A40" s="158" t="s">
        <v>66</v>
      </c>
      <c r="B40" s="155"/>
      <c r="C40" s="155">
        <v>-428672</v>
      </c>
      <c r="D40" s="149"/>
      <c r="E40" s="225">
        <f>$C$40*E3</f>
        <v>-100478.52026782166</v>
      </c>
      <c r="F40" s="179">
        <f t="shared" ref="F40:H40" si="6">$C$40*F3</f>
        <v>-58766.773358875755</v>
      </c>
      <c r="G40" s="179">
        <f t="shared" si="6"/>
        <v>-109136.23147021611</v>
      </c>
      <c r="H40" s="179">
        <f t="shared" si="6"/>
        <v>-160290.47490308646</v>
      </c>
      <c r="I40" s="179">
        <f t="shared" si="5"/>
        <v>0</v>
      </c>
      <c r="J40" s="161" t="s">
        <v>42</v>
      </c>
    </row>
    <row r="41" spans="1:10" ht="15">
      <c r="A41" s="158" t="s">
        <v>123</v>
      </c>
      <c r="B41" s="155"/>
      <c r="C41" s="155">
        <v>-3652434</v>
      </c>
      <c r="D41" s="149"/>
      <c r="E41" s="157"/>
      <c r="F41" s="155"/>
      <c r="G41" s="155"/>
      <c r="H41" s="155">
        <v>0</v>
      </c>
      <c r="I41" s="179">
        <f t="shared" si="5"/>
        <v>-3652434</v>
      </c>
      <c r="J41" s="161"/>
    </row>
    <row r="42" spans="1:10" ht="15">
      <c r="A42" s="158"/>
      <c r="B42" s="155"/>
      <c r="C42" s="155"/>
      <c r="D42" s="149"/>
      <c r="E42" s="157"/>
      <c r="F42" s="149"/>
      <c r="G42" s="149"/>
      <c r="H42" s="149"/>
      <c r="I42" s="149"/>
      <c r="J42" s="149"/>
    </row>
    <row r="43" spans="1:10" ht="15">
      <c r="A43" s="158"/>
      <c r="B43" s="155"/>
      <c r="C43" s="155"/>
      <c r="D43" s="149"/>
      <c r="E43" s="157"/>
      <c r="F43" s="149"/>
      <c r="G43" s="149"/>
      <c r="H43" s="149"/>
      <c r="I43" s="149"/>
      <c r="J43" s="149"/>
    </row>
    <row r="44" spans="1:10" ht="15">
      <c r="A44" s="158"/>
      <c r="B44" s="155"/>
      <c r="C44" s="155"/>
      <c r="D44" s="149"/>
      <c r="E44" s="157"/>
      <c r="F44" s="149"/>
      <c r="G44" s="149"/>
      <c r="H44" s="149"/>
      <c r="I44" s="149"/>
      <c r="J44" s="149"/>
    </row>
    <row r="45" spans="1:10" ht="15">
      <c r="A45" s="158" t="s">
        <v>67</v>
      </c>
      <c r="B45" s="163"/>
      <c r="C45" s="164">
        <f>SUM(C27:C42)</f>
        <v>-364918085.77799213</v>
      </c>
      <c r="D45" s="149"/>
      <c r="E45" s="164">
        <f t="shared" ref="E45:I45" si="7">SUM(E27:E42)</f>
        <v>-71577132.582377255</v>
      </c>
      <c r="F45" s="164">
        <f t="shared" si="7"/>
        <v>-65712107.375944115</v>
      </c>
      <c r="G45" s="164">
        <f t="shared" si="7"/>
        <v>-36914211.143049918</v>
      </c>
      <c r="H45" s="164">
        <f t="shared" si="7"/>
        <v>-145984473.77653006</v>
      </c>
      <c r="I45" s="164">
        <f t="shared" si="7"/>
        <v>-44730160.900090814</v>
      </c>
      <c r="J45" s="149"/>
    </row>
    <row r="46" spans="1:10" ht="15">
      <c r="A46" s="158"/>
      <c r="B46" s="159"/>
      <c r="C46" s="155"/>
      <c r="D46" s="149"/>
      <c r="E46" s="157"/>
      <c r="F46" s="149"/>
      <c r="G46" s="149"/>
      <c r="H46" s="149"/>
      <c r="I46" s="149"/>
      <c r="J46" s="149"/>
    </row>
    <row r="47" spans="1:10" ht="15">
      <c r="A47" s="158"/>
      <c r="B47" s="159"/>
      <c r="C47" s="155"/>
      <c r="D47" s="149"/>
      <c r="E47" s="157"/>
      <c r="F47" s="149"/>
      <c r="G47" s="149"/>
      <c r="H47" s="149"/>
      <c r="I47" s="149"/>
      <c r="J47" s="149"/>
    </row>
    <row r="48" spans="1:10" ht="15">
      <c r="A48" s="158" t="s">
        <v>68</v>
      </c>
      <c r="B48" s="159"/>
      <c r="C48" s="155">
        <v>60385671.852160633</v>
      </c>
      <c r="D48" s="149"/>
      <c r="E48" s="157"/>
      <c r="F48" s="157"/>
      <c r="G48" s="157"/>
      <c r="H48" s="157"/>
      <c r="I48" s="157"/>
      <c r="J48" s="149"/>
    </row>
    <row r="49" spans="1:10" ht="15">
      <c r="A49" s="149" t="s">
        <v>69</v>
      </c>
      <c r="B49" s="149"/>
      <c r="C49" s="165">
        <v>0</v>
      </c>
      <c r="D49" s="149"/>
      <c r="E49" s="157"/>
      <c r="F49" s="150"/>
      <c r="G49" s="150"/>
      <c r="H49" s="150"/>
      <c r="I49" s="150"/>
      <c r="J49" s="149"/>
    </row>
    <row r="50" spans="1:10" ht="15">
      <c r="A50" s="149"/>
      <c r="B50" s="149"/>
      <c r="C50" s="155">
        <v>60385671.852160633</v>
      </c>
      <c r="D50" s="149"/>
      <c r="E50" s="157"/>
      <c r="F50" s="150"/>
      <c r="G50" s="150"/>
      <c r="H50" s="150"/>
      <c r="I50" s="150"/>
      <c r="J50" s="149"/>
    </row>
    <row r="51" spans="1:10" ht="15">
      <c r="A51" s="149" t="s">
        <v>70</v>
      </c>
      <c r="B51" s="149"/>
      <c r="C51" s="165">
        <v>-17766999</v>
      </c>
      <c r="D51" s="149"/>
      <c r="E51" s="157"/>
      <c r="F51" s="150"/>
      <c r="G51" s="150"/>
      <c r="H51" s="150"/>
      <c r="I51" s="150"/>
      <c r="J51" s="149"/>
    </row>
    <row r="52" spans="1:10" ht="15">
      <c r="A52" s="149"/>
      <c r="B52" s="149"/>
      <c r="C52" s="155">
        <v>42618672.852160633</v>
      </c>
      <c r="D52" s="149"/>
      <c r="E52" s="157"/>
      <c r="F52" s="150"/>
      <c r="G52" s="150"/>
      <c r="H52" s="150"/>
      <c r="I52" s="150"/>
      <c r="J52" s="149"/>
    </row>
    <row r="53" spans="1:10" ht="15">
      <c r="A53" s="149" t="s">
        <v>124</v>
      </c>
      <c r="B53" s="149"/>
      <c r="C53" s="165">
        <v>-1529632</v>
      </c>
      <c r="D53" s="149"/>
      <c r="E53" s="157"/>
      <c r="F53" s="150"/>
      <c r="G53" s="150"/>
      <c r="H53" s="150"/>
      <c r="I53" s="150"/>
      <c r="J53" s="149"/>
    </row>
    <row r="54" spans="1:10" ht="15">
      <c r="A54" s="149"/>
      <c r="B54" s="149"/>
      <c r="C54" s="155">
        <v>41089040.852160633</v>
      </c>
      <c r="D54" s="149"/>
      <c r="E54" s="157"/>
      <c r="F54" s="150"/>
      <c r="G54" s="150"/>
      <c r="H54" s="150"/>
      <c r="I54" s="150"/>
      <c r="J54" s="149"/>
    </row>
    <row r="55" spans="1:10" ht="15">
      <c r="A55" s="149"/>
      <c r="B55" s="149"/>
      <c r="C55" s="155"/>
      <c r="D55" s="149"/>
      <c r="E55" s="157"/>
      <c r="F55" s="150"/>
      <c r="G55" s="150"/>
      <c r="H55" s="150"/>
      <c r="I55" s="150"/>
      <c r="J55" s="149"/>
    </row>
    <row r="56" spans="1:10" ht="15">
      <c r="A56" s="149"/>
      <c r="B56" s="149"/>
      <c r="C56" s="155"/>
      <c r="D56" s="149"/>
      <c r="E56" s="157"/>
      <c r="F56" s="150"/>
      <c r="G56" s="150"/>
      <c r="H56" s="150"/>
      <c r="I56" s="150"/>
      <c r="J56" s="149"/>
    </row>
    <row r="57" spans="1:10" ht="15">
      <c r="A57" s="149" t="s">
        <v>125</v>
      </c>
      <c r="B57" s="149"/>
      <c r="C57" s="155">
        <v>16195095.683821041</v>
      </c>
      <c r="D57" s="168">
        <v>0.38</v>
      </c>
      <c r="E57" s="157"/>
      <c r="F57" s="146" t="s">
        <v>126</v>
      </c>
      <c r="G57" s="146" t="s">
        <v>127</v>
      </c>
      <c r="H57" s="150"/>
      <c r="I57" s="150"/>
      <c r="J57" s="149"/>
    </row>
    <row r="58" spans="1:10" ht="15">
      <c r="A58" s="149" t="s">
        <v>128</v>
      </c>
      <c r="B58" s="149"/>
      <c r="C58" s="155">
        <v>270352.69919999829</v>
      </c>
      <c r="D58" s="169">
        <v>0.10666666666666599</v>
      </c>
      <c r="E58" s="157"/>
      <c r="F58" s="155">
        <v>42618672.852160633</v>
      </c>
      <c r="G58" s="155">
        <v>-2534556.5549999997</v>
      </c>
      <c r="H58" s="155">
        <v>40084116.297160633</v>
      </c>
      <c r="I58" s="150"/>
      <c r="J58" s="149"/>
    </row>
    <row r="59" spans="1:10" ht="15">
      <c r="A59" s="149" t="s">
        <v>129</v>
      </c>
      <c r="B59" s="149"/>
      <c r="C59" s="155">
        <v>-4261867.2852160633</v>
      </c>
      <c r="D59" s="169">
        <v>0.1</v>
      </c>
      <c r="E59" s="157"/>
      <c r="F59" s="150"/>
      <c r="G59" s="150"/>
      <c r="H59" s="150"/>
      <c r="I59" s="150"/>
      <c r="J59" s="149"/>
    </row>
    <row r="60" spans="1:10" ht="15">
      <c r="A60" s="149" t="s">
        <v>130</v>
      </c>
      <c r="B60" s="149"/>
      <c r="C60" s="167">
        <v>-5210935.1186308824</v>
      </c>
      <c r="D60" s="168">
        <v>0.13</v>
      </c>
      <c r="E60" s="157"/>
      <c r="F60" s="150"/>
      <c r="G60" s="150"/>
      <c r="H60" s="150"/>
      <c r="I60" s="150"/>
      <c r="J60" s="149"/>
    </row>
    <row r="61" spans="1:10" ht="15">
      <c r="A61" s="149" t="s">
        <v>131</v>
      </c>
      <c r="B61" s="149"/>
      <c r="C61" s="155">
        <v>-1529632</v>
      </c>
      <c r="D61" s="149"/>
      <c r="E61" s="157"/>
      <c r="F61" s="150"/>
      <c r="G61" s="150"/>
      <c r="H61" s="150"/>
      <c r="I61" s="150"/>
      <c r="J61" s="149"/>
    </row>
    <row r="62" spans="1:10" ht="15.75" thickBot="1">
      <c r="A62" s="149" t="s">
        <v>132</v>
      </c>
      <c r="B62" s="149"/>
      <c r="C62" s="166">
        <v>5463013.9791740943</v>
      </c>
      <c r="D62" s="149"/>
      <c r="E62" s="157"/>
      <c r="F62" s="150"/>
      <c r="G62" s="150"/>
      <c r="H62" s="150"/>
      <c r="I62" s="150"/>
      <c r="J62" s="149"/>
    </row>
    <row r="63" spans="1:10" ht="15.75" thickTop="1">
      <c r="A63" s="149"/>
      <c r="B63" s="149"/>
      <c r="C63" s="155"/>
      <c r="D63" s="149"/>
      <c r="E63" s="157"/>
      <c r="F63" s="150"/>
      <c r="G63" s="150"/>
      <c r="H63" s="150"/>
      <c r="I63" s="150"/>
      <c r="J63" s="149"/>
    </row>
    <row r="64" spans="1:10" ht="15">
      <c r="A64" s="149"/>
      <c r="B64" s="149"/>
      <c r="C64" s="155"/>
      <c r="D64" s="149"/>
      <c r="E64" s="157"/>
      <c r="F64" s="150"/>
      <c r="G64" s="150"/>
      <c r="H64" s="150"/>
      <c r="I64" s="150"/>
      <c r="J64" s="149"/>
    </row>
    <row r="65" spans="1:10" ht="15">
      <c r="A65" s="149" t="s">
        <v>133</v>
      </c>
      <c r="B65" s="149"/>
      <c r="C65" s="155">
        <v>42618672.852160633</v>
      </c>
      <c r="D65" s="149"/>
      <c r="E65" s="157"/>
      <c r="F65" s="150"/>
      <c r="G65" s="150"/>
      <c r="H65" s="150"/>
      <c r="I65" s="150"/>
      <c r="J65" s="149"/>
    </row>
    <row r="66" spans="1:10" ht="15">
      <c r="A66" s="149"/>
      <c r="B66" s="149"/>
      <c r="C66" s="148">
        <v>0.115</v>
      </c>
      <c r="D66" s="149"/>
      <c r="E66" s="157"/>
      <c r="F66" s="150"/>
      <c r="G66" s="150"/>
      <c r="H66" s="150"/>
      <c r="I66" s="150"/>
      <c r="J66" s="149"/>
    </row>
    <row r="67" spans="1:10" ht="15">
      <c r="A67" s="149"/>
      <c r="B67" s="149"/>
      <c r="C67" s="155">
        <v>4901147.3779984731</v>
      </c>
      <c r="D67" s="149"/>
      <c r="E67" s="157"/>
      <c r="F67" s="150"/>
      <c r="G67" s="150"/>
      <c r="H67" s="150"/>
      <c r="I67" s="150"/>
      <c r="J67" s="149"/>
    </row>
    <row r="68" spans="1:10" ht="15">
      <c r="A68" s="149" t="s">
        <v>134</v>
      </c>
      <c r="B68" s="149"/>
      <c r="C68" s="155">
        <v>-335915</v>
      </c>
      <c r="D68" s="149"/>
      <c r="E68" s="157"/>
      <c r="F68" s="150"/>
      <c r="G68" s="150"/>
      <c r="H68" s="150"/>
      <c r="I68" s="150"/>
      <c r="J68" s="149"/>
    </row>
    <row r="69" spans="1:10" ht="15.75" thickBot="1">
      <c r="A69" s="149" t="s">
        <v>135</v>
      </c>
      <c r="B69" s="149"/>
      <c r="C69" s="166">
        <v>4565232.3779984731</v>
      </c>
      <c r="D69" s="149"/>
      <c r="E69" s="157"/>
      <c r="F69" s="150"/>
      <c r="G69" s="150"/>
      <c r="H69" s="150"/>
      <c r="I69" s="150"/>
      <c r="J69" s="149"/>
    </row>
    <row r="70" spans="1:10" ht="15.75" thickTop="1">
      <c r="A70" s="149"/>
      <c r="B70" s="149"/>
      <c r="C70" s="155"/>
      <c r="D70" s="149"/>
      <c r="E70" s="157"/>
      <c r="F70" s="150"/>
      <c r="G70" s="150"/>
      <c r="H70" s="150"/>
      <c r="I70" s="150"/>
      <c r="J70" s="149"/>
    </row>
    <row r="71" spans="1:10" ht="15">
      <c r="A71" s="149"/>
      <c r="B71" s="149"/>
      <c r="C71" s="155"/>
      <c r="D71" s="149"/>
      <c r="E71" s="157"/>
      <c r="F71" s="150"/>
      <c r="G71" s="150"/>
      <c r="H71" s="150"/>
      <c r="I71" s="150"/>
      <c r="J71" s="149"/>
    </row>
    <row r="72" spans="1:10" ht="15">
      <c r="A72" s="149" t="s">
        <v>136</v>
      </c>
      <c r="B72" s="149"/>
      <c r="C72" s="155">
        <v>10028246.357172567</v>
      </c>
      <c r="D72" s="149" t="s">
        <v>71</v>
      </c>
      <c r="E72" s="157"/>
      <c r="F72" s="150"/>
      <c r="G72" s="150"/>
      <c r="H72" s="150"/>
      <c r="I72" s="150"/>
      <c r="J72" s="149"/>
    </row>
    <row r="73" spans="1:10" ht="15">
      <c r="A73" s="149"/>
      <c r="B73" s="149"/>
      <c r="C73" s="155"/>
      <c r="D73" s="149"/>
      <c r="E73" s="157"/>
      <c r="F73" s="150"/>
      <c r="G73" s="150"/>
      <c r="H73" s="150"/>
      <c r="I73" s="150"/>
      <c r="J73" s="149"/>
    </row>
    <row r="74" spans="1:10" ht="15">
      <c r="A74" s="149" t="s">
        <v>72</v>
      </c>
      <c r="B74" s="149"/>
      <c r="C74" s="155">
        <v>-1938102.2550000008</v>
      </c>
      <c r="D74" s="149" t="s">
        <v>71</v>
      </c>
      <c r="E74" s="157"/>
      <c r="F74" s="150"/>
      <c r="G74" s="150"/>
      <c r="H74" s="150"/>
      <c r="I74" s="150"/>
      <c r="J74" s="149"/>
    </row>
    <row r="75" spans="1:10" ht="15">
      <c r="A75" s="149"/>
      <c r="B75" s="149"/>
      <c r="C75" s="155"/>
      <c r="D75" s="149"/>
      <c r="E75" s="157"/>
      <c r="F75" s="150"/>
      <c r="G75" s="150"/>
      <c r="H75" s="150"/>
      <c r="I75" s="150"/>
      <c r="J75" s="149"/>
    </row>
    <row r="76" spans="1:10" ht="15">
      <c r="A76" s="149" t="s">
        <v>73</v>
      </c>
      <c r="B76" s="149"/>
      <c r="C76" s="155">
        <v>30239376.210000001</v>
      </c>
      <c r="D76" s="149" t="s">
        <v>71</v>
      </c>
      <c r="E76" s="157"/>
      <c r="F76" s="150"/>
      <c r="G76" s="150"/>
      <c r="H76" s="150"/>
      <c r="I76" s="150"/>
      <c r="J76" s="149"/>
    </row>
    <row r="77" spans="1:10" ht="15">
      <c r="A77" s="149"/>
      <c r="B77" s="149"/>
      <c r="C77" s="155"/>
      <c r="D77" s="149"/>
      <c r="E77" s="157"/>
      <c r="F77" s="150"/>
      <c r="G77" s="150"/>
      <c r="H77" s="150"/>
      <c r="I77" s="150"/>
      <c r="J77" s="149"/>
    </row>
    <row r="78" spans="1:10" ht="15">
      <c r="A78" s="149" t="s">
        <v>74</v>
      </c>
      <c r="B78" s="149"/>
      <c r="C78" s="155">
        <v>38329520.312172569</v>
      </c>
      <c r="D78" s="149" t="s">
        <v>75</v>
      </c>
      <c r="E78" s="157"/>
      <c r="F78" s="150"/>
      <c r="G78" s="150"/>
      <c r="H78" s="150"/>
      <c r="I78" s="150"/>
      <c r="J78" s="149"/>
    </row>
    <row r="79" spans="1:10" ht="15">
      <c r="A79" s="149"/>
      <c r="B79" s="149"/>
      <c r="C79" s="155">
        <v>9.2172570526599884E-2</v>
      </c>
      <c r="D79" s="149"/>
      <c r="E79" s="150"/>
      <c r="F79" s="150"/>
      <c r="G79" s="150"/>
      <c r="H79" s="150"/>
      <c r="I79" s="150"/>
      <c r="J79" s="146"/>
    </row>
    <row r="82" spans="1:8">
      <c r="E82" s="153" t="s">
        <v>6</v>
      </c>
      <c r="F82" s="153" t="s">
        <v>8</v>
      </c>
      <c r="G82" s="153" t="s">
        <v>7</v>
      </c>
      <c r="H82" s="153" t="s">
        <v>9</v>
      </c>
    </row>
    <row r="83" spans="1:8">
      <c r="A83" s="174" t="str">
        <f>+'Table 1 Allocations'!B56</f>
        <v xml:space="preserve">Regulatory Net Income before tax </v>
      </c>
      <c r="B83" s="174"/>
      <c r="C83" s="173">
        <f>+'Table 1 Allocations'!D56</f>
        <v>99010831.330057293</v>
      </c>
      <c r="D83" s="173"/>
      <c r="E83" s="178">
        <f>+'Table 1 Allocations'!E56</f>
        <v>22702008.225640353</v>
      </c>
      <c r="F83" s="178">
        <f>+'Table 1 Allocations'!G56</f>
        <v>14622806.624848846</v>
      </c>
      <c r="G83" s="178">
        <f>+'Table 1 Allocations'!F56</f>
        <v>13690426.599298036</v>
      </c>
      <c r="H83" s="178">
        <f>+'Table 1 Allocations'!H56</f>
        <v>47995589.880270049</v>
      </c>
    </row>
    <row r="84" spans="1:8">
      <c r="A84" s="174" t="s">
        <v>137</v>
      </c>
      <c r="B84" s="174"/>
      <c r="C84" s="172">
        <f>+SUM(E84:H84)</f>
        <v>-55400606.02774781</v>
      </c>
      <c r="D84" s="171"/>
      <c r="E84" s="176">
        <f>+E45+E25</f>
        <v>-9468694.8690152541</v>
      </c>
      <c r="F84" s="176">
        <f t="shared" ref="F84:H84" si="8">+F45+F25</f>
        <v>-13594200.92697423</v>
      </c>
      <c r="G84" s="176">
        <f t="shared" si="8"/>
        <v>-4145773.1870410554</v>
      </c>
      <c r="H84" s="176">
        <f t="shared" si="8"/>
        <v>-28191937.044717267</v>
      </c>
    </row>
    <row r="85" spans="1:8">
      <c r="A85" s="174" t="s">
        <v>138</v>
      </c>
      <c r="B85" s="174"/>
      <c r="C85" s="145">
        <f t="shared" ref="C85:C86" si="9">+SUM(E85:H85)</f>
        <v>43610225.302309476</v>
      </c>
      <c r="D85" s="175"/>
      <c r="E85" s="170">
        <f>+E83+E84</f>
        <v>13233313.356625099</v>
      </c>
      <c r="F85" s="170">
        <f t="shared" ref="F85:H85" si="10">+F83+F84</f>
        <v>1028605.6978746168</v>
      </c>
      <c r="G85" s="170">
        <f t="shared" si="10"/>
        <v>9544653.4122569803</v>
      </c>
      <c r="H85" s="170">
        <f t="shared" si="10"/>
        <v>19803652.835552782</v>
      </c>
    </row>
    <row r="86" spans="1:8">
      <c r="A86" s="174" t="s">
        <v>139</v>
      </c>
      <c r="B86" s="174"/>
      <c r="C86" s="145">
        <f t="shared" si="9"/>
        <v>11556709.705112012</v>
      </c>
      <c r="D86" s="175">
        <v>0.26500000000000001</v>
      </c>
      <c r="E86" s="170">
        <f>+E85*$D$86</f>
        <v>3506828.0395056512</v>
      </c>
      <c r="F86" s="170">
        <f t="shared" ref="F86:H86" si="11">+F85*$D$86</f>
        <v>272580.50993677345</v>
      </c>
      <c r="G86" s="170">
        <f t="shared" si="11"/>
        <v>2529333.1542480998</v>
      </c>
      <c r="H86" s="170">
        <f t="shared" si="11"/>
        <v>5247968.0014214879</v>
      </c>
    </row>
    <row r="87" spans="1:8">
      <c r="A87" s="174" t="s">
        <v>145</v>
      </c>
      <c r="B87" s="174"/>
      <c r="C87" s="177">
        <f>+'Table 1 Allocations'!E58*0.265</f>
        <v>-15117.720000000001</v>
      </c>
      <c r="D87" s="174"/>
      <c r="E87" s="178">
        <f>+C87</f>
        <v>-15117.720000000001</v>
      </c>
      <c r="F87" s="178"/>
      <c r="G87" s="178"/>
      <c r="H87" s="178"/>
    </row>
    <row r="88" spans="1:8">
      <c r="A88" s="174" t="s">
        <v>139</v>
      </c>
      <c r="B88" s="174"/>
      <c r="C88" s="145">
        <f>+C86+C87</f>
        <v>11541591.985112011</v>
      </c>
      <c r="D88" s="175">
        <v>0.26500000000000001</v>
      </c>
      <c r="E88" s="170">
        <f>+E86+E87</f>
        <v>3491710.319505651</v>
      </c>
      <c r="F88" s="170">
        <f t="shared" ref="F88:H88" si="12">+F86+F87</f>
        <v>272580.50993677345</v>
      </c>
      <c r="G88" s="170">
        <f t="shared" si="12"/>
        <v>2529333.1542480998</v>
      </c>
      <c r="H88" s="170">
        <f t="shared" si="12"/>
        <v>5247968.0014214879</v>
      </c>
    </row>
    <row r="90" spans="1:8">
      <c r="A90" s="174" t="s">
        <v>140</v>
      </c>
      <c r="C90" s="172">
        <v>-715000</v>
      </c>
      <c r="D90" s="171"/>
      <c r="E90" s="176">
        <f>+$C$90*E3</f>
        <v>-167592.33631189461</v>
      </c>
      <c r="F90" s="176">
        <f t="shared" ref="F90:H90" si="13">+$C$90*F3</f>
        <v>-98019.564962479868</v>
      </c>
      <c r="G90" s="176">
        <f t="shared" si="13"/>
        <v>-182032.89578326675</v>
      </c>
      <c r="H90" s="176">
        <f t="shared" si="13"/>
        <v>-267355.20294235874</v>
      </c>
    </row>
    <row r="91" spans="1:8">
      <c r="A91" s="174"/>
    </row>
    <row r="92" spans="1:8" ht="13.5" thickBot="1">
      <c r="A92" s="174" t="s">
        <v>146</v>
      </c>
      <c r="C92" s="182">
        <f>+C86+C90</f>
        <v>10841709.705112012</v>
      </c>
      <c r="D92" s="182" t="s">
        <v>10</v>
      </c>
      <c r="E92" s="182">
        <f t="shared" ref="E92:H92" si="14">+E86+E90</f>
        <v>3339235.7031937568</v>
      </c>
      <c r="F92" s="182">
        <f t="shared" si="14"/>
        <v>174560.94497429358</v>
      </c>
      <c r="G92" s="182">
        <f t="shared" si="14"/>
        <v>2347300.2584648328</v>
      </c>
      <c r="H92" s="182">
        <f t="shared" si="14"/>
        <v>4980612.7984791296</v>
      </c>
    </row>
    <row r="93" spans="1:8" ht="14.25" thickTop="1" thickBot="1">
      <c r="A93" s="174" t="s">
        <v>147</v>
      </c>
      <c r="C93" s="182">
        <f>+C88+C90</f>
        <v>10826591.985112011</v>
      </c>
      <c r="D93" s="182" t="s">
        <v>10</v>
      </c>
      <c r="E93" s="182">
        <f t="shared" ref="E93:H93" si="15">+E88+E90</f>
        <v>3324117.9831937565</v>
      </c>
      <c r="F93" s="182">
        <f t="shared" si="15"/>
        <v>174560.94497429358</v>
      </c>
      <c r="G93" s="182">
        <f t="shared" si="15"/>
        <v>2347300.2584648328</v>
      </c>
      <c r="H93" s="182">
        <f t="shared" si="15"/>
        <v>4980612.7984791296</v>
      </c>
    </row>
    <row r="94" spans="1:8" ht="13.5" thickTop="1"/>
  </sheetData>
  <mergeCells count="1">
    <mergeCell ref="E2:H2"/>
  </mergeCells>
  <pageMargins left="0.70866141732283472" right="0.70866141732283472" top="0.23622047244094491" bottom="0.23622047244094491" header="0.31496062992125984" footer="0.31496062992125984"/>
  <pageSetup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2019-10-04T12:40:10Z</cp:lastPrinted>
  <dcterms:created xsi:type="dcterms:W3CDTF">2018-11-12T15:51:30Z</dcterms:created>
  <dcterms:modified xsi:type="dcterms:W3CDTF">2019-10-04T13:29:50Z</dcterms:modified>
</cp:coreProperties>
</file>