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0 EDR Application\0. Application and Adjudication Process\C. Interrogatories\FINAL FOR FILING\Capitalization Policy\Live Excel Files\"/>
    </mc:Choice>
  </mc:AlternateContent>
  <xr:revisionPtr revIDLastSave="0" documentId="13_ncr:1_{1FABB384-20DF-427E-9ACC-515FDBA92342}" xr6:coauthVersionLast="41" xr6:coauthVersionMax="41" xr10:uidLastSave="{00000000-0000-0000-0000-000000000000}"/>
  <bookViews>
    <workbookView xWindow="-60" yWindow="-60" windowWidth="25320" windowHeight="15270" tabRatio="891" activeTab="1" xr2:uid="{00000000-000D-0000-FFFF-FFFF00000000}"/>
  </bookViews>
  <sheets>
    <sheet name="ESM Tables" sheetId="25" r:id="rId1"/>
    <sheet name="ESM Calc" sheetId="1" r:id="rId2"/>
    <sheet name="Reg NI Rec" sheetId="22" r:id="rId3"/>
    <sheet name="PILS" sheetId="8" r:id="rId4"/>
    <sheet name="Net Income" sheetId="20" r:id="rId5"/>
    <sheet name="Rate Base" sheetId="21" r:id="rId6"/>
    <sheet name="PP&amp;E-NFA" sheetId="3" r:id="rId7"/>
    <sheet name="COP" sheetId="4" r:id="rId8"/>
    <sheet name="DisRev" sheetId="7" r:id="rId9"/>
    <sheet name="OthRev" sheetId="6" r:id="rId10"/>
    <sheet name="OM&amp;A" sheetId="5" r:id="rId11"/>
    <sheet name="Deprec" sheetId="13" r:id="rId12"/>
    <sheet name="Allocations" sheetId="2" r:id="rId13"/>
    <sheet name="Merger" sheetId="11" r:id="rId14"/>
    <sheet name="IS by RZ" sheetId="16" r:id="rId15"/>
    <sheet name="ESM Rider" sheetId="17" r:id="rId16"/>
    <sheet name="Rider. Revenue Proportions" sheetId="23" r:id="rId17"/>
    <sheet name="Rate Rider. Calculation" sheetId="24" r:id="rId18"/>
  </sheets>
  <externalReferences>
    <externalReference r:id="rId19"/>
    <externalReference r:id="rId20"/>
  </externalReferences>
  <definedNames>
    <definedName name="d">'[1]9. Threshold Test'!$E$51</definedName>
    <definedName name="g">'[1]9. Threshold Test'!$E$20</definedName>
    <definedName name="LDCNAMES">[2]lists!$AL$1:$AL$78</definedName>
    <definedName name="PCI">'[1]9. Threshold Test'!$E$16</definedName>
    <definedName name="_xlnm.Print_Area" localSheetId="4">'Net Income'!$A$1:$F$57</definedName>
    <definedName name="Rate_Class">[2]lists!$A$1:$A$104</definedName>
    <definedName name="RB">'[1]9. Threshold Test'!$E$49</definedName>
    <definedName name="Units1">[2]lists!$O$2:$O$4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3" l="1"/>
  <c r="F37" i="5" l="1"/>
  <c r="D6" i="3" s="1"/>
  <c r="E6" i="3" s="1"/>
  <c r="F23" i="2" l="1"/>
  <c r="G18" i="6" l="1"/>
  <c r="G19" i="6" l="1"/>
  <c r="G20" i="6" s="1"/>
  <c r="C123" i="25" l="1"/>
  <c r="D104" i="25"/>
  <c r="C104" i="25"/>
  <c r="E104" i="25" s="1"/>
  <c r="D103" i="25"/>
  <c r="C103" i="25"/>
  <c r="D96" i="25"/>
  <c r="D95" i="25"/>
  <c r="D94" i="25"/>
  <c r="D93" i="25"/>
  <c r="D91" i="25"/>
  <c r="D97" i="25" s="1"/>
  <c r="C85" i="25"/>
  <c r="D74" i="25"/>
  <c r="D58" i="25"/>
  <c r="D57" i="25"/>
  <c r="D56" i="25"/>
  <c r="D54" i="25"/>
  <c r="D53" i="25"/>
  <c r="F40" i="25"/>
  <c r="F41" i="25"/>
  <c r="C32" i="25"/>
  <c r="D32" i="25"/>
  <c r="C33" i="25"/>
  <c r="D33" i="25"/>
  <c r="C34" i="25"/>
  <c r="D34" i="25"/>
  <c r="C35" i="25"/>
  <c r="D35" i="25"/>
  <c r="C36" i="25"/>
  <c r="D36" i="25"/>
  <c r="C37" i="25"/>
  <c r="D37" i="25"/>
  <c r="C38" i="25"/>
  <c r="D31" i="25"/>
  <c r="C31" i="25"/>
  <c r="F16" i="25"/>
  <c r="F17" i="25"/>
  <c r="F18" i="25"/>
  <c r="F19" i="25"/>
  <c r="F20" i="25"/>
  <c r="F21" i="25"/>
  <c r="F22" i="25"/>
  <c r="F23" i="25"/>
  <c r="E103" i="25" l="1"/>
  <c r="E7" i="17"/>
  <c r="E16" i="25" s="1"/>
  <c r="M18" i="24"/>
  <c r="M19" i="24"/>
  <c r="M20" i="24"/>
  <c r="M21" i="24"/>
  <c r="M22" i="24"/>
  <c r="M23" i="24"/>
  <c r="M24" i="24"/>
  <c r="M17" i="24"/>
  <c r="L18" i="24"/>
  <c r="L19" i="24"/>
  <c r="L20" i="24"/>
  <c r="L21" i="24"/>
  <c r="L22" i="24"/>
  <c r="L23" i="24"/>
  <c r="L24" i="24"/>
  <c r="L17" i="24"/>
  <c r="K18" i="24"/>
  <c r="K19" i="24"/>
  <c r="K20" i="24"/>
  <c r="K21" i="24"/>
  <c r="K22" i="24"/>
  <c r="K23" i="24"/>
  <c r="K17" i="24"/>
  <c r="I14" i="23"/>
  <c r="H14" i="23"/>
  <c r="M13" i="23"/>
  <c r="L13" i="23"/>
  <c r="G13" i="23"/>
  <c r="K13" i="23" s="1"/>
  <c r="M12" i="23"/>
  <c r="L12" i="23"/>
  <c r="K12" i="23"/>
  <c r="N12" i="23" s="1"/>
  <c r="M11" i="23"/>
  <c r="L11" i="23"/>
  <c r="K11" i="23"/>
  <c r="N11" i="23" s="1"/>
  <c r="M10" i="23"/>
  <c r="L10" i="23"/>
  <c r="K10" i="23"/>
  <c r="M9" i="23"/>
  <c r="L9" i="23"/>
  <c r="K9" i="23"/>
  <c r="M8" i="23"/>
  <c r="L8" i="23"/>
  <c r="K8" i="23"/>
  <c r="N8" i="23" s="1"/>
  <c r="M7" i="23"/>
  <c r="L7" i="23"/>
  <c r="K7" i="23"/>
  <c r="N7" i="23" s="1"/>
  <c r="M6" i="23"/>
  <c r="M14" i="23" s="1"/>
  <c r="L6" i="23"/>
  <c r="L14" i="23" s="1"/>
  <c r="K6" i="23"/>
  <c r="C14" i="22"/>
  <c r="C39" i="25" s="1"/>
  <c r="E12" i="22"/>
  <c r="E37" i="25" s="1"/>
  <c r="E11" i="22"/>
  <c r="E36" i="25" s="1"/>
  <c r="E10" i="22"/>
  <c r="E35" i="25" s="1"/>
  <c r="E9" i="22"/>
  <c r="E34" i="25" s="1"/>
  <c r="E8" i="22"/>
  <c r="E33" i="25" s="1"/>
  <c r="E7" i="22"/>
  <c r="E32" i="25" s="1"/>
  <c r="E6" i="22"/>
  <c r="E31" i="25" s="1"/>
  <c r="G6" i="16"/>
  <c r="G9" i="16" s="1"/>
  <c r="C9" i="16"/>
  <c r="D12" i="16"/>
  <c r="E12" i="16"/>
  <c r="F12" i="16"/>
  <c r="G12" i="16"/>
  <c r="H13" i="16"/>
  <c r="H15" i="16" s="1"/>
  <c r="C15" i="16"/>
  <c r="C17" i="16" s="1"/>
  <c r="C24" i="16" s="1"/>
  <c r="C28" i="16" s="1"/>
  <c r="C33" i="16" s="1"/>
  <c r="D19" i="16"/>
  <c r="H20" i="16"/>
  <c r="H21" i="16"/>
  <c r="H22" i="16"/>
  <c r="H26" i="16"/>
  <c r="H31" i="16"/>
  <c r="H32" i="16"/>
  <c r="N10" i="23" l="1"/>
  <c r="N9" i="23"/>
  <c r="K24" i="24"/>
  <c r="K25" i="24" s="1"/>
  <c r="L25" i="24"/>
  <c r="N13" i="23"/>
  <c r="K14" i="23"/>
  <c r="N6" i="23"/>
  <c r="N14" i="23" l="1"/>
  <c r="S13" i="23"/>
  <c r="Q6" i="23" l="1"/>
  <c r="D17" i="24" s="1"/>
  <c r="R11" i="23"/>
  <c r="E22" i="24" s="1"/>
  <c r="H22" i="24" s="1"/>
  <c r="S8" i="23"/>
  <c r="S11" i="23"/>
  <c r="R12" i="23"/>
  <c r="E23" i="24" s="1"/>
  <c r="H23" i="24" s="1"/>
  <c r="Q23" i="24" s="1"/>
  <c r="E13" i="17" s="1"/>
  <c r="E22" i="25" s="1"/>
  <c r="P13" i="23"/>
  <c r="C24" i="24" s="1"/>
  <c r="F24" i="24" s="1"/>
  <c r="R8" i="23"/>
  <c r="E19" i="24" s="1"/>
  <c r="H19" i="24" s="1"/>
  <c r="Q19" i="24" s="1"/>
  <c r="E9" i="17" s="1"/>
  <c r="E18" i="25" s="1"/>
  <c r="P10" i="23"/>
  <c r="C21" i="24" s="1"/>
  <c r="F21" i="24" s="1"/>
  <c r="Q10" i="23"/>
  <c r="D21" i="24" s="1"/>
  <c r="G21" i="24" s="1"/>
  <c r="P21" i="24" s="1"/>
  <c r="R6" i="23"/>
  <c r="E17" i="24" s="1"/>
  <c r="S12" i="23"/>
  <c r="R9" i="23"/>
  <c r="E20" i="24" s="1"/>
  <c r="H20" i="24" s="1"/>
  <c r="Q20" i="24" s="1"/>
  <c r="E10" i="17" s="1"/>
  <c r="E19" i="25" s="1"/>
  <c r="Q11" i="23"/>
  <c r="D22" i="24" s="1"/>
  <c r="G22" i="24" s="1"/>
  <c r="P22" i="24" s="1"/>
  <c r="E12" i="17" s="1"/>
  <c r="E21" i="25" s="1"/>
  <c r="P8" i="23"/>
  <c r="C19" i="24" s="1"/>
  <c r="F19" i="24" s="1"/>
  <c r="P12" i="23"/>
  <c r="C23" i="24" s="1"/>
  <c r="F23" i="24" s="1"/>
  <c r="Q13" i="23"/>
  <c r="D24" i="24" s="1"/>
  <c r="G24" i="24" s="1"/>
  <c r="P24" i="24" s="1"/>
  <c r="Q7" i="23"/>
  <c r="D18" i="24" s="1"/>
  <c r="G18" i="24" s="1"/>
  <c r="P18" i="24" s="1"/>
  <c r="E8" i="17" s="1"/>
  <c r="E17" i="25" s="1"/>
  <c r="P9" i="23"/>
  <c r="C20" i="24" s="1"/>
  <c r="F20" i="24" s="1"/>
  <c r="R7" i="23"/>
  <c r="E18" i="24" s="1"/>
  <c r="H18" i="24" s="1"/>
  <c r="Q9" i="23"/>
  <c r="D20" i="24" s="1"/>
  <c r="G20" i="24" s="1"/>
  <c r="P20" i="24" s="1"/>
  <c r="S7" i="23"/>
  <c r="Q12" i="23"/>
  <c r="D23" i="24" s="1"/>
  <c r="G23" i="24" s="1"/>
  <c r="P23" i="24" s="1"/>
  <c r="P6" i="23"/>
  <c r="C17" i="24" s="1"/>
  <c r="S9" i="23"/>
  <c r="R10" i="23"/>
  <c r="E21" i="24" s="1"/>
  <c r="H21" i="24" s="1"/>
  <c r="Q21" i="24" s="1"/>
  <c r="E11" i="17" s="1"/>
  <c r="E20" i="25" s="1"/>
  <c r="Q8" i="23"/>
  <c r="D19" i="24" s="1"/>
  <c r="G19" i="24" s="1"/>
  <c r="P19" i="24" s="1"/>
  <c r="R13" i="23"/>
  <c r="E24" i="24" s="1"/>
  <c r="H24" i="24" s="1"/>
  <c r="Q24" i="24" s="1"/>
  <c r="E14" i="17" s="1"/>
  <c r="E23" i="25" s="1"/>
  <c r="S10" i="23"/>
  <c r="P7" i="23"/>
  <c r="C18" i="24" s="1"/>
  <c r="F18" i="24" s="1"/>
  <c r="P11" i="23"/>
  <c r="C22" i="24" s="1"/>
  <c r="F22" i="24" s="1"/>
  <c r="S6" i="23"/>
  <c r="G17" i="24" l="1"/>
  <c r="G25" i="24" s="1"/>
  <c r="D25" i="24"/>
  <c r="O18" i="24"/>
  <c r="D8" i="17" s="1"/>
  <c r="D17" i="25" s="1"/>
  <c r="I18" i="24"/>
  <c r="C8" i="17" s="1"/>
  <c r="C17" i="25" s="1"/>
  <c r="I21" i="24"/>
  <c r="C11" i="17" s="1"/>
  <c r="C20" i="25" s="1"/>
  <c r="O21" i="24"/>
  <c r="D11" i="17" s="1"/>
  <c r="D20" i="25" s="1"/>
  <c r="S14" i="23"/>
  <c r="C25" i="24"/>
  <c r="F17" i="24"/>
  <c r="O23" i="24"/>
  <c r="D13" i="17" s="1"/>
  <c r="D22" i="25" s="1"/>
  <c r="I23" i="24"/>
  <c r="C13" i="17" s="1"/>
  <c r="C22" i="25" s="1"/>
  <c r="O22" i="24"/>
  <c r="D12" i="17" s="1"/>
  <c r="D21" i="25" s="1"/>
  <c r="I22" i="24"/>
  <c r="C12" i="17" s="1"/>
  <c r="C21" i="25" s="1"/>
  <c r="O20" i="24"/>
  <c r="D10" i="17" s="1"/>
  <c r="D19" i="25" s="1"/>
  <c r="I20" i="24"/>
  <c r="C10" i="17" s="1"/>
  <c r="C19" i="25" s="1"/>
  <c r="O19" i="24"/>
  <c r="D9" i="17" s="1"/>
  <c r="D18" i="25" s="1"/>
  <c r="I19" i="24"/>
  <c r="C9" i="17" s="1"/>
  <c r="C18" i="25" s="1"/>
  <c r="H17" i="24"/>
  <c r="H25" i="24" s="1"/>
  <c r="E25" i="24"/>
  <c r="I24" i="24"/>
  <c r="C14" i="17" s="1"/>
  <c r="C23" i="25" s="1"/>
  <c r="O24" i="24"/>
  <c r="D14" i="17" s="1"/>
  <c r="D23" i="25" s="1"/>
  <c r="E19" i="2"/>
  <c r="C19" i="2"/>
  <c r="D19" i="2"/>
  <c r="B19" i="2"/>
  <c r="F25" i="24" l="1"/>
  <c r="I17" i="24"/>
  <c r="C19" i="8"/>
  <c r="I25" i="24" l="1"/>
  <c r="C7" i="17"/>
  <c r="O17" i="24"/>
  <c r="D7" i="17" s="1"/>
  <c r="D16" i="25" s="1"/>
  <c r="G30" i="5"/>
  <c r="F29" i="5"/>
  <c r="F27" i="5"/>
  <c r="C16" i="25" l="1"/>
  <c r="C15" i="17"/>
  <c r="C24" i="25" s="1"/>
  <c r="F31" i="5"/>
  <c r="D32" i="1"/>
  <c r="I7" i="16" l="1"/>
  <c r="G67" i="13" l="1"/>
  <c r="G65" i="13"/>
  <c r="G23" i="6" s="1"/>
  <c r="G24" i="6" s="1"/>
  <c r="F69" i="13"/>
  <c r="G69" i="13" l="1"/>
  <c r="D34" i="1"/>
  <c r="D19" i="1" s="1"/>
  <c r="C9" i="8" l="1"/>
  <c r="C71" i="25" s="1"/>
  <c r="D55" i="25"/>
  <c r="I44" i="16"/>
  <c r="H8" i="16" s="1"/>
  <c r="H9" i="16" s="1"/>
  <c r="H17" i="16" s="1"/>
  <c r="H24" i="16" s="1"/>
  <c r="H28" i="16" s="1"/>
  <c r="H33" i="16" s="1"/>
  <c r="D16" i="1" l="1"/>
  <c r="D52" i="25" s="1"/>
  <c r="C12" i="7" l="1"/>
  <c r="G13" i="7"/>
  <c r="E13" i="7"/>
  <c r="E6" i="16" s="1"/>
  <c r="E9" i="16" s="1"/>
  <c r="D13" i="7"/>
  <c r="D6" i="16" s="1"/>
  <c r="F13" i="7"/>
  <c r="F6" i="16" s="1"/>
  <c r="F9" i="16" s="1"/>
  <c r="C11" i="7" l="1"/>
  <c r="C13" i="7" s="1"/>
  <c r="D20" i="20"/>
  <c r="D113" i="25" s="1"/>
  <c r="D5" i="7"/>
  <c r="I32" i="16" l="1"/>
  <c r="I31" i="16"/>
  <c r="I6" i="16" l="1"/>
  <c r="C25" i="21" l="1"/>
  <c r="D19" i="8" l="1"/>
  <c r="D20" i="8" s="1"/>
  <c r="D22" i="8" s="1"/>
  <c r="D24" i="8" s="1"/>
  <c r="D26" i="8" s="1"/>
  <c r="C32" i="13" l="1"/>
  <c r="F16" i="2" l="1"/>
  <c r="F17" i="2"/>
  <c r="F18" i="2"/>
  <c r="F19" i="2"/>
  <c r="C20" i="2"/>
  <c r="C5" i="2" s="1"/>
  <c r="D20" i="2"/>
  <c r="D5" i="2" s="1"/>
  <c r="E20" i="2"/>
  <c r="E5" i="2" s="1"/>
  <c r="B20" i="2"/>
  <c r="B5" i="2" s="1"/>
  <c r="I26" i="16" l="1"/>
  <c r="F20" i="2"/>
  <c r="C8" i="8" l="1"/>
  <c r="D9" i="8"/>
  <c r="D71" i="25" s="1"/>
  <c r="C10" i="8"/>
  <c r="C11" i="8"/>
  <c r="C13" i="8"/>
  <c r="C6" i="8"/>
  <c r="D11" i="8" l="1"/>
  <c r="C73" i="25"/>
  <c r="D10" i="8"/>
  <c r="C72" i="25"/>
  <c r="D6" i="8"/>
  <c r="C68" i="25"/>
  <c r="D13" i="8"/>
  <c r="C75" i="25"/>
  <c r="D8" i="8"/>
  <c r="D70" i="25" s="1"/>
  <c r="C70" i="25"/>
  <c r="D9" i="21"/>
  <c r="D10" i="21"/>
  <c r="D11" i="21" s="1"/>
  <c r="D31" i="21"/>
  <c r="B32" i="21"/>
  <c r="D6" i="20"/>
  <c r="D43" i="20"/>
  <c r="D44" i="20"/>
  <c r="D12" i="20" s="1"/>
  <c r="D45" i="20"/>
  <c r="D9" i="20"/>
  <c r="D10" i="20"/>
  <c r="D15" i="20"/>
  <c r="F18" i="22" s="1"/>
  <c r="F43" i="25" s="1"/>
  <c r="B34" i="20"/>
  <c r="C34" i="20"/>
  <c r="B35" i="20"/>
  <c r="C35" i="20"/>
  <c r="B36" i="20"/>
  <c r="C36" i="20"/>
  <c r="B37" i="20"/>
  <c r="B16" i="21"/>
  <c r="C37" i="20"/>
  <c r="C7" i="3"/>
  <c r="C14" i="11"/>
  <c r="C16" i="11" s="1"/>
  <c r="C8" i="11"/>
  <c r="C10" i="11" s="1"/>
  <c r="F18" i="5" s="1"/>
  <c r="E7" i="2"/>
  <c r="E11" i="2" s="1"/>
  <c r="B7" i="2"/>
  <c r="B11" i="2" s="1"/>
  <c r="C7" i="2"/>
  <c r="C11" i="2" s="1"/>
  <c r="D7" i="2"/>
  <c r="D11" i="2" s="1"/>
  <c r="E6" i="7"/>
  <c r="F6" i="2"/>
  <c r="B6" i="4"/>
  <c r="F5" i="2"/>
  <c r="D13" i="21" l="1"/>
  <c r="D29" i="21"/>
  <c r="E82" i="25" s="1"/>
  <c r="E85" i="25" s="1"/>
  <c r="D15" i="21"/>
  <c r="D6" i="1" s="1"/>
  <c r="D14" i="21"/>
  <c r="D30" i="21"/>
  <c r="E83" i="25" s="1"/>
  <c r="C8" i="3"/>
  <c r="C105" i="25"/>
  <c r="C106" i="25" s="1"/>
  <c r="D32" i="21"/>
  <c r="E84" i="25"/>
  <c r="D6" i="25"/>
  <c r="E10" i="8"/>
  <c r="D72" i="25"/>
  <c r="E72" i="25" s="1"/>
  <c r="E13" i="8"/>
  <c r="D75" i="25"/>
  <c r="E75" i="25" s="1"/>
  <c r="E6" i="8"/>
  <c r="D68" i="25"/>
  <c r="E68" i="25" s="1"/>
  <c r="E11" i="8"/>
  <c r="D73" i="25"/>
  <c r="E73" i="25" s="1"/>
  <c r="E45" i="13"/>
  <c r="D29" i="3"/>
  <c r="F13" i="5"/>
  <c r="F5" i="5" s="1"/>
  <c r="C24" i="20" s="1"/>
  <c r="C117" i="25" s="1"/>
  <c r="C21" i="20"/>
  <c r="C114" i="25" s="1"/>
  <c r="I19" i="16"/>
  <c r="C8" i="13"/>
  <c r="C24" i="13"/>
  <c r="D30" i="13" s="1"/>
  <c r="C30" i="3"/>
  <c r="E5" i="3"/>
  <c r="F7" i="2"/>
  <c r="C8" i="2" s="1"/>
  <c r="F11" i="2"/>
  <c r="B12" i="2" s="1"/>
  <c r="D27" i="5" s="1"/>
  <c r="C7" i="7"/>
  <c r="C20" i="20" s="1"/>
  <c r="C113" i="25" s="1"/>
  <c r="E113" i="25" s="1"/>
  <c r="D46" i="20"/>
  <c r="D51" i="20" s="1"/>
  <c r="D53" i="20" s="1"/>
  <c r="D5" i="20" s="1"/>
  <c r="D7" i="20" s="1"/>
  <c r="D11" i="20"/>
  <c r="D13" i="20" s="1"/>
  <c r="E5" i="13"/>
  <c r="D39" i="13"/>
  <c r="F39" i="13" s="1"/>
  <c r="G39" i="13" s="1"/>
  <c r="C42" i="13"/>
  <c r="D5" i="4"/>
  <c r="D6" i="4" s="1"/>
  <c r="D40" i="13"/>
  <c r="F40" i="13" s="1"/>
  <c r="G40" i="13" s="1"/>
  <c r="D41" i="13"/>
  <c r="F41" i="13" s="1"/>
  <c r="G41" i="13" s="1"/>
  <c r="D38" i="13"/>
  <c r="H42" i="13"/>
  <c r="E42" i="13"/>
  <c r="C19" i="3"/>
  <c r="I21" i="16"/>
  <c r="I22" i="16"/>
  <c r="C6" i="4"/>
  <c r="D16" i="21" l="1"/>
  <c r="C115" i="25"/>
  <c r="I12" i="16"/>
  <c r="C8" i="6"/>
  <c r="D30" i="3"/>
  <c r="D18" i="3" s="1"/>
  <c r="D19" i="3" s="1"/>
  <c r="D12" i="2"/>
  <c r="D26" i="5" s="1"/>
  <c r="D8" i="2"/>
  <c r="F8" i="2"/>
  <c r="E8" i="2"/>
  <c r="B8" i="2"/>
  <c r="C12" i="2"/>
  <c r="D28" i="5" s="1"/>
  <c r="C7" i="8" s="1"/>
  <c r="F12" i="2"/>
  <c r="E12" i="2"/>
  <c r="D29" i="5" s="1"/>
  <c r="D42" i="13"/>
  <c r="F38" i="13"/>
  <c r="F42" i="13" s="1"/>
  <c r="D14" i="20"/>
  <c r="F6" i="22" s="1"/>
  <c r="D29" i="13"/>
  <c r="D31" i="13"/>
  <c r="D28" i="13"/>
  <c r="E17" i="3"/>
  <c r="E14" i="3"/>
  <c r="E16" i="3"/>
  <c r="E15" i="3"/>
  <c r="C7" i="21"/>
  <c r="C22" i="20"/>
  <c r="F14" i="22" l="1"/>
  <c r="F31" i="25"/>
  <c r="D7" i="8"/>
  <c r="C69" i="25"/>
  <c r="I20" i="16"/>
  <c r="F15" i="3"/>
  <c r="F16" i="3"/>
  <c r="F17" i="3"/>
  <c r="G38" i="13"/>
  <c r="G42" i="13" s="1"/>
  <c r="H43" i="13" s="1"/>
  <c r="D46" i="13" s="1"/>
  <c r="E46" i="13" s="1"/>
  <c r="D31" i="5"/>
  <c r="D32" i="13"/>
  <c r="E7" i="21"/>
  <c r="F7" i="21" s="1"/>
  <c r="B21" i="21"/>
  <c r="D16" i="20"/>
  <c r="E19" i="3"/>
  <c r="F14" i="3"/>
  <c r="D21" i="21" l="1"/>
  <c r="C93" i="25"/>
  <c r="E93" i="25" s="1"/>
  <c r="F17" i="22"/>
  <c r="F39" i="25"/>
  <c r="E7" i="8"/>
  <c r="D69" i="25"/>
  <c r="E69" i="25" s="1"/>
  <c r="G46" i="13"/>
  <c r="D7" i="3"/>
  <c r="F19" i="3"/>
  <c r="F19" i="22" l="1"/>
  <c r="F42" i="25"/>
  <c r="E7" i="3"/>
  <c r="D105" i="25"/>
  <c r="E56" i="13"/>
  <c r="E57" i="13" s="1"/>
  <c r="D5" i="1" l="1"/>
  <c r="F44" i="25"/>
  <c r="D106" i="25"/>
  <c r="E105" i="25"/>
  <c r="E106" i="25" s="1"/>
  <c r="E30" i="13"/>
  <c r="D21" i="13"/>
  <c r="F14" i="16" s="1"/>
  <c r="D22" i="13"/>
  <c r="E14" i="16" s="1"/>
  <c r="D23" i="13"/>
  <c r="G14" i="16" s="1"/>
  <c r="E29" i="13"/>
  <c r="E31" i="13"/>
  <c r="D20" i="13"/>
  <c r="E28" i="13"/>
  <c r="E32" i="13"/>
  <c r="D5" i="25" l="1"/>
  <c r="D7" i="25" s="1"/>
  <c r="D7" i="1"/>
  <c r="D14" i="16"/>
  <c r="D7" i="13"/>
  <c r="D8" i="13" s="1"/>
  <c r="D10" i="13" s="1"/>
  <c r="D25" i="20" s="1"/>
  <c r="D24" i="13"/>
  <c r="D118" i="25" l="1"/>
  <c r="I14" i="16"/>
  <c r="E7" i="13"/>
  <c r="D8" i="3"/>
  <c r="E8" i="13" l="1"/>
  <c r="E8" i="3"/>
  <c r="C5" i="21" s="1"/>
  <c r="E5" i="21" l="1"/>
  <c r="F5" i="21" s="1"/>
  <c r="B19" i="21"/>
  <c r="C91" i="25" s="1"/>
  <c r="E91" i="25" s="1"/>
  <c r="D19" i="21" l="1"/>
  <c r="E5" i="7" l="1"/>
  <c r="E7" i="7" s="1"/>
  <c r="C5" i="20" s="1"/>
  <c r="E5" i="20" l="1"/>
  <c r="D7" i="7"/>
  <c r="E20" i="20" l="1"/>
  <c r="D8" i="16" l="1"/>
  <c r="D9" i="16" s="1"/>
  <c r="E7" i="6" l="1"/>
  <c r="E8" i="6" s="1"/>
  <c r="D8" i="6" l="1"/>
  <c r="C6" i="20"/>
  <c r="E6" i="20" s="1"/>
  <c r="D21" i="20"/>
  <c r="I8" i="16"/>
  <c r="E21" i="20" l="1"/>
  <c r="E22" i="20" s="1"/>
  <c r="D114" i="25"/>
  <c r="D22" i="20"/>
  <c r="C7" i="20"/>
  <c r="E7" i="20" s="1"/>
  <c r="I9" i="16"/>
  <c r="D115" i="25" l="1"/>
  <c r="E114" i="25"/>
  <c r="E115" i="25" s="1"/>
  <c r="F17" i="5"/>
  <c r="F19" i="5" l="1"/>
  <c r="F22" i="5" l="1"/>
  <c r="C30" i="5" l="1"/>
  <c r="C31" i="5" l="1"/>
  <c r="E26" i="5"/>
  <c r="E28" i="5"/>
  <c r="E27" i="5"/>
  <c r="G27" i="5" s="1"/>
  <c r="F13" i="16" s="1"/>
  <c r="F15" i="16" s="1"/>
  <c r="F17" i="16" s="1"/>
  <c r="F24" i="16" s="1"/>
  <c r="F28" i="16" s="1"/>
  <c r="F33" i="16" s="1"/>
  <c r="E29" i="5"/>
  <c r="G29" i="5" s="1"/>
  <c r="G13" i="16" s="1"/>
  <c r="G15" i="16" s="1"/>
  <c r="G17" i="16" s="1"/>
  <c r="G24" i="16" s="1"/>
  <c r="G28" i="16" s="1"/>
  <c r="G33" i="16" s="1"/>
  <c r="F36" i="5" l="1"/>
  <c r="F38" i="5" s="1"/>
  <c r="F6" i="5" s="1"/>
  <c r="G28" i="5"/>
  <c r="D13" i="16" s="1"/>
  <c r="D15" i="16" s="1"/>
  <c r="D17" i="16" s="1"/>
  <c r="D24" i="16" s="1"/>
  <c r="D28" i="16" s="1"/>
  <c r="D33" i="16" s="1"/>
  <c r="E31" i="5"/>
  <c r="G26" i="5"/>
  <c r="E13" i="16" s="1"/>
  <c r="E15" i="16" s="1"/>
  <c r="E17" i="16" s="1"/>
  <c r="E24" i="16" s="1"/>
  <c r="F7" i="5" l="1"/>
  <c r="D24" i="20"/>
  <c r="D117" i="25" s="1"/>
  <c r="E28" i="16"/>
  <c r="E33" i="16" s="1"/>
  <c r="E34" i="16" s="1"/>
  <c r="D13" i="22"/>
  <c r="G31" i="5"/>
  <c r="C9" i="20"/>
  <c r="C8" i="21"/>
  <c r="E13" i="22" l="1"/>
  <c r="D38" i="25"/>
  <c r="D14" i="22"/>
  <c r="D39" i="25" s="1"/>
  <c r="E117" i="25"/>
  <c r="D119" i="25"/>
  <c r="B22" i="21"/>
  <c r="C94" i="25" s="1"/>
  <c r="E94" i="25" s="1"/>
  <c r="E8" i="21"/>
  <c r="F8" i="21" s="1"/>
  <c r="C9" i="21"/>
  <c r="D26" i="20"/>
  <c r="E24" i="20"/>
  <c r="E9" i="20"/>
  <c r="I13" i="16"/>
  <c r="E38" i="25" l="1"/>
  <c r="E14" i="22"/>
  <c r="E39" i="25" s="1"/>
  <c r="I15" i="16"/>
  <c r="D22" i="21"/>
  <c r="B23" i="21"/>
  <c r="C95" i="25" s="1"/>
  <c r="E95" i="25" s="1"/>
  <c r="E9" i="21"/>
  <c r="F9" i="21" s="1"/>
  <c r="C10" i="21"/>
  <c r="B24" i="21" l="1"/>
  <c r="C96" i="25" s="1"/>
  <c r="D23" i="21"/>
  <c r="I17" i="16"/>
  <c r="C11" i="21"/>
  <c r="E10" i="21"/>
  <c r="F10" i="21" s="1"/>
  <c r="E96" i="25" l="1"/>
  <c r="E97" i="25" s="1"/>
  <c r="C97" i="25"/>
  <c r="C14" i="21"/>
  <c r="C15" i="21"/>
  <c r="C29" i="21"/>
  <c r="D82" i="25" s="1"/>
  <c r="C30" i="21"/>
  <c r="E11" i="21"/>
  <c r="C13" i="21"/>
  <c r="B25" i="21"/>
  <c r="C31" i="21" s="1"/>
  <c r="D84" i="25" s="1"/>
  <c r="D24" i="21"/>
  <c r="D25" i="21" s="1"/>
  <c r="E31" i="21" s="1"/>
  <c r="F84" i="25" s="1"/>
  <c r="I24" i="16"/>
  <c r="E30" i="21" l="1"/>
  <c r="F83" i="25" s="1"/>
  <c r="D83" i="25"/>
  <c r="D85" i="25" s="1"/>
  <c r="I28" i="16"/>
  <c r="C32" i="21"/>
  <c r="E29" i="21"/>
  <c r="F11" i="21"/>
  <c r="E15" i="21"/>
  <c r="F15" i="21" s="1"/>
  <c r="E14" i="21"/>
  <c r="F14" i="21" s="1"/>
  <c r="D35" i="20"/>
  <c r="D34" i="20"/>
  <c r="C16" i="21"/>
  <c r="D37" i="20" s="1"/>
  <c r="E13" i="21"/>
  <c r="C6" i="1"/>
  <c r="C6" i="25" s="1"/>
  <c r="E6" i="25" s="1"/>
  <c r="D36" i="20"/>
  <c r="E32" i="21" l="1"/>
  <c r="F82" i="25"/>
  <c r="F85" i="25" s="1"/>
  <c r="E6" i="1"/>
  <c r="E34" i="20"/>
  <c r="C11" i="20" s="1"/>
  <c r="E15" i="22" s="1"/>
  <c r="E40" i="25" s="1"/>
  <c r="E35" i="20"/>
  <c r="C12" i="20" s="1"/>
  <c r="E16" i="22" s="1"/>
  <c r="E41" i="25" s="1"/>
  <c r="E16" i="21"/>
  <c r="F16" i="21" s="1"/>
  <c r="F13" i="21"/>
  <c r="I33" i="16"/>
  <c r="E17" i="22" l="1"/>
  <c r="E42" i="25" s="1"/>
  <c r="E12" i="20"/>
  <c r="D28" i="20"/>
  <c r="D121" i="25" s="1"/>
  <c r="C28" i="20"/>
  <c r="C121" i="25" s="1"/>
  <c r="D27" i="20"/>
  <c r="D120" i="25" s="1"/>
  <c r="C27" i="20"/>
  <c r="C120" i="25" s="1"/>
  <c r="E11" i="20"/>
  <c r="E120" i="25" l="1"/>
  <c r="E121" i="25"/>
  <c r="D122" i="25"/>
  <c r="D29" i="20"/>
  <c r="C18" i="8" s="1"/>
  <c r="C20" i="8" s="1"/>
  <c r="C22" i="8" s="1"/>
  <c r="C24" i="8" s="1"/>
  <c r="C26" i="8" s="1"/>
  <c r="E27" i="20"/>
  <c r="E28" i="20"/>
  <c r="D30" i="20" l="1"/>
  <c r="E30" i="20" l="1"/>
  <c r="C15" i="20" s="1"/>
  <c r="E18" i="22" s="1"/>
  <c r="D123" i="25"/>
  <c r="D31" i="20"/>
  <c r="D5" i="8" l="1"/>
  <c r="D67" i="25" s="1"/>
  <c r="D76" i="25" s="1"/>
  <c r="D15" i="1"/>
  <c r="D51" i="25" s="1"/>
  <c r="E15" i="20"/>
  <c r="E123" i="25"/>
  <c r="D124" i="25"/>
  <c r="E19" i="22"/>
  <c r="E44" i="25" s="1"/>
  <c r="E43" i="25"/>
  <c r="D14" i="8" l="1"/>
  <c r="D24" i="1" s="1"/>
  <c r="D60" i="25" s="1"/>
  <c r="E9" i="13"/>
  <c r="E10" i="13" s="1"/>
  <c r="C10" i="20" s="1"/>
  <c r="C10" i="13"/>
  <c r="C25" i="20" s="1"/>
  <c r="C26" i="20" l="1"/>
  <c r="C29" i="20" s="1"/>
  <c r="C31" i="20" s="1"/>
  <c r="C118" i="25"/>
  <c r="C13" i="20"/>
  <c r="E10" i="20"/>
  <c r="E25" i="20"/>
  <c r="E26" i="20" s="1"/>
  <c r="E29" i="20" s="1"/>
  <c r="E31" i="20" s="1"/>
  <c r="D14" i="1" s="1"/>
  <c r="C119" i="25" l="1"/>
  <c r="C122" i="25" s="1"/>
  <c r="C124" i="25" s="1"/>
  <c r="E118" i="25"/>
  <c r="E119" i="25" s="1"/>
  <c r="E122" i="25" s="1"/>
  <c r="E124" i="25" s="1"/>
  <c r="D23" i="1"/>
  <c r="D50" i="25"/>
  <c r="E13" i="20"/>
  <c r="C14" i="20"/>
  <c r="D25" i="1" l="1"/>
  <c r="D59" i="25"/>
  <c r="E14" i="20"/>
  <c r="C5" i="8"/>
  <c r="C67" i="25" s="1"/>
  <c r="C16" i="20"/>
  <c r="E16" i="20" s="1"/>
  <c r="C76" i="25" l="1"/>
  <c r="E76" i="25" s="1"/>
  <c r="E67" i="25"/>
  <c r="D61" i="25"/>
  <c r="C5" i="1"/>
  <c r="E5" i="8"/>
  <c r="C14" i="8"/>
  <c r="E14" i="8" s="1"/>
  <c r="C5" i="25" l="1"/>
  <c r="C7" i="1"/>
  <c r="E7" i="1" s="1"/>
  <c r="D8" i="1" s="1"/>
  <c r="D9" i="1" s="1"/>
  <c r="E5" i="1"/>
  <c r="C7" i="25" l="1"/>
  <c r="E7" i="25" s="1"/>
  <c r="D8" i="25" s="1"/>
  <c r="D9" i="25" s="1"/>
  <c r="D10" i="25" s="1"/>
  <c r="E5" i="25"/>
  <c r="D10" i="1"/>
</calcChain>
</file>

<file path=xl/sharedStrings.xml><?xml version="1.0" encoding="utf-8"?>
<sst xmlns="http://schemas.openxmlformats.org/spreadsheetml/2006/main" count="843" uniqueCount="419">
  <si>
    <t>Working Capital Base</t>
  </si>
  <si>
    <t>Working Capital Allowance</t>
  </si>
  <si>
    <t>Rate Base</t>
  </si>
  <si>
    <t>Revenue Requirement</t>
  </si>
  <si>
    <t>Deemed interest on ST Debt</t>
  </si>
  <si>
    <t>Deemed interest on LT Debt</t>
  </si>
  <si>
    <t>Return on Equity</t>
  </si>
  <si>
    <t>Total Return on Rate Base</t>
  </si>
  <si>
    <t>Depreciation</t>
  </si>
  <si>
    <t>OM&amp;A</t>
  </si>
  <si>
    <t>PILS</t>
  </si>
  <si>
    <t>Revenue Offsets</t>
  </si>
  <si>
    <t>Service Revenue Requirement</t>
  </si>
  <si>
    <t>Base Revenue Requirement</t>
  </si>
  <si>
    <t>Feb-Dec</t>
  </si>
  <si>
    <t>Variance</t>
  </si>
  <si>
    <t>Property Tax</t>
  </si>
  <si>
    <t>Revenue</t>
  </si>
  <si>
    <t>Total expenses</t>
  </si>
  <si>
    <t>Distribution revenue</t>
  </si>
  <si>
    <t>Notes:</t>
  </si>
  <si>
    <t>1.</t>
  </si>
  <si>
    <t xml:space="preserve">Other revenue </t>
  </si>
  <si>
    <t>Cost of Power</t>
  </si>
  <si>
    <t>Controllable expenses</t>
  </si>
  <si>
    <t>Notes</t>
  </si>
  <si>
    <t>Deemed equity</t>
  </si>
  <si>
    <t xml:space="preserve">ROE </t>
  </si>
  <si>
    <t>Horizon 2017 ESM Estimate</t>
  </si>
  <si>
    <t>2017 Stub period</t>
  </si>
  <si>
    <t>Brampton</t>
  </si>
  <si>
    <t>Total</t>
  </si>
  <si>
    <t>Enersource</t>
  </si>
  <si>
    <t>Horizon</t>
  </si>
  <si>
    <t>PowerStream</t>
  </si>
  <si>
    <t>3.</t>
  </si>
  <si>
    <t>Average Net Fixed Assets</t>
  </si>
  <si>
    <t>NFA</t>
  </si>
  <si>
    <t>COP</t>
  </si>
  <si>
    <t>Distribution Revenue</t>
  </si>
  <si>
    <t>Tracked by rate zone - directly attributable</t>
  </si>
  <si>
    <t>Jan</t>
  </si>
  <si>
    <t>Distribution Assets</t>
  </si>
  <si>
    <t>General Plant</t>
  </si>
  <si>
    <t>Jan 1/17</t>
  </si>
  <si>
    <t>Dec 31/17</t>
  </si>
  <si>
    <t>Average</t>
  </si>
  <si>
    <t>Horizon Rate Zone</t>
  </si>
  <si>
    <t>Dec 31/16</t>
  </si>
  <si>
    <t>Percentage</t>
  </si>
  <si>
    <t>Alectra</t>
  </si>
  <si>
    <t>LDC/Rate Zone</t>
  </si>
  <si>
    <t>BRZ</t>
  </si>
  <si>
    <t>ERZ</t>
  </si>
  <si>
    <t>HRZ</t>
  </si>
  <si>
    <t>PRZ</t>
  </si>
  <si>
    <t>Regulatory Net income</t>
  </si>
  <si>
    <t>Adjusted Regulatory net income</t>
  </si>
  <si>
    <t>All amounts on this sheet are for the HRZ. See supporting schedules for allocation to HRZ.</t>
  </si>
  <si>
    <t>Regulatory Net Income</t>
  </si>
  <si>
    <t>Summary</t>
  </si>
  <si>
    <t>Regulatory Net Income before Tax</t>
  </si>
  <si>
    <t>Adjusted Net Income for ESM</t>
  </si>
  <si>
    <t>Adjustments for DVAs to get to RRR</t>
  </si>
  <si>
    <t>Adjusted NIBT for ESM</t>
  </si>
  <si>
    <t>Deduct ROE on Stranded meters</t>
  </si>
  <si>
    <t>Deduct 1/5th of Application costs</t>
  </si>
  <si>
    <t>Allocation %</t>
  </si>
  <si>
    <t>Rate Zone</t>
  </si>
  <si>
    <t>2.</t>
  </si>
  <si>
    <t>NOTES</t>
  </si>
  <si>
    <t>Allocation of General Plant:</t>
  </si>
  <si>
    <t xml:space="preserve">Enersource </t>
  </si>
  <si>
    <t xml:space="preserve">Brampton </t>
  </si>
  <si>
    <t xml:space="preserve">PowerStream </t>
  </si>
  <si>
    <t>Total Alectra</t>
  </si>
  <si>
    <t>2016 RRR</t>
  </si>
  <si>
    <t>2015 RRR</t>
  </si>
  <si>
    <t>2014 RRR</t>
  </si>
  <si>
    <t>2014-2016 RRR Total</t>
  </si>
  <si>
    <t>Ref.</t>
  </si>
  <si>
    <t>% Return in excess of approved in rates</t>
  </si>
  <si>
    <t>$ Return in excess of approved in rates</t>
  </si>
  <si>
    <t>Add non-allowable donations (non-LEAF)</t>
  </si>
  <si>
    <t>Amount payable to rate payers</t>
  </si>
  <si>
    <t>Adjustment for 2016 ESM actual vs. accrued</t>
  </si>
  <si>
    <t>Merger Costs and Savings</t>
  </si>
  <si>
    <t>OM&amp;A Transition Costs</t>
  </si>
  <si>
    <t>OM&amp;A Savings</t>
  </si>
  <si>
    <t>Capital Transition Costs</t>
  </si>
  <si>
    <t>Capital Savings</t>
  </si>
  <si>
    <t>Dec 31/17            (11 months)</t>
  </si>
  <si>
    <t>2017 Total</t>
  </si>
  <si>
    <t>Remove financing savings</t>
  </si>
  <si>
    <t>Adjust to Alectra Overhead capitalization</t>
  </si>
  <si>
    <t>Revised OM&amp;A</t>
  </si>
  <si>
    <t>% of total</t>
  </si>
  <si>
    <t>Months</t>
  </si>
  <si>
    <t>Depreciation Expense</t>
  </si>
  <si>
    <t>Rate Base - Net Fixed Assets (NBV)</t>
  </si>
  <si>
    <t>Allocation</t>
  </si>
  <si>
    <t>Jan 31/17               (1 month)</t>
  </si>
  <si>
    <t>A) Directly attributable basis</t>
  </si>
  <si>
    <t>Cost of Power per MIFRS statements</t>
  </si>
  <si>
    <t>Less stranded meter rate riders</t>
  </si>
  <si>
    <t>Distribution Revenue for ESM</t>
  </si>
  <si>
    <t>1</t>
  </si>
  <si>
    <t>2</t>
  </si>
  <si>
    <t>Derecognition expense</t>
  </si>
  <si>
    <t>From Horizon Jan 2017 EDO trial balance</t>
  </si>
  <si>
    <t>add gain(loss) on sale of assets excluding derecognition</t>
  </si>
  <si>
    <t>Note</t>
  </si>
  <si>
    <t>Horizon stub period OM&amp;A from EDO Trial Balance</t>
  </si>
  <si>
    <t>Adjusted total</t>
  </si>
  <si>
    <t xml:space="preserve">Alectra </t>
  </si>
  <si>
    <t>2016 Depreciation Expense</t>
  </si>
  <si>
    <t xml:space="preserve"> </t>
  </si>
  <si>
    <t>Working Capital Allowance:</t>
  </si>
  <si>
    <t>Rate Base and Deemed Equity</t>
  </si>
  <si>
    <t>Allocation  Alectra  Depreciation Expense</t>
  </si>
  <si>
    <t>Alectra Utilities Corporation</t>
  </si>
  <si>
    <t>Electricity Sales</t>
  </si>
  <si>
    <t>Other Revenue</t>
  </si>
  <si>
    <t>Total Revenue</t>
  </si>
  <si>
    <t>Expenses</t>
  </si>
  <si>
    <t>Operating expenses</t>
  </si>
  <si>
    <t>Brampton Rate Zone</t>
  </si>
  <si>
    <t>Enersource Rate Zone</t>
  </si>
  <si>
    <t>PowerStream Rate Zone</t>
  </si>
  <si>
    <t>Income from operating activities</t>
  </si>
  <si>
    <t>Share of net income from JV</t>
  </si>
  <si>
    <t>Interest Income</t>
  </si>
  <si>
    <t>Interest expense</t>
  </si>
  <si>
    <t>Income before income taxes</t>
  </si>
  <si>
    <t>Income tax expense</t>
  </si>
  <si>
    <t>Net income</t>
  </si>
  <si>
    <t>Attribution and or Allocation of Net Income to Horizon Rate Zone (HRZ) for 2017 ESM Calculation</t>
  </si>
  <si>
    <t>HUC = Horizon Utilities Corporation for the month ending January 31, 2017 (final fiscal period)</t>
  </si>
  <si>
    <t>Alectra Distribution Revenue</t>
  </si>
  <si>
    <t>11 months ending Dec 31/17</t>
  </si>
  <si>
    <t>At Cost</t>
  </si>
  <si>
    <t>Open Feb 1/17</t>
  </si>
  <si>
    <t>Close Dec 31/17</t>
  </si>
  <si>
    <t>Net Additions</t>
  </si>
  <si>
    <t>%</t>
  </si>
  <si>
    <t>Alectra General Plant depreciation allocated based on Dec 31/16 General Plant depreciation by rate zone</t>
  </si>
  <si>
    <t>adjust re 1/2 yr.</t>
  </si>
  <si>
    <t xml:space="preserve">Adjusted Cost </t>
  </si>
  <si>
    <t>Effective average full year rate - Useful life in years  and %</t>
  </si>
  <si>
    <t>Remeasurement of defined benefit obligation</t>
  </si>
  <si>
    <t>Future income tax recovery</t>
  </si>
  <si>
    <t>Other Comprehensive income (loss)</t>
  </si>
  <si>
    <t>Total comprehensive net income</t>
  </si>
  <si>
    <t xml:space="preserve">Alectra Utilities Corporation (AUC) - MIFRS Income Statement 11 months ending December 31, 2017 </t>
  </si>
  <si>
    <t>These amounts are replaced by deemed amounts / calculations and do not need to be split.</t>
  </si>
  <si>
    <t>These amounts are directly attributable/tracked by the rate zone.</t>
  </si>
  <si>
    <t>2017 Actual</t>
  </si>
  <si>
    <t>Horizon Utilities Corporation - 1 month ending Jan 31/17</t>
  </si>
  <si>
    <t xml:space="preserve">Remove merger costs </t>
  </si>
  <si>
    <t>HRZ share of Alectra OM&amp;A - 11 months ending Dec 31/17</t>
  </si>
  <si>
    <t>Allocation of Alectra OM&amp;A to HRZ:</t>
  </si>
  <si>
    <t>Amount</t>
  </si>
  <si>
    <t>Alectra 2017</t>
  </si>
  <si>
    <t>HRZ 2017 OM&amp;A for ESM calculation</t>
  </si>
  <si>
    <t>Total for 2017</t>
  </si>
  <si>
    <t>See "Allocations" sheet for details regarding the allocation % used.</t>
  </si>
  <si>
    <t>Prorated  (Alectra Overhead basis)</t>
  </si>
  <si>
    <t>HRZ share of Alectra OM&amp;A - 11 months ending Dec 31/17:</t>
  </si>
  <si>
    <t>OM&amp;A allocated to HRZ as above</t>
  </si>
  <si>
    <t>Horizon share of Alectra OM&amp;A based on previous capitalization policy</t>
  </si>
  <si>
    <t>Horizon 2017 ESM</t>
  </si>
  <si>
    <t>Horizon Utilities Corporation (HUC) / Horizon Rate Zone (HRZ) 2017 ESM Calculation</t>
  </si>
  <si>
    <t>Net Income</t>
  </si>
  <si>
    <t xml:space="preserve">OM&amp;A for 2017 ESM </t>
  </si>
  <si>
    <t>Net merger OM&amp;A cost (savings) subtotal</t>
  </si>
  <si>
    <t xml:space="preserve">Dec 31/17 </t>
  </si>
  <si>
    <t>Net merger capital costs (savings) subtotal</t>
  </si>
  <si>
    <t>Adjust for merger capital costs in WIP</t>
  </si>
  <si>
    <t>Capital:</t>
  </si>
  <si>
    <t>OM&amp;A:</t>
  </si>
  <si>
    <t>3</t>
  </si>
  <si>
    <t>Net merger OM&amp;A expense  to remove from OM&amp;A</t>
  </si>
  <si>
    <t>Financing cost savings are not part of OM&amp;A and need to be removed.</t>
  </si>
  <si>
    <t>Alectra GLs</t>
  </si>
  <si>
    <t>half year basis</t>
  </si>
  <si>
    <t xml:space="preserve">Depreciation expense </t>
  </si>
  <si>
    <t>average rate</t>
  </si>
  <si>
    <r>
      <t>Alectra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</si>
  <si>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Alectra General Plant depreciation is allocated based on Dec 31/16 General Plant depreciation by rate zone.</t>
  </si>
  <si>
    <t>2017 Depreciation Expense</t>
  </si>
  <si>
    <t>Deemed ST Debt</t>
  </si>
  <si>
    <t>Deemed LT Debt</t>
  </si>
  <si>
    <t>Deemed Equity</t>
  </si>
  <si>
    <t>See (A) below</t>
  </si>
  <si>
    <t>(A) Allocation of General Plant:</t>
  </si>
  <si>
    <t>Alectra total General Plant at Dec 31/17 allocated based on Dec 31/16 NBV of General Plant</t>
  </si>
  <si>
    <t>Total Rate Base</t>
  </si>
  <si>
    <t>Deemed Debt and Equity</t>
  </si>
  <si>
    <t>Annual Filing EB-2016-0077</t>
  </si>
  <si>
    <t>2017 DRO Approved by OEB (EB-2016-0077)</t>
  </si>
  <si>
    <t>1 Month ending Jan 31/17</t>
  </si>
  <si>
    <t>11 Months ending Dec 31/17</t>
  </si>
  <si>
    <t>2017 Regulatory ROE for ESM</t>
  </si>
  <si>
    <t>4.</t>
  </si>
  <si>
    <t>Calculation of Current Taxes - Horizon Rate Zone</t>
  </si>
  <si>
    <t>Adjustments</t>
  </si>
  <si>
    <t>Income before Tax</t>
  </si>
  <si>
    <t>Current Tax Impact</t>
  </si>
  <si>
    <t>Tax Rate</t>
  </si>
  <si>
    <t>Record Tax on Stranded Meter Rate Rider as per Custom IR Application</t>
  </si>
  <si>
    <t>2017 Actuals ESM</t>
  </si>
  <si>
    <t xml:space="preserve">Regulatory Net income </t>
  </si>
  <si>
    <t>Add back taxes</t>
  </si>
  <si>
    <t>Description</t>
  </si>
  <si>
    <t>Other Revenue from the Alectra Trial Balance - HRZ</t>
  </si>
  <si>
    <t>Taxable income</t>
  </si>
  <si>
    <t>Income taxes</t>
  </si>
  <si>
    <t>tax credits</t>
  </si>
  <si>
    <t>Current taxes payable</t>
  </si>
  <si>
    <t>2014-2016 RRR Average,</t>
  </si>
  <si>
    <t>Adjust Overhead Capitalized</t>
  </si>
  <si>
    <t>Prorate for 2017 part year:</t>
  </si>
  <si>
    <t>Adjusted Alectra OM&amp;A for allocation to rate zones</t>
  </si>
  <si>
    <t>Allocated Amount</t>
  </si>
  <si>
    <t>Net additions (deductions) for tax</t>
  </si>
  <si>
    <t>Horizon Rate Zone - Alectra period</t>
  </si>
  <si>
    <t>Actual</t>
  </si>
  <si>
    <t>EB-2016-0077</t>
  </si>
  <si>
    <t>PILs Gross-up</t>
  </si>
  <si>
    <t>Regulatory  net income before tax</t>
  </si>
  <si>
    <t>ESM Rate Riders Table</t>
  </si>
  <si>
    <t>Rate Class</t>
  </si>
  <si>
    <t>RESIDENTIAL</t>
  </si>
  <si>
    <t>GENERAL SERVICE LESS THAN 50 KW</t>
  </si>
  <si>
    <t>GENERAL SERVICE &gt; 50 KW</t>
  </si>
  <si>
    <t>LARGE USE 1</t>
  </si>
  <si>
    <t>LARGE USE 2</t>
  </si>
  <si>
    <t>UNMETERED SCATTERED LOAD</t>
  </si>
  <si>
    <t>SENTINEL LIGHTING</t>
  </si>
  <si>
    <t>STREET LIGHTING</t>
  </si>
  <si>
    <t>Total $</t>
  </si>
  <si>
    <t>Fixed Rate Rider</t>
  </si>
  <si>
    <t>Variable Rate Rider</t>
  </si>
  <si>
    <t>Variable Units</t>
  </si>
  <si>
    <t>$/kWh</t>
  </si>
  <si>
    <t>$/kW</t>
  </si>
  <si>
    <t>2014-2016 RRR Average</t>
  </si>
  <si>
    <t>Merger capital adjustments - calculate impact on depreciation expense:</t>
  </si>
  <si>
    <t>Alectra OM&amp;A by Rate Zone - 3 Year Average</t>
  </si>
  <si>
    <t>Derecognition is rate zone specific as it relates to distribution plant located in the rate zone.</t>
  </si>
  <si>
    <t>Subtotal</t>
  </si>
  <si>
    <t>HRZ ESM, DVA adjustments</t>
  </si>
  <si>
    <t>CDM net income</t>
  </si>
  <si>
    <t>Add back 2017 ESM accrual</t>
  </si>
  <si>
    <t>The starting point for 2017 is on a RRR basis so no adjustment required to record</t>
  </si>
  <si>
    <t>This is the same amount for all years as total cost is amortized over the 5 years.</t>
  </si>
  <si>
    <t>merger costs</t>
  </si>
  <si>
    <t xml:space="preserve">Loss on PP&amp;E derecognition </t>
  </si>
  <si>
    <t>Depreciation &amp; amortization</t>
  </si>
  <si>
    <t>Gain/(Loss) on sale of assets</t>
  </si>
  <si>
    <t>HU-545</t>
  </si>
  <si>
    <t>HU-832001</t>
  </si>
  <si>
    <t>HU-5085</t>
  </si>
  <si>
    <t>HU-900</t>
  </si>
  <si>
    <t>HU-830000</t>
  </si>
  <si>
    <t>HU-4355</t>
  </si>
  <si>
    <t>HU-NA</t>
  </si>
  <si>
    <t>HU-832000</t>
  </si>
  <si>
    <t>HU-4362</t>
  </si>
  <si>
    <t>subtotal</t>
  </si>
  <si>
    <t xml:space="preserve">Alectra Utilities </t>
  </si>
  <si>
    <t>Distribution Plant</t>
  </si>
  <si>
    <t>Other non-distribution</t>
  </si>
  <si>
    <t>From MIFRS Fixed Asset Continuity Schedules</t>
  </si>
  <si>
    <t>Gain on Sale</t>
  </si>
  <si>
    <t>Derecognition</t>
  </si>
  <si>
    <t>AUC 2.1.7 Details</t>
  </si>
  <si>
    <t>Less net merger OM&amp;A costs</t>
  </si>
  <si>
    <t>Pooled/ Non-distribution</t>
  </si>
  <si>
    <t>Net Income before interest and tax</t>
  </si>
  <si>
    <t>These amount are not directly attributable/tracked by rate zone and involve some allocation</t>
  </si>
  <si>
    <t>Adjustments for DVA interest (income) expense</t>
  </si>
  <si>
    <t>Pooled/Non-Distribution consists of:</t>
  </si>
  <si>
    <t>Renewable generation net revenue (loss)</t>
  </si>
  <si>
    <t>CR (DR)</t>
  </si>
  <si>
    <t>Less recoveries transferred to OM&amp;A</t>
  </si>
  <si>
    <t>Horizon - month ending Jan 31, 2017</t>
  </si>
  <si>
    <t>HRZ 11 months ending Dec 31, 2017</t>
  </si>
  <si>
    <t>Remove DVA interest (income) expense</t>
  </si>
  <si>
    <t xml:space="preserve">Net income before interest and tax reconciled to RRR 2.1.7 trial balance </t>
  </si>
  <si>
    <t>regulatory net income.</t>
  </si>
  <si>
    <t>Remove Waubaushene - specific to PRZ</t>
  </si>
  <si>
    <t>Remove environmental - specific to ERZ</t>
  </si>
  <si>
    <t>Total for allocation</t>
  </si>
  <si>
    <t>Rate Zone Specific</t>
  </si>
  <si>
    <t>OM&amp;A by Rate Zone</t>
  </si>
  <si>
    <t>Allocation to Rate Zones:</t>
  </si>
  <si>
    <t>Regulated net income (loss) per RRR 2.1.7</t>
  </si>
  <si>
    <t>HUC</t>
  </si>
  <si>
    <t>Remove CDM Net income</t>
  </si>
  <si>
    <t>Remove renewable generation (income) loss</t>
  </si>
  <si>
    <t>Remove merger costs</t>
  </si>
  <si>
    <t>Add actual interest cost</t>
  </si>
  <si>
    <t>Deduct income tax expense</t>
  </si>
  <si>
    <t>Deduct other rate zones regulatory net income before interest and taxes</t>
  </si>
  <si>
    <t>Horizon Rate Zone regulatory net income before interest and taxes</t>
  </si>
  <si>
    <t>Remove share of Joint venture net income</t>
  </si>
  <si>
    <t>Deemed interest expense - short term</t>
  </si>
  <si>
    <t>Deemed interest expense - long term</t>
  </si>
  <si>
    <t>Horizon Rate Zone regulatory net income before ESM adjustments</t>
  </si>
  <si>
    <t>Income taxes/PILs - current</t>
  </si>
  <si>
    <t>2017 Actuals</t>
  </si>
  <si>
    <t>2017 Regulatory ROE</t>
  </si>
  <si>
    <t>Annual Filing EB-2017-0024</t>
  </si>
  <si>
    <t>Regulatory net income before tax from "Net Income" sheet</t>
  </si>
  <si>
    <t>A.</t>
  </si>
  <si>
    <t>B.</t>
  </si>
  <si>
    <t>C.</t>
  </si>
  <si>
    <t>D.</t>
  </si>
  <si>
    <t>This is the legislated tax rate that applies to HRZ taxable income for 2017.</t>
  </si>
  <si>
    <t>Cost of Power (COP)</t>
  </si>
  <si>
    <t>The above revenue amounts are MIFRS and exclude the stranded meter rate riders but include allowed return.</t>
  </si>
  <si>
    <t>Adjustment for return portion made on "ESM Calc" sheet.</t>
  </si>
  <si>
    <t>Reduce by management fees recoveries from Other Revenue</t>
  </si>
  <si>
    <t>Net merger capital costs (savings) to remove (add) to capital</t>
  </si>
  <si>
    <t>GP effective Average Rate</t>
  </si>
  <si>
    <t>Alectra General plant - net merger capital costs adjustment</t>
  </si>
  <si>
    <t>as per RRR ROE 2.1.5.6 Appendix 1</t>
  </si>
  <si>
    <t>Joint venture income from 50% interest in Collus PowerStream is investment income and not distribution income.</t>
  </si>
  <si>
    <t xml:space="preserve">Alectra OM&amp;A by Rate Zone: 2014-2016 Actual </t>
  </si>
  <si>
    <t>1. RRR data taken from OEB Annual Yearbook of Distributors less merger transaction costs</t>
  </si>
  <si>
    <t>2. Actual capitalization policy change grossed-up to 12 months by rate zone</t>
  </si>
  <si>
    <t>Total Cost of Power for ESM</t>
  </si>
  <si>
    <t>1. Tracked by rate zone - COP calculated based on OEB definition of lower of revenue and cost of power</t>
  </si>
  <si>
    <t>Other revenues are rate zone specific to the legacy GL.</t>
  </si>
  <si>
    <t>Reconcilation Other Revenue</t>
  </si>
  <si>
    <t>Total HRZ Stub period</t>
  </si>
  <si>
    <t>Total HRZ (Alectra) period</t>
  </si>
  <si>
    <t>(B) Calculation of Total General Plant to Allocate:</t>
  </si>
  <si>
    <t>Board-Approved Base Rates (2018)</t>
  </si>
  <si>
    <t>Per Settlement Agreement Approved Billing Determinants (2019)</t>
  </si>
  <si>
    <t>Monthly Service Charge</t>
  </si>
  <si>
    <t>Distribution Volumetric Rate kWh</t>
  </si>
  <si>
    <t>Distribution Volumetric Rate kW</t>
  </si>
  <si>
    <t>Billed Customers or Connections</t>
  </si>
  <si>
    <t>Billed kWh</t>
  </si>
  <si>
    <t>Billed kW</t>
  </si>
  <si>
    <t>Current Base Service Charge Revenue</t>
  </si>
  <si>
    <t>Current Base Distribution Volumetric Rate kWh Revenue</t>
  </si>
  <si>
    <t>Current Base Distribution Volumetric Rate kW Revenue</t>
  </si>
  <si>
    <t>Total Current Base Revenue</t>
  </si>
  <si>
    <t>Service Charge % Total Revenue</t>
  </si>
  <si>
    <t xml:space="preserve">Distribution Volumetric Rate % Total Revenue </t>
  </si>
  <si>
    <t>Total % Revenue</t>
  </si>
  <si>
    <t>A</t>
  </si>
  <si>
    <t>B</t>
  </si>
  <si>
    <t>C</t>
  </si>
  <si>
    <t>D</t>
  </si>
  <si>
    <t>E</t>
  </si>
  <si>
    <t>F</t>
  </si>
  <si>
    <t>G = A * D *12</t>
  </si>
  <si>
    <t>H = B * E</t>
  </si>
  <si>
    <t>I = C * F</t>
  </si>
  <si>
    <t>J = G + H + I</t>
  </si>
  <si>
    <r>
      <t>L = G / J</t>
    </r>
    <r>
      <rPr>
        <b/>
        <vertAlign val="subscript"/>
        <sz val="12"/>
        <rFont val="Calibri"/>
        <family val="2"/>
        <scheme val="minor"/>
      </rPr>
      <t>total</t>
    </r>
  </si>
  <si>
    <r>
      <t>M = H / J</t>
    </r>
    <r>
      <rPr>
        <b/>
        <vertAlign val="subscript"/>
        <sz val="12"/>
        <rFont val="Calibri"/>
        <family val="2"/>
        <scheme val="minor"/>
      </rPr>
      <t>total</t>
    </r>
  </si>
  <si>
    <r>
      <t>N = I / J</t>
    </r>
    <r>
      <rPr>
        <b/>
        <vertAlign val="subscript"/>
        <sz val="12"/>
        <rFont val="Calibri"/>
        <family val="2"/>
        <scheme val="minor"/>
      </rPr>
      <t>total</t>
    </r>
  </si>
  <si>
    <r>
      <t>O = J / J</t>
    </r>
    <r>
      <rPr>
        <b/>
        <vertAlign val="subscript"/>
        <sz val="12"/>
        <rFont val="Calibri"/>
        <family val="2"/>
        <scheme val="minor"/>
      </rPr>
      <t>total</t>
    </r>
  </si>
  <si>
    <t>Calculation of incremental rate rider.  Choose one of the 3 options:</t>
  </si>
  <si>
    <t>Service Charge % Revenue</t>
  </si>
  <si>
    <t>Distribution Volumetric Rate % Revenue kWh</t>
  </si>
  <si>
    <t>Distribution Volumetric Rate % Revenue kW</t>
  </si>
  <si>
    <t>Service Charge Revenue</t>
  </si>
  <si>
    <t>Distribution Volumetric Rate Revenue kWh</t>
  </si>
  <si>
    <t>Distribution Volumetric Rate Revenue kW</t>
  </si>
  <si>
    <t>Total Revenue by Rate Class</t>
  </si>
  <si>
    <t>Board Approved Customers or Connections</t>
  </si>
  <si>
    <t>Board Approved kWh</t>
  </si>
  <si>
    <t>Board Approved kW</t>
  </si>
  <si>
    <t>Service Charge Rate Rider</t>
  </si>
  <si>
    <t>Distribution Volumetric Rate kWh Rate Rider</t>
  </si>
  <si>
    <t>Distribution Volumetric Rate kW Rate Rider</t>
  </si>
  <si>
    <t>From Sheet 1</t>
  </si>
  <si>
    <r>
      <t>Col C 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</si>
  <si>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r>
      <t>Col  D*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</si>
  <si>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r>
      <t>Col  E*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</si>
  <si>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t>Col F / Col K / 12</t>
  </si>
  <si>
    <t>Col G / Col L</t>
  </si>
  <si>
    <t>Col H / Col M</t>
  </si>
  <si>
    <t>Note:  As per the OEB's letter issued July 16, 2015 (EB-2012-0410), Residential Rates will be applied on a fixed basis only.</t>
  </si>
  <si>
    <t>EB-2019-0018 Attachment 10</t>
  </si>
  <si>
    <t>Add non-allowable donations (non-LEAP)</t>
  </si>
  <si>
    <t>5.</t>
  </si>
  <si>
    <t>ESM accrual included RRR filing and adjusted accordingly in distribution revenue</t>
  </si>
  <si>
    <t>Summary ESM Calculation</t>
  </si>
  <si>
    <t>HRZ - Regulatory Net Income</t>
  </si>
  <si>
    <t>Current Taxes - HRZ</t>
  </si>
  <si>
    <t>HRZ Deemed Debt &amp; Equity</t>
  </si>
  <si>
    <t>HRZ Rate Base</t>
  </si>
  <si>
    <t>January 1, 2017</t>
  </si>
  <si>
    <t>December 31,2017</t>
  </si>
  <si>
    <t>HRZ Net Fixed Assets</t>
  </si>
  <si>
    <t>HRZ Regulatory Net Income (by period)</t>
  </si>
  <si>
    <t>Net Additions (deductions) for tax from Alectra tax provision worksheet (Attachment 9)</t>
  </si>
  <si>
    <t>Merger Adj</t>
  </si>
  <si>
    <t xml:space="preserve">HRZ - Alectra </t>
  </si>
  <si>
    <t>Other revenue</t>
  </si>
  <si>
    <t>deferral and variance (DVA) balances on an RRR basis.</t>
  </si>
  <si>
    <t>HRZ = Alectric Utilities Corporation  - Horizon Rate Zone portion for the 11 months ending December 31, 2017</t>
  </si>
  <si>
    <t>HRZ-STAFF-2.a Revised 3 Year Average</t>
  </si>
  <si>
    <t>2014-2016 (3 Year) OM&amp;A Average</t>
  </si>
  <si>
    <t>3. HRZ-Staff-2 Revised 3 Year Average (when applied - must also adjust net tax deductions based on OM&amp;A allocation)</t>
  </si>
  <si>
    <t>OM&amp;A adjustment to exclude impact of capitalization change</t>
  </si>
  <si>
    <t>Adjust for capitalization impact</t>
  </si>
  <si>
    <t>See (B) below</t>
  </si>
  <si>
    <t>Horizon Rate Zone (HRZ) 2017 ESM Calculation (Excludes Capitalization Change Impact)</t>
  </si>
  <si>
    <t>Revised per SEC-65. HRZ PP&amp;E adjusted to exclude impact of capitalization policy change.</t>
  </si>
  <si>
    <t>Revised per SEC-65. HRZ OM&amp;A adjusted to exclude impact of capitalization policy change.</t>
  </si>
  <si>
    <t>Revised per SEC-65. HRZ depreciation adjusted to exclude impact of capitalization policy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</si>
</sst>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&quot;$&quot;* #,##0.00_);_(&quot;$&quot;* \(#,##0.00\);_(&quot;$&quot;* &quot;-&quot;??_);_(@_)"/>
    <numFmt numFmtId="167" formatCode="_-&quot;$&quot;* #,##0_-;\-&quot;$&quot;* #,##0_-;_-&quot;$&quot;* &quot;-&quot;??_-;_-@_-"/>
    <numFmt numFmtId="168" formatCode="&quot;$&quot;#,##0;\(&quot;$&quot;#,##0\)"/>
    <numFmt numFmtId="169" formatCode="0.0%"/>
    <numFmt numFmtId="170" formatCode="0.000%"/>
    <numFmt numFmtId="171" formatCode="_(* #,##0_);_(* \(#,##0\);_(* &quot;-&quot;??_);_(@_)"/>
    <numFmt numFmtId="172" formatCode="_-* #,##0_-;\-* #,##0_-;_-* &quot;-&quot;??_-;_-@_-"/>
    <numFmt numFmtId="173" formatCode="&quot;$&quot;\ #,##0_);\(&quot;$&quot;\ #,##0\)"/>
    <numFmt numFmtId="174" formatCode="0.0%;\(0.0%\)"/>
    <numFmt numFmtId="175" formatCode="&quot;$&quot;\ #,##0.00_);\(&quot;$&quot;\ #,##0.00\)"/>
    <numFmt numFmtId="176" formatCode="&quot;$&quot;\ #,##0.0000_);\(&quot;$&quot;\ #,##0.0000\)"/>
    <numFmt numFmtId="177" formatCode="#,###"/>
    <numFmt numFmtId="178" formatCode="0.0000"/>
    <numFmt numFmtId="179" formatCode="_-&quot;$&quot;* #,##0.0000_-;\-&quot;$&quot;* #,##0.0000_-;_-&quot;$&quot;* &quot;-&quot;??_-;_-@_-"/>
    <numFmt numFmtId="180" formatCode="&quot;$&quot;#,##0.00_);\(&quot;$&quot;#,##0.0000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 Narrow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Arial Narrow"/>
      <family val="2"/>
    </font>
    <font>
      <i/>
      <sz val="10"/>
      <color theme="1"/>
      <name val="Arial"/>
      <family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8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vertAlign val="subscript"/>
      <sz val="10"/>
      <color theme="4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450666829432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</cellStyleXfs>
  <cellXfs count="490">
    <xf numFmtId="0" fontId="0" fillId="0" borderId="0" xfId="0"/>
    <xf numFmtId="167" fontId="0" fillId="0" borderId="0" xfId="1" applyNumberFormat="1" applyFont="1"/>
    <xf numFmtId="0" fontId="0" fillId="0" borderId="1" xfId="0" applyBorder="1"/>
    <xf numFmtId="167" fontId="0" fillId="0" borderId="1" xfId="1" applyNumberFormat="1" applyFont="1" applyBorder="1"/>
    <xf numFmtId="10" fontId="0" fillId="0" borderId="1" xfId="0" applyNumberFormat="1" applyBorder="1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0" fillId="0" borderId="0" xfId="0" applyBorder="1"/>
    <xf numFmtId="167" fontId="0" fillId="0" borderId="0" xfId="1" applyNumberFormat="1" applyFont="1" applyBorder="1"/>
    <xf numFmtId="167" fontId="2" fillId="0" borderId="1" xfId="1" applyNumberFormat="1" applyFont="1" applyBorder="1"/>
    <xf numFmtId="0" fontId="2" fillId="0" borderId="0" xfId="0" applyFont="1" applyFill="1" applyBorder="1"/>
    <xf numFmtId="167" fontId="2" fillId="0" borderId="0" xfId="1" applyNumberFormat="1" applyFont="1" applyBorder="1"/>
    <xf numFmtId="0" fontId="0" fillId="0" borderId="1" xfId="0" applyFont="1" applyBorder="1"/>
    <xf numFmtId="0" fontId="0" fillId="0" borderId="4" xfId="0" applyBorder="1"/>
    <xf numFmtId="0" fontId="2" fillId="0" borderId="1" xfId="0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7" fontId="0" fillId="0" borderId="1" xfId="0" applyNumberFormat="1" applyBorder="1"/>
    <xf numFmtId="49" fontId="0" fillId="0" borderId="0" xfId="0" applyNumberFormat="1" applyAlignment="1">
      <alignment horizontal="center"/>
    </xf>
    <xf numFmtId="0" fontId="0" fillId="0" borderId="1" xfId="0" applyFill="1" applyBorder="1"/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4" fontId="0" fillId="0" borderId="0" xfId="1" applyFont="1" applyBorder="1" applyAlignment="1"/>
    <xf numFmtId="0" fontId="0" fillId="0" borderId="0" xfId="0" applyFont="1"/>
    <xf numFmtId="0" fontId="0" fillId="0" borderId="0" xfId="0" applyFont="1" applyFill="1" applyBorder="1"/>
    <xf numFmtId="0" fontId="2" fillId="0" borderId="6" xfId="0" applyFont="1" applyFill="1" applyBorder="1"/>
    <xf numFmtId="0" fontId="2" fillId="0" borderId="0" xfId="0" applyFont="1" applyFill="1" applyBorder="1" applyAlignment="1">
      <alignment horizontal="center" wrapText="1"/>
    </xf>
    <xf numFmtId="167" fontId="0" fillId="0" borderId="1" xfId="1" applyNumberFormat="1" applyFont="1" applyFill="1" applyBorder="1"/>
    <xf numFmtId="10" fontId="0" fillId="0" borderId="1" xfId="2" applyNumberFormat="1" applyFont="1" applyFill="1" applyBorder="1"/>
    <xf numFmtId="10" fontId="0" fillId="0" borderId="1" xfId="2" applyNumberFormat="1" applyFont="1" applyBorder="1" applyAlignment="1">
      <alignment horizontal="center"/>
    </xf>
    <xf numFmtId="168" fontId="0" fillId="0" borderId="1" xfId="0" applyNumberFormat="1" applyBorder="1"/>
    <xf numFmtId="168" fontId="0" fillId="0" borderId="0" xfId="0" applyNumberFormat="1"/>
    <xf numFmtId="0" fontId="2" fillId="0" borderId="1" xfId="0" applyFont="1" applyFill="1" applyBorder="1"/>
    <xf numFmtId="169" fontId="2" fillId="0" borderId="1" xfId="2" applyNumberFormat="1" applyFont="1" applyBorder="1"/>
    <xf numFmtId="168" fontId="0" fillId="0" borderId="1" xfId="1" applyNumberFormat="1" applyFont="1" applyBorder="1"/>
    <xf numFmtId="168" fontId="2" fillId="0" borderId="1" xfId="0" applyNumberFormat="1" applyFont="1" applyBorder="1"/>
    <xf numFmtId="0" fontId="2" fillId="0" borderId="0" xfId="0" applyFont="1" applyFill="1" applyBorder="1" applyAlignment="1">
      <alignment horizontal="center"/>
    </xf>
    <xf numFmtId="168" fontId="0" fillId="0" borderId="1" xfId="1" applyNumberFormat="1" applyFont="1" applyFill="1" applyBorder="1" applyAlignment="1">
      <alignment horizontal="right"/>
    </xf>
    <xf numFmtId="168" fontId="2" fillId="0" borderId="1" xfId="1" applyNumberFormat="1" applyFont="1" applyBorder="1" applyAlignment="1">
      <alignment horizontal="right"/>
    </xf>
    <xf numFmtId="168" fontId="0" fillId="0" borderId="0" xfId="0" applyNumberFormat="1" applyAlignment="1">
      <alignment horizontal="center"/>
    </xf>
    <xf numFmtId="170" fontId="0" fillId="0" borderId="1" xfId="2" applyNumberFormat="1" applyFont="1" applyBorder="1"/>
    <xf numFmtId="168" fontId="0" fillId="0" borderId="0" xfId="1" applyNumberFormat="1" applyFont="1"/>
    <xf numFmtId="170" fontId="0" fillId="0" borderId="1" xfId="0" applyNumberFormat="1" applyBorder="1"/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8" fontId="0" fillId="0" borderId="0" xfId="0" applyNumberFormat="1" applyFill="1" applyAlignment="1">
      <alignment horizontal="right"/>
    </xf>
    <xf numFmtId="0" fontId="0" fillId="0" borderId="0" xfId="0" applyFill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8" fontId="0" fillId="0" borderId="1" xfId="0" applyNumberFormat="1" applyFill="1" applyBorder="1" applyAlignment="1">
      <alignment horizontal="right"/>
    </xf>
    <xf numFmtId="0" fontId="0" fillId="0" borderId="2" xfId="0" applyFill="1" applyBorder="1"/>
    <xf numFmtId="0" fontId="0" fillId="0" borderId="0" xfId="0" applyBorder="1" applyAlignment="1"/>
    <xf numFmtId="10" fontId="0" fillId="0" borderId="1" xfId="2" applyNumberFormat="1" applyFont="1" applyBorder="1" applyAlignment="1">
      <alignment horizontal="right"/>
    </xf>
    <xf numFmtId="0" fontId="2" fillId="0" borderId="3" xfId="0" applyFont="1" applyBorder="1" applyAlignment="1"/>
    <xf numFmtId="167" fontId="0" fillId="0" borderId="4" xfId="1" applyNumberFormat="1" applyFont="1" applyBorder="1"/>
    <xf numFmtId="164" fontId="0" fillId="0" borderId="0" xfId="0" applyNumberFormat="1"/>
    <xf numFmtId="0" fontId="2" fillId="0" borderId="12" xfId="0" applyFont="1" applyBorder="1"/>
    <xf numFmtId="167" fontId="2" fillId="0" borderId="1" xfId="0" applyNumberFormat="1" applyFont="1" applyBorder="1"/>
    <xf numFmtId="167" fontId="0" fillId="0" borderId="0" xfId="1" applyNumberFormat="1" applyFont="1" applyFill="1"/>
    <xf numFmtId="167" fontId="0" fillId="0" borderId="0" xfId="1" applyNumberFormat="1" applyFont="1" applyFill="1" applyBorder="1"/>
    <xf numFmtId="172" fontId="0" fillId="0" borderId="0" xfId="3" applyNumberFormat="1" applyFont="1"/>
    <xf numFmtId="167" fontId="0" fillId="0" borderId="13" xfId="0" applyNumberFormat="1" applyBorder="1"/>
    <xf numFmtId="0" fontId="0" fillId="0" borderId="1" xfId="0" applyFont="1" applyFill="1" applyBorder="1"/>
    <xf numFmtId="49" fontId="0" fillId="0" borderId="0" xfId="0" quotePrefix="1" applyNumberForma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quotePrefix="1" applyFill="1" applyBorder="1"/>
    <xf numFmtId="164" fontId="0" fillId="0" borderId="13" xfId="0" applyNumberFormat="1" applyBorder="1"/>
    <xf numFmtId="164" fontId="2" fillId="0" borderId="5" xfId="0" applyNumberFormat="1" applyFont="1" applyBorder="1"/>
    <xf numFmtId="168" fontId="2" fillId="0" borderId="1" xfId="1" applyNumberFormat="1" applyFont="1" applyBorder="1"/>
    <xf numFmtId="10" fontId="0" fillId="0" borderId="0" xfId="0" applyNumberFormat="1"/>
    <xf numFmtId="164" fontId="0" fillId="0" borderId="1" xfId="0" applyNumberFormat="1" applyBorder="1"/>
    <xf numFmtId="167" fontId="0" fillId="0" borderId="4" xfId="1" applyNumberFormat="1" applyFont="1" applyFill="1" applyBorder="1"/>
    <xf numFmtId="167" fontId="0" fillId="0" borderId="0" xfId="0" applyNumberFormat="1" applyBorder="1"/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/>
    <xf numFmtId="10" fontId="0" fillId="0" borderId="1" xfId="2" applyNumberFormat="1" applyFont="1" applyBorder="1"/>
    <xf numFmtId="0" fontId="2" fillId="0" borderId="4" xfId="0" applyFont="1" applyBorder="1"/>
    <xf numFmtId="0" fontId="6" fillId="0" borderId="0" xfId="5"/>
    <xf numFmtId="0" fontId="0" fillId="0" borderId="4" xfId="0" applyFont="1" applyBorder="1"/>
    <xf numFmtId="167" fontId="2" fillId="0" borderId="4" xfId="1" applyNumberFormat="1" applyFont="1" applyBorder="1"/>
    <xf numFmtId="164" fontId="0" fillId="0" borderId="0" xfId="0" applyNumberFormat="1" applyFill="1"/>
    <xf numFmtId="164" fontId="0" fillId="0" borderId="1" xfId="0" applyNumberFormat="1" applyFill="1" applyBorder="1"/>
    <xf numFmtId="164" fontId="0" fillId="0" borderId="0" xfId="0" applyNumberFormat="1" applyBorder="1"/>
    <xf numFmtId="164" fontId="2" fillId="0" borderId="6" xfId="0" applyNumberFormat="1" applyFont="1" applyBorder="1"/>
    <xf numFmtId="43" fontId="0" fillId="0" borderId="1" xfId="3" applyFont="1" applyBorder="1"/>
    <xf numFmtId="164" fontId="2" fillId="0" borderId="3" xfId="0" applyNumberFormat="1" applyFont="1" applyBorder="1"/>
    <xf numFmtId="164" fontId="2" fillId="0" borderId="7" xfId="0" applyNumberFormat="1" applyFont="1" applyBorder="1"/>
    <xf numFmtId="10" fontId="0" fillId="0" borderId="0" xfId="2" applyNumberFormat="1" applyFont="1"/>
    <xf numFmtId="164" fontId="2" fillId="0" borderId="0" xfId="0" applyNumberFormat="1" applyFont="1" applyBorder="1"/>
    <xf numFmtId="164" fontId="0" fillId="0" borderId="1" xfId="0" applyNumberFormat="1" applyFont="1" applyFill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49" fontId="0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0" fillId="3" borderId="1" xfId="0" applyNumberFormat="1" applyFill="1" applyBorder="1"/>
    <xf numFmtId="0" fontId="0" fillId="3" borderId="0" xfId="0" applyFill="1"/>
    <xf numFmtId="164" fontId="0" fillId="3" borderId="0" xfId="0" applyNumberFormat="1" applyFill="1"/>
    <xf numFmtId="0" fontId="0" fillId="0" borderId="0" xfId="0" quotePrefix="1" applyFont="1" applyAlignment="1">
      <alignment horizontal="center"/>
    </xf>
    <xf numFmtId="0" fontId="0" fillId="4" borderId="0" xfId="0" applyFill="1"/>
    <xf numFmtId="164" fontId="0" fillId="4" borderId="0" xfId="0" applyNumberFormat="1" applyFill="1"/>
    <xf numFmtId="164" fontId="0" fillId="4" borderId="1" xfId="0" applyNumberFormat="1" applyFill="1" applyBorder="1"/>
    <xf numFmtId="164" fontId="0" fillId="5" borderId="1" xfId="0" applyNumberFormat="1" applyFill="1" applyBorder="1"/>
    <xf numFmtId="0" fontId="0" fillId="5" borderId="0" xfId="0" applyFill="1"/>
    <xf numFmtId="164" fontId="0" fillId="5" borderId="0" xfId="0" applyNumberFormat="1" applyFill="1"/>
    <xf numFmtId="173" fontId="0" fillId="0" borderId="0" xfId="0" applyNumberFormat="1"/>
    <xf numFmtId="167" fontId="2" fillId="0" borderId="1" xfId="1" applyNumberFormat="1" applyFont="1" applyFill="1" applyBorder="1"/>
    <xf numFmtId="10" fontId="2" fillId="0" borderId="1" xfId="2" applyNumberFormat="1" applyFont="1" applyFill="1" applyBorder="1"/>
    <xf numFmtId="0" fontId="7" fillId="0" borderId="17" xfId="0" applyFont="1" applyFill="1" applyBorder="1" applyAlignment="1">
      <alignment horizontal="center" wrapText="1"/>
    </xf>
    <xf numFmtId="164" fontId="0" fillId="0" borderId="0" xfId="1" applyNumberFormat="1" applyFont="1" applyFill="1" applyBorder="1"/>
    <xf numFmtId="167" fontId="0" fillId="0" borderId="0" xfId="0" applyNumberFormat="1"/>
    <xf numFmtId="10" fontId="0" fillId="0" borderId="0" xfId="2" applyNumberFormat="1" applyFont="1" applyFill="1" applyBorder="1"/>
    <xf numFmtId="168" fontId="0" fillId="0" borderId="0" xfId="0" applyNumberFormat="1" applyFont="1" applyFill="1"/>
    <xf numFmtId="168" fontId="0" fillId="0" borderId="0" xfId="1" applyNumberFormat="1" applyFont="1" applyBorder="1"/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18" xfId="0" applyFont="1" applyFill="1" applyBorder="1"/>
    <xf numFmtId="0" fontId="0" fillId="0" borderId="0" xfId="0" applyAlignment="1">
      <alignment horizontal="left" indent="1"/>
    </xf>
    <xf numFmtId="44" fontId="0" fillId="0" borderId="1" xfId="1" applyFont="1" applyFill="1" applyBorder="1"/>
    <xf numFmtId="0" fontId="2" fillId="0" borderId="0" xfId="0" quotePrefix="1" applyFont="1" applyAlignment="1">
      <alignment horizontal="center"/>
    </xf>
    <xf numFmtId="10" fontId="1" fillId="0" borderId="1" xfId="2" applyNumberFormat="1" applyFont="1" applyBorder="1"/>
    <xf numFmtId="10" fontId="0" fillId="0" borderId="1" xfId="2" applyNumberFormat="1" applyFont="1" applyBorder="1" applyAlignment="1"/>
    <xf numFmtId="9" fontId="2" fillId="0" borderId="1" xfId="2" applyFont="1" applyBorder="1" applyAlignment="1">
      <alignment horizontal="center"/>
    </xf>
    <xf numFmtId="0" fontId="2" fillId="0" borderId="6" xfId="0" applyFont="1" applyBorder="1"/>
    <xf numFmtId="10" fontId="2" fillId="0" borderId="6" xfId="0" applyNumberFormat="1" applyFont="1" applyBorder="1"/>
    <xf numFmtId="167" fontId="2" fillId="0" borderId="18" xfId="1" applyNumberFormat="1" applyFont="1" applyBorder="1"/>
    <xf numFmtId="164" fontId="2" fillId="0" borderId="14" xfId="0" applyNumberFormat="1" applyFont="1" applyBorder="1"/>
    <xf numFmtId="0" fontId="2" fillId="0" borderId="19" xfId="0" applyFont="1" applyBorder="1"/>
    <xf numFmtId="0" fontId="2" fillId="0" borderId="20" xfId="0" applyFont="1" applyBorder="1"/>
    <xf numFmtId="174" fontId="2" fillId="0" borderId="22" xfId="2" applyNumberFormat="1" applyFont="1" applyBorder="1"/>
    <xf numFmtId="0" fontId="0" fillId="0" borderId="6" xfId="0" applyFont="1" applyFill="1" applyBorder="1"/>
    <xf numFmtId="10" fontId="0" fillId="0" borderId="6" xfId="0" applyNumberFormat="1" applyFont="1" applyBorder="1"/>
    <xf numFmtId="0" fontId="2" fillId="0" borderId="19" xfId="0" applyFont="1" applyFill="1" applyBorder="1"/>
    <xf numFmtId="10" fontId="0" fillId="0" borderId="20" xfId="0" applyNumberFormat="1" applyBorder="1"/>
    <xf numFmtId="173" fontId="2" fillId="0" borderId="20" xfId="0" applyNumberFormat="1" applyFont="1" applyBorder="1"/>
    <xf numFmtId="174" fontId="1" fillId="0" borderId="22" xfId="2" applyNumberFormat="1" applyFont="1" applyBorder="1"/>
    <xf numFmtId="0" fontId="0" fillId="0" borderId="1" xfId="0" applyBorder="1"/>
    <xf numFmtId="9" fontId="0" fillId="0" borderId="1" xfId="2" applyFont="1" applyBorder="1"/>
    <xf numFmtId="0" fontId="9" fillId="6" borderId="9" xfId="0" applyFont="1" applyFill="1" applyBorder="1"/>
    <xf numFmtId="0" fontId="9" fillId="6" borderId="9" xfId="0" applyFont="1" applyFill="1" applyBorder="1" applyAlignment="1">
      <alignment horizontal="center"/>
    </xf>
    <xf numFmtId="0" fontId="0" fillId="7" borderId="3" xfId="0" applyFill="1" applyBorder="1"/>
    <xf numFmtId="167" fontId="0" fillId="7" borderId="5" xfId="1" applyNumberFormat="1" applyFont="1" applyFill="1" applyBorder="1"/>
    <xf numFmtId="0" fontId="0" fillId="7" borderId="15" xfId="0" applyFont="1" applyFill="1" applyBorder="1"/>
    <xf numFmtId="0" fontId="0" fillId="7" borderId="2" xfId="0" applyFill="1" applyBorder="1"/>
    <xf numFmtId="0" fontId="0" fillId="7" borderId="3" xfId="0" applyFont="1" applyFill="1" applyBorder="1"/>
    <xf numFmtId="0" fontId="0" fillId="7" borderId="7" xfId="0" applyFill="1" applyBorder="1"/>
    <xf numFmtId="0" fontId="2" fillId="7" borderId="3" xfId="0" applyFont="1" applyFill="1" applyBorder="1"/>
    <xf numFmtId="0" fontId="2" fillId="7" borderId="7" xfId="0" applyFont="1" applyFill="1" applyBorder="1"/>
    <xf numFmtId="10" fontId="0" fillId="7" borderId="7" xfId="0" applyNumberFormat="1" applyFill="1" applyBorder="1"/>
    <xf numFmtId="0" fontId="9" fillId="6" borderId="0" xfId="0" applyFont="1" applyFill="1" applyBorder="1"/>
    <xf numFmtId="167" fontId="9" fillId="6" borderId="1" xfId="1" applyNumberFormat="1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/>
    </xf>
    <xf numFmtId="0" fontId="10" fillId="6" borderId="16" xfId="0" applyFont="1" applyFill="1" applyBorder="1"/>
    <xf numFmtId="0" fontId="9" fillId="6" borderId="10" xfId="0" applyFont="1" applyFill="1" applyBorder="1" applyAlignment="1">
      <alignment horizontal="center" wrapText="1"/>
    </xf>
    <xf numFmtId="164" fontId="9" fillId="6" borderId="1" xfId="0" applyNumberFormat="1" applyFont="1" applyFill="1" applyBorder="1" applyAlignment="1">
      <alignment horizontal="center"/>
    </xf>
    <xf numFmtId="0" fontId="2" fillId="0" borderId="14" xfId="0" applyFont="1" applyBorder="1"/>
    <xf numFmtId="0" fontId="9" fillId="6" borderId="4" xfId="0" applyFont="1" applyFill="1" applyBorder="1"/>
    <xf numFmtId="0" fontId="9" fillId="6" borderId="4" xfId="0" applyFont="1" applyFill="1" applyBorder="1" applyAlignment="1">
      <alignment horizontal="center"/>
    </xf>
    <xf numFmtId="167" fontId="1" fillId="0" borderId="0" xfId="1" applyNumberFormat="1" applyFont="1" applyBorder="1"/>
    <xf numFmtId="0" fontId="0" fillId="0" borderId="0" xfId="0" applyFont="1" applyBorder="1"/>
    <xf numFmtId="10" fontId="0" fillId="0" borderId="0" xfId="0" applyNumberFormat="1" applyBorder="1"/>
    <xf numFmtId="0" fontId="0" fillId="0" borderId="0" xfId="0" applyFill="1" applyBorder="1" applyAlignment="1"/>
    <xf numFmtId="10" fontId="0" fillId="0" borderId="0" xfId="2" applyNumberFormat="1" applyFont="1" applyFill="1"/>
    <xf numFmtId="0" fontId="10" fillId="6" borderId="0" xfId="0" applyFont="1" applyFill="1"/>
    <xf numFmtId="0" fontId="10" fillId="6" borderId="0" xfId="0" applyFont="1" applyFill="1" applyAlignment="1">
      <alignment horizontal="center" wrapText="1"/>
    </xf>
    <xf numFmtId="173" fontId="0" fillId="0" borderId="1" xfId="0" applyNumberFormat="1" applyBorder="1"/>
    <xf numFmtId="0" fontId="0" fillId="2" borderId="1" xfId="0" applyFill="1" applyBorder="1"/>
    <xf numFmtId="173" fontId="0" fillId="2" borderId="1" xfId="0" applyNumberFormat="1" applyFill="1" applyBorder="1"/>
    <xf numFmtId="10" fontId="0" fillId="2" borderId="1" xfId="2" applyNumberFormat="1" applyFont="1" applyFill="1" applyBorder="1"/>
    <xf numFmtId="0" fontId="0" fillId="0" borderId="1" xfId="0" applyBorder="1" applyAlignment="1">
      <alignment wrapText="1"/>
    </xf>
    <xf numFmtId="173" fontId="0" fillId="8" borderId="1" xfId="0" applyNumberFormat="1" applyFill="1" applyBorder="1"/>
    <xf numFmtId="0" fontId="11" fillId="0" borderId="0" xfId="0" applyFont="1" applyFill="1" applyAlignment="1">
      <alignment horizontal="center" wrapText="1"/>
    </xf>
    <xf numFmtId="173" fontId="0" fillId="0" borderId="4" xfId="2" applyNumberFormat="1" applyFont="1" applyBorder="1"/>
    <xf numFmtId="173" fontId="1" fillId="0" borderId="1" xfId="2" applyNumberFormat="1" applyFont="1" applyFill="1" applyBorder="1"/>
    <xf numFmtId="173" fontId="0" fillId="0" borderId="1" xfId="2" applyNumberFormat="1" applyFont="1" applyFill="1" applyBorder="1"/>
    <xf numFmtId="173" fontId="0" fillId="0" borderId="1" xfId="1" applyNumberFormat="1" applyFont="1" applyBorder="1"/>
    <xf numFmtId="173" fontId="2" fillId="0" borderId="1" xfId="2" applyNumberFormat="1" applyFont="1" applyBorder="1"/>
    <xf numFmtId="173" fontId="2" fillId="0" borderId="1" xfId="0" applyNumberFormat="1" applyFont="1" applyBorder="1"/>
    <xf numFmtId="173" fontId="0" fillId="0" borderId="11" xfId="0" applyNumberFormat="1" applyBorder="1"/>
    <xf numFmtId="173" fontId="0" fillId="0" borderId="5" xfId="0" applyNumberFormat="1" applyBorder="1"/>
    <xf numFmtId="10" fontId="2" fillId="0" borderId="1" xfId="2" applyNumberFormat="1" applyFont="1" applyBorder="1"/>
    <xf numFmtId="0" fontId="9" fillId="6" borderId="0" xfId="0" applyFont="1" applyFill="1"/>
    <xf numFmtId="164" fontId="2" fillId="0" borderId="1" xfId="0" applyNumberFormat="1" applyFont="1" applyFill="1" applyBorder="1"/>
    <xf numFmtId="173" fontId="4" fillId="0" borderId="0" xfId="0" applyNumberFormat="1" applyFont="1" applyBorder="1"/>
    <xf numFmtId="0" fontId="10" fillId="6" borderId="9" xfId="0" applyFont="1" applyFill="1" applyBorder="1"/>
    <xf numFmtId="0" fontId="10" fillId="6" borderId="10" xfId="0" applyFont="1" applyFill="1" applyBorder="1" applyAlignment="1">
      <alignment horizontal="center" wrapText="1"/>
    </xf>
    <xf numFmtId="167" fontId="10" fillId="6" borderId="1" xfId="1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wrapText="1"/>
    </xf>
    <xf numFmtId="0" fontId="10" fillId="6" borderId="0" xfId="0" applyFont="1" applyFill="1" applyBorder="1" applyAlignment="1">
      <alignment horizontal="center"/>
    </xf>
    <xf numFmtId="173" fontId="0" fillId="7" borderId="12" xfId="0" applyNumberFormat="1" applyFill="1" applyBorder="1"/>
    <xf numFmtId="173" fontId="0" fillId="7" borderId="7" xfId="0" applyNumberFormat="1" applyFill="1" applyBorder="1"/>
    <xf numFmtId="173" fontId="0" fillId="7" borderId="0" xfId="0" applyNumberFormat="1" applyFill="1" applyBorder="1"/>
    <xf numFmtId="167" fontId="2" fillId="7" borderId="2" xfId="1" applyNumberFormat="1" applyFont="1" applyFill="1" applyBorder="1"/>
    <xf numFmtId="0" fontId="0" fillId="7" borderId="23" xfId="0" applyFill="1" applyBorder="1"/>
    <xf numFmtId="0" fontId="0" fillId="7" borderId="12" xfId="0" applyFill="1" applyBorder="1"/>
    <xf numFmtId="0" fontId="0" fillId="7" borderId="7" xfId="0" applyFont="1" applyFill="1" applyBorder="1"/>
    <xf numFmtId="0" fontId="2" fillId="7" borderId="15" xfId="0" applyFont="1" applyFill="1" applyBorder="1"/>
    <xf numFmtId="0" fontId="2" fillId="7" borderId="2" xfId="0" applyFont="1" applyFill="1" applyBorder="1"/>
    <xf numFmtId="167" fontId="0" fillId="7" borderId="1" xfId="1" applyNumberFormat="1" applyFont="1" applyFill="1" applyBorder="1"/>
    <xf numFmtId="0" fontId="9" fillId="6" borderId="1" xfId="0" applyFont="1" applyFill="1" applyBorder="1" applyAlignment="1"/>
    <xf numFmtId="0" fontId="9" fillId="6" borderId="10" xfId="0" applyFont="1" applyFill="1" applyBorder="1"/>
    <xf numFmtId="0" fontId="9" fillId="6" borderId="3" xfId="0" applyFont="1" applyFill="1" applyBorder="1" applyAlignment="1">
      <alignment horizontal="center"/>
    </xf>
    <xf numFmtId="173" fontId="0" fillId="0" borderId="0" xfId="0" applyNumberFormat="1" applyBorder="1"/>
    <xf numFmtId="0" fontId="9" fillId="6" borderId="1" xfId="0" applyFont="1" applyFill="1" applyBorder="1"/>
    <xf numFmtId="0" fontId="12" fillId="6" borderId="1" xfId="0" applyFont="1" applyFill="1" applyBorder="1" applyAlignment="1" applyProtection="1">
      <alignment horizontal="left" wrapText="1"/>
    </xf>
    <xf numFmtId="175" fontId="0" fillId="0" borderId="1" xfId="0" applyNumberFormat="1" applyBorder="1"/>
    <xf numFmtId="173" fontId="0" fillId="0" borderId="1" xfId="0" applyNumberFormat="1" applyBorder="1" applyAlignment="1">
      <alignment horizontal="right"/>
    </xf>
    <xf numFmtId="173" fontId="0" fillId="0" borderId="1" xfId="1" applyNumberFormat="1" applyFont="1" applyFill="1" applyBorder="1"/>
    <xf numFmtId="173" fontId="0" fillId="0" borderId="1" xfId="0" applyNumberFormat="1" applyFill="1" applyBorder="1" applyAlignment="1">
      <alignment horizontal="right"/>
    </xf>
    <xf numFmtId="173" fontId="0" fillId="0" borderId="1" xfId="1" applyNumberFormat="1" applyFont="1" applyBorder="1" applyAlignment="1">
      <alignment horizontal="right"/>
    </xf>
    <xf numFmtId="173" fontId="2" fillId="0" borderId="1" xfId="1" applyNumberFormat="1" applyFont="1" applyBorder="1" applyAlignment="1">
      <alignment horizontal="center"/>
    </xf>
    <xf numFmtId="173" fontId="2" fillId="0" borderId="1" xfId="1" applyNumberFormat="1" applyFont="1" applyBorder="1" applyAlignment="1">
      <alignment horizontal="right"/>
    </xf>
    <xf numFmtId="173" fontId="0" fillId="0" borderId="1" xfId="1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12" xfId="0" applyBorder="1"/>
    <xf numFmtId="0" fontId="2" fillId="0" borderId="0" xfId="0" applyFont="1" applyFill="1" applyBorder="1" applyAlignment="1"/>
    <xf numFmtId="173" fontId="0" fillId="0" borderId="0" xfId="0" applyNumberFormat="1" applyFill="1" applyBorder="1"/>
    <xf numFmtId="173" fontId="0" fillId="0" borderId="12" xfId="0" applyNumberFormat="1" applyBorder="1"/>
    <xf numFmtId="0" fontId="9" fillId="6" borderId="15" xfId="0" applyFont="1" applyFill="1" applyBorder="1" applyAlignment="1"/>
    <xf numFmtId="168" fontId="0" fillId="0" borderId="1" xfId="1" applyNumberFormat="1" applyFont="1" applyFill="1" applyBorder="1"/>
    <xf numFmtId="49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Alignment="1">
      <alignment wrapText="1"/>
    </xf>
    <xf numFmtId="170" fontId="0" fillId="0" borderId="5" xfId="2" applyNumberFormat="1" applyFont="1" applyBorder="1"/>
    <xf numFmtId="168" fontId="0" fillId="0" borderId="0" xfId="0" applyNumberFormat="1" applyFill="1" applyBorder="1"/>
    <xf numFmtId="0" fontId="0" fillId="0" borderId="0" xfId="0" applyFill="1"/>
    <xf numFmtId="164" fontId="0" fillId="0" borderId="0" xfId="0" applyNumberFormat="1" applyFill="1" applyAlignment="1">
      <alignment horizontal="center"/>
    </xf>
    <xf numFmtId="0" fontId="0" fillId="0" borderId="0" xfId="0" quotePrefix="1"/>
    <xf numFmtId="173" fontId="0" fillId="0" borderId="7" xfId="0" applyNumberFormat="1" applyBorder="1"/>
    <xf numFmtId="0" fontId="2" fillId="0" borderId="0" xfId="0" applyFont="1" applyFill="1"/>
    <xf numFmtId="173" fontId="0" fillId="0" borderId="7" xfId="0" applyNumberFormat="1" applyFill="1" applyBorder="1"/>
    <xf numFmtId="173" fontId="0" fillId="0" borderId="12" xfId="0" applyNumberFormat="1" applyFill="1" applyBorder="1"/>
    <xf numFmtId="0" fontId="2" fillId="0" borderId="1" xfId="0" applyFont="1" applyBorder="1" applyAlignment="1">
      <alignment horizontal="center" wrapText="1"/>
    </xf>
    <xf numFmtId="164" fontId="0" fillId="0" borderId="1" xfId="0" applyNumberFormat="1" applyBorder="1" applyAlignment="1"/>
    <xf numFmtId="173" fontId="4" fillId="0" borderId="13" xfId="0" applyNumberFormat="1" applyFont="1" applyBorder="1"/>
    <xf numFmtId="0" fontId="0" fillId="0" borderId="0" xfId="0" quotePrefix="1" applyFill="1" applyBorder="1" applyAlignment="1">
      <alignment horizontal="center"/>
    </xf>
    <xf numFmtId="0" fontId="9" fillId="6" borderId="24" xfId="0" applyFont="1" applyFill="1" applyBorder="1" applyAlignment="1">
      <alignment horizontal="center" wrapText="1"/>
    </xf>
    <xf numFmtId="164" fontId="0" fillId="0" borderId="0" xfId="0" applyNumberFormat="1" applyFill="1" applyBorder="1"/>
    <xf numFmtId="171" fontId="3" fillId="0" borderId="1" xfId="3" applyNumberFormat="1" applyFont="1" applyBorder="1" applyAlignment="1">
      <alignment horizontal="left"/>
    </xf>
    <xf numFmtId="164" fontId="2" fillId="0" borderId="0" xfId="0" applyNumberFormat="1" applyFont="1" applyFill="1" applyBorder="1"/>
    <xf numFmtId="164" fontId="0" fillId="0" borderId="0" xfId="0" applyNumberFormat="1" applyFill="1" applyAlignment="1"/>
    <xf numFmtId="0" fontId="13" fillId="0" borderId="0" xfId="0" applyFont="1" applyAlignment="1">
      <alignment vertical="center"/>
    </xf>
    <xf numFmtId="0" fontId="9" fillId="6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0" borderId="0" xfId="0"/>
    <xf numFmtId="0" fontId="0" fillId="0" borderId="8" xfId="0" applyBorder="1"/>
    <xf numFmtId="0" fontId="0" fillId="0" borderId="14" xfId="0" applyBorder="1"/>
    <xf numFmtId="0" fontId="0" fillId="0" borderId="11" xfId="0" applyBorder="1"/>
    <xf numFmtId="0" fontId="7" fillId="0" borderId="1" xfId="0" applyFont="1" applyFill="1" applyBorder="1" applyAlignment="1">
      <alignment horizontal="center"/>
    </xf>
    <xf numFmtId="168" fontId="7" fillId="0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173" fontId="0" fillId="0" borderId="1" xfId="0" applyNumberFormat="1" applyFont="1" applyBorder="1"/>
    <xf numFmtId="167" fontId="2" fillId="0" borderId="0" xfId="1" applyNumberFormat="1" applyFont="1" applyBorder="1" applyAlignment="1">
      <alignment horizontal="left"/>
    </xf>
    <xf numFmtId="167" fontId="2" fillId="0" borderId="0" xfId="1" applyNumberFormat="1" applyFont="1" applyFill="1" applyBorder="1"/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73" fontId="0" fillId="0" borderId="4" xfId="1" applyNumberFormat="1" applyFont="1" applyBorder="1"/>
    <xf numFmtId="173" fontId="1" fillId="0" borderId="4" xfId="1" applyNumberFormat="1" applyFont="1" applyBorder="1"/>
    <xf numFmtId="173" fontId="1" fillId="0" borderId="1" xfId="1" applyNumberFormat="1" applyFont="1" applyFill="1" applyBorder="1"/>
    <xf numFmtId="173" fontId="2" fillId="0" borderId="1" xfId="1" applyNumberFormat="1" applyFont="1" applyBorder="1"/>
    <xf numFmtId="173" fontId="0" fillId="0" borderId="1" xfId="0" applyNumberFormat="1" applyFill="1" applyBorder="1"/>
    <xf numFmtId="173" fontId="1" fillId="0" borderId="1" xfId="1" applyNumberFormat="1" applyFont="1" applyBorder="1"/>
    <xf numFmtId="173" fontId="9" fillId="6" borderId="1" xfId="0" applyNumberFormat="1" applyFont="1" applyFill="1" applyBorder="1" applyAlignment="1">
      <alignment horizontal="center" wrapText="1"/>
    </xf>
    <xf numFmtId="173" fontId="0" fillId="0" borderId="4" xfId="1" applyNumberFormat="1" applyFont="1" applyFill="1" applyBorder="1"/>
    <xf numFmtId="173" fontId="2" fillId="0" borderId="1" xfId="1" applyNumberFormat="1" applyFont="1" applyFill="1" applyBorder="1"/>
    <xf numFmtId="173" fontId="0" fillId="0" borderId="0" xfId="1" applyNumberFormat="1" applyFont="1" applyBorder="1"/>
    <xf numFmtId="0" fontId="0" fillId="0" borderId="3" xfId="0" applyBorder="1"/>
    <xf numFmtId="0" fontId="2" fillId="0" borderId="3" xfId="0" applyFont="1" applyBorder="1"/>
    <xf numFmtId="173" fontId="2" fillId="0" borderId="4" xfId="0" applyNumberFormat="1" applyFont="1" applyFill="1" applyBorder="1"/>
    <xf numFmtId="173" fontId="2" fillId="0" borderId="4" xfId="1" applyNumberFormat="1" applyFont="1" applyBorder="1"/>
    <xf numFmtId="173" fontId="2" fillId="0" borderId="11" xfId="0" applyNumberFormat="1" applyFont="1" applyBorder="1"/>
    <xf numFmtId="173" fontId="2" fillId="0" borderId="6" xfId="1" applyNumberFormat="1" applyFont="1" applyBorder="1"/>
    <xf numFmtId="173" fontId="2" fillId="0" borderId="8" xfId="0" applyNumberFormat="1" applyFont="1" applyBorder="1"/>
    <xf numFmtId="173" fontId="2" fillId="0" borderId="20" xfId="1" applyNumberFormat="1" applyFont="1" applyBorder="1"/>
    <xf numFmtId="173" fontId="2" fillId="0" borderId="21" xfId="0" applyNumberFormat="1" applyFont="1" applyBorder="1"/>
    <xf numFmtId="173" fontId="2" fillId="0" borderId="18" xfId="1" applyNumberFormat="1" applyFont="1" applyBorder="1"/>
    <xf numFmtId="173" fontId="2" fillId="0" borderId="14" xfId="0" applyNumberFormat="1" applyFont="1" applyBorder="1"/>
    <xf numFmtId="173" fontId="1" fillId="0" borderId="6" xfId="1" applyNumberFormat="1" applyFont="1" applyBorder="1"/>
    <xf numFmtId="173" fontId="1" fillId="0" borderId="0" xfId="2" applyNumberFormat="1" applyFont="1" applyFill="1" applyBorder="1"/>
    <xf numFmtId="173" fontId="0" fillId="0" borderId="13" xfId="1" applyNumberFormat="1" applyFont="1" applyBorder="1"/>
    <xf numFmtId="44" fontId="2" fillId="0" borderId="0" xfId="1" quotePrefix="1" applyFont="1" applyFill="1" applyBorder="1" applyAlignment="1">
      <alignment horizontal="center"/>
    </xf>
    <xf numFmtId="0" fontId="0" fillId="0" borderId="23" xfId="0" applyFill="1" applyBorder="1"/>
    <xf numFmtId="0" fontId="0" fillId="0" borderId="12" xfId="0" applyFill="1" applyBorder="1"/>
    <xf numFmtId="167" fontId="0" fillId="0" borderId="0" xfId="0" applyNumberFormat="1" applyFill="1" applyBorder="1"/>
    <xf numFmtId="0" fontId="0" fillId="0" borderId="3" xfId="0" applyFill="1" applyBorder="1"/>
    <xf numFmtId="0" fontId="0" fillId="0" borderId="7" xfId="0" applyFill="1" applyBorder="1"/>
    <xf numFmtId="173" fontId="0" fillId="0" borderId="5" xfId="0" applyNumberFormat="1" applyFill="1" applyBorder="1"/>
    <xf numFmtId="0" fontId="2" fillId="0" borderId="3" xfId="0" applyFont="1" applyFill="1" applyBorder="1"/>
    <xf numFmtId="0" fontId="9" fillId="6" borderId="0" xfId="0" applyFont="1" applyFill="1" applyBorder="1" applyAlignment="1">
      <alignment horizontal="center" wrapText="1"/>
    </xf>
    <xf numFmtId="167" fontId="2" fillId="0" borderId="4" xfId="1" applyNumberFormat="1" applyFont="1" applyFill="1" applyBorder="1"/>
    <xf numFmtId="49" fontId="2" fillId="0" borderId="0" xfId="0" applyNumberFormat="1" applyFont="1" applyAlignment="1">
      <alignment horizontal="left"/>
    </xf>
    <xf numFmtId="0" fontId="0" fillId="0" borderId="1" xfId="0" applyFont="1" applyBorder="1" applyAlignment="1">
      <alignment wrapText="1"/>
    </xf>
    <xf numFmtId="173" fontId="2" fillId="0" borderId="6" xfId="0" applyNumberFormat="1" applyFont="1" applyBorder="1"/>
    <xf numFmtId="0" fontId="2" fillId="0" borderId="6" xfId="0" applyFont="1" applyBorder="1" applyAlignment="1">
      <alignment wrapText="1"/>
    </xf>
    <xf numFmtId="0" fontId="0" fillId="0" borderId="17" xfId="0" applyBorder="1"/>
    <xf numFmtId="176" fontId="0" fillId="0" borderId="1" xfId="0" applyNumberFormat="1" applyBorder="1"/>
    <xf numFmtId="0" fontId="10" fillId="6" borderId="0" xfId="0" applyFont="1" applyFill="1" applyAlignment="1">
      <alignment horizontal="center"/>
    </xf>
    <xf numFmtId="173" fontId="2" fillId="0" borderId="4" xfId="0" applyNumberFormat="1" applyFont="1" applyBorder="1"/>
    <xf numFmtId="0" fontId="9" fillId="6" borderId="28" xfId="0" applyFont="1" applyFill="1" applyBorder="1" applyAlignment="1">
      <alignment horizontal="center"/>
    </xf>
    <xf numFmtId="173" fontId="0" fillId="0" borderId="3" xfId="0" applyNumberFormat="1" applyFont="1" applyBorder="1"/>
    <xf numFmtId="173" fontId="2" fillId="0" borderId="15" xfId="0" applyNumberFormat="1" applyFont="1" applyBorder="1"/>
    <xf numFmtId="173" fontId="2" fillId="0" borderId="3" xfId="0" applyNumberFormat="1" applyFont="1" applyBorder="1"/>
    <xf numFmtId="173" fontId="0" fillId="0" borderId="7" xfId="0" applyNumberFormat="1" applyFont="1" applyBorder="1"/>
    <xf numFmtId="173" fontId="2" fillId="0" borderId="7" xfId="0" applyNumberFormat="1" applyFont="1" applyBorder="1"/>
    <xf numFmtId="173" fontId="0" fillId="0" borderId="3" xfId="0" applyNumberFormat="1" applyBorder="1"/>
    <xf numFmtId="173" fontId="0" fillId="0" borderId="8" xfId="0" applyNumberFormat="1" applyBorder="1"/>
    <xf numFmtId="173" fontId="0" fillId="0" borderId="32" xfId="0" applyNumberFormat="1" applyBorder="1"/>
    <xf numFmtId="173" fontId="2" fillId="0" borderId="33" xfId="0" applyNumberFormat="1" applyFont="1" applyBorder="1"/>
    <xf numFmtId="173" fontId="0" fillId="0" borderId="33" xfId="0" applyNumberFormat="1" applyFont="1" applyBorder="1"/>
    <xf numFmtId="173" fontId="0" fillId="0" borderId="33" xfId="0" applyNumberFormat="1" applyBorder="1"/>
    <xf numFmtId="0" fontId="0" fillId="7" borderId="0" xfId="0" applyFill="1"/>
    <xf numFmtId="49" fontId="0" fillId="0" borderId="0" xfId="0" quotePrefix="1" applyNumberFormat="1" applyFill="1" applyAlignment="1">
      <alignment horizontal="center"/>
    </xf>
    <xf numFmtId="164" fontId="0" fillId="0" borderId="1" xfId="1" applyNumberFormat="1" applyFont="1" applyFill="1" applyBorder="1" applyAlignment="1"/>
    <xf numFmtId="164" fontId="0" fillId="0" borderId="1" xfId="0" applyNumberFormat="1" applyFill="1" applyBorder="1" applyAlignment="1"/>
    <xf numFmtId="164" fontId="2" fillId="0" borderId="1" xfId="1" applyNumberFormat="1" applyFont="1" applyFill="1" applyBorder="1" applyAlignment="1"/>
    <xf numFmtId="164" fontId="2" fillId="0" borderId="1" xfId="1" applyNumberFormat="1" applyFont="1" applyBorder="1" applyAlignment="1"/>
    <xf numFmtId="173" fontId="5" fillId="0" borderId="1" xfId="1" applyNumberFormat="1" applyFont="1" applyFill="1" applyBorder="1"/>
    <xf numFmtId="173" fontId="5" fillId="0" borderId="4" xfId="1" applyNumberFormat="1" applyFont="1" applyFill="1" applyBorder="1"/>
    <xf numFmtId="173" fontId="2" fillId="0" borderId="25" xfId="1" applyNumberFormat="1" applyFont="1" applyBorder="1"/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7" fontId="0" fillId="0" borderId="0" xfId="1" applyNumberFormat="1" applyFont="1" applyBorder="1" applyAlignment="1">
      <alignment horizontal="left"/>
    </xf>
    <xf numFmtId="168" fontId="2" fillId="0" borderId="0" xfId="1" applyNumberFormat="1" applyFont="1" applyFill="1" applyBorder="1" applyAlignment="1">
      <alignment horizontal="right"/>
    </xf>
    <xf numFmtId="173" fontId="0" fillId="4" borderId="1" xfId="0" applyNumberFormat="1" applyFill="1" applyBorder="1"/>
    <xf numFmtId="164" fontId="0" fillId="0" borderId="26" xfId="0" applyNumberFormat="1" applyFill="1" applyBorder="1"/>
    <xf numFmtId="173" fontId="9" fillId="6" borderId="1" xfId="0" applyNumberFormat="1" applyFont="1" applyFill="1" applyBorder="1" applyAlignment="1">
      <alignment horizontal="center" wrapText="1"/>
    </xf>
    <xf numFmtId="0" fontId="9" fillId="6" borderId="23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/>
    <xf numFmtId="0" fontId="0" fillId="0" borderId="2" xfId="0" applyBorder="1"/>
    <xf numFmtId="0" fontId="19" fillId="0" borderId="0" xfId="0" applyFont="1" applyBorder="1"/>
    <xf numFmtId="0" fontId="0" fillId="0" borderId="0" xfId="0" applyFill="1" applyBorder="1" applyAlignment="1">
      <alignment horizontal="left"/>
    </xf>
    <xf numFmtId="171" fontId="5" fillId="0" borderId="1" xfId="3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167" fontId="2" fillId="0" borderId="20" xfId="1" applyNumberFormat="1" applyFont="1" applyBorder="1" applyAlignment="1">
      <alignment horizontal="center" wrapText="1"/>
    </xf>
    <xf numFmtId="0" fontId="2" fillId="0" borderId="34" xfId="0" applyFont="1" applyBorder="1"/>
    <xf numFmtId="0" fontId="2" fillId="0" borderId="35" xfId="0" applyFont="1" applyBorder="1" applyAlignment="1">
      <alignment horizontal="center"/>
    </xf>
    <xf numFmtId="173" fontId="2" fillId="0" borderId="35" xfId="0" applyNumberFormat="1" applyFont="1" applyFill="1" applyBorder="1"/>
    <xf numFmtId="173" fontId="2" fillId="0" borderId="35" xfId="1" applyNumberFormat="1" applyFont="1" applyBorder="1"/>
    <xf numFmtId="173" fontId="2" fillId="0" borderId="36" xfId="0" applyNumberFormat="1" applyFont="1" applyBorder="1"/>
    <xf numFmtId="174" fontId="2" fillId="0" borderId="37" xfId="2" applyNumberFormat="1" applyFont="1" applyBorder="1"/>
    <xf numFmtId="0" fontId="0" fillId="0" borderId="38" xfId="0" applyBorder="1"/>
    <xf numFmtId="174" fontId="0" fillId="0" borderId="39" xfId="0" applyNumberFormat="1" applyBorder="1" applyAlignment="1">
      <alignment horizontal="center"/>
    </xf>
    <xf numFmtId="0" fontId="0" fillId="0" borderId="38" xfId="0" applyBorder="1" applyAlignment="1">
      <alignment horizontal="left" indent="1"/>
    </xf>
    <xf numFmtId="174" fontId="0" fillId="0" borderId="39" xfId="2" applyNumberFormat="1" applyFont="1" applyBorder="1"/>
    <xf numFmtId="0" fontId="2" fillId="0" borderId="40" xfId="0" applyFont="1" applyBorder="1"/>
    <xf numFmtId="174" fontId="2" fillId="0" borderId="41" xfId="2" applyNumberFormat="1" applyFont="1" applyBorder="1"/>
    <xf numFmtId="0" fontId="2" fillId="0" borderId="42" xfId="0" applyFont="1" applyBorder="1"/>
    <xf numFmtId="174" fontId="2" fillId="0" borderId="43" xfId="2" applyNumberFormat="1" applyFont="1" applyBorder="1"/>
    <xf numFmtId="0" fontId="0" fillId="0" borderId="38" xfId="0" applyFont="1" applyBorder="1"/>
    <xf numFmtId="174" fontId="1" fillId="0" borderId="39" xfId="2" applyNumberFormat="1" applyFont="1" applyBorder="1"/>
    <xf numFmtId="0" fontId="0" fillId="0" borderId="40" xfId="0" applyFont="1" applyFill="1" applyBorder="1"/>
    <xf numFmtId="174" fontId="1" fillId="0" borderId="41" xfId="2" applyNumberFormat="1" applyFont="1" applyBorder="1"/>
    <xf numFmtId="173" fontId="0" fillId="0" borderId="13" xfId="0" applyNumberFormat="1" applyFont="1" applyBorder="1"/>
    <xf numFmtId="173" fontId="0" fillId="0" borderId="0" xfId="0" applyNumberFormat="1" applyAlignment="1">
      <alignment horizontal="center"/>
    </xf>
    <xf numFmtId="0" fontId="20" fillId="10" borderId="0" xfId="0" applyFont="1" applyFill="1" applyAlignment="1">
      <alignment horizontal="left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2" fillId="10" borderId="0" xfId="6" applyFont="1" applyFill="1" applyAlignment="1">
      <alignment horizontal="center"/>
    </xf>
    <xf numFmtId="43" fontId="0" fillId="0" borderId="2" xfId="3" applyFont="1" applyFill="1" applyBorder="1" applyAlignment="1" applyProtection="1">
      <alignment horizontal="right" vertical="center"/>
      <protection locked="0"/>
    </xf>
    <xf numFmtId="0" fontId="0" fillId="0" borderId="2" xfId="0" applyFon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 vertical="center"/>
    </xf>
    <xf numFmtId="177" fontId="0" fillId="11" borderId="2" xfId="0" applyNumberFormat="1" applyFont="1" applyFill="1" applyBorder="1" applyAlignment="1">
      <alignment horizontal="right" vertical="center"/>
    </xf>
    <xf numFmtId="3" fontId="0" fillId="0" borderId="2" xfId="0" applyNumberFormat="1" applyBorder="1"/>
    <xf numFmtId="10" fontId="0" fillId="0" borderId="2" xfId="0" applyNumberFormat="1" applyBorder="1" applyAlignment="1">
      <alignment horizontal="center" vertical="center"/>
    </xf>
    <xf numFmtId="169" fontId="0" fillId="0" borderId="2" xfId="0" applyNumberFormat="1" applyBorder="1" applyAlignment="1">
      <alignment horizontal="center" vertical="center"/>
    </xf>
    <xf numFmtId="0" fontId="0" fillId="0" borderId="7" xfId="0" applyBorder="1"/>
    <xf numFmtId="0" fontId="0" fillId="0" borderId="7" xfId="0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center" vertical="center"/>
    </xf>
    <xf numFmtId="3" fontId="0" fillId="0" borderId="7" xfId="0" applyNumberFormat="1" applyBorder="1"/>
    <xf numFmtId="10" fontId="0" fillId="0" borderId="7" xfId="0" applyNumberFormat="1" applyBorder="1" applyAlignment="1">
      <alignment horizontal="center" vertical="center"/>
    </xf>
    <xf numFmtId="169" fontId="0" fillId="0" borderId="7" xfId="0" applyNumberFormat="1" applyBorder="1" applyAlignment="1">
      <alignment horizontal="center" vertical="center"/>
    </xf>
    <xf numFmtId="177" fontId="24" fillId="11" borderId="2" xfId="0" applyNumberFormat="1" applyFont="1" applyFill="1" applyBorder="1" applyAlignment="1">
      <alignment horizontal="right" vertical="center"/>
    </xf>
    <xf numFmtId="178" fontId="0" fillId="0" borderId="2" xfId="0" applyNumberFormat="1" applyFill="1" applyBorder="1" applyAlignment="1" applyProtection="1">
      <alignment horizontal="right" vertical="center"/>
      <protection locked="0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right" vertical="center"/>
    </xf>
    <xf numFmtId="43" fontId="2" fillId="0" borderId="7" xfId="3" applyFont="1" applyBorder="1" applyAlignment="1">
      <alignment horizontal="right" vertical="center"/>
    </xf>
    <xf numFmtId="3" fontId="2" fillId="0" borderId="7" xfId="0" applyNumberFormat="1" applyFont="1" applyBorder="1"/>
    <xf numFmtId="169" fontId="2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0" fillId="0" borderId="0" xfId="0" applyProtection="1">
      <protection locked="0"/>
    </xf>
    <xf numFmtId="0" fontId="20" fillId="0" borderId="0" xfId="0" applyFont="1" applyAlignment="1">
      <alignment horizontal="left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79" fontId="0" fillId="0" borderId="2" xfId="1" applyNumberFormat="1" applyFont="1" applyBorder="1" applyAlignment="1">
      <alignment horizontal="center" vertical="center"/>
    </xf>
    <xf numFmtId="180" fontId="0" fillId="0" borderId="7" xfId="1" applyNumberFormat="1" applyFont="1" applyBorder="1" applyAlignment="1">
      <alignment horizontal="center" vertical="center"/>
    </xf>
    <xf numFmtId="179" fontId="0" fillId="0" borderId="7" xfId="1" applyNumberFormat="1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77" fontId="0" fillId="12" borderId="0" xfId="0" applyNumberForma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177" fontId="32" fillId="0" borderId="0" xfId="0" applyNumberFormat="1" applyFont="1" applyFill="1" applyAlignment="1">
      <alignment horizontal="center" vertical="center"/>
    </xf>
    <xf numFmtId="0" fontId="33" fillId="0" borderId="0" xfId="0" applyFont="1"/>
    <xf numFmtId="173" fontId="2" fillId="0" borderId="1" xfId="0" applyNumberFormat="1" applyFont="1" applyFill="1" applyBorder="1"/>
    <xf numFmtId="173" fontId="11" fillId="0" borderId="1" xfId="1" applyNumberFormat="1" applyFont="1" applyFill="1" applyBorder="1" applyAlignment="1">
      <alignment horizontal="right"/>
    </xf>
    <xf numFmtId="49" fontId="11" fillId="0" borderId="0" xfId="0" applyNumberFormat="1" applyFont="1" applyAlignment="1">
      <alignment horizontal="center"/>
    </xf>
    <xf numFmtId="0" fontId="11" fillId="0" borderId="0" xfId="0" applyFont="1"/>
    <xf numFmtId="15" fontId="9" fillId="6" borderId="1" xfId="0" quotePrefix="1" applyNumberFormat="1" applyFont="1" applyFill="1" applyBorder="1" applyAlignment="1">
      <alignment horizontal="center"/>
    </xf>
    <xf numFmtId="0" fontId="9" fillId="6" borderId="1" xfId="0" quotePrefix="1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11" fillId="0" borderId="1" xfId="0" applyFont="1" applyFill="1" applyBorder="1"/>
    <xf numFmtId="0" fontId="9" fillId="6" borderId="8" xfId="0" applyFont="1" applyFill="1" applyBorder="1" applyAlignment="1">
      <alignment horizontal="center" wrapText="1"/>
    </xf>
    <xf numFmtId="171" fontId="0" fillId="9" borderId="0" xfId="0" applyNumberFormat="1" applyFill="1"/>
    <xf numFmtId="0" fontId="11" fillId="0" borderId="0" xfId="0" applyFont="1" applyFill="1" applyBorder="1" applyAlignment="1"/>
    <xf numFmtId="171" fontId="3" fillId="0" borderId="17" xfId="3" applyNumberFormat="1" applyFont="1" applyFill="1" applyBorder="1" applyAlignment="1">
      <alignment horizontal="left"/>
    </xf>
    <xf numFmtId="43" fontId="15" fillId="0" borderId="6" xfId="3" applyFont="1" applyFill="1" applyBorder="1" applyAlignment="1">
      <alignment horizontal="center"/>
    </xf>
    <xf numFmtId="173" fontId="0" fillId="0" borderId="4" xfId="0" applyNumberFormat="1" applyFill="1" applyBorder="1"/>
    <xf numFmtId="0" fontId="14" fillId="0" borderId="0" xfId="0" applyFont="1" applyBorder="1"/>
    <xf numFmtId="0" fontId="14" fillId="0" borderId="1" xfId="0" applyFont="1" applyBorder="1" applyAlignment="1">
      <alignment horizontal="center" wrapText="1"/>
    </xf>
    <xf numFmtId="171" fontId="34" fillId="0" borderId="0" xfId="3" applyNumberFormat="1" applyFont="1" applyFill="1" applyBorder="1" applyAlignment="1">
      <alignment horizontal="left"/>
    </xf>
    <xf numFmtId="173" fontId="16" fillId="0" borderId="1" xfId="0" applyNumberFormat="1" applyFont="1" applyBorder="1"/>
    <xf numFmtId="173" fontId="16" fillId="0" borderId="1" xfId="0" applyNumberFormat="1" applyFont="1" applyBorder="1" applyAlignment="1">
      <alignment horizontal="center"/>
    </xf>
    <xf numFmtId="173" fontId="11" fillId="0" borderId="1" xfId="0" applyNumberFormat="1" applyFont="1" applyBorder="1"/>
    <xf numFmtId="0" fontId="11" fillId="0" borderId="1" xfId="0" applyFont="1" applyBorder="1"/>
    <xf numFmtId="168" fontId="11" fillId="0" borderId="1" xfId="1" applyNumberFormat="1" applyFont="1" applyBorder="1"/>
    <xf numFmtId="0" fontId="11" fillId="6" borderId="0" xfId="0" applyFont="1" applyFill="1"/>
    <xf numFmtId="0" fontId="0" fillId="6" borderId="0" xfId="0" applyFill="1"/>
    <xf numFmtId="0" fontId="11" fillId="0" borderId="0" xfId="0" applyFont="1" applyFill="1" applyBorder="1"/>
    <xf numFmtId="0" fontId="11" fillId="0" borderId="0" xfId="0" applyFont="1" applyBorder="1"/>
    <xf numFmtId="0" fontId="11" fillId="0" borderId="0" xfId="0" applyFont="1" applyFill="1"/>
    <xf numFmtId="0" fontId="17" fillId="0" borderId="0" xfId="0" applyFont="1"/>
    <xf numFmtId="168" fontId="0" fillId="0" borderId="1" xfId="0" applyNumberFormat="1" applyFill="1" applyBorder="1"/>
    <xf numFmtId="0" fontId="11" fillId="9" borderId="0" xfId="0" applyFont="1" applyFill="1"/>
    <xf numFmtId="0" fontId="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2" fillId="9" borderId="0" xfId="0" applyFont="1" applyFill="1"/>
    <xf numFmtId="0" fontId="0" fillId="9" borderId="0" xfId="0" applyFill="1"/>
    <xf numFmtId="167" fontId="2" fillId="9" borderId="0" xfId="1" applyNumberFormat="1" applyFont="1" applyFill="1" applyBorder="1"/>
    <xf numFmtId="167" fontId="0" fillId="9" borderId="0" xfId="1" applyNumberFormat="1" applyFont="1" applyFill="1" applyBorder="1"/>
    <xf numFmtId="173" fontId="18" fillId="0" borderId="0" xfId="3" applyNumberFormat="1" applyFont="1" applyFill="1" applyBorder="1"/>
    <xf numFmtId="173" fontId="35" fillId="0" borderId="0" xfId="3" applyNumberFormat="1" applyFont="1" applyFill="1" applyBorder="1"/>
    <xf numFmtId="173" fontId="18" fillId="0" borderId="0" xfId="1" applyNumberFormat="1" applyFont="1" applyFill="1" applyBorder="1"/>
    <xf numFmtId="173" fontId="18" fillId="0" borderId="13" xfId="0" applyNumberFormat="1" applyFont="1" applyFill="1" applyBorder="1"/>
    <xf numFmtId="173" fontId="18" fillId="0" borderId="0" xfId="0" applyNumberFormat="1" applyFont="1"/>
    <xf numFmtId="173" fontId="18" fillId="0" borderId="0" xfId="3" applyNumberFormat="1" applyFont="1"/>
    <xf numFmtId="173" fontId="18" fillId="0" borderId="13" xfId="0" applyNumberFormat="1" applyFont="1" applyBorder="1"/>
    <xf numFmtId="164" fontId="0" fillId="0" borderId="2" xfId="1" applyNumberFormat="1" applyFont="1" applyFill="1" applyBorder="1" applyAlignment="1"/>
    <xf numFmtId="164" fontId="0" fillId="0" borderId="5" xfId="1" applyNumberFormat="1" applyFont="1" applyFill="1" applyBorder="1" applyAlignment="1"/>
    <xf numFmtId="49" fontId="0" fillId="0" borderId="0" xfId="0" applyNumberFormat="1" applyFill="1" applyAlignment="1">
      <alignment horizontal="center"/>
    </xf>
    <xf numFmtId="167" fontId="0" fillId="0" borderId="0" xfId="0" applyNumberFormat="1" applyFill="1"/>
    <xf numFmtId="173" fontId="0" fillId="0" borderId="1" xfId="1" applyNumberFormat="1" applyFont="1" applyFill="1" applyBorder="1" applyAlignment="1">
      <alignment horizontal="right"/>
    </xf>
    <xf numFmtId="0" fontId="9" fillId="6" borderId="29" xfId="0" applyFont="1" applyFill="1" applyBorder="1" applyAlignment="1">
      <alignment horizontal="center"/>
    </xf>
    <xf numFmtId="0" fontId="9" fillId="6" borderId="30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10" fillId="6" borderId="27" xfId="0" applyFont="1" applyFill="1" applyBorder="1" applyAlignment="1">
      <alignment horizontal="center" wrapText="1"/>
    </xf>
    <xf numFmtId="173" fontId="9" fillId="6" borderId="1" xfId="0" applyNumberFormat="1" applyFont="1" applyFill="1" applyBorder="1" applyAlignment="1">
      <alignment horizontal="center" wrapText="1"/>
    </xf>
    <xf numFmtId="164" fontId="2" fillId="0" borderId="20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0" xfId="0" applyFill="1" applyAlignment="1">
      <alignment horizontal="left" wrapText="1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</cellXfs>
  <cellStyles count="7">
    <cellStyle name="Comma" xfId="3" builtinId="3"/>
    <cellStyle name="Currency" xfId="1" builtinId="4"/>
    <cellStyle name="Currency 2" xfId="4" xr:uid="{00000000-0005-0000-0000-000002000000}"/>
    <cellStyle name="Hyperlink" xfId="5" builtinId="8"/>
    <cellStyle name="Normal" xfId="0" builtinId="0"/>
    <cellStyle name="Normal_Core Model Version 0.1" xfId="6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41</xdr:row>
      <xdr:rowOff>123825</xdr:rowOff>
    </xdr:from>
    <xdr:to>
      <xdr:col>6</xdr:col>
      <xdr:colOff>0</xdr:colOff>
      <xdr:row>50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353425"/>
          <a:ext cx="5153025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3311</xdr:colOff>
      <xdr:row>10</xdr:row>
      <xdr:rowOff>10766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/>
      </xdr:nvGrpSpPr>
      <xdr:grpSpPr>
        <a:xfrm>
          <a:off x="0" y="0"/>
          <a:ext cx="6512061" cy="1915766"/>
          <a:chOff x="200024" y="4499942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 txBox="1"/>
        </xdr:nvSpPr>
        <xdr:spPr>
          <a:xfrm>
            <a:off x="314739" y="5888939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0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/>
        </xdr:nvSpPr>
        <xdr:spPr>
          <a:xfrm>
            <a:off x="362082" y="4878490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Applications%20-%20Horizon/2018%20Distribution%20Rates/ICM%20Models/2017_Capital_Module_ACM_Model_Enersource_Un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lackwe/AppData/Local/Microsoft/Windows/INetCache/Content.Outlook/S1IFQDS1/2017_Capital_Module_ACM_Model_Enersourc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3. Rate Class Selection"/>
      <sheetName val="4. Growth Factor - NUM_CALC1"/>
      <sheetName val="5. Growth Factor - NUM_CALC2"/>
      <sheetName val="6. Rev_Requ_Check"/>
      <sheetName val="7. Growth Factor - DEN_CALC1"/>
      <sheetName val="8. Revenue Proportions"/>
      <sheetName val="9. Threshold Test"/>
      <sheetName val="10b. Proposed ACM ICM Projects"/>
      <sheetName val="11. Incremental Capital Adj."/>
      <sheetName val="12. Opt 1-Rate Rider Calc F &amp; 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E16">
            <v>1.6E-2</v>
          </cell>
        </row>
        <row r="20">
          <cell r="E20">
            <v>2.1079322167218972E-3</v>
          </cell>
        </row>
        <row r="49">
          <cell r="E49">
            <v>610456833.28499997</v>
          </cell>
        </row>
        <row r="51">
          <cell r="E51">
            <v>28721695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Hidden"/>
      <sheetName val="6. hidden"/>
      <sheetName val="4. Growth Factor - NUM_CALC1"/>
      <sheetName val="5. Growth Factor - NUM_CALC2"/>
      <sheetName val="9. STS - Billing Det &amp; Rate HID"/>
      <sheetName val="6. Rev_Requ_Check"/>
      <sheetName val="7. Growth Factor - DEN_CALC"/>
      <sheetName val="7. Load Actual - HID"/>
      <sheetName val="8. Revenue Proportions"/>
      <sheetName val="8. Current Revenue - HID"/>
      <sheetName val="9. Threshold Test"/>
      <sheetName val="24. hidden"/>
      <sheetName val="lists"/>
      <sheetName val="Sheet1"/>
      <sheetName val="10a. Proposed ACM Projects"/>
      <sheetName val="10b. Proposed ACM ICM Projects"/>
      <sheetName val="11. Incremental Capital Adj."/>
      <sheetName val="12. Opt 1-Rate Rider Calc F &amp; V"/>
    </sheetNames>
    <sheetDataSet>
      <sheetData sheetId="0">
        <row r="26">
          <cell r="F26" t="str">
            <v>Price-Cap IR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5">
          <cell r="C15" t="str">
            <v>2016 Actual Distribution Revenues</v>
          </cell>
        </row>
      </sheetData>
      <sheetData sheetId="6" refreshError="1"/>
      <sheetData sheetId="7" refreshError="1"/>
      <sheetData sheetId="8">
        <row r="10">
          <cell r="C10">
            <v>541300088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DISTRIBUTED GENERATION [DGEN]</v>
          </cell>
          <cell r="AL1" t="str">
            <v>Algoma Power Inc.</v>
          </cell>
        </row>
        <row r="2">
          <cell r="A2" t="str">
            <v>EMBEDDED DISTRIBUTOR</v>
          </cell>
          <cell r="O2" t="str">
            <v>$/kWh</v>
          </cell>
          <cell r="AL2" t="str">
            <v>Atikokan Hydro Inc.</v>
          </cell>
        </row>
        <row r="3">
          <cell r="A3" t="str">
            <v>EMBEDDED DISTRIBUTOR</v>
          </cell>
          <cell r="O3" t="str">
            <v>$/kW</v>
          </cell>
          <cell r="AL3" t="str">
            <v>Attawapiskat Power Corporation</v>
          </cell>
        </row>
        <row r="4">
          <cell r="A4" t="str">
            <v>FARMS - SINGLE PHASE ENERGY-BILLED [F1]</v>
          </cell>
          <cell r="O4" t="str">
            <v>$/kVA</v>
          </cell>
          <cell r="AL4" t="str">
            <v>Bluewater Power Distribution Corporation</v>
          </cell>
        </row>
        <row r="5">
          <cell r="A5" t="str">
            <v>FARMS - THREE PHASE ENERGY-BILLED [F3]</v>
          </cell>
          <cell r="AL5" t="str">
            <v>Brant County Power Inc.</v>
          </cell>
        </row>
        <row r="6">
          <cell r="A6" t="str">
            <v>GENERAL SERVICE - COMMERCIAL</v>
          </cell>
          <cell r="AL6" t="str">
            <v>Brantford Power Inc.</v>
          </cell>
        </row>
        <row r="7">
          <cell r="A7" t="str">
            <v>GENERAL SERVICE - INSTITUTIONAL</v>
          </cell>
          <cell r="AL7" t="str">
            <v>Burlington Hydro Inc.</v>
          </cell>
        </row>
        <row r="8">
          <cell r="A8" t="str">
            <v>GENERAL SERVICE 1,000 TO 2,999 KW</v>
          </cell>
          <cell r="AL8" t="str">
            <v>Cambridge and North Dumfries Hydro Inc.</v>
          </cell>
        </row>
        <row r="9">
          <cell r="A9" t="str">
            <v>GENERAL SERVICE 1,000 TO 4,999 KW</v>
          </cell>
          <cell r="AL9" t="str">
            <v>Canadian Niagara Power Inc.</v>
          </cell>
        </row>
        <row r="10">
          <cell r="A10" t="str">
            <v>GENERAL SERVICE 1,000 TO 4,999 KW - INTERVAL METERS</v>
          </cell>
          <cell r="AL10" t="str">
            <v>Centre Wellington Hydro Ltd.</v>
          </cell>
        </row>
        <row r="11">
          <cell r="A11" t="str">
            <v>GENERAL SERVICE 1,000 TO 4,999 KW (CO-GENERATION)</v>
          </cell>
          <cell r="AL11" t="str">
            <v>Chapleau Public Utilities Corporation</v>
          </cell>
        </row>
        <row r="12">
          <cell r="A12" t="str">
            <v>GENERAL SERVICE 1,500 TO 4,999 KW</v>
          </cell>
          <cell r="AL12" t="str">
            <v>COLLUS PowerStream Corp.</v>
          </cell>
        </row>
        <row r="13">
          <cell r="A13" t="str">
            <v>GENERAL SERVICE 2,500 TO 4,999 KW</v>
          </cell>
          <cell r="AL13" t="str">
            <v>Cooperative Hydro Embrun Inc.</v>
          </cell>
        </row>
        <row r="14">
          <cell r="A14" t="str">
            <v>GENERAL SERVICE 3,000 TO 4,999 KW</v>
          </cell>
          <cell r="AL14" t="str">
            <v>E.L.K. Energy Inc.</v>
          </cell>
        </row>
        <row r="15">
          <cell r="A15" t="str">
            <v>GENERAL SERVICE 3,000 TO 4,999 KW - INTERMEDIATE USE</v>
          </cell>
          <cell r="AL15" t="str">
            <v>Enersource Hydro Mississauga Inc.</v>
          </cell>
        </row>
        <row r="16">
          <cell r="A16" t="str">
            <v>GENERAL SERVICE 3,000 TO 4,999 KW - INTERVAL METERED</v>
          </cell>
          <cell r="AL16" t="str">
            <v>Entegrus Powerlines Inc.</v>
          </cell>
        </row>
        <row r="17">
          <cell r="A17" t="str">
            <v>GENERAL SERVICE 3,000 TO 4,999 KW - TIME OF USE</v>
          </cell>
          <cell r="AL17" t="str">
            <v>EnWin Utilities Ltd.</v>
          </cell>
        </row>
        <row r="18">
          <cell r="A18" t="str">
            <v>GENERAL SERVICE 50 TO 1,000 KW</v>
          </cell>
          <cell r="AL18" t="str">
            <v>Erie Thames Powerlines Corporation</v>
          </cell>
        </row>
        <row r="19">
          <cell r="A19" t="str">
            <v>GENERAL SERVICE 50 TO 1,000 KW - INTERVAL METERS</v>
          </cell>
          <cell r="AL19" t="str">
            <v>Espanola Regional Hydro Distribution Corporation</v>
          </cell>
        </row>
        <row r="20">
          <cell r="A20" t="str">
            <v>GENERAL SERVICE 50 TO 1,000 KW - NON INTERVAL METERS</v>
          </cell>
          <cell r="AL20" t="str">
            <v>Essex Powerlines Corporation</v>
          </cell>
        </row>
        <row r="21">
          <cell r="A21" t="str">
            <v>GENERAL SERVICE 50 TO 1,499 KW</v>
          </cell>
          <cell r="AL21" t="str">
            <v>Festival Hydro Inc.</v>
          </cell>
        </row>
        <row r="22">
          <cell r="A22" t="str">
            <v>GENERAL SERVICE 50 TO 1,499 KW - INTERVAL METERED</v>
          </cell>
          <cell r="AL22" t="str">
            <v>Fort Albany Power Corporation</v>
          </cell>
        </row>
        <row r="23">
          <cell r="A23" t="str">
            <v>GENERAL SERVICE 50 TO 2,499 KW</v>
          </cell>
          <cell r="AL23" t="str">
            <v>Fort Frances Power Corporation</v>
          </cell>
        </row>
        <row r="24">
          <cell r="A24" t="str">
            <v>GENERAL SERVICE 50 TO 2,999 KW</v>
          </cell>
          <cell r="AL24" t="str">
            <v>Greater Sudbury Hydro Inc.</v>
          </cell>
        </row>
        <row r="25">
          <cell r="A25" t="str">
            <v>GENERAL SERVICE 50 TO 2,999 KW - INTERVAL METERED</v>
          </cell>
          <cell r="AL25" t="str">
            <v>Grimsby Power Inc.</v>
          </cell>
        </row>
        <row r="26">
          <cell r="A26" t="str">
            <v>GENERAL SERVICE 50 TO 2,999 KW - TIME OF USE</v>
          </cell>
          <cell r="AL26" t="str">
            <v>Guelph Hydro Electric Systems Inc.</v>
          </cell>
        </row>
        <row r="27">
          <cell r="A27" t="str">
            <v>GENERAL SERVICE 50 TO 4,999 KW</v>
          </cell>
          <cell r="AL27" t="str">
            <v>Haldimand County Hydro Inc.</v>
          </cell>
        </row>
        <row r="28">
          <cell r="A28" t="str">
            <v>GENERAL SERVICE 50 TO 4,999 KW - INTERVAL METERED</v>
          </cell>
          <cell r="AL28" t="str">
            <v>Halton Hills Hydro Inc.</v>
          </cell>
        </row>
        <row r="29">
          <cell r="A29" t="str">
            <v>GENERAL SERVICE 50 TO 4,999 KW - TIME OF USE</v>
          </cell>
          <cell r="AL29" t="str">
            <v>Hearst Power Distribution Company Limited</v>
          </cell>
        </row>
        <row r="30">
          <cell r="A30" t="str">
            <v>GENERAL SERVICE 50 TO 4,999 KW (COGENERATION)</v>
          </cell>
          <cell r="AL30" t="str">
            <v>Horizon Utilities Corporation</v>
          </cell>
        </row>
        <row r="31">
          <cell r="A31" t="str">
            <v>GENERAL SERVICE 50 TO 4,999 KW (FORMERLY TIME OF USE)</v>
          </cell>
          <cell r="AL31" t="str">
            <v>Hydro 2000 Inc.</v>
          </cell>
        </row>
        <row r="32">
          <cell r="A32" t="str">
            <v>GENERAL SERVICE 50 TO 499 KW</v>
          </cell>
          <cell r="AL32" t="str">
            <v>Hydro Hawkesbury Inc.</v>
          </cell>
        </row>
        <row r="33">
          <cell r="A33" t="str">
            <v>GENERAL SERVICE 50 TO 699 KW</v>
          </cell>
          <cell r="AL33" t="str">
            <v>Hydro One Brampton Networks Inc.</v>
          </cell>
        </row>
        <row r="34">
          <cell r="A34" t="str">
            <v>GENERAL SERVICE 50 TO 999 KW</v>
          </cell>
          <cell r="AL34" t="str">
            <v>Hydro One Networks Inc.</v>
          </cell>
        </row>
        <row r="35">
          <cell r="A35" t="str">
            <v>GENERAL SERVICE 50 TO 999 KW - INTERVAL METERED</v>
          </cell>
          <cell r="AL35" t="str">
            <v>Hydro One Remote Communities Inc.</v>
          </cell>
        </row>
        <row r="36">
          <cell r="A36" t="str">
            <v>GENERAL SERVICE 500 TO 4,999 KW</v>
          </cell>
          <cell r="AL36" t="str">
            <v>Hydro Ottawa Limited</v>
          </cell>
        </row>
        <row r="37">
          <cell r="A37" t="str">
            <v>GENERAL SERVICE 700 TO 4,999 KW</v>
          </cell>
          <cell r="AL37" t="str">
            <v>Innpower Corporation</v>
          </cell>
        </row>
        <row r="38">
          <cell r="A38" t="str">
            <v>GENERAL SERVICE DEMAND BILLED (50 KW AND ABOVE) [GSD]</v>
          </cell>
          <cell r="AL38" t="str">
            <v>Kashechewan Power Corporation</v>
          </cell>
        </row>
        <row r="39">
          <cell r="A39" t="str">
            <v>GENERAL SERVICE ENERGY BILLED (LESS THAN 50 KW) [GSE-METERED]</v>
          </cell>
          <cell r="AL39" t="str">
            <v>Kenora Hydro Electric Corporation Ltd.</v>
          </cell>
        </row>
        <row r="40">
          <cell r="A40" t="str">
            <v>GENERAL SERVICE ENERGY BILLED (LESS THAN TO 50 KW) [GSE-UNMETERED]</v>
          </cell>
          <cell r="AL40" t="str">
            <v>Kingston Hydro Corporation</v>
          </cell>
        </row>
        <row r="41">
          <cell r="A41" t="str">
            <v>GENERAL SERVICE EQUAL TO OR GREATER THAN 1,500 KW</v>
          </cell>
          <cell r="AL41" t="str">
            <v>Kitchener-Wilmot Hydro Inc.</v>
          </cell>
        </row>
        <row r="42">
          <cell r="A42" t="str">
            <v>GENERAL SERVICE EQUAL TO OR GREATER THAN 1,500 KW - INTERVAL METERED</v>
          </cell>
          <cell r="AL42" t="str">
            <v>Lakefront Utilities Inc.</v>
          </cell>
        </row>
        <row r="43">
          <cell r="A43" t="str">
            <v>GENERAL SERVICE GREATER THAN 1,000 KW</v>
          </cell>
          <cell r="AL43" t="str">
            <v>Lakeland Power Distribution Ltd.</v>
          </cell>
        </row>
        <row r="44">
          <cell r="A44" t="str">
            <v>GENERAL SERVICE GREATER THAN 50 kW - WMP</v>
          </cell>
          <cell r="AL44" t="str">
            <v>London Hydro Inc.</v>
          </cell>
        </row>
        <row r="45">
          <cell r="A45" t="str">
            <v>GENERAL SERVICE INTERMEDIATE 1,000 TO 4,999 KW</v>
          </cell>
          <cell r="AL45" t="str">
            <v>Midland Power Utility Corporation</v>
          </cell>
        </row>
        <row r="46">
          <cell r="A46" t="str">
            <v>GENERAL SERVICE INTERMEDIATE RATE CLASS 1,000 TO 4,999 KW (FORMERLY GENERAL SERVICE &gt; 50 KW CUSTOMERS)</v>
          </cell>
          <cell r="AL46" t="str">
            <v>Milton Hydro Distribution Inc.</v>
          </cell>
        </row>
        <row r="47">
          <cell r="A47" t="str">
            <v>GENERAL SERVICE INTERMEDIATE RATE CLASS 1,000 TO 4,999 KW (FORMERLY LARGE USE CUSTOMERS)</v>
          </cell>
          <cell r="AL47" t="str">
            <v>Newmarket-Tay Power Distribution Ltd.</v>
          </cell>
        </row>
        <row r="48">
          <cell r="A48" t="str">
            <v>GENERAL SERVICE LESS THAN 50 KW</v>
          </cell>
          <cell r="AL48" t="str">
            <v>Niagara Peninsula Energy Inc.</v>
          </cell>
        </row>
        <row r="49">
          <cell r="A49" t="str">
            <v>GENERAL SERVICE LESS THAN 50 KW - SINGLE PHASE ENERGY-BILLED [G1]</v>
          </cell>
          <cell r="AL49" t="str">
            <v>Niagara-on-the-Lake Hydro Inc.</v>
          </cell>
        </row>
        <row r="50">
          <cell r="A50" t="str">
            <v>GENERAL SERVICE LESS THAN 50 KW - THREE PHASE ENERGY-BILLED [G3]</v>
          </cell>
          <cell r="AL50" t="str">
            <v>Norfolk Power Distribution Inc.</v>
          </cell>
        </row>
        <row r="51">
          <cell r="A51" t="str">
            <v>GENERAL SERVICE LESS THAN 50 KW - TRANSMISSION CLASS ENERGY-BILLED [T]</v>
          </cell>
          <cell r="AL51" t="str">
            <v>North Bay Hydro Distribution Limited</v>
          </cell>
        </row>
        <row r="52">
          <cell r="A52" t="str">
            <v>GENERAL SERVICE LESS THAN 50 KW - URBAN ENERGY-BILLED [UG]</v>
          </cell>
          <cell r="AL52" t="str">
            <v>Northern Ontario Wires Inc.</v>
          </cell>
        </row>
        <row r="53">
          <cell r="A53" t="str">
            <v>GENERAL SERVICE SINGLE PHASE - G1</v>
          </cell>
          <cell r="AL53" t="str">
            <v>Oakville Hydro Electricity Distribution Inc.</v>
          </cell>
        </row>
        <row r="54">
          <cell r="A54" t="str">
            <v>GENERAL SERVICE THREE PHASE - G3</v>
          </cell>
          <cell r="AL54" t="str">
            <v>Orangeville Hydro Limited</v>
          </cell>
        </row>
        <row r="55">
          <cell r="A55" t="str">
            <v>INTERMEDIATE USERS</v>
          </cell>
          <cell r="AL55" t="str">
            <v>Orillia Power Distribution Corporation</v>
          </cell>
        </row>
        <row r="56">
          <cell r="A56" t="str">
            <v>INTERMEDIATE WITH SELF GENERATION</v>
          </cell>
          <cell r="AL56" t="str">
            <v>Oshawa PUC Networks Inc.</v>
          </cell>
        </row>
        <row r="57">
          <cell r="A57" t="str">
            <v>LARGE USE</v>
          </cell>
          <cell r="AL57" t="str">
            <v>Ottawa River Power Corporation</v>
          </cell>
        </row>
        <row r="58">
          <cell r="A58" t="str">
            <v>LARGE USE - 3TS</v>
          </cell>
          <cell r="AL58" t="str">
            <v>Peterborough Distribution Incorporated</v>
          </cell>
        </row>
        <row r="59">
          <cell r="A59" t="str">
            <v>LARGE USE - FORD ANNEX</v>
          </cell>
          <cell r="AL59" t="str">
            <v>PowerStream Inc.</v>
          </cell>
        </row>
        <row r="60">
          <cell r="A60" t="str">
            <v>LARGE USE - REGULAR</v>
          </cell>
          <cell r="AL60" t="str">
            <v>PUC Distribution Inc.</v>
          </cell>
        </row>
        <row r="61">
          <cell r="A61" t="str">
            <v>LARGE USE &gt; 5000 KW</v>
          </cell>
          <cell r="AL61" t="str">
            <v>Renfrew Hydro Inc.</v>
          </cell>
        </row>
        <row r="62">
          <cell r="A62" t="str">
            <v>microFIT</v>
          </cell>
          <cell r="AL62" t="str">
            <v>Rideau St. Lawrence Distribution Inc.</v>
          </cell>
        </row>
        <row r="63">
          <cell r="A63" t="str">
            <v>RESIDENTIAL</v>
          </cell>
          <cell r="AL63" t="str">
            <v>Sioux Lookout Hydro Inc.</v>
          </cell>
        </row>
        <row r="64">
          <cell r="A64" t="str">
            <v>RESIDENTIAL - HENSALL</v>
          </cell>
          <cell r="AL64" t="str">
            <v>St. Thomas Energy Inc.</v>
          </cell>
        </row>
        <row r="65">
          <cell r="A65" t="str">
            <v>RESIDENTIAL - HIGH DENSITY [R1]</v>
          </cell>
          <cell r="AL65" t="str">
            <v>Thunder Bay Hydro Electricity Distribution Inc.</v>
          </cell>
        </row>
        <row r="66">
          <cell r="A66" t="str">
            <v>RESIDENTIAL - LOW DENSITY [R2]</v>
          </cell>
          <cell r="AL66" t="str">
            <v>Tillsonburg Hydro Inc.</v>
          </cell>
        </row>
        <row r="67">
          <cell r="A67" t="str">
            <v>RESIDENTIAL - MEDIUM DENSITY [R1]</v>
          </cell>
          <cell r="AL67" t="str">
            <v>Toronto Hydro-Electric System Limited</v>
          </cell>
        </row>
        <row r="68">
          <cell r="A68" t="str">
            <v>RESIDENTIAL - NORMAL DENSITY [R2]</v>
          </cell>
          <cell r="AL68" t="str">
            <v>Veridian Connections Inc.</v>
          </cell>
        </row>
        <row r="69">
          <cell r="A69" t="str">
            <v>RESIDENTIAL - TIME OF USE</v>
          </cell>
          <cell r="AL69" t="str">
            <v>Wasaga Distribution Inc.</v>
          </cell>
        </row>
        <row r="70">
          <cell r="A70" t="str">
            <v>RESIDENTIAL - URBAN [UR]</v>
          </cell>
          <cell r="AL70" t="str">
            <v>Waterloo North Hydro Inc.</v>
          </cell>
        </row>
        <row r="71">
          <cell r="A71" t="str">
            <v>RESIDENTIAL REGULAR</v>
          </cell>
          <cell r="AL71" t="str">
            <v>Welland Hydro-Electric System Corp.</v>
          </cell>
        </row>
        <row r="72">
          <cell r="A72" t="str">
            <v>RESIDENTIAL SUBURBAN</v>
          </cell>
          <cell r="AL72" t="str">
            <v>Wellington North Power Inc.</v>
          </cell>
        </row>
        <row r="73">
          <cell r="A73" t="str">
            <v>RESIDENTIAL SUBURBAN SEASONAL</v>
          </cell>
          <cell r="AL73" t="str">
            <v>West Coast Huron Energy Inc.</v>
          </cell>
        </row>
        <row r="74">
          <cell r="A74" t="str">
            <v>RESIDENTIAL SUBURBAN YEAR ROUND</v>
          </cell>
          <cell r="AL74" t="str">
            <v>Westario Power Inc.</v>
          </cell>
        </row>
        <row r="75">
          <cell r="A75" t="str">
            <v>RESIDENTIAL URBAN</v>
          </cell>
          <cell r="AL75" t="str">
            <v>Whitby Hydro Electric Corporation</v>
          </cell>
        </row>
        <row r="76">
          <cell r="A76" t="str">
            <v>RESIDENTIAL URBAN YEAR-ROUND</v>
          </cell>
          <cell r="AL76" t="str">
            <v>Woodstock Hydro Services Inc.</v>
          </cell>
        </row>
        <row r="77">
          <cell r="A77" t="str">
            <v>SEASONAL RESIDENTIAL</v>
          </cell>
        </row>
        <row r="78">
          <cell r="A78" t="str">
            <v>SEASONAL RESIDENTIAL - HIGH DENSITY [R3]</v>
          </cell>
        </row>
        <row r="79">
          <cell r="A79" t="str">
            <v>SEASONAL RESIDENTIAL - NORMAL DENSITY [R4]</v>
          </cell>
        </row>
        <row r="80">
          <cell r="A80" t="str">
            <v>SENTINEL LIGHTING</v>
          </cell>
        </row>
        <row r="81">
          <cell r="A81" t="str">
            <v>SMALL COMMERCIAL AND USL - PER CONNECTION</v>
          </cell>
        </row>
        <row r="82">
          <cell r="A82" t="str">
            <v>SMALL COMMERCIAL AND USL - PER METER</v>
          </cell>
        </row>
        <row r="83">
          <cell r="A83" t="str">
            <v>STANDARD A GENERAL SERVICE AIR ACCESS</v>
          </cell>
        </row>
        <row r="84">
          <cell r="A84" t="str">
            <v>STANDARD A GENERAL SERVICE ROAD/RAIL</v>
          </cell>
        </row>
        <row r="85">
          <cell r="A85" t="str">
            <v>STANDARD A GRID CONNECTED</v>
          </cell>
        </row>
        <row r="86">
          <cell r="A86" t="str">
            <v>STANDARD A RESIDENTIAL AIR ACCESS</v>
          </cell>
        </row>
        <row r="87">
          <cell r="A87" t="str">
            <v>STANDARD A RESIDENTIAL ROAD/RAIL</v>
          </cell>
        </row>
        <row r="88">
          <cell r="A88" t="str">
            <v>STANDBY - GENERAL SERVICE 1,000 - 5,000 KW</v>
          </cell>
        </row>
        <row r="89">
          <cell r="A89" t="str">
            <v>STANDBY - GENERAL SERVICE 50 - 1,000 KW</v>
          </cell>
        </row>
        <row r="90">
          <cell r="A90" t="str">
            <v>STANDBY - LARGE USE</v>
          </cell>
        </row>
        <row r="91">
          <cell r="A91" t="str">
            <v>STANDBY DISTRIBUTION SERVICE</v>
          </cell>
        </row>
        <row r="92">
          <cell r="A92" t="str">
            <v>STANDBY POWER</v>
          </cell>
        </row>
        <row r="93">
          <cell r="A93" t="str">
            <v>STANDBY POWER - APPROVED ON AN INTERIM BASIS</v>
          </cell>
        </row>
        <row r="94">
          <cell r="A94" t="str">
            <v>STANDBY POWER GENERAL SERVICE 1,500 TO 4,999 KW</v>
          </cell>
        </row>
        <row r="95">
          <cell r="A95" t="str">
            <v>STANDBY POWER GENERAL SERVICE 50 TO 1,499 KW</v>
          </cell>
        </row>
        <row r="96">
          <cell r="A96" t="str">
            <v>STANDBY POWER GENERAL SERVICE LARGE USE</v>
          </cell>
        </row>
        <row r="97">
          <cell r="A97" t="str">
            <v>STREET LIGHTING</v>
          </cell>
        </row>
        <row r="98">
          <cell r="A98" t="str">
            <v>SUB TRANSMISSION [ST]</v>
          </cell>
        </row>
        <row r="99">
          <cell r="A99" t="str">
            <v>UNMETERED SCATTERED LOAD</v>
          </cell>
        </row>
        <row r="100">
          <cell r="A100" t="str">
            <v>URBAN GENERAL SERVICE DEMAND BILLED (50 KW AND ABOVE) [UGD]</v>
          </cell>
        </row>
        <row r="101">
          <cell r="A101" t="str">
            <v>URBAN GENERAL SERVICE ENERGY BILLED (LESS THAN 50 KW) [UGE]</v>
          </cell>
        </row>
        <row r="102">
          <cell r="A102" t="str">
            <v>WESTPORT SEWAGE TREATMENT PLANT</v>
          </cell>
        </row>
        <row r="103">
          <cell r="A103" t="str">
            <v>YEAR-ROUND RESIDENTIAL - R2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24"/>
  <sheetViews>
    <sheetView topLeftCell="D7" zoomScaleNormal="100" workbookViewId="0">
      <selection activeCell="D22" sqref="D22"/>
    </sheetView>
  </sheetViews>
  <sheetFormatPr defaultRowHeight="15" x14ac:dyDescent="0.25"/>
  <cols>
    <col min="2" max="2" width="32.85546875" bestFit="1" customWidth="1"/>
    <col min="3" max="3" width="14.7109375" customWidth="1"/>
    <col min="4" max="4" width="15.5703125" customWidth="1"/>
    <col min="5" max="5" width="15.28515625" customWidth="1"/>
    <col min="6" max="6" width="13.85546875" customWidth="1"/>
  </cols>
  <sheetData>
    <row r="2" spans="2:6" x14ac:dyDescent="0.25">
      <c r="B2" s="5" t="s">
        <v>394</v>
      </c>
    </row>
    <row r="3" spans="2:6" s="257" customFormat="1" ht="9" customHeight="1" x14ac:dyDescent="0.25"/>
    <row r="4" spans="2:6" s="257" customFormat="1" ht="30.75" thickBot="1" x14ac:dyDescent="0.3">
      <c r="B4" s="159" t="s">
        <v>202</v>
      </c>
      <c r="C4" s="163" t="s">
        <v>210</v>
      </c>
      <c r="D4" s="160" t="s">
        <v>198</v>
      </c>
      <c r="E4" s="161" t="s">
        <v>15</v>
      </c>
    </row>
    <row r="5" spans="2:6" s="257" customFormat="1" x14ac:dyDescent="0.25">
      <c r="B5" s="26" t="s">
        <v>57</v>
      </c>
      <c r="C5" s="175">
        <f>+'ESM Calc'!C5</f>
        <v>16274718.927908702</v>
      </c>
      <c r="D5" s="175">
        <f>+'ESM Calc'!D5</f>
        <v>18281100.104774401</v>
      </c>
      <c r="E5" s="188">
        <f>+C5-D5</f>
        <v>-2006381.1768656988</v>
      </c>
    </row>
    <row r="6" spans="2:6" s="257" customFormat="1" x14ac:dyDescent="0.25">
      <c r="B6" s="26" t="s">
        <v>26</v>
      </c>
      <c r="C6" s="175">
        <f>+'ESM Calc'!C6</f>
        <v>206263692.34400108</v>
      </c>
      <c r="D6" s="175">
        <f>+'ESM Calc'!D6</f>
        <v>208212985.24800003</v>
      </c>
      <c r="E6" s="189">
        <f>+C6-D6</f>
        <v>-1949292.9039989412</v>
      </c>
    </row>
    <row r="7" spans="2:6" s="257" customFormat="1" x14ac:dyDescent="0.25">
      <c r="B7" s="26" t="s">
        <v>27</v>
      </c>
      <c r="C7" s="47">
        <f>+C5/C6</f>
        <v>7.8902490026049571E-2</v>
      </c>
      <c r="D7" s="47">
        <f>+D5/D6</f>
        <v>8.7799999999999989E-2</v>
      </c>
      <c r="E7" s="236">
        <f>+C7-D7</f>
        <v>-8.8975099739504182E-3</v>
      </c>
    </row>
    <row r="8" spans="2:6" s="257" customFormat="1" x14ac:dyDescent="0.25">
      <c r="B8" s="150" t="s">
        <v>81</v>
      </c>
      <c r="C8" s="151"/>
      <c r="D8" s="49">
        <f>+E7</f>
        <v>-8.8975099739504182E-3</v>
      </c>
    </row>
    <row r="9" spans="2:6" s="257" customFormat="1" x14ac:dyDescent="0.25">
      <c r="B9" s="150" t="s">
        <v>82</v>
      </c>
      <c r="C9" s="151"/>
      <c r="D9" s="41">
        <f>IF(D8&gt;0,+D8*C6,0)</f>
        <v>0</v>
      </c>
    </row>
    <row r="10" spans="2:6" s="257" customFormat="1" x14ac:dyDescent="0.25">
      <c r="B10" s="150" t="s">
        <v>84</v>
      </c>
      <c r="C10" s="151"/>
      <c r="D10" s="231">
        <f>MAX(+D9*0.5,0)</f>
        <v>0</v>
      </c>
    </row>
    <row r="11" spans="2:6" s="257" customFormat="1" x14ac:dyDescent="0.25"/>
    <row r="12" spans="2:6" s="257" customFormat="1" x14ac:dyDescent="0.25"/>
    <row r="13" spans="2:6" x14ac:dyDescent="0.25">
      <c r="B13" s="11" t="s">
        <v>230</v>
      </c>
      <c r="C13" s="257"/>
      <c r="D13" s="257"/>
      <c r="E13" s="257"/>
      <c r="F13" s="257"/>
    </row>
    <row r="14" spans="2:6" ht="8.25" customHeight="1" x14ac:dyDescent="0.25">
      <c r="B14" s="257"/>
      <c r="C14" s="257"/>
      <c r="D14" s="257"/>
      <c r="E14" s="257"/>
      <c r="F14" s="257"/>
    </row>
    <row r="15" spans="2:6" ht="45" x14ac:dyDescent="0.25">
      <c r="B15" s="216" t="s">
        <v>231</v>
      </c>
      <c r="C15" s="198" t="s">
        <v>240</v>
      </c>
      <c r="D15" s="198" t="s">
        <v>241</v>
      </c>
      <c r="E15" s="198" t="s">
        <v>242</v>
      </c>
      <c r="F15" s="198" t="s">
        <v>243</v>
      </c>
    </row>
    <row r="16" spans="2:6" x14ac:dyDescent="0.25">
      <c r="B16" s="146" t="s">
        <v>232</v>
      </c>
      <c r="C16" s="175">
        <f>+'ESM Rider'!C7</f>
        <v>0</v>
      </c>
      <c r="D16" s="217">
        <f>+'ESM Rider'!D7</f>
        <v>0</v>
      </c>
      <c r="E16" s="310">
        <f>+'ESM Rider'!E7</f>
        <v>0</v>
      </c>
      <c r="F16" s="18" t="str">
        <f>+'ESM Rider'!F7</f>
        <v>$/kWh</v>
      </c>
    </row>
    <row r="17" spans="2:6" x14ac:dyDescent="0.25">
      <c r="B17" s="146" t="s">
        <v>233</v>
      </c>
      <c r="C17" s="175">
        <f>+'ESM Rider'!C8</f>
        <v>0</v>
      </c>
      <c r="D17" s="217">
        <f>+'ESM Rider'!D8</f>
        <v>0</v>
      </c>
      <c r="E17" s="310">
        <f>+'ESM Rider'!E8</f>
        <v>0</v>
      </c>
      <c r="F17" s="18" t="str">
        <f>+'ESM Rider'!F8</f>
        <v>$/kWh</v>
      </c>
    </row>
    <row r="18" spans="2:6" x14ac:dyDescent="0.25">
      <c r="B18" s="146" t="s">
        <v>234</v>
      </c>
      <c r="C18" s="175">
        <f>+'ESM Rider'!C9</f>
        <v>0</v>
      </c>
      <c r="D18" s="217">
        <f>+'ESM Rider'!D9</f>
        <v>0</v>
      </c>
      <c r="E18" s="310">
        <f>+'ESM Rider'!E9</f>
        <v>0</v>
      </c>
      <c r="F18" s="18" t="str">
        <f>+'ESM Rider'!F9</f>
        <v>$/kW</v>
      </c>
    </row>
    <row r="19" spans="2:6" x14ac:dyDescent="0.25">
      <c r="B19" s="146" t="s">
        <v>235</v>
      </c>
      <c r="C19" s="175">
        <f>+'ESM Rider'!C10</f>
        <v>0</v>
      </c>
      <c r="D19" s="217">
        <f>+'ESM Rider'!D10</f>
        <v>0</v>
      </c>
      <c r="E19" s="310">
        <f>+'ESM Rider'!E10</f>
        <v>0</v>
      </c>
      <c r="F19" s="18" t="str">
        <f>+'ESM Rider'!F10</f>
        <v>$/kW</v>
      </c>
    </row>
    <row r="20" spans="2:6" x14ac:dyDescent="0.25">
      <c r="B20" s="146" t="s">
        <v>236</v>
      </c>
      <c r="C20" s="175">
        <f>+'ESM Rider'!C11</f>
        <v>0</v>
      </c>
      <c r="D20" s="217">
        <f>+'ESM Rider'!D11</f>
        <v>0</v>
      </c>
      <c r="E20" s="310">
        <f>+'ESM Rider'!E11</f>
        <v>0</v>
      </c>
      <c r="F20" s="18" t="str">
        <f>+'ESM Rider'!F11</f>
        <v>$/kW</v>
      </c>
    </row>
    <row r="21" spans="2:6" x14ac:dyDescent="0.25">
      <c r="B21" s="146" t="s">
        <v>237</v>
      </c>
      <c r="C21" s="175">
        <f>+'ESM Rider'!C12</f>
        <v>0</v>
      </c>
      <c r="D21" s="217">
        <f>+'ESM Rider'!D12</f>
        <v>0</v>
      </c>
      <c r="E21" s="310">
        <f>+'ESM Rider'!E12</f>
        <v>0</v>
      </c>
      <c r="F21" s="18" t="str">
        <f>+'ESM Rider'!F12</f>
        <v>$/kWh</v>
      </c>
    </row>
    <row r="22" spans="2:6" x14ac:dyDescent="0.25">
      <c r="B22" s="146" t="s">
        <v>238</v>
      </c>
      <c r="C22" s="175">
        <f>+'ESM Rider'!C13</f>
        <v>0</v>
      </c>
      <c r="D22" s="217">
        <f>+'ESM Rider'!D13</f>
        <v>0</v>
      </c>
      <c r="E22" s="310">
        <f>+'ESM Rider'!E13</f>
        <v>0</v>
      </c>
      <c r="F22" s="18" t="str">
        <f>+'ESM Rider'!F13</f>
        <v>$/kW</v>
      </c>
    </row>
    <row r="23" spans="2:6" x14ac:dyDescent="0.25">
      <c r="B23" s="146" t="s">
        <v>239</v>
      </c>
      <c r="C23" s="175">
        <f>+'ESM Rider'!C14</f>
        <v>0</v>
      </c>
      <c r="D23" s="217">
        <f>+'ESM Rider'!D14</f>
        <v>0</v>
      </c>
      <c r="E23" s="310">
        <f>+'ESM Rider'!E14</f>
        <v>0</v>
      </c>
      <c r="F23" s="18" t="str">
        <f>+'ESM Rider'!F14</f>
        <v>$/kW</v>
      </c>
    </row>
    <row r="24" spans="2:6" x14ac:dyDescent="0.25">
      <c r="B24" s="6" t="s">
        <v>31</v>
      </c>
      <c r="C24" s="420">
        <f>+'ESM Rider'!C15</f>
        <v>0</v>
      </c>
      <c r="D24" s="257"/>
      <c r="E24" s="257"/>
      <c r="F24" s="257"/>
    </row>
    <row r="27" spans="2:6" x14ac:dyDescent="0.25">
      <c r="B27" s="11" t="s">
        <v>59</v>
      </c>
    </row>
    <row r="29" spans="2:6" x14ac:dyDescent="0.25">
      <c r="B29" s="325"/>
      <c r="C29" s="468" t="s">
        <v>311</v>
      </c>
      <c r="D29" s="469"/>
      <c r="E29" s="470"/>
      <c r="F29" s="471" t="s">
        <v>313</v>
      </c>
    </row>
    <row r="30" spans="2:6" x14ac:dyDescent="0.25">
      <c r="B30" s="311" t="s">
        <v>312</v>
      </c>
      <c r="C30" s="313" t="s">
        <v>298</v>
      </c>
      <c r="D30" s="313" t="s">
        <v>50</v>
      </c>
      <c r="E30" s="313" t="s">
        <v>31</v>
      </c>
      <c r="F30" s="471"/>
    </row>
    <row r="31" spans="2:6" x14ac:dyDescent="0.25">
      <c r="B31" s="6" t="s">
        <v>297</v>
      </c>
      <c r="C31" s="312">
        <f>+'Reg NI Rec'!C6</f>
        <v>1325636.7200000156</v>
      </c>
      <c r="D31" s="312">
        <f>+'Reg NI Rec'!D6</f>
        <v>77029537.611392185</v>
      </c>
      <c r="E31" s="315">
        <f>+'Reg NI Rec'!E6</f>
        <v>78355174.331392199</v>
      </c>
      <c r="F31" s="322">
        <f>+'Reg NI Rec'!F6</f>
        <v>22974211.104774401</v>
      </c>
    </row>
    <row r="32" spans="2:6" x14ac:dyDescent="0.25">
      <c r="B32" s="13" t="s">
        <v>299</v>
      </c>
      <c r="C32" s="265">
        <f>+'Reg NI Rec'!C7</f>
        <v>0</v>
      </c>
      <c r="D32" s="265">
        <f>+'Reg NI Rec'!D7</f>
        <v>-949339</v>
      </c>
      <c r="E32" s="314">
        <f>+'Reg NI Rec'!E7</f>
        <v>-949339</v>
      </c>
      <c r="F32" s="323"/>
    </row>
    <row r="33" spans="2:6" x14ac:dyDescent="0.25">
      <c r="B33" s="13" t="s">
        <v>300</v>
      </c>
      <c r="C33" s="265">
        <f>+'Reg NI Rec'!C8</f>
        <v>0</v>
      </c>
      <c r="D33" s="265">
        <f>+'Reg NI Rec'!D8</f>
        <v>12468382</v>
      </c>
      <c r="E33" s="314">
        <f>+'Reg NI Rec'!E8</f>
        <v>12468382</v>
      </c>
      <c r="F33" s="323"/>
    </row>
    <row r="34" spans="2:6" x14ac:dyDescent="0.25">
      <c r="B34" s="13" t="s">
        <v>301</v>
      </c>
      <c r="C34" s="265">
        <f>+'Reg NI Rec'!C9</f>
        <v>482892</v>
      </c>
      <c r="D34" s="265">
        <f>+'Reg NI Rec'!D9</f>
        <v>2032671</v>
      </c>
      <c r="E34" s="314">
        <f>+'Reg NI Rec'!E9</f>
        <v>2515563</v>
      </c>
      <c r="F34" s="323"/>
    </row>
    <row r="35" spans="2:6" x14ac:dyDescent="0.25">
      <c r="B35" s="13" t="s">
        <v>302</v>
      </c>
      <c r="C35" s="265">
        <f>+'Reg NI Rec'!C10</f>
        <v>642098</v>
      </c>
      <c r="D35" s="265">
        <f>+'Reg NI Rec'!D10</f>
        <v>51910112</v>
      </c>
      <c r="E35" s="314">
        <f>+'Reg NI Rec'!E10</f>
        <v>52552210</v>
      </c>
      <c r="F35" s="323"/>
    </row>
    <row r="36" spans="2:6" x14ac:dyDescent="0.25">
      <c r="B36" s="13" t="s">
        <v>303</v>
      </c>
      <c r="C36" s="265">
        <f>+'Reg NI Rec'!C11</f>
        <v>423562</v>
      </c>
      <c r="D36" s="265">
        <f>+'Reg NI Rec'!D11</f>
        <v>10501164</v>
      </c>
      <c r="E36" s="314">
        <f>+'Reg NI Rec'!E11</f>
        <v>10924726</v>
      </c>
      <c r="F36" s="323"/>
    </row>
    <row r="37" spans="2:6" x14ac:dyDescent="0.25">
      <c r="B37" s="13" t="s">
        <v>306</v>
      </c>
      <c r="C37" s="265">
        <f>+'Reg NI Rec'!C12</f>
        <v>0</v>
      </c>
      <c r="D37" s="265">
        <f>+'Reg NI Rec'!D12</f>
        <v>-559101</v>
      </c>
      <c r="E37" s="314">
        <f>+'Reg NI Rec'!E12</f>
        <v>-559101</v>
      </c>
      <c r="F37" s="323"/>
    </row>
    <row r="38" spans="2:6" ht="45" x14ac:dyDescent="0.25">
      <c r="B38" s="306" t="s">
        <v>304</v>
      </c>
      <c r="C38" s="265">
        <f>+'Reg NI Rec'!C13</f>
        <v>0</v>
      </c>
      <c r="D38" s="265">
        <f>+'Reg NI Rec'!D13</f>
        <v>-121676434.05462003</v>
      </c>
      <c r="E38" s="314">
        <f>+'Reg NI Rec'!E13</f>
        <v>-121676434.05462003</v>
      </c>
      <c r="F38" s="323"/>
    </row>
    <row r="39" spans="2:6" ht="30" x14ac:dyDescent="0.25">
      <c r="B39" s="308" t="s">
        <v>305</v>
      </c>
      <c r="C39" s="307">
        <f>+'Reg NI Rec'!C14</f>
        <v>2874188.7200000156</v>
      </c>
      <c r="D39" s="307">
        <f>+'Reg NI Rec'!D14</f>
        <v>30756992.556772172</v>
      </c>
      <c r="E39" s="316">
        <f>+'Reg NI Rec'!E14</f>
        <v>33631181.276772171</v>
      </c>
      <c r="F39" s="322">
        <f>+'Reg NI Rec'!F14</f>
        <v>22974211.104774401</v>
      </c>
    </row>
    <row r="40" spans="2:6" x14ac:dyDescent="0.25">
      <c r="B40" s="281" t="s">
        <v>307</v>
      </c>
      <c r="C40" s="202"/>
      <c r="D40" s="189"/>
      <c r="E40" s="317">
        <f>+'Reg NI Rec'!E15</f>
        <v>-363024.09852544195</v>
      </c>
      <c r="F40" s="323">
        <f>+'Reg NI Rec'!F15</f>
        <v>0</v>
      </c>
    </row>
    <row r="41" spans="2:6" x14ac:dyDescent="0.25">
      <c r="B41" s="309" t="s">
        <v>308</v>
      </c>
      <c r="C41" s="203"/>
      <c r="D41" s="214"/>
      <c r="E41" s="314">
        <f>+'Reg NI Rec'!E16</f>
        <v>-10024089.221262643</v>
      </c>
      <c r="F41" s="323">
        <f>+'Reg NI Rec'!F16</f>
        <v>0</v>
      </c>
    </row>
    <row r="42" spans="2:6" x14ac:dyDescent="0.25">
      <c r="B42" s="282" t="s">
        <v>61</v>
      </c>
      <c r="C42" s="202"/>
      <c r="D42" s="320"/>
      <c r="E42" s="318">
        <f>+'Reg NI Rec'!E17</f>
        <v>23244067.956984088</v>
      </c>
      <c r="F42" s="322">
        <f>+'Reg NI Rec'!F17</f>
        <v>22974211.104774401</v>
      </c>
    </row>
    <row r="43" spans="2:6" x14ac:dyDescent="0.25">
      <c r="B43" s="309" t="s">
        <v>310</v>
      </c>
      <c r="C43" s="203"/>
      <c r="D43" s="321"/>
      <c r="E43" s="319">
        <f>+'Reg NI Rec'!E18</f>
        <v>-1387405.333281632</v>
      </c>
      <c r="F43" s="324">
        <f>+'Reg NI Rec'!F18</f>
        <v>-4693111</v>
      </c>
    </row>
    <row r="44" spans="2:6" x14ac:dyDescent="0.25">
      <c r="B44" s="64" t="s">
        <v>309</v>
      </c>
      <c r="C44" s="241"/>
      <c r="D44" s="189"/>
      <c r="E44" s="316">
        <f>+'Reg NI Rec'!E19</f>
        <v>21856662.623702455</v>
      </c>
      <c r="F44" s="322">
        <f>+'Reg NI Rec'!F19</f>
        <v>18281100.104774401</v>
      </c>
    </row>
    <row r="47" spans="2:6" s="257" customFormat="1" x14ac:dyDescent="0.25">
      <c r="B47" s="5" t="s">
        <v>395</v>
      </c>
    </row>
    <row r="49" spans="2:4" ht="30.75" thickBot="1" x14ac:dyDescent="0.3">
      <c r="B49" s="148" t="s">
        <v>62</v>
      </c>
      <c r="C49" s="162"/>
      <c r="D49" s="249" t="s">
        <v>210</v>
      </c>
    </row>
    <row r="50" spans="2:4" x14ac:dyDescent="0.25">
      <c r="B50" s="152" t="s">
        <v>211</v>
      </c>
      <c r="C50" s="153"/>
      <c r="D50" s="182">
        <f>+'ESM Calc'!D14</f>
        <v>16593096.729452793</v>
      </c>
    </row>
    <row r="51" spans="2:4" x14ac:dyDescent="0.25">
      <c r="B51" s="152" t="s">
        <v>212</v>
      </c>
      <c r="C51" s="153"/>
      <c r="D51" s="182">
        <f>+'ESM Calc'!D15</f>
        <v>1387405.333281632</v>
      </c>
    </row>
    <row r="52" spans="2:4" x14ac:dyDescent="0.25">
      <c r="B52" s="154" t="s">
        <v>253</v>
      </c>
      <c r="C52" s="155"/>
      <c r="D52" s="183">
        <f>+'ESM Calc'!D16</f>
        <v>985377.17257656995</v>
      </c>
    </row>
    <row r="53" spans="2:4" x14ac:dyDescent="0.25">
      <c r="B53" s="154" t="s">
        <v>391</v>
      </c>
      <c r="C53" s="155"/>
      <c r="D53" s="183">
        <f>+'ESM Calc'!D17</f>
        <v>3919</v>
      </c>
    </row>
    <row r="54" spans="2:4" x14ac:dyDescent="0.25">
      <c r="B54" s="154" t="s">
        <v>63</v>
      </c>
      <c r="C54" s="155"/>
      <c r="D54" s="183">
        <f>+'ESM Calc'!D18</f>
        <v>0</v>
      </c>
    </row>
    <row r="55" spans="2:4" x14ac:dyDescent="0.25">
      <c r="B55" s="154" t="s">
        <v>288</v>
      </c>
      <c r="C55" s="155"/>
      <c r="D55" s="185">
        <f>+'ESM Calc'!D19</f>
        <v>43834.158655961779</v>
      </c>
    </row>
    <row r="56" spans="2:4" x14ac:dyDescent="0.25">
      <c r="B56" s="154" t="s">
        <v>85</v>
      </c>
      <c r="C56" s="155"/>
      <c r="D56" s="183">
        <f>+'ESM Calc'!D20</f>
        <v>33508</v>
      </c>
    </row>
    <row r="57" spans="2:4" x14ac:dyDescent="0.25">
      <c r="B57" s="154" t="s">
        <v>65</v>
      </c>
      <c r="C57" s="155"/>
      <c r="D57" s="184">
        <f>+'ESM Calc'!D21</f>
        <v>-84000</v>
      </c>
    </row>
    <row r="58" spans="2:4" x14ac:dyDescent="0.25">
      <c r="B58" s="150" t="s">
        <v>66</v>
      </c>
      <c r="C58" s="155"/>
      <c r="D58" s="185">
        <f>+'ESM Calc'!D22</f>
        <v>-495385</v>
      </c>
    </row>
    <row r="59" spans="2:4" x14ac:dyDescent="0.25">
      <c r="B59" s="156" t="s">
        <v>64</v>
      </c>
      <c r="C59" s="157"/>
      <c r="D59" s="186">
        <f>+'ESM Calc'!D23</f>
        <v>18467755.393966954</v>
      </c>
    </row>
    <row r="60" spans="2:4" x14ac:dyDescent="0.25">
      <c r="B60" s="150" t="s">
        <v>10</v>
      </c>
      <c r="C60" s="158"/>
      <c r="D60" s="184">
        <f>+'ESM Calc'!D24</f>
        <v>2193036.4660582528</v>
      </c>
    </row>
    <row r="61" spans="2:4" x14ac:dyDescent="0.25">
      <c r="B61" s="156" t="s">
        <v>62</v>
      </c>
      <c r="C61" s="155"/>
      <c r="D61" s="187">
        <f>+'ESM Calc'!D25</f>
        <v>16274718.927908702</v>
      </c>
    </row>
    <row r="64" spans="2:4" x14ac:dyDescent="0.25">
      <c r="B64" s="5" t="s">
        <v>396</v>
      </c>
    </row>
    <row r="66" spans="2:5" ht="30" x14ac:dyDescent="0.25">
      <c r="B66" s="173" t="s">
        <v>205</v>
      </c>
      <c r="C66" s="174" t="s">
        <v>206</v>
      </c>
      <c r="D66" s="174" t="s">
        <v>207</v>
      </c>
      <c r="E66" s="174" t="s">
        <v>208</v>
      </c>
    </row>
    <row r="67" spans="2:5" x14ac:dyDescent="0.25">
      <c r="B67" s="176" t="s">
        <v>56</v>
      </c>
      <c r="C67" s="177">
        <f>+PILS!C5</f>
        <v>17980502.06273444</v>
      </c>
      <c r="D67" s="177">
        <f>+PILS!D5</f>
        <v>1387405.333281632</v>
      </c>
      <c r="E67" s="178">
        <f>+D67/C67</f>
        <v>7.7161657023866112E-2</v>
      </c>
    </row>
    <row r="68" spans="2:5" x14ac:dyDescent="0.25">
      <c r="B68" s="179" t="s">
        <v>253</v>
      </c>
      <c r="C68" s="175">
        <f>+PILS!C6</f>
        <v>985377.17257656995</v>
      </c>
      <c r="D68" s="175">
        <f>+PILS!D6</f>
        <v>261124.95073279104</v>
      </c>
      <c r="E68" s="35">
        <f>+D68/C68</f>
        <v>0.26500000000000001</v>
      </c>
    </row>
    <row r="69" spans="2:5" ht="30" x14ac:dyDescent="0.25">
      <c r="B69" s="179" t="s">
        <v>83</v>
      </c>
      <c r="C69" s="175">
        <f>+PILS!C7</f>
        <v>3919</v>
      </c>
      <c r="D69" s="175">
        <f>+PILS!D7</f>
        <v>1038.5350000000001</v>
      </c>
      <c r="E69" s="35">
        <f>+D69/C69</f>
        <v>0.26500000000000001</v>
      </c>
    </row>
    <row r="70" spans="2:5" x14ac:dyDescent="0.25">
      <c r="B70" s="179" t="s">
        <v>63</v>
      </c>
      <c r="C70" s="175">
        <f>+PILS!C8</f>
        <v>0</v>
      </c>
      <c r="D70" s="175">
        <f>+PILS!D8</f>
        <v>0</v>
      </c>
      <c r="E70" s="35"/>
    </row>
    <row r="71" spans="2:5" ht="30" x14ac:dyDescent="0.25">
      <c r="B71" s="179" t="s">
        <v>281</v>
      </c>
      <c r="C71" s="175">
        <f>+PILS!C9</f>
        <v>43834.158655961779</v>
      </c>
      <c r="D71" s="175">
        <f>+PILS!D9</f>
        <v>11616.052043829872</v>
      </c>
      <c r="E71" s="35"/>
    </row>
    <row r="72" spans="2:5" ht="30" x14ac:dyDescent="0.25">
      <c r="B72" s="179" t="s">
        <v>85</v>
      </c>
      <c r="C72" s="175">
        <f>+PILS!C10</f>
        <v>33508</v>
      </c>
      <c r="D72" s="175">
        <f>+PILS!D10</f>
        <v>8879.6200000000008</v>
      </c>
      <c r="E72" s="35">
        <f t="shared" ref="E72:E75" si="0">+D72/C72</f>
        <v>0.26500000000000001</v>
      </c>
    </row>
    <row r="73" spans="2:5" x14ac:dyDescent="0.25">
      <c r="B73" s="179" t="s">
        <v>65</v>
      </c>
      <c r="C73" s="175">
        <f>+PILS!C11</f>
        <v>-84000</v>
      </c>
      <c r="D73" s="175">
        <f>+PILS!D11</f>
        <v>-22260</v>
      </c>
      <c r="E73" s="35">
        <f t="shared" si="0"/>
        <v>0.26500000000000001</v>
      </c>
    </row>
    <row r="74" spans="2:5" ht="30" x14ac:dyDescent="0.25">
      <c r="B74" s="179" t="s">
        <v>209</v>
      </c>
      <c r="C74" s="180" t="s">
        <v>116</v>
      </c>
      <c r="D74" s="175">
        <f>+PILS!D12</f>
        <v>676509</v>
      </c>
      <c r="E74" s="35"/>
    </row>
    <row r="75" spans="2:5" x14ac:dyDescent="0.25">
      <c r="B75" s="179" t="s">
        <v>66</v>
      </c>
      <c r="C75" s="175">
        <f>+PILS!C13</f>
        <v>-495385</v>
      </c>
      <c r="D75" s="175">
        <f>+PILS!D13</f>
        <v>-131277.02499999999</v>
      </c>
      <c r="E75" s="35">
        <f t="shared" si="0"/>
        <v>0.26500000000000001</v>
      </c>
    </row>
    <row r="76" spans="2:5" x14ac:dyDescent="0.25">
      <c r="B76" s="270" t="s">
        <v>64</v>
      </c>
      <c r="C76" s="187">
        <f>SUM(C67:C75)</f>
        <v>18467755.393966969</v>
      </c>
      <c r="D76" s="187">
        <f>SUM(D67:D75)</f>
        <v>2193036.4660582528</v>
      </c>
      <c r="E76" s="190">
        <f>+D76/C76</f>
        <v>0.11874948629516027</v>
      </c>
    </row>
    <row r="79" spans="2:5" x14ac:dyDescent="0.25">
      <c r="B79" s="5" t="s">
        <v>397</v>
      </c>
    </row>
    <row r="81" spans="2:6" ht="30.75" thickBot="1" x14ac:dyDescent="0.3">
      <c r="B81" s="166" t="s">
        <v>197</v>
      </c>
      <c r="C81" s="167" t="s">
        <v>144</v>
      </c>
      <c r="D81" s="163" t="s">
        <v>210</v>
      </c>
      <c r="E81" s="160" t="s">
        <v>198</v>
      </c>
      <c r="F81" s="164" t="s">
        <v>15</v>
      </c>
    </row>
    <row r="82" spans="2:6" x14ac:dyDescent="0.25">
      <c r="B82" s="13" t="s">
        <v>190</v>
      </c>
      <c r="C82" s="130">
        <v>0.04</v>
      </c>
      <c r="D82" s="292">
        <f>+'Rate Base'!C29</f>
        <v>20626369.234400108</v>
      </c>
      <c r="E82" s="292">
        <f>+'Rate Base'!D29</f>
        <v>20821298.524799999</v>
      </c>
      <c r="F82" s="189">
        <f>+'Rate Base'!E29</f>
        <v>-194929.29039989039</v>
      </c>
    </row>
    <row r="83" spans="2:6" x14ac:dyDescent="0.25">
      <c r="B83" s="13" t="s">
        <v>191</v>
      </c>
      <c r="C83" s="130">
        <v>0.56000000000000005</v>
      </c>
      <c r="D83" s="292">
        <f>+'Rate Base'!C30</f>
        <v>288769169.28160155</v>
      </c>
      <c r="E83" s="292">
        <f>+'Rate Base'!D30</f>
        <v>291498179.34720004</v>
      </c>
      <c r="F83" s="189">
        <f>+'Rate Base'!E30</f>
        <v>-2729010.0655984879</v>
      </c>
    </row>
    <row r="84" spans="2:6" ht="15.75" thickBot="1" x14ac:dyDescent="0.3">
      <c r="B84" s="140" t="s">
        <v>192</v>
      </c>
      <c r="C84" s="141">
        <v>0.4</v>
      </c>
      <c r="D84" s="292">
        <f>+'Rate Base'!C31</f>
        <v>206263692.34400108</v>
      </c>
      <c r="E84" s="292">
        <f>+'Rate Base'!D31</f>
        <v>208212985.24800003</v>
      </c>
      <c r="F84" s="292">
        <f>+'Rate Base'!E31</f>
        <v>-1949292.9039989174</v>
      </c>
    </row>
    <row r="85" spans="2:6" ht="15.75" thickBot="1" x14ac:dyDescent="0.3">
      <c r="B85" s="142" t="s">
        <v>196</v>
      </c>
      <c r="C85" s="143">
        <f>SUM(C82:C84)</f>
        <v>1</v>
      </c>
      <c r="D85" s="144">
        <f>SUM(D82:D84)</f>
        <v>515659230.86000276</v>
      </c>
      <c r="E85" s="144">
        <f>SUM(E82:E84)</f>
        <v>520532463.12000006</v>
      </c>
      <c r="F85" s="144">
        <f>SUM(F82:F84)</f>
        <v>-4873232.2599972952</v>
      </c>
    </row>
    <row r="88" spans="2:6" x14ac:dyDescent="0.25">
      <c r="B88" s="5" t="s">
        <v>398</v>
      </c>
    </row>
    <row r="90" spans="2:6" ht="30.75" thickBot="1" x14ac:dyDescent="0.3">
      <c r="B90" s="149" t="s">
        <v>2</v>
      </c>
      <c r="C90" s="163" t="s">
        <v>210</v>
      </c>
      <c r="D90" s="160" t="s">
        <v>198</v>
      </c>
      <c r="E90" s="164" t="s">
        <v>15</v>
      </c>
    </row>
    <row r="91" spans="2:6" x14ac:dyDescent="0.25">
      <c r="B91" s="87" t="s">
        <v>36</v>
      </c>
      <c r="C91" s="283">
        <f>+'Rate Base'!B19</f>
        <v>446436216.30396849</v>
      </c>
      <c r="D91" s="284">
        <f>+'Rate Base'!C19</f>
        <v>432973917</v>
      </c>
      <c r="E91" s="285">
        <f>+C91-D91</f>
        <v>13462299.303968489</v>
      </c>
    </row>
    <row r="92" spans="2:6" x14ac:dyDescent="0.25">
      <c r="B92" s="146" t="s">
        <v>117</v>
      </c>
      <c r="C92" s="175" t="s">
        <v>116</v>
      </c>
      <c r="D92" s="185" t="s">
        <v>116</v>
      </c>
      <c r="E92" s="189"/>
    </row>
    <row r="93" spans="2:6" x14ac:dyDescent="0.25">
      <c r="B93" s="19" t="s">
        <v>23</v>
      </c>
      <c r="C93" s="175">
        <f>+'Rate Base'!B21</f>
        <v>510177988</v>
      </c>
      <c r="D93" s="185">
        <f>+'Rate Base'!C21</f>
        <v>667926057</v>
      </c>
      <c r="E93" s="285">
        <f t="shared" ref="E93:E96" si="1">+C93-D93</f>
        <v>-157748069</v>
      </c>
    </row>
    <row r="94" spans="2:6" x14ac:dyDescent="0.25">
      <c r="B94" s="19" t="s">
        <v>24</v>
      </c>
      <c r="C94" s="175">
        <f>+'Rate Base'!B22</f>
        <v>66680466.633618437</v>
      </c>
      <c r="D94" s="185">
        <f>+'Rate Base'!C22</f>
        <v>61728494</v>
      </c>
      <c r="E94" s="285">
        <f t="shared" si="1"/>
        <v>4951972.6336184368</v>
      </c>
    </row>
    <row r="95" spans="2:6" x14ac:dyDescent="0.25">
      <c r="B95" s="146" t="s">
        <v>0</v>
      </c>
      <c r="C95" s="185">
        <f>+'Rate Base'!B23</f>
        <v>576858454.63361847</v>
      </c>
      <c r="D95" s="185">
        <f>+'Rate Base'!C23</f>
        <v>729654551</v>
      </c>
      <c r="E95" s="285">
        <f t="shared" si="1"/>
        <v>-152796096.36638153</v>
      </c>
    </row>
    <row r="96" spans="2:6" ht="15.75" thickBot="1" x14ac:dyDescent="0.3">
      <c r="B96" s="133" t="s">
        <v>1</v>
      </c>
      <c r="C96" s="286">
        <f>+'Rate Base'!B24</f>
        <v>69223014.556034207</v>
      </c>
      <c r="D96" s="286">
        <f>+'Rate Base'!C24</f>
        <v>87558546.11999999</v>
      </c>
      <c r="E96" s="285">
        <f t="shared" si="1"/>
        <v>-18335531.563965783</v>
      </c>
    </row>
    <row r="97" spans="2:5" ht="15.75" thickBot="1" x14ac:dyDescent="0.3">
      <c r="B97" s="137" t="s">
        <v>2</v>
      </c>
      <c r="C97" s="288">
        <f>+C91+C96</f>
        <v>515659230.8600027</v>
      </c>
      <c r="D97" s="288">
        <f t="shared" ref="D97:E97" si="2">+D91+D96</f>
        <v>520532463.12</v>
      </c>
      <c r="E97" s="288">
        <f t="shared" si="2"/>
        <v>-4873232.2599972934</v>
      </c>
    </row>
    <row r="100" spans="2:5" x14ac:dyDescent="0.25">
      <c r="B100" s="5" t="s">
        <v>401</v>
      </c>
    </row>
    <row r="101" spans="2:5" s="257" customFormat="1" x14ac:dyDescent="0.25"/>
    <row r="102" spans="2:5" ht="23.25" customHeight="1" x14ac:dyDescent="0.25">
      <c r="B102" s="191" t="s">
        <v>213</v>
      </c>
      <c r="C102" s="424" t="s">
        <v>399</v>
      </c>
      <c r="D102" s="425" t="s">
        <v>400</v>
      </c>
      <c r="E102" s="161" t="s">
        <v>46</v>
      </c>
    </row>
    <row r="103" spans="2:5" x14ac:dyDescent="0.25">
      <c r="B103" s="146" t="s">
        <v>42</v>
      </c>
      <c r="C103" s="221">
        <f>+'PP&amp;E-NFA'!C5</f>
        <v>393011067.17000002</v>
      </c>
      <c r="D103" s="421">
        <f>+'PP&amp;E-NFA'!D5</f>
        <v>422396256.27999723</v>
      </c>
      <c r="E103" s="221">
        <f>SUM(C103:D103)/2</f>
        <v>407703661.72499859</v>
      </c>
    </row>
    <row r="104" spans="2:5" s="257" customFormat="1" x14ac:dyDescent="0.25">
      <c r="B104" s="440" t="s">
        <v>220</v>
      </c>
      <c r="C104" s="221">
        <f>+'PP&amp;E-NFA'!C6</f>
        <v>0</v>
      </c>
      <c r="D104" s="421">
        <f>+'PP&amp;E-NFA'!D6</f>
        <v>-5263565.7642499991</v>
      </c>
      <c r="E104" s="221">
        <f>SUM(C104:D104)/2</f>
        <v>-2631782.8821249995</v>
      </c>
    </row>
    <row r="105" spans="2:5" x14ac:dyDescent="0.25">
      <c r="B105" s="146" t="s">
        <v>43</v>
      </c>
      <c r="C105" s="221">
        <f>+'PP&amp;E-NFA'!C7</f>
        <v>43380554.088999994</v>
      </c>
      <c r="D105" s="421">
        <f>+'PP&amp;E-NFA'!D7</f>
        <v>39348120.833189815</v>
      </c>
      <c r="E105" s="221">
        <f>SUM(C105:D105)/2</f>
        <v>41364337.461094901</v>
      </c>
    </row>
    <row r="106" spans="2:5" x14ac:dyDescent="0.25">
      <c r="B106" s="6" t="s">
        <v>31</v>
      </c>
      <c r="C106" s="223">
        <f>SUM(C103:C105)</f>
        <v>436391621.259</v>
      </c>
      <c r="D106" s="223">
        <f>SUM(D103:D105)</f>
        <v>456480811.34893703</v>
      </c>
      <c r="E106" s="223">
        <f>SUM(E103:E105)</f>
        <v>446436216.30396849</v>
      </c>
    </row>
    <row r="109" spans="2:5" x14ac:dyDescent="0.25">
      <c r="B109" t="s">
        <v>402</v>
      </c>
    </row>
    <row r="111" spans="2:5" x14ac:dyDescent="0.25">
      <c r="B111" s="173"/>
      <c r="C111" s="472" t="s">
        <v>156</v>
      </c>
      <c r="D111" s="472"/>
      <c r="E111" s="472"/>
    </row>
    <row r="112" spans="2:5" ht="45.75" thickBot="1" x14ac:dyDescent="0.3">
      <c r="B112" s="148" t="s">
        <v>59</v>
      </c>
      <c r="C112" s="340" t="s">
        <v>200</v>
      </c>
      <c r="D112" s="340" t="s">
        <v>201</v>
      </c>
      <c r="E112" s="340" t="s">
        <v>31</v>
      </c>
    </row>
    <row r="113" spans="2:5" x14ac:dyDescent="0.25">
      <c r="B113" s="89" t="s">
        <v>19</v>
      </c>
      <c r="C113" s="271">
        <f>+'Net Income'!C20</f>
        <v>9593781.9199999999</v>
      </c>
      <c r="D113" s="271">
        <f>+'Net Income'!D20</f>
        <v>103901259.89742345</v>
      </c>
      <c r="E113" s="271">
        <f>SUM(C113:D113)</f>
        <v>113495041.81742345</v>
      </c>
    </row>
    <row r="114" spans="2:5" x14ac:dyDescent="0.25">
      <c r="B114" s="146" t="s">
        <v>22</v>
      </c>
      <c r="C114" s="271">
        <f>+'Net Income'!C21</f>
        <v>508612.49000000005</v>
      </c>
      <c r="D114" s="271">
        <f>+'Net Income'!D21</f>
        <v>4791551.3899999997</v>
      </c>
      <c r="E114" s="271">
        <f>SUM(C114:D114)</f>
        <v>5300163.88</v>
      </c>
    </row>
    <row r="115" spans="2:5" x14ac:dyDescent="0.25">
      <c r="B115" s="6" t="s">
        <v>17</v>
      </c>
      <c r="C115" s="274">
        <f>SUM(C113:C114)</f>
        <v>10102394.41</v>
      </c>
      <c r="D115" s="274">
        <f t="shared" ref="D115:E115" si="3">SUM(D113:D114)</f>
        <v>108692811.28742345</v>
      </c>
      <c r="E115" s="274">
        <f t="shared" si="3"/>
        <v>118795205.69742344</v>
      </c>
    </row>
    <row r="116" spans="2:5" x14ac:dyDescent="0.25">
      <c r="B116" s="146"/>
      <c r="C116" s="185"/>
      <c r="D116" s="185"/>
      <c r="E116" s="185"/>
    </row>
    <row r="117" spans="2:5" x14ac:dyDescent="0.25">
      <c r="B117" s="146" t="s">
        <v>9</v>
      </c>
      <c r="C117" s="115">
        <f>+'Net Income'!C24</f>
        <v>5266751.21</v>
      </c>
      <c r="D117" s="115">
        <f>+'Net Income'!D24</f>
        <v>61413715.423618436</v>
      </c>
      <c r="E117" s="271">
        <f>SUM(C117:D117)</f>
        <v>66680466.633618437</v>
      </c>
    </row>
    <row r="118" spans="2:5" x14ac:dyDescent="0.25">
      <c r="B118" s="146" t="s">
        <v>8</v>
      </c>
      <c r="C118" s="185">
        <f>+'Net Income'!C25</f>
        <v>1961455.1899999811</v>
      </c>
      <c r="D118" s="185">
        <f>+'Net Income'!D25</f>
        <v>21785668.491282508</v>
      </c>
      <c r="E118" s="271">
        <f>SUM(C118:D118)</f>
        <v>23747123.68128249</v>
      </c>
    </row>
    <row r="119" spans="2:5" x14ac:dyDescent="0.25">
      <c r="B119" s="6" t="s">
        <v>279</v>
      </c>
      <c r="C119" s="274">
        <f>+C115-SUM(C117:C118)</f>
        <v>2874188.0100000193</v>
      </c>
      <c r="D119" s="274">
        <f t="shared" ref="D119:E119" si="4">+D115-SUM(D117:D118)</f>
        <v>25493427.372522503</v>
      </c>
      <c r="E119" s="274">
        <f t="shared" si="4"/>
        <v>28367615.382522509</v>
      </c>
    </row>
    <row r="120" spans="2:5" x14ac:dyDescent="0.25">
      <c r="B120" s="146" t="s">
        <v>4</v>
      </c>
      <c r="C120" s="219">
        <f>+'Net Income'!C27</f>
        <v>30832.18371038001</v>
      </c>
      <c r="D120" s="219">
        <f>+'Net Income'!D27</f>
        <v>332191.91481506196</v>
      </c>
      <c r="E120" s="271">
        <f>SUM(C120:D120)</f>
        <v>363024.09852544195</v>
      </c>
    </row>
    <row r="121" spans="2:5" x14ac:dyDescent="0.25">
      <c r="B121" s="14" t="s">
        <v>5</v>
      </c>
      <c r="C121" s="219">
        <f>+'Net Income'!C28</f>
        <v>851361.00235381373</v>
      </c>
      <c r="D121" s="219">
        <f>+'Net Income'!D28</f>
        <v>9172728.2189088296</v>
      </c>
      <c r="E121" s="271">
        <f>SUM(C121:D121)</f>
        <v>10024089.221262643</v>
      </c>
    </row>
    <row r="122" spans="2:5" x14ac:dyDescent="0.25">
      <c r="B122" s="6" t="s">
        <v>61</v>
      </c>
      <c r="C122" s="274">
        <f>+C119-SUM(C120:C121)</f>
        <v>1991994.8239358256</v>
      </c>
      <c r="D122" s="274">
        <f t="shared" ref="D122:E122" si="5">+D119-SUM(D120:D121)</f>
        <v>15988507.238798611</v>
      </c>
      <c r="E122" s="274">
        <f t="shared" si="5"/>
        <v>17980502.062734425</v>
      </c>
    </row>
    <row r="123" spans="2:5" x14ac:dyDescent="0.25">
      <c r="B123" s="146" t="s">
        <v>10</v>
      </c>
      <c r="C123" s="219">
        <f>+'Net Income'!C30</f>
        <v>423562.09</v>
      </c>
      <c r="D123" s="219">
        <f>+'Net Income'!D30</f>
        <v>963843.24328163196</v>
      </c>
      <c r="E123" s="278">
        <f>SUM(C123:D123)</f>
        <v>1387405.333281632</v>
      </c>
    </row>
    <row r="124" spans="2:5" x14ac:dyDescent="0.25">
      <c r="B124" s="6" t="s">
        <v>56</v>
      </c>
      <c r="C124" s="274">
        <f>+C122-C123</f>
        <v>1568432.7339358255</v>
      </c>
      <c r="D124" s="279">
        <f t="shared" ref="D124:E124" si="6">+D122-D123</f>
        <v>15024663.995516978</v>
      </c>
      <c r="E124" s="279">
        <f t="shared" si="6"/>
        <v>16593096.729452793</v>
      </c>
    </row>
  </sheetData>
  <mergeCells count="3">
    <mergeCell ref="C29:E29"/>
    <mergeCell ref="F29:F30"/>
    <mergeCell ref="C111:E111"/>
  </mergeCells>
  <pageMargins left="0.7" right="0.7" top="0.75" bottom="0.75" header="0.3" footer="0.3"/>
  <pageSetup scale="88" orientation="portrait" r:id="rId1"/>
  <rowBreaks count="2" manualBreakCount="2">
    <brk id="46" max="16383" man="1"/>
    <brk id="8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5"/>
  <sheetViews>
    <sheetView zoomScaleNormal="100" workbookViewId="0">
      <selection activeCell="D22" sqref="D22"/>
    </sheetView>
  </sheetViews>
  <sheetFormatPr defaultRowHeight="15" x14ac:dyDescent="0.25"/>
  <cols>
    <col min="1" max="1" width="3.85546875" customWidth="1"/>
    <col min="2" max="2" width="17" customWidth="1"/>
    <col min="3" max="3" width="12.5703125" bestFit="1" customWidth="1"/>
    <col min="4" max="4" width="14.28515625" bestFit="1" customWidth="1"/>
    <col min="5" max="5" width="12.5703125" bestFit="1" customWidth="1"/>
    <col min="6" max="6" width="5.42578125" customWidth="1"/>
    <col min="7" max="7" width="13.28515625" bestFit="1" customWidth="1"/>
    <col min="8" max="8" width="11.5703125" bestFit="1" customWidth="1"/>
  </cols>
  <sheetData>
    <row r="1" spans="1:6" x14ac:dyDescent="0.25">
      <c r="A1" s="5" t="s">
        <v>170</v>
      </c>
    </row>
    <row r="2" spans="1:6" x14ac:dyDescent="0.25">
      <c r="A2" s="5" t="s">
        <v>122</v>
      </c>
    </row>
    <row r="4" spans="1:6" x14ac:dyDescent="0.25">
      <c r="A4" t="s">
        <v>102</v>
      </c>
    </row>
    <row r="6" spans="1:6" ht="30" x14ac:dyDescent="0.25">
      <c r="B6" s="215" t="s">
        <v>51</v>
      </c>
      <c r="C6" s="428" t="s">
        <v>29</v>
      </c>
      <c r="D6" s="199" t="s">
        <v>405</v>
      </c>
      <c r="E6" s="199" t="s">
        <v>31</v>
      </c>
      <c r="F6" s="33" t="s">
        <v>111</v>
      </c>
    </row>
    <row r="7" spans="1:6" x14ac:dyDescent="0.25">
      <c r="B7" s="14" t="s">
        <v>33</v>
      </c>
      <c r="C7" s="34">
        <v>508612.49000000005</v>
      </c>
      <c r="D7" s="34">
        <v>4791551.3899999997</v>
      </c>
      <c r="E7" s="24">
        <f t="shared" ref="E7" si="0">SUM(C7:D7)</f>
        <v>5300163.88</v>
      </c>
      <c r="F7" s="22">
        <v>1</v>
      </c>
    </row>
    <row r="8" spans="1:6" x14ac:dyDescent="0.25">
      <c r="B8" s="6" t="s">
        <v>31</v>
      </c>
      <c r="C8" s="68">
        <f>SUM(C7:C7)</f>
        <v>508612.49000000005</v>
      </c>
      <c r="D8" s="68">
        <f>SUM(D7:D7)</f>
        <v>4791551.3899999997</v>
      </c>
      <c r="E8" s="68">
        <f>SUM(E7:E7)</f>
        <v>5300163.88</v>
      </c>
    </row>
    <row r="9" spans="1:6" x14ac:dyDescent="0.25">
      <c r="B9" s="67"/>
    </row>
    <row r="13" spans="1:6" x14ac:dyDescent="0.25">
      <c r="A13" s="5" t="s">
        <v>25</v>
      </c>
    </row>
    <row r="14" spans="1:6" x14ac:dyDescent="0.25">
      <c r="A14">
        <v>1</v>
      </c>
      <c r="B14" s="30" t="s">
        <v>334</v>
      </c>
    </row>
    <row r="15" spans="1:6" s="257" customFormat="1" x14ac:dyDescent="0.25"/>
    <row r="16" spans="1:6" x14ac:dyDescent="0.25">
      <c r="B16" s="346" t="s">
        <v>335</v>
      </c>
    </row>
    <row r="17" spans="1:7" x14ac:dyDescent="0.25">
      <c r="A17" t="s">
        <v>116</v>
      </c>
      <c r="B17" s="8" t="s">
        <v>109</v>
      </c>
      <c r="C17" s="8"/>
      <c r="D17" s="8"/>
      <c r="E17" s="8"/>
      <c r="F17" s="8"/>
      <c r="G17" s="456">
        <v>627632.05000000005</v>
      </c>
    </row>
    <row r="18" spans="1:7" s="257" customFormat="1" x14ac:dyDescent="0.25">
      <c r="B18" s="444" t="s">
        <v>285</v>
      </c>
      <c r="C18" s="445"/>
      <c r="D18" s="445"/>
      <c r="E18" s="445"/>
      <c r="F18" s="445"/>
      <c r="G18" s="457">
        <f>'OM&amp;A'!$F$11</f>
        <v>-136030.39000000001</v>
      </c>
    </row>
    <row r="19" spans="1:7" x14ac:dyDescent="0.25">
      <c r="B19" s="76" t="s">
        <v>110</v>
      </c>
      <c r="C19" s="52"/>
      <c r="D19" s="52"/>
      <c r="E19" s="52"/>
      <c r="F19" s="52"/>
      <c r="G19" s="458">
        <f>37882.52-20871.69</f>
        <v>17010.829999999998</v>
      </c>
    </row>
    <row r="20" spans="1:7" ht="15.75" thickBot="1" x14ac:dyDescent="0.3">
      <c r="B20" s="347" t="s">
        <v>336</v>
      </c>
      <c r="C20" s="52"/>
      <c r="D20" s="52"/>
      <c r="E20" s="52"/>
      <c r="F20" s="52"/>
      <c r="G20" s="459">
        <f>SUM(G17:G19)</f>
        <v>508612.49000000005</v>
      </c>
    </row>
    <row r="21" spans="1:7" ht="15.75" thickTop="1" x14ac:dyDescent="0.25">
      <c r="G21" s="460"/>
    </row>
    <row r="22" spans="1:7" x14ac:dyDescent="0.25">
      <c r="B22" t="s">
        <v>214</v>
      </c>
      <c r="G22" s="461">
        <v>4422807</v>
      </c>
    </row>
    <row r="23" spans="1:7" x14ac:dyDescent="0.25">
      <c r="B23" s="76" t="s">
        <v>110</v>
      </c>
      <c r="G23" s="461">
        <f>-Deprec!G65</f>
        <v>368744.39</v>
      </c>
    </row>
    <row r="24" spans="1:7" ht="15.75" thickBot="1" x14ac:dyDescent="0.3">
      <c r="B24" s="347" t="s">
        <v>337</v>
      </c>
      <c r="G24" s="462">
        <f>SUM(G22:G23)</f>
        <v>4791551.3899999997</v>
      </c>
    </row>
    <row r="25" spans="1:7" ht="15.75" thickTop="1" x14ac:dyDescent="0.25"/>
  </sheetData>
  <pageMargins left="0.70866141732283472" right="0.70866141732283472" top="0.74803149606299213" bottom="0.74803149606299213" header="0.31496062992125984" footer="0.31496062992125984"/>
  <pageSetup orientation="portrait" r:id="rId1"/>
  <headerFooter>
    <oddFooter>&amp;L&amp;"Arial Narrow,Regular"&amp;8&amp;Z&amp;F&amp;R&amp;A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1"/>
  <sheetViews>
    <sheetView zoomScaleNormal="100" zoomScaleSheetLayoutView="75" workbookViewId="0">
      <selection activeCell="D22" sqref="D22"/>
    </sheetView>
  </sheetViews>
  <sheetFormatPr defaultRowHeight="15" x14ac:dyDescent="0.25"/>
  <cols>
    <col min="1" max="1" width="3.85546875" customWidth="1"/>
    <col min="2" max="2" width="17.42578125" customWidth="1"/>
    <col min="3" max="3" width="13.85546875" customWidth="1"/>
    <col min="4" max="4" width="11.140625" customWidth="1"/>
    <col min="5" max="5" width="21" customWidth="1"/>
    <col min="6" max="6" width="13.28515625" customWidth="1"/>
    <col min="7" max="7" width="16.28515625" bestFit="1" customWidth="1"/>
    <col min="8" max="8" width="8.140625" customWidth="1"/>
    <col min="10" max="10" width="12" bestFit="1" customWidth="1"/>
  </cols>
  <sheetData>
    <row r="1" spans="1:8" x14ac:dyDescent="0.25">
      <c r="A1" s="5" t="s">
        <v>170</v>
      </c>
    </row>
    <row r="2" spans="1:8" x14ac:dyDescent="0.25">
      <c r="A2" s="5" t="s">
        <v>173</v>
      </c>
    </row>
    <row r="3" spans="1:8" x14ac:dyDescent="0.25">
      <c r="B3" s="5"/>
      <c r="C3" s="29"/>
      <c r="D3" s="29"/>
      <c r="E3" s="29"/>
      <c r="F3" s="29"/>
    </row>
    <row r="4" spans="1:8" x14ac:dyDescent="0.25">
      <c r="A4" s="5" t="s">
        <v>163</v>
      </c>
      <c r="G4" s="33" t="s">
        <v>25</v>
      </c>
    </row>
    <row r="5" spans="1:8" x14ac:dyDescent="0.25">
      <c r="B5" t="s">
        <v>157</v>
      </c>
      <c r="F5" s="66">
        <f>+F13</f>
        <v>5266751.21</v>
      </c>
      <c r="G5" s="25" t="s">
        <v>106</v>
      </c>
    </row>
    <row r="6" spans="1:8" x14ac:dyDescent="0.25">
      <c r="B6" s="238" t="s">
        <v>159</v>
      </c>
      <c r="C6" s="238"/>
      <c r="D6" s="238"/>
      <c r="E6" s="238"/>
      <c r="F6" s="466">
        <f>+F38</f>
        <v>61413715.423618436</v>
      </c>
      <c r="G6" s="25" t="s">
        <v>107</v>
      </c>
    </row>
    <row r="7" spans="1:8" ht="15.75" thickBot="1" x14ac:dyDescent="0.3">
      <c r="B7" t="s">
        <v>164</v>
      </c>
      <c r="F7" s="77">
        <f>SUM(F5:F6)</f>
        <v>66680466.633618437</v>
      </c>
      <c r="G7" s="25"/>
    </row>
    <row r="8" spans="1:8" ht="15.75" thickTop="1" x14ac:dyDescent="0.25">
      <c r="F8" s="25"/>
    </row>
    <row r="9" spans="1:8" x14ac:dyDescent="0.25">
      <c r="A9" s="5" t="s">
        <v>25</v>
      </c>
    </row>
    <row r="10" spans="1:8" x14ac:dyDescent="0.25">
      <c r="A10" s="25" t="s">
        <v>21</v>
      </c>
      <c r="B10" t="s">
        <v>112</v>
      </c>
      <c r="F10" s="119">
        <v>5885673.5999999996</v>
      </c>
    </row>
    <row r="11" spans="1:8" x14ac:dyDescent="0.25">
      <c r="A11" s="25"/>
      <c r="B11" s="446" t="s">
        <v>323</v>
      </c>
      <c r="F11" s="91">
        <v>-136030.39000000001</v>
      </c>
    </row>
    <row r="12" spans="1:8" x14ac:dyDescent="0.25">
      <c r="A12" s="25"/>
      <c r="B12" s="51" t="s">
        <v>158</v>
      </c>
      <c r="F12" s="91">
        <v>-482892</v>
      </c>
    </row>
    <row r="13" spans="1:8" ht="15.75" thickBot="1" x14ac:dyDescent="0.3">
      <c r="A13" s="25"/>
      <c r="B13" s="51" t="s">
        <v>113</v>
      </c>
      <c r="F13" s="77">
        <f>SUM(F10:F12)</f>
        <v>5266751.21</v>
      </c>
    </row>
    <row r="14" spans="1:8" ht="7.5" customHeight="1" thickTop="1" x14ac:dyDescent="0.25">
      <c r="A14" s="25"/>
      <c r="B14" s="51"/>
      <c r="F14" s="93"/>
    </row>
    <row r="15" spans="1:8" x14ac:dyDescent="0.25">
      <c r="A15" s="25" t="s">
        <v>69</v>
      </c>
      <c r="B15" t="s">
        <v>160</v>
      </c>
      <c r="G15" s="480"/>
      <c r="H15" s="480"/>
    </row>
    <row r="16" spans="1:8" x14ac:dyDescent="0.25">
      <c r="A16" s="25"/>
      <c r="B16" s="173" t="s">
        <v>213</v>
      </c>
      <c r="C16" s="173"/>
      <c r="D16" s="173"/>
      <c r="E16" s="173"/>
      <c r="F16" s="200" t="s">
        <v>161</v>
      </c>
      <c r="G16" s="480"/>
      <c r="H16" s="480"/>
    </row>
    <row r="17" spans="1:8" x14ac:dyDescent="0.25">
      <c r="A17" s="25"/>
      <c r="B17" s="205" t="s">
        <v>270</v>
      </c>
      <c r="C17" s="206"/>
      <c r="D17" s="206"/>
      <c r="E17" s="201"/>
      <c r="F17" s="24">
        <f>+'IS by RZ'!C13</f>
        <v>233507348.76337901</v>
      </c>
      <c r="G17" s="69"/>
      <c r="H17" s="238"/>
    </row>
    <row r="18" spans="1:8" s="257" customFormat="1" x14ac:dyDescent="0.25">
      <c r="A18" s="25"/>
      <c r="B18" s="154" t="s">
        <v>277</v>
      </c>
      <c r="C18" s="207"/>
      <c r="D18" s="207"/>
      <c r="E18" s="202"/>
      <c r="F18" s="175">
        <f>-Merger!C10</f>
        <v>-2032671</v>
      </c>
      <c r="G18" s="54"/>
      <c r="H18" s="238"/>
    </row>
    <row r="19" spans="1:8" s="257" customFormat="1" x14ac:dyDescent="0.25">
      <c r="A19" s="25"/>
      <c r="B19" s="208" t="s">
        <v>222</v>
      </c>
      <c r="C19" s="209"/>
      <c r="D19" s="209"/>
      <c r="E19" s="204"/>
      <c r="F19" s="10">
        <f>SUM(F17:F18)</f>
        <v>231474677.76337901</v>
      </c>
      <c r="G19" s="69"/>
      <c r="H19" s="238"/>
    </row>
    <row r="20" spans="1:8" x14ac:dyDescent="0.25">
      <c r="A20" s="25"/>
      <c r="B20" s="296" t="s">
        <v>291</v>
      </c>
      <c r="C20" s="297"/>
      <c r="D20" s="297"/>
      <c r="E20" s="244"/>
      <c r="F20" s="275">
        <v>-2403000</v>
      </c>
      <c r="G20" s="238"/>
      <c r="H20" s="238"/>
    </row>
    <row r="21" spans="1:8" x14ac:dyDescent="0.25">
      <c r="A21" s="25"/>
      <c r="B21" s="299" t="s">
        <v>292</v>
      </c>
      <c r="C21" s="300"/>
      <c r="D21" s="300"/>
      <c r="E21" s="243"/>
      <c r="F21" s="275">
        <v>-1153000</v>
      </c>
      <c r="G21" s="238"/>
      <c r="H21" s="238"/>
    </row>
    <row r="22" spans="1:8" s="257" customFormat="1" x14ac:dyDescent="0.25">
      <c r="A22" s="25"/>
      <c r="B22" s="302" t="s">
        <v>293</v>
      </c>
      <c r="C22" s="300"/>
      <c r="D22" s="300"/>
      <c r="E22" s="301"/>
      <c r="F22" s="275">
        <f>SUM(F19:F21)</f>
        <v>227918677.76337901</v>
      </c>
      <c r="G22" s="69"/>
      <c r="H22" s="238"/>
    </row>
    <row r="23" spans="1:8" s="257" customFormat="1" x14ac:dyDescent="0.25">
      <c r="A23" s="25"/>
      <c r="B23" s="225"/>
      <c r="C23" s="225"/>
      <c r="D23" s="225"/>
      <c r="E23" s="228"/>
      <c r="F23" s="298"/>
    </row>
    <row r="24" spans="1:8" x14ac:dyDescent="0.25">
      <c r="A24" s="25"/>
      <c r="B24" s="305" t="s">
        <v>296</v>
      </c>
      <c r="C24" s="5"/>
      <c r="D24" s="5"/>
      <c r="E24" s="5"/>
      <c r="F24" s="12"/>
      <c r="G24" s="12"/>
    </row>
    <row r="25" spans="1:8" ht="30" x14ac:dyDescent="0.25">
      <c r="A25" s="25"/>
      <c r="B25" s="191" t="s">
        <v>51</v>
      </c>
      <c r="C25" s="199" t="s">
        <v>162</v>
      </c>
      <c r="D25" s="199" t="s">
        <v>67</v>
      </c>
      <c r="E25" s="198" t="s">
        <v>223</v>
      </c>
      <c r="F25" s="303" t="s">
        <v>294</v>
      </c>
      <c r="G25" s="303" t="s">
        <v>295</v>
      </c>
    </row>
    <row r="26" spans="1:8" x14ac:dyDescent="0.25">
      <c r="A26" s="25"/>
      <c r="B26" s="26" t="s">
        <v>30</v>
      </c>
      <c r="C26" s="210"/>
      <c r="D26" s="35">
        <f>+Allocations!D12</f>
        <v>0.12531301749769239</v>
      </c>
      <c r="E26" s="34">
        <f>+$C$30*$D26</f>
        <v>28561177.254613224</v>
      </c>
      <c r="F26" s="175"/>
      <c r="G26" s="24">
        <f>SUM(E26:F26)</f>
        <v>28561177.254613224</v>
      </c>
    </row>
    <row r="27" spans="1:8" x14ac:dyDescent="0.25">
      <c r="A27" s="25"/>
      <c r="B27" s="26" t="s">
        <v>32</v>
      </c>
      <c r="C27" s="210"/>
      <c r="D27" s="35">
        <f>+Allocations!B12</f>
        <v>0.24243076750377307</v>
      </c>
      <c r="E27" s="34">
        <f>+$C$30*$D27</f>
        <v>55254499.97862111</v>
      </c>
      <c r="F27" s="175">
        <f>-F21</f>
        <v>1153000</v>
      </c>
      <c r="G27" s="24">
        <f t="shared" ref="G27:G30" si="0">SUM(E27:F27)</f>
        <v>56407499.97862111</v>
      </c>
    </row>
    <row r="28" spans="1:8" x14ac:dyDescent="0.25">
      <c r="A28" s="25"/>
      <c r="B28" s="26" t="s">
        <v>33</v>
      </c>
      <c r="C28" s="210"/>
      <c r="D28" s="35">
        <f>+Allocations!C12</f>
        <v>0.24576830198081603</v>
      </c>
      <c r="E28" s="34">
        <f>+$C$30*$D28</f>
        <v>56015186.423618436</v>
      </c>
      <c r="F28" s="146"/>
      <c r="G28" s="24">
        <f t="shared" si="0"/>
        <v>56015186.423618436</v>
      </c>
    </row>
    <row r="29" spans="1:8" x14ac:dyDescent="0.25">
      <c r="A29" s="25"/>
      <c r="B29" s="26" t="s">
        <v>34</v>
      </c>
      <c r="C29" s="210"/>
      <c r="D29" s="35">
        <f>+Allocations!E12</f>
        <v>0.38648791301771851</v>
      </c>
      <c r="E29" s="34">
        <f>+$C$30*$D29</f>
        <v>88087814.106526241</v>
      </c>
      <c r="F29" s="175">
        <f>-F20</f>
        <v>2403000</v>
      </c>
      <c r="G29" s="24">
        <f t="shared" si="0"/>
        <v>90490814.106526241</v>
      </c>
    </row>
    <row r="30" spans="1:8" x14ac:dyDescent="0.25">
      <c r="A30" s="25"/>
      <c r="B30" s="26" t="s">
        <v>50</v>
      </c>
      <c r="C30" s="34">
        <f>+F22</f>
        <v>227918677.76337901</v>
      </c>
      <c r="D30" s="35"/>
      <c r="E30" s="34"/>
      <c r="F30" s="146"/>
      <c r="G30" s="24">
        <f t="shared" si="0"/>
        <v>0</v>
      </c>
    </row>
    <row r="31" spans="1:8" x14ac:dyDescent="0.25">
      <c r="A31" s="25"/>
      <c r="B31" s="39" t="s">
        <v>31</v>
      </c>
      <c r="C31" s="116">
        <f t="shared" ref="C31" si="1">SUM(C26:C30)</f>
        <v>227918677.76337901</v>
      </c>
      <c r="D31" s="117">
        <f>SUM(D26:D30)</f>
        <v>1</v>
      </c>
      <c r="E31" s="116">
        <f t="shared" ref="E31" si="2">SUM(E26:E30)</f>
        <v>227918677.76337904</v>
      </c>
      <c r="F31" s="304">
        <f>SUM(F26:F30)</f>
        <v>3556000</v>
      </c>
      <c r="G31" s="304">
        <f>SUM(G26:G30)</f>
        <v>231474677.76337904</v>
      </c>
    </row>
    <row r="32" spans="1:8" x14ac:dyDescent="0.25">
      <c r="A32" s="25"/>
      <c r="B32" s="30" t="s">
        <v>165</v>
      </c>
      <c r="C32" s="5"/>
      <c r="D32" s="5"/>
      <c r="E32" s="12"/>
      <c r="G32" s="12"/>
    </row>
    <row r="33" spans="1:7" x14ac:dyDescent="0.25">
      <c r="A33" s="25"/>
      <c r="C33" s="5"/>
      <c r="D33" s="5"/>
      <c r="E33" s="12"/>
      <c r="G33" s="12"/>
    </row>
    <row r="34" spans="1:7" x14ac:dyDescent="0.25">
      <c r="A34" s="25"/>
      <c r="B34" s="5" t="s">
        <v>167</v>
      </c>
      <c r="G34" s="120"/>
    </row>
    <row r="35" spans="1:7" ht="6.75" customHeight="1" x14ac:dyDescent="0.25">
      <c r="A35" s="25"/>
    </row>
    <row r="36" spans="1:7" x14ac:dyDescent="0.25">
      <c r="A36" s="25"/>
      <c r="B36" t="s">
        <v>168</v>
      </c>
      <c r="F36" s="120">
        <f>+E28</f>
        <v>56015186.423618436</v>
      </c>
    </row>
    <row r="37" spans="1:7" x14ac:dyDescent="0.25">
      <c r="A37" s="22"/>
      <c r="B37" s="449" t="s">
        <v>412</v>
      </c>
      <c r="C37" s="449"/>
      <c r="D37" s="449"/>
      <c r="E37" s="449"/>
      <c r="F37" s="429">
        <f>-(Allocations!C6/12*11)</f>
        <v>5398528.9999999991</v>
      </c>
      <c r="G37" s="51"/>
    </row>
    <row r="38" spans="1:7" ht="15.75" thickBot="1" x14ac:dyDescent="0.3">
      <c r="A38" s="22"/>
      <c r="B38" t="s">
        <v>169</v>
      </c>
      <c r="F38" s="72">
        <f>SUM(F36:F37)</f>
        <v>61413715.423618436</v>
      </c>
    </row>
    <row r="39" spans="1:7" ht="15.75" thickTop="1" x14ac:dyDescent="0.25">
      <c r="A39" s="22"/>
      <c r="C39" s="51"/>
    </row>
    <row r="40" spans="1:7" x14ac:dyDescent="0.25">
      <c r="A40" s="450" t="s">
        <v>25</v>
      </c>
      <c r="B40" s="257"/>
    </row>
    <row r="41" spans="1:7" x14ac:dyDescent="0.25">
      <c r="A41" s="25" t="s">
        <v>69</v>
      </c>
      <c r="B41" s="257" t="s">
        <v>417</v>
      </c>
    </row>
  </sheetData>
  <mergeCells count="1">
    <mergeCell ref="G15:H16"/>
  </mergeCells>
  <pageMargins left="0.51181102362204722" right="0.11811023622047245" top="0.35433070866141736" bottom="0.35433070866141736" header="0.31496062992125984" footer="0.11811023622047245"/>
  <pageSetup scale="95" orientation="portrait" r:id="rId1"/>
  <headerFooter>
    <oddHeader>&amp;R&amp;D &amp;T</oddHeader>
    <oddFooter xml:space="preserve">&amp;L&amp;"Arial Narrow,Regular"&amp;8&amp;Z&amp;F&amp;R&amp;A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6"/>
  <sheetViews>
    <sheetView zoomScaleNormal="100" zoomScaleSheetLayoutView="85" workbookViewId="0">
      <selection activeCell="D22" sqref="D22"/>
    </sheetView>
  </sheetViews>
  <sheetFormatPr defaultRowHeight="15" x14ac:dyDescent="0.25"/>
  <cols>
    <col min="1" max="1" width="3.85546875" customWidth="1"/>
    <col min="2" max="2" width="29" customWidth="1"/>
    <col min="3" max="4" width="13.140625" customWidth="1"/>
    <col min="5" max="5" width="15.7109375" customWidth="1"/>
    <col min="6" max="6" width="13.140625" customWidth="1"/>
    <col min="7" max="7" width="15" bestFit="1" customWidth="1"/>
    <col min="8" max="8" width="14.85546875" customWidth="1"/>
  </cols>
  <sheetData>
    <row r="1" spans="1:8" x14ac:dyDescent="0.25">
      <c r="A1" s="5" t="s">
        <v>170</v>
      </c>
      <c r="C1" s="22"/>
      <c r="D1" s="22"/>
      <c r="E1" s="22"/>
    </row>
    <row r="2" spans="1:8" x14ac:dyDescent="0.25">
      <c r="A2" s="5" t="s">
        <v>98</v>
      </c>
      <c r="C2" s="22"/>
      <c r="D2" s="22"/>
      <c r="E2" s="56"/>
      <c r="F2" s="56"/>
    </row>
    <row r="3" spans="1:8" x14ac:dyDescent="0.25">
      <c r="C3" s="22"/>
      <c r="D3" s="22"/>
      <c r="G3" s="22"/>
    </row>
    <row r="4" spans="1:8" ht="30" x14ac:dyDescent="0.25">
      <c r="B4" s="191" t="s">
        <v>47</v>
      </c>
      <c r="C4" s="198" t="s">
        <v>101</v>
      </c>
      <c r="D4" s="198" t="s">
        <v>91</v>
      </c>
      <c r="E4" s="161" t="s">
        <v>92</v>
      </c>
      <c r="F4" s="23" t="s">
        <v>25</v>
      </c>
      <c r="G4" s="104"/>
    </row>
    <row r="5" spans="1:8" ht="18" customHeight="1" x14ac:dyDescent="0.25">
      <c r="B5" s="2" t="s">
        <v>42</v>
      </c>
      <c r="C5" s="327">
        <v>1306459.975071585</v>
      </c>
      <c r="D5" s="327">
        <v>13924860.809999997</v>
      </c>
      <c r="E5" s="246">
        <f>SUM(C5:D5)</f>
        <v>15231320.785071582</v>
      </c>
      <c r="F5" s="25"/>
      <c r="G5" s="336"/>
    </row>
    <row r="6" spans="1:8" s="257" customFormat="1" ht="18" customHeight="1" x14ac:dyDescent="0.25">
      <c r="B6" s="299" t="s">
        <v>413</v>
      </c>
      <c r="C6" s="463"/>
      <c r="D6" s="464">
        <v>-134963.23574999999</v>
      </c>
      <c r="E6" s="328">
        <f>D6</f>
        <v>-134963.23574999999</v>
      </c>
      <c r="F6" s="465" t="s">
        <v>106</v>
      </c>
      <c r="G6" s="336"/>
    </row>
    <row r="7" spans="1:8" x14ac:dyDescent="0.25">
      <c r="B7" s="2" t="s">
        <v>43</v>
      </c>
      <c r="C7" s="327">
        <v>589824.61492839595</v>
      </c>
      <c r="D7" s="327">
        <f>+D20</f>
        <v>6431098.5270325085</v>
      </c>
      <c r="E7" s="328">
        <f>SUM(C7:D7)</f>
        <v>7020923.141960904</v>
      </c>
      <c r="F7" s="25" t="s">
        <v>107</v>
      </c>
      <c r="G7" s="336"/>
    </row>
    <row r="8" spans="1:8" x14ac:dyDescent="0.25">
      <c r="B8" s="6" t="s">
        <v>269</v>
      </c>
      <c r="C8" s="329">
        <f>SUM(C5:C7)</f>
        <v>1896284.589999981</v>
      </c>
      <c r="D8" s="329">
        <f>SUM(D5:D7)</f>
        <v>20220996.101282507</v>
      </c>
      <c r="E8" s="329">
        <f>SUM(E5:E7)</f>
        <v>22117280.691282485</v>
      </c>
      <c r="F8" s="25"/>
      <c r="G8" s="337"/>
    </row>
    <row r="9" spans="1:8" x14ac:dyDescent="0.25">
      <c r="B9" s="2" t="s">
        <v>108</v>
      </c>
      <c r="C9" s="327">
        <v>65170.6</v>
      </c>
      <c r="D9" s="253">
        <v>1564672.3900000001</v>
      </c>
      <c r="E9" s="246">
        <f>SUM(C9:D9)</f>
        <v>1629842.9900000002</v>
      </c>
      <c r="F9" s="74" t="s">
        <v>180</v>
      </c>
      <c r="G9" s="225"/>
    </row>
    <row r="10" spans="1:8" x14ac:dyDescent="0.25">
      <c r="B10" s="6" t="s">
        <v>31</v>
      </c>
      <c r="C10" s="330">
        <f>+C8+C9</f>
        <v>1961455.1899999811</v>
      </c>
      <c r="D10" s="330">
        <f t="shared" ref="D10:E10" si="0">+D8+D9</f>
        <v>21785668.491282508</v>
      </c>
      <c r="E10" s="330">
        <f t="shared" si="0"/>
        <v>23747123.681282483</v>
      </c>
      <c r="F10" s="25"/>
      <c r="G10" s="266"/>
    </row>
    <row r="11" spans="1:8" x14ac:dyDescent="0.25">
      <c r="B11" s="225"/>
      <c r="G11" s="225"/>
      <c r="H11" s="25"/>
    </row>
    <row r="12" spans="1:8" s="257" customFormat="1" x14ac:dyDescent="0.25">
      <c r="A12" s="5" t="s">
        <v>70</v>
      </c>
      <c r="B12" s="225"/>
      <c r="G12" s="225"/>
      <c r="H12" s="25"/>
    </row>
    <row r="13" spans="1:8" s="257" customFormat="1" x14ac:dyDescent="0.25">
      <c r="A13" s="25" t="s">
        <v>21</v>
      </c>
      <c r="B13" s="257" t="s">
        <v>418</v>
      </c>
      <c r="G13" s="225"/>
      <c r="H13" s="25"/>
    </row>
    <row r="14" spans="1:8" s="257" customFormat="1" x14ac:dyDescent="0.25">
      <c r="B14" s="225"/>
      <c r="G14" s="225"/>
      <c r="H14" s="25"/>
    </row>
    <row r="15" spans="1:8" x14ac:dyDescent="0.25">
      <c r="B15" s="5" t="s">
        <v>71</v>
      </c>
      <c r="C15" s="22"/>
      <c r="D15" s="22"/>
      <c r="G15" s="51"/>
    </row>
    <row r="16" spans="1:8" x14ac:dyDescent="0.25">
      <c r="B16" s="62" t="s">
        <v>188</v>
      </c>
      <c r="C16" s="62"/>
      <c r="D16" s="62"/>
      <c r="E16" s="8"/>
      <c r="G16" s="51"/>
    </row>
    <row r="17" spans="2:7" x14ac:dyDescent="0.25">
      <c r="B17" s="8"/>
      <c r="C17" s="61"/>
      <c r="D17" s="52"/>
      <c r="E17" s="59"/>
      <c r="F17" s="59"/>
      <c r="G17" s="51"/>
    </row>
    <row r="18" spans="2:7" ht="45" x14ac:dyDescent="0.25">
      <c r="B18" s="64" t="s">
        <v>43</v>
      </c>
      <c r="C18" s="84" t="s">
        <v>115</v>
      </c>
      <c r="D18" s="335" t="s">
        <v>189</v>
      </c>
      <c r="E18" s="256"/>
      <c r="F18" s="256"/>
    </row>
    <row r="19" spans="2:7" ht="17.25" x14ac:dyDescent="0.25">
      <c r="B19" s="6" t="s">
        <v>68</v>
      </c>
      <c r="C19" s="58" t="s">
        <v>48</v>
      </c>
      <c r="D19" s="53" t="s">
        <v>187</v>
      </c>
    </row>
    <row r="20" spans="2:7" x14ac:dyDescent="0.25">
      <c r="B20" s="2" t="s">
        <v>33</v>
      </c>
      <c r="C20" s="122">
        <v>7006612.2400000002</v>
      </c>
      <c r="D20" s="24">
        <f>+$E$57*D28</f>
        <v>6431098.5270325085</v>
      </c>
    </row>
    <row r="21" spans="2:7" x14ac:dyDescent="0.25">
      <c r="B21" s="2" t="s">
        <v>32</v>
      </c>
      <c r="C21" s="60">
        <v>7487109.8600000003</v>
      </c>
      <c r="D21" s="24">
        <f>+$E$57*D29</f>
        <v>6872128.7182829138</v>
      </c>
    </row>
    <row r="22" spans="2:7" x14ac:dyDescent="0.25">
      <c r="B22" s="2" t="s">
        <v>30</v>
      </c>
      <c r="C22" s="60">
        <v>2184969.41</v>
      </c>
      <c r="D22" s="24">
        <f>+$E$57*D30</f>
        <v>2005498.9591178074</v>
      </c>
    </row>
    <row r="23" spans="2:7" x14ac:dyDescent="0.25">
      <c r="B23" s="2" t="s">
        <v>34</v>
      </c>
      <c r="C23" s="44">
        <v>15019618.950000001</v>
      </c>
      <c r="D23" s="24">
        <f>+$E$57*D31</f>
        <v>13785927.634827208</v>
      </c>
    </row>
    <row r="24" spans="2:7" x14ac:dyDescent="0.25">
      <c r="B24" s="6" t="s">
        <v>31</v>
      </c>
      <c r="C24" s="45">
        <f>SUM(C20:C23)</f>
        <v>31698310.460000001</v>
      </c>
      <c r="D24" s="45">
        <f>SUM(D20:D23)</f>
        <v>29094653.839260437</v>
      </c>
    </row>
    <row r="26" spans="2:7" ht="15" customHeight="1" x14ac:dyDescent="0.25">
      <c r="B26" s="211" t="s">
        <v>43</v>
      </c>
      <c r="C26" s="198" t="s">
        <v>115</v>
      </c>
      <c r="D26" s="198" t="s">
        <v>119</v>
      </c>
      <c r="E26" s="255" t="s">
        <v>189</v>
      </c>
      <c r="F26" s="256"/>
    </row>
    <row r="27" spans="2:7" ht="15.75" thickBot="1" x14ac:dyDescent="0.3">
      <c r="B27" s="212" t="s">
        <v>68</v>
      </c>
      <c r="C27" s="213" t="s">
        <v>48</v>
      </c>
      <c r="D27" s="161" t="s">
        <v>49</v>
      </c>
      <c r="E27" s="163" t="s">
        <v>161</v>
      </c>
      <c r="F27" s="23" t="s">
        <v>25</v>
      </c>
    </row>
    <row r="28" spans="2:7" x14ac:dyDescent="0.25">
      <c r="B28" s="14" t="s">
        <v>33</v>
      </c>
      <c r="C28" s="122">
        <v>7006612.2400000002</v>
      </c>
      <c r="D28" s="63">
        <f>+C20/$C$24</f>
        <v>0.22104055826071936</v>
      </c>
      <c r="E28" s="90">
        <f>+$E$57*D28</f>
        <v>6431098.5270325085</v>
      </c>
    </row>
    <row r="29" spans="2:7" x14ac:dyDescent="0.25">
      <c r="B29" s="2" t="s">
        <v>32</v>
      </c>
      <c r="C29" s="60">
        <v>7487109.8600000003</v>
      </c>
      <c r="D29" s="63">
        <f>+C21/$C$24</f>
        <v>0.23619901980100677</v>
      </c>
      <c r="E29" s="65">
        <f>+$E$57*D29</f>
        <v>6872128.7182829138</v>
      </c>
    </row>
    <row r="30" spans="2:7" x14ac:dyDescent="0.25">
      <c r="B30" s="2" t="s">
        <v>30</v>
      </c>
      <c r="C30" s="60">
        <v>2184969.41</v>
      </c>
      <c r="D30" s="63">
        <f>+C22/$C$24</f>
        <v>6.8930153635702637E-2</v>
      </c>
      <c r="E30" s="65">
        <f>+$E$57*D30</f>
        <v>2005498.9591178074</v>
      </c>
    </row>
    <row r="31" spans="2:7" x14ac:dyDescent="0.25">
      <c r="B31" s="2" t="s">
        <v>34</v>
      </c>
      <c r="C31" s="44">
        <v>15019618.950000001</v>
      </c>
      <c r="D31" s="63">
        <f>+C23/$C$24</f>
        <v>0.47383026830257124</v>
      </c>
      <c r="E31" s="65">
        <f>+$E$57*D31</f>
        <v>13785927.634827208</v>
      </c>
    </row>
    <row r="32" spans="2:7" x14ac:dyDescent="0.25">
      <c r="B32" s="6" t="s">
        <v>31</v>
      </c>
      <c r="C32" s="45">
        <f>SUM(C28:C31)</f>
        <v>31698310.460000001</v>
      </c>
      <c r="D32" s="63">
        <f>SUM(D28:D31)</f>
        <v>1</v>
      </c>
      <c r="E32" s="65">
        <f>+$E$57*D32</f>
        <v>29094653.839260437</v>
      </c>
    </row>
    <row r="34" spans="1:9" x14ac:dyDescent="0.25">
      <c r="A34" s="5" t="s">
        <v>70</v>
      </c>
    </row>
    <row r="35" spans="1:9" x14ac:dyDescent="0.25">
      <c r="A35" s="25" t="s">
        <v>69</v>
      </c>
      <c r="B35" t="s">
        <v>247</v>
      </c>
    </row>
    <row r="36" spans="1:9" x14ac:dyDescent="0.25">
      <c r="A36" s="25"/>
      <c r="B36" s="11" t="s">
        <v>325</v>
      </c>
      <c r="C36" s="481" t="s">
        <v>140</v>
      </c>
      <c r="D36" s="482"/>
      <c r="E36" s="482"/>
      <c r="F36" s="483"/>
      <c r="G36" s="51"/>
    </row>
    <row r="37" spans="1:9" x14ac:dyDescent="0.25">
      <c r="A37" s="25"/>
      <c r="B37" s="39" t="s">
        <v>43</v>
      </c>
      <c r="C37" s="261" t="s">
        <v>141</v>
      </c>
      <c r="D37" s="262" t="s">
        <v>143</v>
      </c>
      <c r="E37" s="261" t="s">
        <v>142</v>
      </c>
      <c r="F37" s="262" t="s">
        <v>146</v>
      </c>
      <c r="G37" s="261" t="s">
        <v>147</v>
      </c>
      <c r="H37" s="264" t="s">
        <v>8</v>
      </c>
    </row>
    <row r="38" spans="1:9" x14ac:dyDescent="0.25">
      <c r="A38" s="25"/>
      <c r="B38" s="14" t="s">
        <v>33</v>
      </c>
      <c r="C38" s="100">
        <v>84352174.858999997</v>
      </c>
      <c r="D38" s="100">
        <f>+E38-C38</f>
        <v>-3469414.1299999654</v>
      </c>
      <c r="E38" s="100">
        <v>80882760.729000032</v>
      </c>
      <c r="F38" s="100">
        <f>-D38/2</f>
        <v>1734707.0649999827</v>
      </c>
      <c r="G38" s="100">
        <f>SUM(E38:F38)</f>
        <v>82617467.794000015</v>
      </c>
      <c r="H38" s="101">
        <v>6112254.8399999999</v>
      </c>
      <c r="I38" s="98"/>
    </row>
    <row r="39" spans="1:9" x14ac:dyDescent="0.25">
      <c r="A39" s="25"/>
      <c r="B39" s="2" t="s">
        <v>32</v>
      </c>
      <c r="C39" s="100">
        <v>93300044.016979784</v>
      </c>
      <c r="D39" s="100">
        <f t="shared" ref="D39:D41" si="1">+E39-C39</f>
        <v>-278586.46053087711</v>
      </c>
      <c r="E39" s="100">
        <v>93021457.556448907</v>
      </c>
      <c r="F39" s="100">
        <f>-D39/2</f>
        <v>139293.23026543856</v>
      </c>
      <c r="G39" s="100">
        <f>SUM(E39:F39)</f>
        <v>93160750.786714345</v>
      </c>
      <c r="H39" s="101">
        <v>7336315.6689192513</v>
      </c>
      <c r="I39" s="98"/>
    </row>
    <row r="40" spans="1:9" ht="15.75" customHeight="1" x14ac:dyDescent="0.25">
      <c r="B40" s="2" t="s">
        <v>30</v>
      </c>
      <c r="C40" s="100">
        <v>19574859.84</v>
      </c>
      <c r="D40" s="100">
        <f t="shared" si="1"/>
        <v>-91923.670000001788</v>
      </c>
      <c r="E40" s="100">
        <v>19482936.169999998</v>
      </c>
      <c r="F40" s="100">
        <f>-D40/2</f>
        <v>45961.835000000894</v>
      </c>
      <c r="G40" s="100">
        <f>SUM(E40:F40)</f>
        <v>19528898.004999999</v>
      </c>
      <c r="H40" s="101">
        <v>1919631.21</v>
      </c>
      <c r="I40" s="98"/>
    </row>
    <row r="41" spans="1:9" x14ac:dyDescent="0.25">
      <c r="B41" s="2" t="s">
        <v>34</v>
      </c>
      <c r="C41" s="100">
        <v>196996488.84000003</v>
      </c>
      <c r="D41" s="100">
        <f t="shared" si="1"/>
        <v>-111763.66999998689</v>
      </c>
      <c r="E41" s="100">
        <v>196884725.17000005</v>
      </c>
      <c r="F41" s="100">
        <f>-D41/2</f>
        <v>55881.834999993443</v>
      </c>
      <c r="G41" s="100">
        <f>SUM(E41:F41)</f>
        <v>196940607.00500005</v>
      </c>
      <c r="H41" s="101">
        <v>13692291.709999999</v>
      </c>
      <c r="I41" s="98"/>
    </row>
    <row r="42" spans="1:9" x14ac:dyDescent="0.25">
      <c r="B42" s="32" t="s">
        <v>31</v>
      </c>
      <c r="C42" s="94">
        <f>SUM(C38:C41)</f>
        <v>394223567.55597985</v>
      </c>
      <c r="D42" s="94">
        <f t="shared" ref="D42:H42" si="2">SUM(D38:D41)</f>
        <v>-3951687.9305308312</v>
      </c>
      <c r="E42" s="94">
        <f t="shared" si="2"/>
        <v>390271879.62544894</v>
      </c>
      <c r="F42" s="94">
        <f t="shared" si="2"/>
        <v>1975843.9652654156</v>
      </c>
      <c r="G42" s="94">
        <f t="shared" si="2"/>
        <v>392247723.5907144</v>
      </c>
      <c r="H42" s="85">
        <f t="shared" si="2"/>
        <v>29060493.428919248</v>
      </c>
      <c r="I42" s="98"/>
    </row>
    <row r="43" spans="1:9" x14ac:dyDescent="0.25">
      <c r="B43" s="39" t="s">
        <v>148</v>
      </c>
      <c r="C43" s="96"/>
      <c r="D43" s="97"/>
      <c r="E43" s="97"/>
      <c r="F43" s="78"/>
      <c r="G43" s="95"/>
      <c r="H43" s="86">
        <f>+H42/G42</f>
        <v>7.4087092623237316E-2</v>
      </c>
    </row>
    <row r="45" spans="1:9" x14ac:dyDescent="0.25">
      <c r="B45" t="s">
        <v>326</v>
      </c>
      <c r="E45" s="115">
        <f>-Merger!C16</f>
        <v>17174111.709999997</v>
      </c>
      <c r="F45" s="115"/>
      <c r="G45" s="115"/>
    </row>
    <row r="46" spans="1:9" x14ac:dyDescent="0.25">
      <c r="B46" s="127" t="s">
        <v>185</v>
      </c>
      <c r="C46" s="127" t="s">
        <v>186</v>
      </c>
      <c r="D46" s="80">
        <f>+H43</f>
        <v>7.4087092623237316E-2</v>
      </c>
      <c r="E46" s="115">
        <f>+E45*D46</f>
        <v>1272380.0049805944</v>
      </c>
      <c r="F46" t="s">
        <v>184</v>
      </c>
      <c r="G46" s="9">
        <f>+E46*11/24</f>
        <v>583174.16894943907</v>
      </c>
      <c r="H46" s="71"/>
    </row>
    <row r="47" spans="1:9" x14ac:dyDescent="0.25">
      <c r="E47" s="115"/>
    </row>
    <row r="48" spans="1:9" x14ac:dyDescent="0.25">
      <c r="A48" s="129" t="s">
        <v>116</v>
      </c>
      <c r="B48" s="62" t="s">
        <v>145</v>
      </c>
      <c r="C48" s="62"/>
      <c r="D48" s="62"/>
      <c r="E48" s="8"/>
    </row>
    <row r="49" spans="1:8" x14ac:dyDescent="0.25">
      <c r="A49" s="129"/>
      <c r="B49" s="62"/>
      <c r="C49" s="62"/>
      <c r="D49" s="62"/>
      <c r="E49" s="8"/>
    </row>
    <row r="50" spans="1:8" ht="26.25" x14ac:dyDescent="0.25">
      <c r="B50" s="2" t="s">
        <v>43</v>
      </c>
      <c r="C50" s="263" t="s">
        <v>115</v>
      </c>
      <c r="D50" s="263" t="s">
        <v>119</v>
      </c>
      <c r="E50" s="435" t="s">
        <v>189</v>
      </c>
      <c r="F50" s="434"/>
    </row>
    <row r="51" spans="1:8" x14ac:dyDescent="0.25">
      <c r="B51" s="2" t="s">
        <v>68</v>
      </c>
      <c r="C51" s="18" t="s">
        <v>48</v>
      </c>
      <c r="D51" s="18" t="s">
        <v>49</v>
      </c>
      <c r="E51" s="18" t="s">
        <v>183</v>
      </c>
    </row>
    <row r="52" spans="1:8" x14ac:dyDescent="0.25">
      <c r="B52" s="2" t="s">
        <v>33</v>
      </c>
      <c r="C52" s="81">
        <v>7006612.2400000002</v>
      </c>
      <c r="D52" s="86">
        <v>0.22104055826071936</v>
      </c>
      <c r="E52" s="82">
        <v>5917652.6299999999</v>
      </c>
      <c r="G52" s="214"/>
      <c r="H52" s="214"/>
    </row>
    <row r="53" spans="1:8" x14ac:dyDescent="0.25">
      <c r="B53" s="2" t="s">
        <v>32</v>
      </c>
      <c r="C53" s="81">
        <v>7487109.8600000003</v>
      </c>
      <c r="D53" s="86">
        <v>0.23619901980100677</v>
      </c>
      <c r="E53" s="34">
        <v>7147292.9203109993</v>
      </c>
      <c r="G53" s="214"/>
      <c r="H53" s="214"/>
    </row>
    <row r="54" spans="1:8" x14ac:dyDescent="0.25">
      <c r="B54" s="2" t="s">
        <v>30</v>
      </c>
      <c r="C54" s="81">
        <v>2184969.41</v>
      </c>
      <c r="D54" s="86">
        <v>6.8930153635702637E-2</v>
      </c>
      <c r="E54" s="34">
        <v>1924054.5</v>
      </c>
      <c r="G54" s="214"/>
      <c r="H54" s="214"/>
    </row>
    <row r="55" spans="1:8" x14ac:dyDescent="0.25">
      <c r="B55" s="2" t="s">
        <v>34</v>
      </c>
      <c r="C55" s="81">
        <v>15019618.950000001</v>
      </c>
      <c r="D55" s="86">
        <v>0.47383026830257124</v>
      </c>
      <c r="E55" s="3">
        <v>13522479.619999999</v>
      </c>
      <c r="G55" s="214"/>
      <c r="H55" s="214"/>
    </row>
    <row r="56" spans="1:8" x14ac:dyDescent="0.25">
      <c r="B56" s="2" t="s">
        <v>404</v>
      </c>
      <c r="C56" s="81"/>
      <c r="D56" s="146"/>
      <c r="E56" s="128">
        <f>+G46</f>
        <v>583174.16894943907</v>
      </c>
      <c r="G56" s="8"/>
      <c r="H56" s="8"/>
    </row>
    <row r="57" spans="1:8" x14ac:dyDescent="0.25">
      <c r="B57" s="2" t="s">
        <v>31</v>
      </c>
      <c r="C57" s="81">
        <v>31698310.460000001</v>
      </c>
      <c r="D57" s="86">
        <v>1</v>
      </c>
      <c r="E57" s="10">
        <f>SUM(E52:E56)</f>
        <v>29094653.839260437</v>
      </c>
      <c r="G57" s="8"/>
      <c r="H57" s="12"/>
    </row>
    <row r="59" spans="1:8" x14ac:dyDescent="0.25">
      <c r="A59" s="108" t="s">
        <v>35</v>
      </c>
      <c r="B59" s="430" t="s">
        <v>249</v>
      </c>
      <c r="C59" s="62"/>
      <c r="D59" s="62"/>
      <c r="E59" s="8"/>
    </row>
    <row r="60" spans="1:8" x14ac:dyDescent="0.25">
      <c r="A60" s="108"/>
      <c r="B60" s="171"/>
      <c r="C60" s="62"/>
      <c r="D60" s="62"/>
      <c r="E60" s="8"/>
    </row>
    <row r="61" spans="1:8" x14ac:dyDescent="0.25">
      <c r="B61" s="251" t="s">
        <v>259</v>
      </c>
      <c r="C61" s="251" t="s">
        <v>260</v>
      </c>
      <c r="D61" s="251" t="s">
        <v>261</v>
      </c>
      <c r="E61" s="251" t="s">
        <v>262</v>
      </c>
      <c r="F61" s="331">
        <v>-217.8</v>
      </c>
      <c r="G61" s="258"/>
    </row>
    <row r="62" spans="1:8" x14ac:dyDescent="0.25">
      <c r="B62" s="251" t="s">
        <v>259</v>
      </c>
      <c r="C62" s="251" t="s">
        <v>263</v>
      </c>
      <c r="D62" s="251" t="s">
        <v>264</v>
      </c>
      <c r="E62" s="251" t="s">
        <v>265</v>
      </c>
      <c r="F62" s="331">
        <v>-66169.399999999994</v>
      </c>
      <c r="G62" s="259"/>
    </row>
    <row r="63" spans="1:8" x14ac:dyDescent="0.25">
      <c r="B63" s="251" t="s">
        <v>259</v>
      </c>
      <c r="C63" s="251" t="s">
        <v>263</v>
      </c>
      <c r="D63" s="251" t="s">
        <v>264</v>
      </c>
      <c r="E63" s="251" t="s">
        <v>266</v>
      </c>
      <c r="F63" s="331">
        <v>0</v>
      </c>
      <c r="G63" s="334" t="s">
        <v>274</v>
      </c>
    </row>
    <row r="64" spans="1:8" x14ac:dyDescent="0.25">
      <c r="B64" s="251" t="s">
        <v>259</v>
      </c>
      <c r="C64" s="251" t="s">
        <v>263</v>
      </c>
      <c r="D64" s="251" t="s">
        <v>267</v>
      </c>
      <c r="E64" s="251" t="s">
        <v>265</v>
      </c>
      <c r="F64" s="331">
        <v>-119337.78999999998</v>
      </c>
      <c r="G64" s="259"/>
    </row>
    <row r="65" spans="2:9" x14ac:dyDescent="0.25">
      <c r="B65" s="251" t="s">
        <v>259</v>
      </c>
      <c r="C65" s="251" t="s">
        <v>263</v>
      </c>
      <c r="D65" s="251" t="s">
        <v>267</v>
      </c>
      <c r="E65" s="251" t="s">
        <v>268</v>
      </c>
      <c r="F65" s="331">
        <v>-183019.4</v>
      </c>
      <c r="G65" s="188">
        <f>SUM(F61:F66)</f>
        <v>-368744.39</v>
      </c>
      <c r="H65" s="431" t="s">
        <v>406</v>
      </c>
      <c r="I65" s="8"/>
    </row>
    <row r="66" spans="2:9" x14ac:dyDescent="0.25">
      <c r="B66" s="251" t="s">
        <v>259</v>
      </c>
      <c r="C66" s="251" t="s">
        <v>263</v>
      </c>
      <c r="D66" s="251" t="s">
        <v>267</v>
      </c>
      <c r="E66" s="251" t="s">
        <v>266</v>
      </c>
      <c r="F66" s="332">
        <v>0</v>
      </c>
      <c r="G66" s="432" t="s">
        <v>275</v>
      </c>
    </row>
    <row r="67" spans="2:9" x14ac:dyDescent="0.25">
      <c r="B67" s="251" t="s">
        <v>259</v>
      </c>
      <c r="C67" s="251" t="s">
        <v>263</v>
      </c>
      <c r="D67" s="251" t="s">
        <v>261</v>
      </c>
      <c r="E67" s="251" t="s">
        <v>265</v>
      </c>
      <c r="F67" s="331">
        <v>1564672.3900000001</v>
      </c>
      <c r="G67" s="433">
        <f>+F67</f>
        <v>1564672.3900000001</v>
      </c>
      <c r="H67" s="431" t="s">
        <v>31</v>
      </c>
      <c r="I67" s="8"/>
    </row>
    <row r="68" spans="2:9" x14ac:dyDescent="0.25">
      <c r="B68" s="251" t="s">
        <v>259</v>
      </c>
      <c r="C68" s="251" t="s">
        <v>263</v>
      </c>
      <c r="D68" s="251" t="s">
        <v>261</v>
      </c>
      <c r="E68" s="251" t="s">
        <v>266</v>
      </c>
      <c r="F68" s="331">
        <v>0</v>
      </c>
      <c r="G68" s="260"/>
    </row>
    <row r="69" spans="2:9" ht="15.75" thickBot="1" x14ac:dyDescent="0.3">
      <c r="E69" s="348" t="s">
        <v>31</v>
      </c>
      <c r="F69" s="333">
        <f>SUM(F61:F68)</f>
        <v>1195928</v>
      </c>
      <c r="G69" s="371">
        <f>SUM(G61:G68)</f>
        <v>1195928</v>
      </c>
      <c r="H69" s="309"/>
    </row>
    <row r="70" spans="2:9" ht="15.75" thickTop="1" x14ac:dyDescent="0.25">
      <c r="B70" s="436" t="s">
        <v>273</v>
      </c>
      <c r="C70" s="423"/>
      <c r="D70" s="423"/>
      <c r="E70" s="423"/>
      <c r="F70" s="423"/>
      <c r="G70" s="423"/>
    </row>
    <row r="71" spans="2:9" x14ac:dyDescent="0.25">
      <c r="B71" s="437" t="s">
        <v>213</v>
      </c>
      <c r="C71" s="438" t="s">
        <v>52</v>
      </c>
      <c r="D71" s="438" t="s">
        <v>53</v>
      </c>
      <c r="E71" s="438" t="s">
        <v>54</v>
      </c>
      <c r="F71" s="438" t="s">
        <v>55</v>
      </c>
      <c r="G71" s="438" t="s">
        <v>31</v>
      </c>
    </row>
    <row r="72" spans="2:9" x14ac:dyDescent="0.25">
      <c r="B72" s="439" t="s">
        <v>271</v>
      </c>
      <c r="C72" s="439">
        <v>11475949.809071427</v>
      </c>
      <c r="D72" s="439">
        <v>22518189.799688999</v>
      </c>
      <c r="E72" s="439">
        <v>13924860.809999997</v>
      </c>
      <c r="F72" s="439">
        <v>30377860.450000003</v>
      </c>
      <c r="G72" s="439">
        <v>78296860.868760422</v>
      </c>
    </row>
    <row r="73" spans="2:9" x14ac:dyDescent="0.25">
      <c r="B73" s="439" t="s">
        <v>43</v>
      </c>
      <c r="C73" s="439">
        <v>1924054.5</v>
      </c>
      <c r="D73" s="439">
        <v>7147292.9203109993</v>
      </c>
      <c r="E73" s="439">
        <v>5917652.6299999999</v>
      </c>
      <c r="F73" s="439">
        <v>13522479.619999999</v>
      </c>
      <c r="G73" s="439">
        <v>28511479.670310996</v>
      </c>
    </row>
    <row r="74" spans="2:9" x14ac:dyDescent="0.25">
      <c r="B74" s="437" t="s">
        <v>250</v>
      </c>
      <c r="C74" s="437">
        <v>13400004.309071427</v>
      </c>
      <c r="D74" s="437">
        <v>29665482.719999999</v>
      </c>
      <c r="E74" s="437">
        <v>19842513.439999998</v>
      </c>
      <c r="F74" s="437">
        <v>43900340.07</v>
      </c>
      <c r="G74" s="437">
        <v>106808340.53907141</v>
      </c>
    </row>
    <row r="75" spans="2:9" x14ac:dyDescent="0.25">
      <c r="B75" s="439" t="s">
        <v>272</v>
      </c>
      <c r="C75" s="439">
        <v>0</v>
      </c>
      <c r="D75" s="439">
        <v>86813.430000000008</v>
      </c>
      <c r="E75" s="439">
        <v>2228054.65</v>
      </c>
      <c r="F75" s="439">
        <v>567459.44999999995</v>
      </c>
      <c r="G75" s="439">
        <v>2882327.5300000003</v>
      </c>
    </row>
    <row r="76" spans="2:9" x14ac:dyDescent="0.25">
      <c r="B76" s="437" t="s">
        <v>31</v>
      </c>
      <c r="C76" s="437">
        <v>13400004.309071427</v>
      </c>
      <c r="D76" s="437">
        <v>29752296.149999999</v>
      </c>
      <c r="E76" s="437">
        <v>22070568.089999996</v>
      </c>
      <c r="F76" s="437">
        <v>44467799.520000003</v>
      </c>
      <c r="G76" s="437">
        <v>109690668.06907141</v>
      </c>
    </row>
  </sheetData>
  <mergeCells count="1">
    <mergeCell ref="C36:F36"/>
  </mergeCells>
  <pageMargins left="0.51181102362204722" right="0.11811023622047245" top="0.74803149606299213" bottom="0.35433070866141736" header="0.31496062992125984" footer="0.11811023622047245"/>
  <pageSetup scale="76" fitToHeight="2" orientation="portrait" r:id="rId1"/>
  <headerFooter>
    <oddHeader>&amp;R&amp;D</oddHeader>
    <oddFooter>&amp;L&amp;Z&amp;F&amp;R&amp;A &amp;P of &amp;N</oddFooter>
  </headerFooter>
  <rowBreaks count="1" manualBreakCount="1">
    <brk id="4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9"/>
  <sheetViews>
    <sheetView zoomScaleNormal="100" workbookViewId="0">
      <selection activeCell="D22" sqref="D22"/>
    </sheetView>
  </sheetViews>
  <sheetFormatPr defaultRowHeight="15" x14ac:dyDescent="0.25"/>
  <cols>
    <col min="1" max="1" width="37.42578125" customWidth="1"/>
    <col min="2" max="6" width="13.5703125" customWidth="1"/>
    <col min="7" max="7" width="7" customWidth="1"/>
  </cols>
  <sheetData>
    <row r="1" spans="1:7" x14ac:dyDescent="0.25">
      <c r="A1" s="5" t="s">
        <v>28</v>
      </c>
    </row>
    <row r="3" spans="1:7" x14ac:dyDescent="0.25">
      <c r="A3" s="5" t="s">
        <v>248</v>
      </c>
    </row>
    <row r="4" spans="1:7" ht="30" customHeight="1" x14ac:dyDescent="0.25">
      <c r="A4" s="191"/>
      <c r="B4" s="199" t="s">
        <v>72</v>
      </c>
      <c r="C4" s="199" t="s">
        <v>33</v>
      </c>
      <c r="D4" s="199" t="s">
        <v>73</v>
      </c>
      <c r="E4" s="199" t="s">
        <v>74</v>
      </c>
      <c r="F4" s="341" t="s">
        <v>75</v>
      </c>
      <c r="G4" s="342" t="s">
        <v>25</v>
      </c>
    </row>
    <row r="5" spans="1:7" x14ac:dyDescent="0.25">
      <c r="A5" s="2" t="s">
        <v>246</v>
      </c>
      <c r="B5" s="37">
        <f>+B20</f>
        <v>56300995.890000008</v>
      </c>
      <c r="C5" s="37">
        <f t="shared" ref="C5:E5" si="0">+C20</f>
        <v>60901687.535749443</v>
      </c>
      <c r="D5" s="37">
        <f t="shared" si="0"/>
        <v>28658213.293333333</v>
      </c>
      <c r="E5" s="37">
        <f t="shared" si="0"/>
        <v>86722101.030000001</v>
      </c>
      <c r="F5" s="37">
        <f>SUM(B5:E5)</f>
        <v>232582997.74908277</v>
      </c>
      <c r="G5" s="257">
        <v>1</v>
      </c>
    </row>
    <row r="6" spans="1:7" x14ac:dyDescent="0.25">
      <c r="A6" s="13" t="s">
        <v>94</v>
      </c>
      <c r="B6" s="37">
        <v>-2035681.0909090908</v>
      </c>
      <c r="C6" s="37">
        <v>-5889304.3636363633</v>
      </c>
      <c r="D6" s="37">
        <v>2196638.4000000004</v>
      </c>
      <c r="E6" s="37">
        <v>-211265.45454545453</v>
      </c>
      <c r="F6" s="37">
        <f>SUM(B6:E6)</f>
        <v>-5939612.5090909079</v>
      </c>
      <c r="G6">
        <v>2</v>
      </c>
    </row>
    <row r="7" spans="1:7" x14ac:dyDescent="0.25">
      <c r="A7" s="6" t="s">
        <v>95</v>
      </c>
      <c r="B7" s="42">
        <f>SUM(B5:B6)</f>
        <v>54265314.799090914</v>
      </c>
      <c r="C7" s="42">
        <f t="shared" ref="C7:F7" si="1">SUM(C5:C6)</f>
        <v>55012383.172113076</v>
      </c>
      <c r="D7" s="42">
        <f t="shared" si="1"/>
        <v>30854851.693333335</v>
      </c>
      <c r="E7" s="42">
        <f t="shared" si="1"/>
        <v>86510835.575454548</v>
      </c>
      <c r="F7" s="42">
        <f t="shared" si="1"/>
        <v>226643385.23999187</v>
      </c>
    </row>
    <row r="8" spans="1:7" x14ac:dyDescent="0.25">
      <c r="A8" s="39" t="s">
        <v>96</v>
      </c>
      <c r="B8" s="86">
        <f>+B7/$F$7</f>
        <v>0.23943039300101154</v>
      </c>
      <c r="C8" s="86">
        <f t="shared" ref="C8:F8" si="2">+C7/$F$7</f>
        <v>0.2427266214447894</v>
      </c>
      <c r="D8" s="86">
        <f t="shared" si="2"/>
        <v>0.13613832876993628</v>
      </c>
      <c r="E8" s="86">
        <f t="shared" si="2"/>
        <v>0.3817046567842628</v>
      </c>
      <c r="F8" s="86">
        <f t="shared" si="2"/>
        <v>1</v>
      </c>
    </row>
    <row r="9" spans="1:7" x14ac:dyDescent="0.25">
      <c r="A9" s="39" t="s">
        <v>221</v>
      </c>
      <c r="B9" s="146"/>
      <c r="C9" s="4"/>
      <c r="D9" s="146"/>
      <c r="E9" s="146"/>
      <c r="F9" s="146"/>
    </row>
    <row r="10" spans="1:7" x14ac:dyDescent="0.25">
      <c r="A10" s="73" t="s">
        <v>97</v>
      </c>
      <c r="B10" s="2">
        <v>11</v>
      </c>
      <c r="C10" s="2">
        <v>11</v>
      </c>
      <c r="D10" s="2">
        <v>10</v>
      </c>
      <c r="E10" s="2">
        <v>11</v>
      </c>
      <c r="F10" s="2"/>
    </row>
    <row r="11" spans="1:7" x14ac:dyDescent="0.25">
      <c r="A11" s="73" t="s">
        <v>166</v>
      </c>
      <c r="B11" s="3">
        <f>+B7*B10/12</f>
        <v>49743205.232500009</v>
      </c>
      <c r="C11" s="3">
        <f>+C7*C10/12</f>
        <v>50428017.907770313</v>
      </c>
      <c r="D11" s="3">
        <f>+D7*D10/12</f>
        <v>25712376.411111113</v>
      </c>
      <c r="E11" s="3">
        <f>+E7*E10/12</f>
        <v>79301599.277500004</v>
      </c>
      <c r="F11" s="37">
        <f>SUM(B11:E11)</f>
        <v>205185198.82888144</v>
      </c>
    </row>
    <row r="12" spans="1:7" x14ac:dyDescent="0.25">
      <c r="A12" s="39" t="s">
        <v>96</v>
      </c>
      <c r="B12" s="190">
        <f>+B11/$F$11</f>
        <v>0.24243076750377307</v>
      </c>
      <c r="C12" s="190">
        <f t="shared" ref="C12:F12" si="3">+C11/$F$11</f>
        <v>0.24576830198081603</v>
      </c>
      <c r="D12" s="190">
        <f t="shared" si="3"/>
        <v>0.12531301749769239</v>
      </c>
      <c r="E12" s="190">
        <f t="shared" si="3"/>
        <v>0.38648791301771851</v>
      </c>
      <c r="F12" s="40">
        <f t="shared" si="3"/>
        <v>1</v>
      </c>
    </row>
    <row r="13" spans="1:7" x14ac:dyDescent="0.25">
      <c r="A13" s="5"/>
      <c r="C13" s="1"/>
    </row>
    <row r="14" spans="1:7" x14ac:dyDescent="0.25">
      <c r="A14" s="5" t="s">
        <v>329</v>
      </c>
      <c r="B14" s="21"/>
      <c r="C14" s="21"/>
      <c r="D14" s="20"/>
    </row>
    <row r="15" spans="1:7" x14ac:dyDescent="0.25">
      <c r="A15" s="146"/>
      <c r="B15" s="27" t="s">
        <v>72</v>
      </c>
      <c r="C15" s="27" t="s">
        <v>33</v>
      </c>
      <c r="D15" s="27" t="s">
        <v>73</v>
      </c>
      <c r="E15" s="27" t="s">
        <v>74</v>
      </c>
      <c r="F15" s="27" t="s">
        <v>75</v>
      </c>
    </row>
    <row r="16" spans="1:7" x14ac:dyDescent="0.25">
      <c r="A16" s="2" t="s">
        <v>76</v>
      </c>
      <c r="B16" s="37">
        <v>60161765.220000014</v>
      </c>
      <c r="C16" s="37">
        <v>59354514.017248333</v>
      </c>
      <c r="D16" s="37">
        <v>31370267.969999999</v>
      </c>
      <c r="E16" s="37">
        <v>86664222.710000008</v>
      </c>
      <c r="F16" s="37">
        <f t="shared" ref="F16:F20" si="4">SUM(B16:E16)</f>
        <v>237550769.91724834</v>
      </c>
    </row>
    <row r="17" spans="1:7" x14ac:dyDescent="0.25">
      <c r="A17" s="2" t="s">
        <v>77</v>
      </c>
      <c r="B17" s="37">
        <v>56310037.600000009</v>
      </c>
      <c r="C17" s="37">
        <v>63032791.950000003</v>
      </c>
      <c r="D17" s="37">
        <v>27850320.479999997</v>
      </c>
      <c r="E17" s="37">
        <v>87683717.379999995</v>
      </c>
      <c r="F17" s="37">
        <f t="shared" si="4"/>
        <v>234876867.41</v>
      </c>
    </row>
    <row r="18" spans="1:7" x14ac:dyDescent="0.25">
      <c r="A18" s="2" t="s">
        <v>78</v>
      </c>
      <c r="B18" s="37">
        <v>52431184.849999994</v>
      </c>
      <c r="C18" s="37">
        <v>60317756.640000001</v>
      </c>
      <c r="D18" s="37">
        <v>26754051.43</v>
      </c>
      <c r="E18" s="37">
        <v>85818363</v>
      </c>
      <c r="F18" s="37">
        <f t="shared" si="4"/>
        <v>225321355.91999999</v>
      </c>
    </row>
    <row r="19" spans="1:7" x14ac:dyDescent="0.25">
      <c r="A19" s="2" t="s">
        <v>79</v>
      </c>
      <c r="B19" s="37">
        <f>SUM(B16:B18)</f>
        <v>168902987.67000002</v>
      </c>
      <c r="C19" s="37">
        <f t="shared" ref="C19:E19" si="5">SUM(C16:C18)</f>
        <v>182705062.60724834</v>
      </c>
      <c r="D19" s="37">
        <f t="shared" si="5"/>
        <v>85974639.879999995</v>
      </c>
      <c r="E19" s="37">
        <f t="shared" si="5"/>
        <v>260166303.09</v>
      </c>
      <c r="F19" s="37">
        <f t="shared" si="4"/>
        <v>697748993.24724841</v>
      </c>
    </row>
    <row r="20" spans="1:7" x14ac:dyDescent="0.25">
      <c r="A20" s="2" t="s">
        <v>219</v>
      </c>
      <c r="B20" s="37">
        <f>+B19/3</f>
        <v>56300995.890000008</v>
      </c>
      <c r="C20" s="37">
        <f t="shared" ref="C20:E20" si="6">+C19/3</f>
        <v>60901687.535749443</v>
      </c>
      <c r="D20" s="37">
        <f t="shared" si="6"/>
        <v>28658213.293333333</v>
      </c>
      <c r="E20" s="37">
        <f t="shared" si="6"/>
        <v>86722101.030000001</v>
      </c>
      <c r="F20" s="37">
        <f t="shared" si="4"/>
        <v>232582997.74908277</v>
      </c>
    </row>
    <row r="21" spans="1:7" x14ac:dyDescent="0.25">
      <c r="B21" s="38"/>
      <c r="C21" s="38"/>
      <c r="D21" s="38"/>
      <c r="E21" s="38"/>
      <c r="F21" s="38"/>
    </row>
    <row r="22" spans="1:7" x14ac:dyDescent="0.25">
      <c r="A22" s="447" t="s">
        <v>409</v>
      </c>
    </row>
    <row r="23" spans="1:7" s="257" customFormat="1" x14ac:dyDescent="0.25">
      <c r="A23" s="26" t="s">
        <v>410</v>
      </c>
      <c r="B23" s="448">
        <v>56496097.515702337</v>
      </c>
      <c r="C23" s="448">
        <v>59571547.879999995</v>
      </c>
      <c r="D23" s="448">
        <v>27912160.143333334</v>
      </c>
      <c r="E23" s="448">
        <v>86715845.793333337</v>
      </c>
      <c r="F23" s="448">
        <f>SUM(B23:E23)</f>
        <v>230695651.33236903</v>
      </c>
      <c r="G23" s="257">
        <v>3</v>
      </c>
    </row>
    <row r="24" spans="1:7" s="257" customFormat="1" x14ac:dyDescent="0.25"/>
    <row r="25" spans="1:7" s="257" customFormat="1" x14ac:dyDescent="0.25"/>
    <row r="26" spans="1:7" x14ac:dyDescent="0.25">
      <c r="A26" s="242" t="s">
        <v>20</v>
      </c>
      <c r="C26" s="38" t="s">
        <v>116</v>
      </c>
    </row>
    <row r="27" spans="1:7" x14ac:dyDescent="0.25">
      <c r="A27" t="s">
        <v>330</v>
      </c>
    </row>
    <row r="28" spans="1:7" x14ac:dyDescent="0.25">
      <c r="A28" s="257" t="s">
        <v>331</v>
      </c>
    </row>
    <row r="29" spans="1:7" x14ac:dyDescent="0.25">
      <c r="A29" s="257" t="s">
        <v>411</v>
      </c>
    </row>
  </sheetData>
  <pageMargins left="0.70866141732283472" right="0.70866141732283472" top="0.55118110236220474" bottom="0.55118110236220474" header="0.31496062992125984" footer="0.31496062992125984"/>
  <pageSetup scale="80" orientation="portrait" r:id="rId1"/>
  <headerFooter>
    <oddFooter>&amp;L&amp;Z&amp;F&amp;R&amp;A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23"/>
  <sheetViews>
    <sheetView zoomScaleNormal="100" workbookViewId="0">
      <selection activeCell="D22" sqref="D22"/>
    </sheetView>
  </sheetViews>
  <sheetFormatPr defaultRowHeight="15" x14ac:dyDescent="0.25"/>
  <cols>
    <col min="1" max="1" width="3.85546875" customWidth="1"/>
    <col min="2" max="2" width="54.140625" customWidth="1"/>
    <col min="3" max="3" width="14.28515625" customWidth="1"/>
    <col min="4" max="4" width="6.28515625" bestFit="1" customWidth="1"/>
    <col min="5" max="5" width="20" customWidth="1"/>
  </cols>
  <sheetData>
    <row r="1" spans="1:5" x14ac:dyDescent="0.25">
      <c r="A1" s="5" t="s">
        <v>170</v>
      </c>
    </row>
    <row r="2" spans="1:5" x14ac:dyDescent="0.25">
      <c r="A2" s="5" t="s">
        <v>86</v>
      </c>
    </row>
    <row r="3" spans="1:5" x14ac:dyDescent="0.25">
      <c r="A3" s="5"/>
    </row>
    <row r="4" spans="1:5" x14ac:dyDescent="0.25">
      <c r="C4" s="50" t="s">
        <v>175</v>
      </c>
      <c r="D4" s="104" t="s">
        <v>25</v>
      </c>
    </row>
    <row r="5" spans="1:5" x14ac:dyDescent="0.25">
      <c r="B5" s="6" t="s">
        <v>179</v>
      </c>
      <c r="C5" s="50"/>
      <c r="D5" s="104"/>
    </row>
    <row r="6" spans="1:5" x14ac:dyDescent="0.25">
      <c r="B6" s="2" t="s">
        <v>87</v>
      </c>
      <c r="C6" s="41">
        <v>18161012</v>
      </c>
      <c r="D6" s="124"/>
    </row>
    <row r="7" spans="1:5" x14ac:dyDescent="0.25">
      <c r="B7" s="2" t="s">
        <v>88</v>
      </c>
      <c r="C7" s="41">
        <v>-24243160</v>
      </c>
      <c r="D7" s="124"/>
    </row>
    <row r="8" spans="1:5" x14ac:dyDescent="0.25">
      <c r="B8" s="6" t="s">
        <v>174</v>
      </c>
      <c r="C8" s="79">
        <f>SUM(C6:C7)</f>
        <v>-6082148</v>
      </c>
      <c r="D8" s="124"/>
    </row>
    <row r="9" spans="1:5" x14ac:dyDescent="0.25">
      <c r="B9" s="440" t="s">
        <v>93</v>
      </c>
      <c r="C9" s="441">
        <v>8114819</v>
      </c>
      <c r="D9" s="124">
        <v>1</v>
      </c>
    </row>
    <row r="10" spans="1:5" x14ac:dyDescent="0.25">
      <c r="B10" s="6" t="s">
        <v>181</v>
      </c>
      <c r="C10" s="79">
        <f>SUM(C8:C9)</f>
        <v>2032671</v>
      </c>
      <c r="D10" s="125"/>
    </row>
    <row r="11" spans="1:5" x14ac:dyDescent="0.25">
      <c r="B11" s="126" t="s">
        <v>178</v>
      </c>
      <c r="C11" s="48"/>
      <c r="D11" s="124"/>
    </row>
    <row r="12" spans="1:5" x14ac:dyDescent="0.25">
      <c r="B12" s="2" t="s">
        <v>89</v>
      </c>
      <c r="C12" s="41">
        <v>22794043</v>
      </c>
      <c r="D12" s="124"/>
    </row>
    <row r="13" spans="1:5" x14ac:dyDescent="0.25">
      <c r="B13" s="2" t="s">
        <v>90</v>
      </c>
      <c r="C13" s="231">
        <v>-17890669</v>
      </c>
      <c r="D13" s="232"/>
      <c r="E13" s="233"/>
    </row>
    <row r="14" spans="1:5" x14ac:dyDescent="0.25">
      <c r="B14" s="6" t="s">
        <v>176</v>
      </c>
      <c r="C14" s="79">
        <f>SUM(C12:C13)</f>
        <v>4903374</v>
      </c>
      <c r="D14" s="124"/>
    </row>
    <row r="15" spans="1:5" x14ac:dyDescent="0.25">
      <c r="B15" s="2" t="s">
        <v>177</v>
      </c>
      <c r="C15" s="41">
        <v>-22077485.709999997</v>
      </c>
      <c r="D15" s="124" t="s">
        <v>116</v>
      </c>
    </row>
    <row r="16" spans="1:5" x14ac:dyDescent="0.25">
      <c r="B16" s="39" t="s">
        <v>324</v>
      </c>
      <c r="C16" s="79">
        <f>+C14+C15</f>
        <v>-17174111.709999997</v>
      </c>
      <c r="D16" s="124" t="s">
        <v>107</v>
      </c>
    </row>
    <row r="17" spans="1:4" x14ac:dyDescent="0.25">
      <c r="C17" s="123"/>
      <c r="D17" s="124"/>
    </row>
    <row r="18" spans="1:4" x14ac:dyDescent="0.25">
      <c r="A18" s="5" t="s">
        <v>25</v>
      </c>
    </row>
    <row r="19" spans="1:4" x14ac:dyDescent="0.25">
      <c r="A19" s="422" t="s">
        <v>21</v>
      </c>
      <c r="B19" s="423" t="s">
        <v>182</v>
      </c>
    </row>
    <row r="20" spans="1:4" x14ac:dyDescent="0.25">
      <c r="A20" s="422" t="s">
        <v>69</v>
      </c>
      <c r="B20" t="s">
        <v>324</v>
      </c>
    </row>
    <row r="21" spans="1:4" x14ac:dyDescent="0.25">
      <c r="A21" s="25"/>
      <c r="B21" t="s">
        <v>116</v>
      </c>
    </row>
    <row r="22" spans="1:4" x14ac:dyDescent="0.25">
      <c r="A22" s="25"/>
      <c r="B22" t="s">
        <v>116</v>
      </c>
    </row>
    <row r="23" spans="1:4" x14ac:dyDescent="0.25">
      <c r="A23" s="25"/>
    </row>
  </sheetData>
  <pageMargins left="0.31496062992125984" right="0.11811023622047245" top="0.15748031496062992" bottom="0.15748031496062992" header="0.11811023622047245" footer="0.11811023622047245"/>
  <pageSetup orientation="portrait" r:id="rId1"/>
  <headerFooter>
    <oddFooter>&amp;L&amp;"Arial Narrow,Regular"&amp;8&amp;Z&amp;F&amp;R&amp;A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50"/>
  <sheetViews>
    <sheetView zoomScale="95" zoomScaleNormal="95" workbookViewId="0">
      <pane ySplit="5" topLeftCell="A6" activePane="bottomLeft" state="frozen"/>
      <selection activeCell="D22" sqref="D22"/>
      <selection pane="bottomLeft" activeCell="D22" sqref="D22"/>
    </sheetView>
  </sheetViews>
  <sheetFormatPr defaultRowHeight="15" x14ac:dyDescent="0.25"/>
  <cols>
    <col min="1" max="1" width="3.140625" customWidth="1"/>
    <col min="2" max="2" width="26.85546875" customWidth="1"/>
    <col min="3" max="3" width="15.140625" bestFit="1" customWidth="1"/>
    <col min="4" max="4" width="15.85546875" customWidth="1"/>
    <col min="5" max="5" width="15.140625" bestFit="1" customWidth="1"/>
    <col min="6" max="6" width="14.42578125" customWidth="1"/>
    <col min="7" max="7" width="15.140625" bestFit="1" customWidth="1"/>
    <col min="8" max="8" width="14.42578125" customWidth="1"/>
    <col min="9" max="9" width="15.140625" bestFit="1" customWidth="1"/>
    <col min="10" max="10" width="5.7109375" bestFit="1" customWidth="1"/>
    <col min="11" max="11" width="5.42578125" bestFit="1" customWidth="1"/>
    <col min="12" max="12" width="11.85546875" bestFit="1" customWidth="1"/>
  </cols>
  <sheetData>
    <row r="1" spans="1:10" x14ac:dyDescent="0.25">
      <c r="A1" s="5" t="s">
        <v>153</v>
      </c>
    </row>
    <row r="2" spans="1:10" x14ac:dyDescent="0.25">
      <c r="A2" s="5" t="s">
        <v>136</v>
      </c>
      <c r="H2" s="1"/>
      <c r="I2" s="102"/>
    </row>
    <row r="3" spans="1:10" ht="8.25" customHeight="1" x14ac:dyDescent="0.25">
      <c r="A3" s="5"/>
      <c r="I3" s="102"/>
    </row>
    <row r="4" spans="1:10" ht="12" customHeight="1" x14ac:dyDescent="0.25"/>
    <row r="5" spans="1:10" ht="30" x14ac:dyDescent="0.25">
      <c r="A5" s="5" t="s">
        <v>17</v>
      </c>
      <c r="C5" s="28" t="s">
        <v>276</v>
      </c>
      <c r="D5" s="28" t="s">
        <v>47</v>
      </c>
      <c r="E5" s="28" t="s">
        <v>126</v>
      </c>
      <c r="F5" s="28" t="s">
        <v>127</v>
      </c>
      <c r="G5" s="28" t="s">
        <v>128</v>
      </c>
      <c r="H5" s="28" t="s">
        <v>278</v>
      </c>
      <c r="I5" s="245" t="s">
        <v>31</v>
      </c>
      <c r="J5" s="118" t="s">
        <v>25</v>
      </c>
    </row>
    <row r="6" spans="1:10" x14ac:dyDescent="0.25">
      <c r="B6" s="2" t="s">
        <v>39</v>
      </c>
      <c r="C6" s="105">
        <v>472206706.31829</v>
      </c>
      <c r="D6" s="105">
        <f>+DisRev!D13</f>
        <v>103901259.89742345</v>
      </c>
      <c r="E6" s="105">
        <f>+DisRev!E13</f>
        <v>62758731.437483333</v>
      </c>
      <c r="F6" s="105">
        <f>+DisRev!F13</f>
        <v>120888128.19444166</v>
      </c>
      <c r="G6" s="105">
        <f>+DisRev!G11</f>
        <v>184658586.63485572</v>
      </c>
      <c r="H6" s="105">
        <v>0</v>
      </c>
      <c r="I6" s="92">
        <f>SUM(D6:H6)</f>
        <v>472206706.16420412</v>
      </c>
      <c r="J6" s="25"/>
    </row>
    <row r="7" spans="1:10" x14ac:dyDescent="0.25">
      <c r="B7" s="2" t="s">
        <v>121</v>
      </c>
      <c r="C7" s="105">
        <v>2489690900.0338502</v>
      </c>
      <c r="D7" s="105">
        <v>462533988</v>
      </c>
      <c r="E7" s="105">
        <v>390244234</v>
      </c>
      <c r="F7" s="105">
        <v>720777563</v>
      </c>
      <c r="G7" s="105">
        <v>916135118</v>
      </c>
      <c r="H7" s="105">
        <v>0</v>
      </c>
      <c r="I7" s="92">
        <f>SUM(D7:H7)</f>
        <v>2489690903</v>
      </c>
    </row>
    <row r="8" spans="1:10" x14ac:dyDescent="0.25">
      <c r="B8" s="2" t="s">
        <v>122</v>
      </c>
      <c r="C8" s="105">
        <v>12695851.99</v>
      </c>
      <c r="D8" s="105">
        <f>OthRev!$G$24</f>
        <v>4791551.3899999997</v>
      </c>
      <c r="E8" s="105">
        <v>2238252.2685881001</v>
      </c>
      <c r="F8" s="105">
        <v>3254650.24</v>
      </c>
      <c r="G8" s="105">
        <v>13930439.170000002</v>
      </c>
      <c r="H8" s="105">
        <f>+I44</f>
        <v>-11519043</v>
      </c>
      <c r="I8" s="92">
        <f>SUM(D8:H8)</f>
        <v>12695850.0685881</v>
      </c>
      <c r="J8" s="25" t="s">
        <v>106</v>
      </c>
    </row>
    <row r="9" spans="1:10" x14ac:dyDescent="0.25">
      <c r="B9" s="6" t="s">
        <v>123</v>
      </c>
      <c r="C9" s="85">
        <f>SUM(C6:C8)</f>
        <v>2974593458.3421402</v>
      </c>
      <c r="D9" s="85">
        <f t="shared" ref="D9:I9" si="0">SUM(D6:D8)</f>
        <v>571226799.28742349</v>
      </c>
      <c r="E9" s="85">
        <f t="shared" si="0"/>
        <v>455241217.70607144</v>
      </c>
      <c r="F9" s="85">
        <f t="shared" si="0"/>
        <v>844920341.43444169</v>
      </c>
      <c r="G9" s="85">
        <f t="shared" si="0"/>
        <v>1114724143.8048558</v>
      </c>
      <c r="H9" s="85">
        <f t="shared" si="0"/>
        <v>-11519043</v>
      </c>
      <c r="I9" s="85">
        <f t="shared" si="0"/>
        <v>2974593459.2327924</v>
      </c>
      <c r="J9" s="25"/>
    </row>
    <row r="10" spans="1:10" ht="9" customHeight="1" x14ac:dyDescent="0.25">
      <c r="C10" s="66"/>
      <c r="D10" s="66"/>
      <c r="E10" s="66"/>
      <c r="F10" s="66"/>
      <c r="G10" s="66"/>
      <c r="H10" s="66"/>
      <c r="I10" s="66"/>
      <c r="J10" s="25"/>
    </row>
    <row r="11" spans="1:10" x14ac:dyDescent="0.25">
      <c r="A11" s="5" t="s">
        <v>124</v>
      </c>
      <c r="C11" s="66"/>
      <c r="D11" s="66"/>
      <c r="E11" s="66"/>
      <c r="F11" s="66"/>
      <c r="G11" s="66"/>
      <c r="H11" s="66"/>
      <c r="I11" s="66"/>
      <c r="J11" s="25"/>
    </row>
    <row r="12" spans="1:10" x14ac:dyDescent="0.25">
      <c r="B12" s="2" t="s">
        <v>23</v>
      </c>
      <c r="C12" s="105">
        <v>2489690902.5518799</v>
      </c>
      <c r="D12" s="81">
        <f>+D7</f>
        <v>462533988</v>
      </c>
      <c r="E12" s="81">
        <f>+E7</f>
        <v>390244234</v>
      </c>
      <c r="F12" s="81">
        <f t="shared" ref="F12:G12" si="1">+F7</f>
        <v>720777563</v>
      </c>
      <c r="G12" s="81">
        <f t="shared" si="1"/>
        <v>916135118</v>
      </c>
      <c r="H12" s="105">
        <v>0</v>
      </c>
      <c r="I12" s="92">
        <f>SUM(D12:H12)</f>
        <v>2489690903</v>
      </c>
      <c r="J12" s="25"/>
    </row>
    <row r="13" spans="1:10" x14ac:dyDescent="0.25">
      <c r="B13" s="2" t="s">
        <v>125</v>
      </c>
      <c r="C13" s="111">
        <v>233507348.76337901</v>
      </c>
      <c r="D13" s="111">
        <f>+'OM&amp;A'!G28</f>
        <v>56015186.423618436</v>
      </c>
      <c r="E13" s="111">
        <f>+'OM&amp;A'!G26</f>
        <v>28561177.254613224</v>
      </c>
      <c r="F13" s="111">
        <f>+'OM&amp;A'!G27</f>
        <v>56407499.97862111</v>
      </c>
      <c r="G13" s="111">
        <f>+'OM&amp;A'!G29</f>
        <v>90490814.106526241</v>
      </c>
      <c r="H13" s="338">
        <f>+I47</f>
        <v>2032671</v>
      </c>
      <c r="I13" s="111">
        <f>SUM(D13:H13)</f>
        <v>233507348.76337904</v>
      </c>
      <c r="J13" s="25" t="s">
        <v>107</v>
      </c>
    </row>
    <row r="14" spans="1:10" x14ac:dyDescent="0.25">
      <c r="B14" s="2" t="s">
        <v>258</v>
      </c>
      <c r="C14" s="111">
        <v>107391514.708021</v>
      </c>
      <c r="D14" s="111">
        <f>+Deprec!E72+Deprec!E28</f>
        <v>20355959.337032504</v>
      </c>
      <c r="E14" s="111">
        <f>+Deprec!C72+Deprec!D22</f>
        <v>13481448.768189235</v>
      </c>
      <c r="F14" s="111">
        <f>+Deprec!D72+Deprec!D21</f>
        <v>29390318.517971911</v>
      </c>
      <c r="G14" s="111">
        <f>+Deprec!F72+Deprec!D23</f>
        <v>44163788.084827214</v>
      </c>
      <c r="H14" s="105">
        <v>0</v>
      </c>
      <c r="I14" s="111">
        <f>SUM(D14:H14)</f>
        <v>107391514.70802087</v>
      </c>
      <c r="J14" s="25"/>
    </row>
    <row r="15" spans="1:10" x14ac:dyDescent="0.25">
      <c r="B15" s="6" t="s">
        <v>18</v>
      </c>
      <c r="C15" s="85">
        <f>SUM(C12:C14)</f>
        <v>2830589766.0232801</v>
      </c>
      <c r="D15" s="85">
        <f t="shared" ref="D15:I15" si="2">SUM(D12:D14)</f>
        <v>538905133.76065099</v>
      </c>
      <c r="E15" s="85">
        <f t="shared" si="2"/>
        <v>432286860.02280247</v>
      </c>
      <c r="F15" s="85">
        <f t="shared" si="2"/>
        <v>806575381.496593</v>
      </c>
      <c r="G15" s="85">
        <f t="shared" si="2"/>
        <v>1050789720.1913534</v>
      </c>
      <c r="H15" s="85">
        <f t="shared" si="2"/>
        <v>2032671</v>
      </c>
      <c r="I15" s="85">
        <f t="shared" si="2"/>
        <v>2830589766.4713998</v>
      </c>
      <c r="J15" s="25"/>
    </row>
    <row r="16" spans="1:10" ht="8.25" customHeight="1" x14ac:dyDescent="0.25">
      <c r="C16" s="66"/>
      <c r="D16" s="66"/>
      <c r="E16" s="66"/>
      <c r="F16" s="66"/>
      <c r="G16" s="66"/>
      <c r="H16" s="66"/>
      <c r="I16" s="66"/>
      <c r="J16" s="25"/>
    </row>
    <row r="17" spans="1:10" x14ac:dyDescent="0.25">
      <c r="A17" s="5" t="s">
        <v>129</v>
      </c>
      <c r="C17" s="85">
        <f>+C9-C15</f>
        <v>144003692.31886005</v>
      </c>
      <c r="D17" s="85">
        <f t="shared" ref="D17:I17" si="3">+D9-D15</f>
        <v>32321665.526772499</v>
      </c>
      <c r="E17" s="85">
        <f t="shared" si="3"/>
        <v>22954357.683268964</v>
      </c>
      <c r="F17" s="85">
        <f t="shared" si="3"/>
        <v>38344959.937848687</v>
      </c>
      <c r="G17" s="85">
        <f t="shared" si="3"/>
        <v>63934423.613502383</v>
      </c>
      <c r="H17" s="85">
        <f t="shared" si="3"/>
        <v>-13551714</v>
      </c>
      <c r="I17" s="85">
        <f t="shared" si="3"/>
        <v>144003692.76139259</v>
      </c>
      <c r="J17" s="25"/>
    </row>
    <row r="18" spans="1:10" ht="8.25" customHeight="1" x14ac:dyDescent="0.25">
      <c r="C18" s="66"/>
      <c r="D18" s="66"/>
      <c r="E18" s="66"/>
      <c r="F18" s="66"/>
      <c r="G18" s="66"/>
      <c r="H18" s="66"/>
      <c r="I18" s="66"/>
      <c r="J18" s="25"/>
    </row>
    <row r="19" spans="1:10" x14ac:dyDescent="0.25">
      <c r="B19" s="2" t="s">
        <v>257</v>
      </c>
      <c r="C19" s="105">
        <v>5121979.18</v>
      </c>
      <c r="D19" s="105">
        <f>+Deprec!D9</f>
        <v>1564672.3900000001</v>
      </c>
      <c r="E19" s="105">
        <v>669461.82000000007</v>
      </c>
      <c r="F19" s="105">
        <v>1563802.7</v>
      </c>
      <c r="G19" s="105">
        <v>1324042.6600000001</v>
      </c>
      <c r="H19" s="105">
        <v>0</v>
      </c>
      <c r="I19" s="92">
        <f>SUM(D19:H19)</f>
        <v>5121979.57</v>
      </c>
      <c r="J19" s="25"/>
    </row>
    <row r="20" spans="1:10" x14ac:dyDescent="0.25">
      <c r="B20" s="2" t="s">
        <v>130</v>
      </c>
      <c r="C20" s="105">
        <v>-559101.18000000005</v>
      </c>
      <c r="D20" s="81"/>
      <c r="E20" s="81"/>
      <c r="F20" s="81"/>
      <c r="G20" s="81"/>
      <c r="H20" s="105">
        <f>+C20</f>
        <v>-559101.18000000005</v>
      </c>
      <c r="I20" s="92">
        <f>SUM(D20:H20)</f>
        <v>-559101.18000000005</v>
      </c>
      <c r="J20" s="25" t="s">
        <v>180</v>
      </c>
    </row>
    <row r="21" spans="1:10" x14ac:dyDescent="0.25">
      <c r="B21" s="2" t="s">
        <v>131</v>
      </c>
      <c r="C21" s="112">
        <v>-2422889.96</v>
      </c>
      <c r="D21" s="112"/>
      <c r="E21" s="112"/>
      <c r="F21" s="112"/>
      <c r="G21" s="112"/>
      <c r="H21" s="112">
        <f t="shared" ref="H21:H22" si="4">+C21</f>
        <v>-2422889.96</v>
      </c>
      <c r="I21" s="112">
        <f>SUM(D21:H21)</f>
        <v>-2422889.96</v>
      </c>
      <c r="J21" s="25"/>
    </row>
    <row r="22" spans="1:10" x14ac:dyDescent="0.25">
      <c r="B22" s="2" t="s">
        <v>132</v>
      </c>
      <c r="C22" s="112">
        <v>54333002.32</v>
      </c>
      <c r="D22" s="112"/>
      <c r="E22" s="112"/>
      <c r="F22" s="112"/>
      <c r="G22" s="112"/>
      <c r="H22" s="112">
        <f t="shared" si="4"/>
        <v>54333002.32</v>
      </c>
      <c r="I22" s="112">
        <f>SUM(D22:H22)</f>
        <v>54333002.32</v>
      </c>
      <c r="J22" s="25"/>
    </row>
    <row r="23" spans="1:10" ht="8.25" customHeight="1" x14ac:dyDescent="0.25">
      <c r="C23" s="66"/>
      <c r="D23" s="66"/>
      <c r="E23" s="66"/>
      <c r="F23" s="66"/>
      <c r="G23" s="66"/>
      <c r="H23" s="66"/>
      <c r="I23" s="66"/>
      <c r="J23" s="25"/>
    </row>
    <row r="24" spans="1:10" x14ac:dyDescent="0.25">
      <c r="A24" s="5" t="s">
        <v>133</v>
      </c>
      <c r="C24" s="85">
        <f>+C17-SUM(C19:C22)</f>
        <v>87530701.958860055</v>
      </c>
      <c r="D24" s="85">
        <f t="shared" ref="D24:I24" si="5">+D17-SUM(D19:D22)</f>
        <v>30756993.136772498</v>
      </c>
      <c r="E24" s="85">
        <f t="shared" si="5"/>
        <v>22284895.863268964</v>
      </c>
      <c r="F24" s="85">
        <f t="shared" si="5"/>
        <v>36781157.237848684</v>
      </c>
      <c r="G24" s="85">
        <f t="shared" si="5"/>
        <v>62610380.953502387</v>
      </c>
      <c r="H24" s="85">
        <f t="shared" si="5"/>
        <v>-64902725.18</v>
      </c>
      <c r="I24" s="85">
        <f t="shared" si="5"/>
        <v>87530702.011392593</v>
      </c>
      <c r="J24" s="25"/>
    </row>
    <row r="25" spans="1:10" ht="6.75" customHeight="1" x14ac:dyDescent="0.25">
      <c r="C25" s="66"/>
      <c r="D25" s="66"/>
      <c r="E25" s="66"/>
      <c r="F25" s="66"/>
      <c r="G25" s="66"/>
      <c r="H25" s="66"/>
      <c r="I25" s="66"/>
      <c r="J25" s="25"/>
    </row>
    <row r="26" spans="1:10" x14ac:dyDescent="0.25">
      <c r="B26" s="2" t="s">
        <v>134</v>
      </c>
      <c r="C26" s="112">
        <v>10501164.4</v>
      </c>
      <c r="D26" s="112"/>
      <c r="E26" s="112"/>
      <c r="F26" s="112"/>
      <c r="G26" s="112"/>
      <c r="H26" s="92">
        <f t="shared" ref="H26" si="6">+C26</f>
        <v>10501164.4</v>
      </c>
      <c r="I26" s="92">
        <f>SUM(D26:H26)</f>
        <v>10501164.4</v>
      </c>
      <c r="J26" s="25"/>
    </row>
    <row r="27" spans="1:10" ht="10.5" customHeight="1" x14ac:dyDescent="0.25">
      <c r="C27" s="91"/>
      <c r="D27" s="66"/>
      <c r="E27" s="66"/>
      <c r="F27" s="66"/>
      <c r="G27" s="91"/>
      <c r="H27" s="91"/>
      <c r="I27" s="91"/>
      <c r="J27" s="25"/>
    </row>
    <row r="28" spans="1:10" x14ac:dyDescent="0.25">
      <c r="A28" s="5" t="s">
        <v>135</v>
      </c>
      <c r="C28" s="192">
        <f>+C24-C26</f>
        <v>77029537.558860049</v>
      </c>
      <c r="D28" s="85">
        <f t="shared" ref="D28:I28" si="7">+D24-D26</f>
        <v>30756993.136772498</v>
      </c>
      <c r="E28" s="85">
        <f t="shared" si="7"/>
        <v>22284895.863268964</v>
      </c>
      <c r="F28" s="85">
        <f t="shared" si="7"/>
        <v>36781157.237848684</v>
      </c>
      <c r="G28" s="192">
        <f t="shared" si="7"/>
        <v>62610380.953502387</v>
      </c>
      <c r="H28" s="192">
        <f t="shared" si="7"/>
        <v>-75403889.579999998</v>
      </c>
      <c r="I28" s="192">
        <f t="shared" si="7"/>
        <v>77029537.611392587</v>
      </c>
      <c r="J28" s="25"/>
    </row>
    <row r="29" spans="1:10" ht="8.25" customHeight="1" x14ac:dyDescent="0.25">
      <c r="A29" s="5"/>
      <c r="C29" s="252"/>
      <c r="D29" s="99"/>
      <c r="E29" s="99"/>
      <c r="F29" s="99"/>
      <c r="G29" s="252"/>
      <c r="H29" s="252"/>
      <c r="I29" s="252"/>
      <c r="J29" s="25"/>
    </row>
    <row r="30" spans="1:10" x14ac:dyDescent="0.25">
      <c r="A30" s="5" t="s">
        <v>151</v>
      </c>
      <c r="C30" s="91"/>
      <c r="D30" s="239"/>
      <c r="E30" s="91"/>
      <c r="F30" s="91"/>
      <c r="G30" s="91"/>
      <c r="H30" s="91"/>
      <c r="I30" s="91"/>
      <c r="J30" s="25"/>
    </row>
    <row r="31" spans="1:10" ht="30" x14ac:dyDescent="0.25">
      <c r="B31" s="235" t="s">
        <v>149</v>
      </c>
      <c r="C31" s="92">
        <v>-2263000</v>
      </c>
      <c r="D31" s="26"/>
      <c r="E31" s="92"/>
      <c r="F31" s="92"/>
      <c r="G31" s="92"/>
      <c r="H31" s="92">
        <f t="shared" ref="H31:H32" si="8">+C31</f>
        <v>-2263000</v>
      </c>
      <c r="I31" s="92">
        <f>SUM(D31:H31)</f>
        <v>-2263000</v>
      </c>
      <c r="J31" s="25"/>
    </row>
    <row r="32" spans="1:10" x14ac:dyDescent="0.25">
      <c r="B32" t="s">
        <v>150</v>
      </c>
      <c r="C32" s="92">
        <v>534000</v>
      </c>
      <c r="D32" s="26"/>
      <c r="E32" s="92"/>
      <c r="F32" s="92"/>
      <c r="G32" s="92"/>
      <c r="H32" s="92">
        <f t="shared" si="8"/>
        <v>534000</v>
      </c>
      <c r="I32" s="92">
        <f>SUM(D32:H32)</f>
        <v>534000</v>
      </c>
      <c r="J32" s="25"/>
    </row>
    <row r="33" spans="1:11" x14ac:dyDescent="0.25">
      <c r="A33" s="5" t="s">
        <v>152</v>
      </c>
      <c r="C33" s="192">
        <f>SUM(C28:C32)</f>
        <v>75300537.558860049</v>
      </c>
      <c r="D33" s="192">
        <f t="shared" ref="D33:I33" si="9">SUM(D28:D32)</f>
        <v>30756993.136772498</v>
      </c>
      <c r="E33" s="192">
        <f t="shared" si="9"/>
        <v>22284895.863268964</v>
      </c>
      <c r="F33" s="192">
        <f t="shared" si="9"/>
        <v>36781157.237848684</v>
      </c>
      <c r="G33" s="192">
        <f t="shared" si="9"/>
        <v>62610380.953502387</v>
      </c>
      <c r="H33" s="192">
        <f t="shared" si="9"/>
        <v>-77132889.579999998</v>
      </c>
      <c r="I33" s="192">
        <f t="shared" si="9"/>
        <v>75300537.611392587</v>
      </c>
      <c r="J33" s="25" t="s">
        <v>116</v>
      </c>
    </row>
    <row r="34" spans="1:11" x14ac:dyDescent="0.25">
      <c r="C34" s="66"/>
      <c r="D34" s="91"/>
      <c r="E34" s="484">
        <f>SUM(E33:G33)</f>
        <v>121676434.05462003</v>
      </c>
      <c r="F34" s="485"/>
      <c r="G34" s="486"/>
      <c r="H34" s="66"/>
      <c r="I34" s="91"/>
      <c r="J34" s="91"/>
      <c r="K34" s="25"/>
    </row>
    <row r="35" spans="1:11" x14ac:dyDescent="0.25">
      <c r="A35" s="5" t="s">
        <v>70</v>
      </c>
      <c r="C35" s="66"/>
      <c r="D35" s="253"/>
      <c r="E35" s="253"/>
      <c r="F35" s="66"/>
      <c r="G35" s="66"/>
      <c r="H35" s="66"/>
      <c r="I35" s="253"/>
      <c r="J35" s="253"/>
      <c r="K35" s="25"/>
    </row>
    <row r="36" spans="1:11" x14ac:dyDescent="0.25">
      <c r="A36" s="5"/>
      <c r="B36" s="106" t="s">
        <v>155</v>
      </c>
      <c r="C36" s="107"/>
      <c r="D36" s="107"/>
      <c r="E36" s="107"/>
      <c r="F36" s="107"/>
      <c r="G36" s="107"/>
      <c r="H36" s="107"/>
      <c r="I36" s="66"/>
      <c r="J36" s="66"/>
      <c r="K36" s="25"/>
    </row>
    <row r="37" spans="1:11" x14ac:dyDescent="0.25">
      <c r="A37" s="5"/>
      <c r="B37" s="109" t="s">
        <v>280</v>
      </c>
      <c r="C37" s="110"/>
      <c r="D37" s="110"/>
      <c r="E37" s="110"/>
      <c r="F37" s="110"/>
      <c r="G37" s="110"/>
      <c r="H37" s="110"/>
      <c r="I37" s="66"/>
      <c r="J37" s="66"/>
      <c r="K37" s="25"/>
    </row>
    <row r="38" spans="1:11" x14ac:dyDescent="0.25">
      <c r="A38" s="5"/>
      <c r="B38" s="113" t="s">
        <v>154</v>
      </c>
      <c r="C38" s="114"/>
      <c r="D38" s="114"/>
      <c r="E38" s="114"/>
      <c r="F38" s="114"/>
      <c r="G38" s="114"/>
      <c r="H38" s="114"/>
      <c r="I38" s="66"/>
      <c r="J38" s="66"/>
      <c r="K38" s="25"/>
    </row>
    <row r="39" spans="1:11" ht="10.5" customHeight="1" x14ac:dyDescent="0.25">
      <c r="A39" s="5"/>
      <c r="B39" s="51"/>
      <c r="C39" s="91"/>
      <c r="D39" s="66"/>
      <c r="E39" s="66"/>
      <c r="F39" s="91"/>
      <c r="G39" s="91"/>
      <c r="H39" s="91"/>
      <c r="I39" s="91"/>
      <c r="J39" s="66"/>
      <c r="K39" s="25"/>
    </row>
    <row r="40" spans="1:11" ht="6.75" customHeight="1" x14ac:dyDescent="0.25">
      <c r="A40" s="103"/>
      <c r="I40" s="193"/>
    </row>
    <row r="41" spans="1:11" x14ac:dyDescent="0.25">
      <c r="A41" s="108" t="s">
        <v>21</v>
      </c>
      <c r="B41" t="s">
        <v>282</v>
      </c>
      <c r="I41" s="22" t="s">
        <v>284</v>
      </c>
    </row>
    <row r="42" spans="1:11" x14ac:dyDescent="0.25">
      <c r="A42" s="103"/>
      <c r="B42" t="s">
        <v>252</v>
      </c>
      <c r="D42" t="s">
        <v>327</v>
      </c>
      <c r="I42" s="250">
        <v>949339</v>
      </c>
      <c r="J42" s="115"/>
    </row>
    <row r="43" spans="1:11" x14ac:dyDescent="0.25">
      <c r="A43" s="103"/>
      <c r="B43" t="s">
        <v>283</v>
      </c>
      <c r="D43" s="257" t="s">
        <v>327</v>
      </c>
      <c r="I43" s="193">
        <v>-12468382</v>
      </c>
      <c r="J43" s="66"/>
    </row>
    <row r="44" spans="1:11" ht="15.75" thickBot="1" x14ac:dyDescent="0.3">
      <c r="A44" s="103"/>
      <c r="I44" s="247">
        <f>SUM(I42:I43)</f>
        <v>-11519043</v>
      </c>
    </row>
    <row r="45" spans="1:11" ht="9.75" customHeight="1" thickTop="1" x14ac:dyDescent="0.25"/>
    <row r="46" spans="1:11" x14ac:dyDescent="0.25">
      <c r="A46" s="16" t="s">
        <v>69</v>
      </c>
      <c r="B46" t="s">
        <v>282</v>
      </c>
      <c r="I46" s="115"/>
    </row>
    <row r="47" spans="1:11" ht="15.75" thickBot="1" x14ac:dyDescent="0.3">
      <c r="B47" t="s">
        <v>256</v>
      </c>
      <c r="I47" s="339">
        <v>2032671</v>
      </c>
    </row>
    <row r="48" spans="1:11" ht="11.25" customHeight="1" thickTop="1" x14ac:dyDescent="0.25">
      <c r="I48" s="214"/>
    </row>
    <row r="49" spans="1:9" x14ac:dyDescent="0.25">
      <c r="A49" s="240" t="s">
        <v>35</v>
      </c>
      <c r="B49" t="s">
        <v>328</v>
      </c>
      <c r="I49" s="250"/>
    </row>
    <row r="50" spans="1:9" x14ac:dyDescent="0.25">
      <c r="B50" s="254"/>
    </row>
  </sheetData>
  <mergeCells count="1">
    <mergeCell ref="E34:G34"/>
  </mergeCells>
  <pageMargins left="0.51181102362204722" right="0.11811023622047245" top="0.35433070866141736" bottom="0.35433070866141736" header="0.11811023622047245" footer="0.11811023622047245"/>
  <pageSetup scale="75" fitToHeight="2" orientation="landscape" r:id="rId1"/>
  <headerFooter>
    <oddFooter>&amp;L&amp;Z&amp;F&amp;R&amp;A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18"/>
  <sheetViews>
    <sheetView zoomScaleNormal="100" workbookViewId="0">
      <selection activeCell="D22" sqref="D22"/>
    </sheetView>
  </sheetViews>
  <sheetFormatPr defaultRowHeight="15" x14ac:dyDescent="0.25"/>
  <cols>
    <col min="1" max="1" width="4.28515625" customWidth="1"/>
    <col min="2" max="2" width="36.28515625" customWidth="1"/>
    <col min="3" max="3" width="13.7109375" bestFit="1" customWidth="1"/>
    <col min="4" max="4" width="13.7109375" customWidth="1"/>
    <col min="5" max="5" width="15" customWidth="1"/>
    <col min="6" max="6" width="13.5703125" customWidth="1"/>
  </cols>
  <sheetData>
    <row r="1" spans="1:8" x14ac:dyDescent="0.25">
      <c r="A1" s="242" t="s">
        <v>120</v>
      </c>
      <c r="B1" s="238"/>
      <c r="C1" s="238"/>
      <c r="D1" s="238"/>
      <c r="E1" s="238"/>
      <c r="F1" s="238"/>
      <c r="G1" s="238"/>
      <c r="H1" s="238"/>
    </row>
    <row r="2" spans="1:8" x14ac:dyDescent="0.25">
      <c r="A2" s="11" t="s">
        <v>171</v>
      </c>
      <c r="B2" s="238"/>
      <c r="C2" s="238"/>
      <c r="D2" s="238"/>
      <c r="E2" s="238"/>
      <c r="F2" s="238"/>
      <c r="G2" s="238"/>
      <c r="H2" s="238"/>
    </row>
    <row r="4" spans="1:8" x14ac:dyDescent="0.25">
      <c r="B4" s="11" t="s">
        <v>230</v>
      </c>
    </row>
    <row r="6" spans="1:8" ht="30" x14ac:dyDescent="0.25">
      <c r="B6" s="216" t="s">
        <v>231</v>
      </c>
      <c r="C6" s="198" t="s">
        <v>240</v>
      </c>
      <c r="D6" s="198" t="s">
        <v>241</v>
      </c>
      <c r="E6" s="198" t="s">
        <v>242</v>
      </c>
      <c r="F6" s="198" t="s">
        <v>243</v>
      </c>
    </row>
    <row r="7" spans="1:8" x14ac:dyDescent="0.25">
      <c r="B7" s="2" t="s">
        <v>232</v>
      </c>
      <c r="C7" s="175">
        <f>+'Rate Rider. Calculation'!I17</f>
        <v>0</v>
      </c>
      <c r="D7" s="217">
        <f>+'Rate Rider. Calculation'!O17</f>
        <v>0</v>
      </c>
      <c r="E7" s="310">
        <f>+'Rate Rider. Calculation'!P17</f>
        <v>0</v>
      </c>
      <c r="F7" s="18" t="s">
        <v>244</v>
      </c>
    </row>
    <row r="8" spans="1:8" x14ac:dyDescent="0.25">
      <c r="B8" s="2" t="s">
        <v>233</v>
      </c>
      <c r="C8" s="175">
        <f>+'Rate Rider. Calculation'!I18</f>
        <v>0</v>
      </c>
      <c r="D8" s="217">
        <f>+'Rate Rider. Calculation'!O18</f>
        <v>0</v>
      </c>
      <c r="E8" s="310">
        <f>+'Rate Rider. Calculation'!P18</f>
        <v>0</v>
      </c>
      <c r="F8" s="18" t="s">
        <v>244</v>
      </c>
    </row>
    <row r="9" spans="1:8" x14ac:dyDescent="0.25">
      <c r="B9" s="2" t="s">
        <v>234</v>
      </c>
      <c r="C9" s="175">
        <f>+'Rate Rider. Calculation'!I19</f>
        <v>0</v>
      </c>
      <c r="D9" s="217">
        <f>+'Rate Rider. Calculation'!O19</f>
        <v>0</v>
      </c>
      <c r="E9" s="310">
        <f>+'Rate Rider. Calculation'!Q19</f>
        <v>0</v>
      </c>
      <c r="F9" s="18" t="s">
        <v>245</v>
      </c>
    </row>
    <row r="10" spans="1:8" x14ac:dyDescent="0.25">
      <c r="B10" s="2" t="s">
        <v>235</v>
      </c>
      <c r="C10" s="175">
        <f>+'Rate Rider. Calculation'!I20</f>
        <v>0</v>
      </c>
      <c r="D10" s="217">
        <f>+'Rate Rider. Calculation'!O20</f>
        <v>0</v>
      </c>
      <c r="E10" s="310">
        <f>+'Rate Rider. Calculation'!Q20</f>
        <v>0</v>
      </c>
      <c r="F10" s="18" t="s">
        <v>245</v>
      </c>
    </row>
    <row r="11" spans="1:8" x14ac:dyDescent="0.25">
      <c r="B11" s="2" t="s">
        <v>236</v>
      </c>
      <c r="C11" s="175">
        <f>+'Rate Rider. Calculation'!I21</f>
        <v>0</v>
      </c>
      <c r="D11" s="217">
        <f>+'Rate Rider. Calculation'!O21</f>
        <v>0</v>
      </c>
      <c r="E11" s="310">
        <f>+'Rate Rider. Calculation'!Q21</f>
        <v>0</v>
      </c>
      <c r="F11" s="18" t="s">
        <v>245</v>
      </c>
    </row>
    <row r="12" spans="1:8" x14ac:dyDescent="0.25">
      <c r="B12" s="2" t="s">
        <v>237</v>
      </c>
      <c r="C12" s="175">
        <f>+'Rate Rider. Calculation'!I22</f>
        <v>0</v>
      </c>
      <c r="D12" s="217">
        <f>+'Rate Rider. Calculation'!O22</f>
        <v>0</v>
      </c>
      <c r="E12" s="310">
        <f>+'Rate Rider. Calculation'!P22</f>
        <v>0</v>
      </c>
      <c r="F12" s="18" t="s">
        <v>244</v>
      </c>
    </row>
    <row r="13" spans="1:8" x14ac:dyDescent="0.25">
      <c r="B13" s="2" t="s">
        <v>238</v>
      </c>
      <c r="C13" s="175">
        <f>+'Rate Rider. Calculation'!I23</f>
        <v>0</v>
      </c>
      <c r="D13" s="217">
        <f>+'Rate Rider. Calculation'!O23</f>
        <v>0</v>
      </c>
      <c r="E13" s="310">
        <f>+'Rate Rider. Calculation'!Q23</f>
        <v>0</v>
      </c>
      <c r="F13" s="18" t="s">
        <v>245</v>
      </c>
    </row>
    <row r="14" spans="1:8" x14ac:dyDescent="0.25">
      <c r="B14" s="2" t="s">
        <v>239</v>
      </c>
      <c r="C14" s="175">
        <f>+'Rate Rider. Calculation'!I24</f>
        <v>0</v>
      </c>
      <c r="D14" s="217">
        <f>+'Rate Rider. Calculation'!O24</f>
        <v>0</v>
      </c>
      <c r="E14" s="310">
        <f>+'Rate Rider. Calculation'!Q24</f>
        <v>0</v>
      </c>
      <c r="F14" s="18" t="s">
        <v>245</v>
      </c>
    </row>
    <row r="15" spans="1:8" x14ac:dyDescent="0.25">
      <c r="B15" s="6" t="s">
        <v>31</v>
      </c>
      <c r="C15" s="420">
        <f>+SUM(C7:C14)</f>
        <v>0</v>
      </c>
      <c r="D15" s="257"/>
      <c r="E15" s="257"/>
      <c r="F15" s="257"/>
      <c r="G15" s="257"/>
    </row>
    <row r="18" spans="1:1" x14ac:dyDescent="0.25">
      <c r="A18" s="5" t="s">
        <v>70</v>
      </c>
    </row>
  </sheetData>
  <pageMargins left="0.70866141732283472" right="0.51181102362204722" top="0.55118110236220474" bottom="0.55118110236220474" header="0.31496062992125984" footer="0.31496062992125984"/>
  <pageSetup scale="96" orientation="portrait" r:id="rId1"/>
  <headerFooter>
    <oddFooter>&amp;L&amp;Z&amp;F&amp;R&amp;A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40"/>
  <sheetViews>
    <sheetView showGridLines="0" zoomScale="80" zoomScaleNormal="80" workbookViewId="0">
      <selection activeCell="D22" sqref="D22"/>
    </sheetView>
  </sheetViews>
  <sheetFormatPr defaultRowHeight="15" x14ac:dyDescent="0.25"/>
  <cols>
    <col min="1" max="1" width="30.7109375" style="257" customWidth="1"/>
    <col min="2" max="2" width="2.7109375" style="257" customWidth="1"/>
    <col min="3" max="3" width="14.140625" style="257" customWidth="1"/>
    <col min="4" max="4" width="14" style="257" customWidth="1"/>
    <col min="5" max="5" width="13.140625" style="257" customWidth="1"/>
    <col min="6" max="6" width="2.140625" style="257" customWidth="1"/>
    <col min="7" max="7" width="13.140625" style="257" customWidth="1"/>
    <col min="8" max="8" width="14.85546875" style="257" customWidth="1"/>
    <col min="9" max="9" width="15.5703125" style="257" customWidth="1"/>
    <col min="10" max="10" width="2.5703125" style="257" customWidth="1"/>
    <col min="11" max="11" width="14.42578125" style="257" customWidth="1"/>
    <col min="12" max="12" width="14.5703125" style="257" customWidth="1"/>
    <col min="13" max="14" width="14.7109375" style="257" customWidth="1"/>
    <col min="15" max="15" width="1.7109375" style="257" customWidth="1"/>
    <col min="16" max="16" width="12.42578125" style="257" customWidth="1"/>
    <col min="17" max="17" width="16.140625" style="257" customWidth="1"/>
    <col min="18" max="18" width="16.28515625" style="257" customWidth="1"/>
    <col min="19" max="19" width="11.28515625" style="257" customWidth="1"/>
    <col min="20" max="16384" width="9.140625" style="257"/>
  </cols>
  <sheetData>
    <row r="1" spans="1:26" x14ac:dyDescent="0.25">
      <c r="A1" s="5" t="s">
        <v>390</v>
      </c>
    </row>
    <row r="3" spans="1:26" ht="29.25" customHeight="1" thickBot="1" x14ac:dyDescent="0.3">
      <c r="C3" s="487" t="s">
        <v>339</v>
      </c>
      <c r="D3" s="487"/>
      <c r="E3" s="487"/>
      <c r="G3" s="487" t="s">
        <v>340</v>
      </c>
      <c r="H3" s="487"/>
      <c r="I3" s="487"/>
    </row>
    <row r="4" spans="1:26" s="22" customFormat="1" ht="78.75" x14ac:dyDescent="0.25">
      <c r="A4" s="373" t="s">
        <v>231</v>
      </c>
      <c r="B4" s="374"/>
      <c r="C4" s="375" t="s">
        <v>341</v>
      </c>
      <c r="D4" s="375" t="s">
        <v>342</v>
      </c>
      <c r="E4" s="375" t="s">
        <v>343</v>
      </c>
      <c r="F4" s="375"/>
      <c r="G4" s="375" t="s">
        <v>344</v>
      </c>
      <c r="H4" s="375" t="s">
        <v>345</v>
      </c>
      <c r="I4" s="375" t="s">
        <v>346</v>
      </c>
      <c r="J4" s="375"/>
      <c r="K4" s="375" t="s">
        <v>347</v>
      </c>
      <c r="L4" s="375" t="s">
        <v>348</v>
      </c>
      <c r="M4" s="375" t="s">
        <v>349</v>
      </c>
      <c r="N4" s="375" t="s">
        <v>350</v>
      </c>
      <c r="O4" s="375"/>
      <c r="P4" s="375" t="s">
        <v>351</v>
      </c>
      <c r="Q4" s="375" t="s">
        <v>352</v>
      </c>
      <c r="R4" s="375" t="s">
        <v>352</v>
      </c>
      <c r="S4" s="375" t="s">
        <v>353</v>
      </c>
    </row>
    <row r="5" spans="1:26" ht="34.5" x14ac:dyDescent="0.35">
      <c r="A5" s="376"/>
      <c r="B5" s="374"/>
      <c r="C5" s="374" t="s">
        <v>354</v>
      </c>
      <c r="D5" s="374" t="s">
        <v>355</v>
      </c>
      <c r="E5" s="374" t="s">
        <v>356</v>
      </c>
      <c r="F5" s="374"/>
      <c r="G5" s="374" t="s">
        <v>357</v>
      </c>
      <c r="H5" s="374" t="s">
        <v>358</v>
      </c>
      <c r="I5" s="374" t="s">
        <v>359</v>
      </c>
      <c r="J5" s="374"/>
      <c r="K5" s="374" t="s">
        <v>360</v>
      </c>
      <c r="L5" s="374" t="s">
        <v>361</v>
      </c>
      <c r="M5" s="374" t="s">
        <v>362</v>
      </c>
      <c r="N5" s="374" t="s">
        <v>363</v>
      </c>
      <c r="O5" s="374"/>
      <c r="P5" s="374" t="s">
        <v>364</v>
      </c>
      <c r="Q5" s="374" t="s">
        <v>365</v>
      </c>
      <c r="R5" s="374" t="s">
        <v>366</v>
      </c>
      <c r="S5" s="374" t="s">
        <v>367</v>
      </c>
    </row>
    <row r="6" spans="1:26" x14ac:dyDescent="0.25">
      <c r="A6" s="345" t="s">
        <v>232</v>
      </c>
      <c r="B6" s="345"/>
      <c r="C6" s="377">
        <v>23.67</v>
      </c>
      <c r="D6" s="378">
        <v>4.0000000000000001E-3</v>
      </c>
      <c r="E6" s="379"/>
      <c r="F6" s="380"/>
      <c r="G6" s="381">
        <v>227762</v>
      </c>
      <c r="H6" s="381">
        <v>1652719193</v>
      </c>
      <c r="I6" s="381"/>
      <c r="J6" s="345"/>
      <c r="K6" s="382">
        <f t="shared" ref="K6:K13" si="0">G6*C6*12</f>
        <v>64693518.480000004</v>
      </c>
      <c r="L6" s="382">
        <f t="shared" ref="L6:M13" si="1">H6*D6</f>
        <v>6610876.7719999999</v>
      </c>
      <c r="M6" s="382">
        <f t="shared" si="1"/>
        <v>0</v>
      </c>
      <c r="N6" s="382">
        <f t="shared" ref="N6:N13" si="2">SUM(K6,L6,M6)</f>
        <v>71304395.252000004</v>
      </c>
      <c r="O6" s="345"/>
      <c r="P6" s="383">
        <f>IF(ISERROR(K6/N14),0,K6/N14)</f>
        <v>0.55720017923780107</v>
      </c>
      <c r="Q6" s="383">
        <f>IF(ISERROR(L6/N14),0,L6/N14)</f>
        <v>5.6938960947319553E-2</v>
      </c>
      <c r="R6" s="383">
        <f>IF(ISERROR(M6/N14),0,M6/N14)</f>
        <v>0</v>
      </c>
      <c r="S6" s="384">
        <f>N6/N14</f>
        <v>0.61413914018512061</v>
      </c>
    </row>
    <row r="7" spans="1:26" x14ac:dyDescent="0.25">
      <c r="A7" s="385" t="s">
        <v>233</v>
      </c>
      <c r="B7" s="385"/>
      <c r="C7" s="377">
        <v>41.22</v>
      </c>
      <c r="D7" s="379">
        <v>1.06E-2</v>
      </c>
      <c r="E7" s="386"/>
      <c r="F7" s="387"/>
      <c r="G7" s="381">
        <v>18709</v>
      </c>
      <c r="H7" s="381">
        <v>594472785</v>
      </c>
      <c r="I7" s="381"/>
      <c r="J7" s="385"/>
      <c r="K7" s="388">
        <f t="shared" si="0"/>
        <v>9254219.7599999998</v>
      </c>
      <c r="L7" s="388">
        <f t="shared" si="1"/>
        <v>6301411.5209999997</v>
      </c>
      <c r="M7" s="388">
        <f t="shared" si="1"/>
        <v>0</v>
      </c>
      <c r="N7" s="388">
        <f t="shared" si="2"/>
        <v>15555631.280999999</v>
      </c>
      <c r="O7" s="385"/>
      <c r="P7" s="389">
        <f>IF(ISERROR(K7/N14),0,K7/N14)</f>
        <v>7.970586590636769E-2</v>
      </c>
      <c r="Q7" s="389">
        <f>IF(ISERROR(L7/N14),0,L7/N14)</f>
        <v>5.4273561114747772E-2</v>
      </c>
      <c r="R7" s="389">
        <f>IF(ISERROR(M7/N14),0,M7/N14)</f>
        <v>0</v>
      </c>
      <c r="S7" s="390">
        <f>N7/N14</f>
        <v>0.13397942702111545</v>
      </c>
    </row>
    <row r="8" spans="1:26" x14ac:dyDescent="0.25">
      <c r="A8" s="385" t="s">
        <v>234</v>
      </c>
      <c r="B8" s="385"/>
      <c r="C8" s="377">
        <v>379.54</v>
      </c>
      <c r="D8" s="379"/>
      <c r="E8" s="379">
        <v>2.5565000000000002</v>
      </c>
      <c r="F8" s="387"/>
      <c r="G8" s="381">
        <v>2316</v>
      </c>
      <c r="H8" s="381">
        <v>1840510488</v>
      </c>
      <c r="I8" s="381">
        <v>5066406</v>
      </c>
      <c r="J8" s="385"/>
      <c r="K8" s="388">
        <f t="shared" si="0"/>
        <v>10548175.68</v>
      </c>
      <c r="L8" s="388">
        <f t="shared" si="1"/>
        <v>0</v>
      </c>
      <c r="M8" s="388">
        <f t="shared" si="1"/>
        <v>12952266.939000001</v>
      </c>
      <c r="N8" s="388">
        <f t="shared" si="2"/>
        <v>23500442.619000003</v>
      </c>
      <c r="O8" s="385"/>
      <c r="P8" s="389">
        <f>IF(ISERROR(K8/N14),0,K8/N14)</f>
        <v>9.0850606329980738E-2</v>
      </c>
      <c r="Q8" s="389">
        <f>IF(ISERROR(L8/N14),0,L8/N14)</f>
        <v>0</v>
      </c>
      <c r="R8" s="389">
        <f>IF(ISERROR(M8/N14),0,M8/N14)</f>
        <v>0.11155685499124279</v>
      </c>
      <c r="S8" s="390">
        <f>N8/N14</f>
        <v>0.20240746132122353</v>
      </c>
    </row>
    <row r="9" spans="1:26" x14ac:dyDescent="0.25">
      <c r="A9" s="385" t="s">
        <v>235</v>
      </c>
      <c r="B9" s="385"/>
      <c r="C9" s="377">
        <v>23720.06</v>
      </c>
      <c r="D9" s="379"/>
      <c r="E9" s="379">
        <v>1.3995</v>
      </c>
      <c r="F9" s="387"/>
      <c r="G9" s="391">
        <v>6</v>
      </c>
      <c r="H9" s="381">
        <v>242051739</v>
      </c>
      <c r="I9" s="381">
        <v>569520</v>
      </c>
      <c r="J9" s="385"/>
      <c r="K9" s="388">
        <f t="shared" si="0"/>
        <v>1707844.3200000003</v>
      </c>
      <c r="L9" s="388">
        <f t="shared" si="1"/>
        <v>0</v>
      </c>
      <c r="M9" s="388">
        <f t="shared" si="1"/>
        <v>797043.24</v>
      </c>
      <c r="N9" s="388">
        <f t="shared" si="2"/>
        <v>2504887.5600000005</v>
      </c>
      <c r="O9" s="385"/>
      <c r="P9" s="389">
        <f>IF(ISERROR(K9/N14),0,K9/N14)</f>
        <v>1.4709528613881948E-2</v>
      </c>
      <c r="Q9" s="389">
        <f>IF(ISERROR(L9/N14),0,L9/N14)</f>
        <v>0</v>
      </c>
      <c r="R9" s="389">
        <f>IF(ISERROR(M9/N14),0,M9/N14)</f>
        <v>6.8648706489132308E-3</v>
      </c>
      <c r="S9" s="390">
        <f>N9/N14</f>
        <v>2.1574399262795182E-2</v>
      </c>
    </row>
    <row r="10" spans="1:26" x14ac:dyDescent="0.25">
      <c r="A10" s="385" t="s">
        <v>236</v>
      </c>
      <c r="B10" s="385"/>
      <c r="C10" s="377">
        <v>5610.14</v>
      </c>
      <c r="D10" s="379"/>
      <c r="E10" s="392">
        <v>0.33100000000000002</v>
      </c>
      <c r="F10" s="387"/>
      <c r="G10" s="391">
        <v>5</v>
      </c>
      <c r="H10" s="381">
        <v>403775839</v>
      </c>
      <c r="I10" s="381">
        <v>2136952</v>
      </c>
      <c r="J10" s="385"/>
      <c r="K10" s="388">
        <f t="shared" si="0"/>
        <v>336608.4</v>
      </c>
      <c r="L10" s="388">
        <f t="shared" si="1"/>
        <v>0</v>
      </c>
      <c r="M10" s="388">
        <f t="shared" si="1"/>
        <v>707331.11200000008</v>
      </c>
      <c r="N10" s="388">
        <f t="shared" si="2"/>
        <v>1043939.5120000001</v>
      </c>
      <c r="O10" s="385"/>
      <c r="P10" s="389">
        <f>IF(ISERROR(K10/N14),0,K10/N14)</f>
        <v>2.8991816370434863E-3</v>
      </c>
      <c r="Q10" s="389">
        <f>IF(ISERROR(L10/N14),0,L10/N14)</f>
        <v>0</v>
      </c>
      <c r="R10" s="389">
        <f>IF(ISERROR(M10/N14),0,M10/N14)</f>
        <v>6.0921871564106828E-3</v>
      </c>
      <c r="S10" s="390">
        <f>N10/N14</f>
        <v>8.99136879345417E-3</v>
      </c>
    </row>
    <row r="11" spans="1:26" x14ac:dyDescent="0.25">
      <c r="A11" s="385" t="s">
        <v>237</v>
      </c>
      <c r="B11" s="385"/>
      <c r="C11" s="377">
        <v>8.43</v>
      </c>
      <c r="D11" s="379">
        <v>1.3100000000000001E-2</v>
      </c>
      <c r="E11" s="379"/>
      <c r="F11" s="387"/>
      <c r="G11" s="381">
        <v>1857</v>
      </c>
      <c r="H11" s="381">
        <v>10504342</v>
      </c>
      <c r="I11" s="381"/>
      <c r="J11" s="385"/>
      <c r="K11" s="388">
        <f t="shared" si="0"/>
        <v>187854.12</v>
      </c>
      <c r="L11" s="388">
        <f t="shared" si="1"/>
        <v>137606.88020000001</v>
      </c>
      <c r="M11" s="388">
        <f t="shared" si="1"/>
        <v>0</v>
      </c>
      <c r="N11" s="388">
        <f t="shared" si="2"/>
        <v>325461.00020000001</v>
      </c>
      <c r="O11" s="385"/>
      <c r="P11" s="389">
        <f>IF(ISERROR(K11/N14),0,K11/N14)</f>
        <v>1.6179727396789965E-3</v>
      </c>
      <c r="Q11" s="389">
        <f>IF(ISERROR(L11/N14),0,L11/N14)</f>
        <v>1.1851972208854055E-3</v>
      </c>
      <c r="R11" s="389">
        <f>IF(ISERROR(M11/N14),0,M11/N14)</f>
        <v>0</v>
      </c>
      <c r="S11" s="390">
        <f>N11/N14</f>
        <v>2.8031699605644022E-3</v>
      </c>
    </row>
    <row r="12" spans="1:26" x14ac:dyDescent="0.25">
      <c r="A12" s="385" t="s">
        <v>238</v>
      </c>
      <c r="B12" s="385"/>
      <c r="C12" s="377">
        <v>5.49</v>
      </c>
      <c r="D12" s="379"/>
      <c r="E12" s="379">
        <v>15.050700000000001</v>
      </c>
      <c r="F12" s="387"/>
      <c r="G12" s="381">
        <v>248</v>
      </c>
      <c r="H12" s="381">
        <v>363731</v>
      </c>
      <c r="I12" s="381">
        <v>1030</v>
      </c>
      <c r="J12" s="385"/>
      <c r="K12" s="388">
        <f t="shared" si="0"/>
        <v>16338.24</v>
      </c>
      <c r="L12" s="388">
        <f t="shared" si="1"/>
        <v>0</v>
      </c>
      <c r="M12" s="388">
        <f t="shared" si="1"/>
        <v>15502.221000000001</v>
      </c>
      <c r="N12" s="388">
        <f t="shared" si="2"/>
        <v>31840.461000000003</v>
      </c>
      <c r="O12" s="385"/>
      <c r="P12" s="389">
        <f>IF(ISERROR(K12/N14),0,K12/N14)</f>
        <v>1.4071997427755626E-4</v>
      </c>
      <c r="Q12" s="389">
        <f>IF(ISERROR(L12/N14),0,L12/N14)</f>
        <v>0</v>
      </c>
      <c r="R12" s="389">
        <f>IF(ISERROR(M12/N14),0,M12/N14)</f>
        <v>1.3351940847759568E-4</v>
      </c>
      <c r="S12" s="390">
        <f>N12/N14</f>
        <v>2.7423938275515197E-4</v>
      </c>
    </row>
    <row r="13" spans="1:26" x14ac:dyDescent="0.25">
      <c r="A13" s="385" t="s">
        <v>239</v>
      </c>
      <c r="B13" s="385"/>
      <c r="C13" s="377">
        <v>2</v>
      </c>
      <c r="D13" s="379"/>
      <c r="E13" s="379">
        <v>5.3152999999999997</v>
      </c>
      <c r="F13" s="387"/>
      <c r="G13" s="391">
        <f>39778*0+52273</f>
        <v>52273</v>
      </c>
      <c r="H13" s="381">
        <v>39610413</v>
      </c>
      <c r="I13" s="381">
        <v>109773</v>
      </c>
      <c r="J13" s="385"/>
      <c r="K13" s="388">
        <f t="shared" si="0"/>
        <v>1254552</v>
      </c>
      <c r="L13" s="388">
        <f t="shared" si="1"/>
        <v>0</v>
      </c>
      <c r="M13" s="388">
        <f t="shared" si="1"/>
        <v>583476.42689999996</v>
      </c>
      <c r="N13" s="388">
        <f t="shared" si="2"/>
        <v>1838028.4268999998</v>
      </c>
      <c r="O13" s="385"/>
      <c r="P13" s="389">
        <f>IF(ISERROR(K13/N14),0,K13/N14)</f>
        <v>1.0805357564208676E-2</v>
      </c>
      <c r="Q13" s="389">
        <f>IF(ISERROR(L13/N14),0,L13/N14)</f>
        <v>0</v>
      </c>
      <c r="R13" s="389">
        <f>IF(ISERROR(M13/N14),0,M13/N14)</f>
        <v>5.0254365087627822E-3</v>
      </c>
      <c r="S13" s="390">
        <f>N13/N14</f>
        <v>1.5830794072971457E-2</v>
      </c>
    </row>
    <row r="14" spans="1:26" x14ac:dyDescent="0.25">
      <c r="A14" s="393" t="s">
        <v>31</v>
      </c>
      <c r="B14" s="393"/>
      <c r="C14" s="394"/>
      <c r="D14" s="394"/>
      <c r="E14" s="394"/>
      <c r="F14" s="394"/>
      <c r="G14" s="394"/>
      <c r="H14" s="395">
        <f>SUM(H6:H13)</f>
        <v>4784008530</v>
      </c>
      <c r="I14" s="396">
        <f>SUM(I6:I13)</f>
        <v>7883681</v>
      </c>
      <c r="J14" s="393"/>
      <c r="K14" s="397">
        <f>SUM(K6:K13)</f>
        <v>87999111.000000015</v>
      </c>
      <c r="L14" s="397">
        <f>SUM(L6:L13)</f>
        <v>13049895.1732</v>
      </c>
      <c r="M14" s="397">
        <f>SUM(M6:M13)</f>
        <v>15055619.938900001</v>
      </c>
      <c r="N14" s="397">
        <f>SUM(N6:N13)</f>
        <v>116104626.11210001</v>
      </c>
      <c r="O14" s="393"/>
      <c r="P14" s="398"/>
      <c r="Q14" s="398"/>
      <c r="R14" s="398"/>
      <c r="S14" s="398">
        <f>SUM(S6:S13)</f>
        <v>1</v>
      </c>
      <c r="T14" s="5"/>
      <c r="U14" s="5"/>
      <c r="V14" s="5"/>
      <c r="W14" s="5"/>
      <c r="X14" s="5"/>
      <c r="Y14" s="5"/>
      <c r="Z14" s="5"/>
    </row>
    <row r="15" spans="1:26" x14ac:dyDescent="0.25">
      <c r="C15" s="399"/>
      <c r="D15" s="399"/>
      <c r="E15" s="399"/>
      <c r="F15" s="399"/>
      <c r="G15" s="399"/>
      <c r="H15" s="399"/>
      <c r="I15" s="399"/>
      <c r="L15" s="400"/>
    </row>
    <row r="16" spans="1:26" x14ac:dyDescent="0.25">
      <c r="C16" s="399"/>
      <c r="D16" s="399"/>
      <c r="E16" s="399"/>
      <c r="F16" s="399"/>
      <c r="G16" s="399"/>
      <c r="H16" s="399"/>
      <c r="I16" s="399"/>
    </row>
    <row r="17" spans="3:9" x14ac:dyDescent="0.25">
      <c r="C17" s="399"/>
      <c r="D17" s="399"/>
      <c r="E17" s="399"/>
      <c r="F17" s="399"/>
      <c r="G17" s="399"/>
      <c r="H17" s="399"/>
      <c r="I17" s="399"/>
    </row>
    <row r="18" spans="3:9" x14ac:dyDescent="0.25">
      <c r="C18" s="399"/>
      <c r="D18" s="399"/>
      <c r="E18" s="399"/>
      <c r="F18" s="399"/>
      <c r="G18" s="399"/>
      <c r="H18" s="399"/>
      <c r="I18" s="399"/>
    </row>
    <row r="19" spans="3:9" x14ac:dyDescent="0.25">
      <c r="C19" s="399"/>
      <c r="D19" s="399"/>
      <c r="E19" s="399"/>
      <c r="F19" s="399"/>
      <c r="G19" s="399"/>
      <c r="H19" s="399"/>
      <c r="I19" s="399"/>
    </row>
    <row r="20" spans="3:9" x14ac:dyDescent="0.25">
      <c r="C20" s="399"/>
      <c r="D20" s="399"/>
      <c r="E20" s="399"/>
      <c r="F20" s="399"/>
      <c r="G20" s="399"/>
      <c r="H20" s="399"/>
      <c r="I20" s="399"/>
    </row>
    <row r="21" spans="3:9" x14ac:dyDescent="0.25">
      <c r="C21" s="399"/>
      <c r="D21" s="399"/>
      <c r="E21" s="399"/>
      <c r="F21" s="399"/>
      <c r="G21" s="399"/>
      <c r="H21" s="399"/>
      <c r="I21" s="399"/>
    </row>
    <row r="22" spans="3:9" x14ac:dyDescent="0.25">
      <c r="C22" s="399"/>
      <c r="D22" s="399"/>
      <c r="E22" s="399"/>
      <c r="F22" s="399"/>
      <c r="G22" s="399"/>
      <c r="H22" s="399"/>
      <c r="I22" s="399"/>
    </row>
    <row r="23" spans="3:9" x14ac:dyDescent="0.25">
      <c r="C23" s="399"/>
      <c r="D23" s="399"/>
      <c r="E23" s="399"/>
      <c r="F23" s="399"/>
      <c r="G23" s="399"/>
      <c r="H23" s="399"/>
      <c r="I23" s="399"/>
    </row>
    <row r="24" spans="3:9" x14ac:dyDescent="0.25">
      <c r="C24" s="399"/>
      <c r="D24" s="399"/>
      <c r="E24" s="399"/>
      <c r="F24" s="399"/>
      <c r="G24" s="399"/>
      <c r="H24" s="399"/>
      <c r="I24" s="399"/>
    </row>
    <row r="25" spans="3:9" x14ac:dyDescent="0.25">
      <c r="C25" s="399"/>
      <c r="D25" s="399"/>
      <c r="E25" s="399"/>
      <c r="F25" s="399"/>
      <c r="G25" s="399"/>
      <c r="H25" s="399"/>
      <c r="I25" s="399"/>
    </row>
    <row r="26" spans="3:9" x14ac:dyDescent="0.25">
      <c r="C26" s="399"/>
      <c r="D26" s="399"/>
      <c r="E26" s="399"/>
      <c r="F26" s="399"/>
      <c r="G26" s="399"/>
      <c r="H26" s="399"/>
      <c r="I26" s="399"/>
    </row>
    <row r="27" spans="3:9" x14ac:dyDescent="0.25">
      <c r="C27" s="399"/>
      <c r="D27" s="399"/>
      <c r="E27" s="399"/>
      <c r="F27" s="399"/>
      <c r="G27" s="399"/>
      <c r="H27" s="399"/>
      <c r="I27" s="399"/>
    </row>
    <row r="28" spans="3:9" x14ac:dyDescent="0.25">
      <c r="C28" s="399"/>
      <c r="D28" s="399"/>
      <c r="E28" s="399"/>
      <c r="F28" s="399"/>
      <c r="G28" s="399"/>
      <c r="H28" s="399"/>
      <c r="I28" s="399"/>
    </row>
    <row r="29" spans="3:9" x14ac:dyDescent="0.25">
      <c r="C29" s="399"/>
      <c r="D29" s="399"/>
      <c r="E29" s="399"/>
      <c r="F29" s="399"/>
      <c r="G29" s="399"/>
      <c r="H29" s="399"/>
      <c r="I29" s="399"/>
    </row>
    <row r="30" spans="3:9" x14ac:dyDescent="0.25">
      <c r="C30" s="399"/>
      <c r="D30" s="399"/>
      <c r="E30" s="399"/>
      <c r="F30" s="399"/>
      <c r="G30" s="399"/>
      <c r="H30" s="399"/>
      <c r="I30" s="399"/>
    </row>
    <row r="31" spans="3:9" x14ac:dyDescent="0.25">
      <c r="C31" s="399"/>
      <c r="D31" s="399"/>
      <c r="E31" s="399"/>
      <c r="F31" s="399"/>
      <c r="G31" s="399"/>
      <c r="H31" s="399"/>
      <c r="I31" s="399"/>
    </row>
    <row r="32" spans="3:9" x14ac:dyDescent="0.25">
      <c r="C32" s="399"/>
      <c r="D32" s="399"/>
      <c r="E32" s="399"/>
      <c r="F32" s="399"/>
      <c r="G32" s="399"/>
      <c r="H32" s="399"/>
      <c r="I32" s="399"/>
    </row>
    <row r="33" spans="3:9" x14ac:dyDescent="0.25">
      <c r="C33" s="399"/>
      <c r="D33" s="399"/>
      <c r="E33" s="399"/>
      <c r="F33" s="399"/>
      <c r="G33" s="399"/>
      <c r="H33" s="399"/>
      <c r="I33" s="399"/>
    </row>
    <row r="34" spans="3:9" x14ac:dyDescent="0.25">
      <c r="C34" s="399"/>
      <c r="D34" s="399"/>
      <c r="E34" s="399"/>
      <c r="F34" s="399"/>
      <c r="G34" s="399"/>
      <c r="H34" s="399"/>
      <c r="I34" s="399"/>
    </row>
    <row r="35" spans="3:9" x14ac:dyDescent="0.25">
      <c r="C35" s="399"/>
      <c r="D35" s="399"/>
      <c r="E35" s="399"/>
      <c r="F35" s="399"/>
      <c r="G35" s="399"/>
      <c r="H35" s="399"/>
      <c r="I35" s="399"/>
    </row>
    <row r="36" spans="3:9" x14ac:dyDescent="0.25">
      <c r="C36" s="399"/>
      <c r="D36" s="399"/>
      <c r="E36" s="399"/>
      <c r="F36" s="399"/>
      <c r="G36" s="399"/>
      <c r="H36" s="399"/>
      <c r="I36" s="399"/>
    </row>
    <row r="37" spans="3:9" x14ac:dyDescent="0.25">
      <c r="C37" s="399"/>
      <c r="D37" s="399"/>
      <c r="E37" s="399"/>
      <c r="F37" s="399"/>
      <c r="G37" s="399"/>
      <c r="H37" s="399"/>
      <c r="I37" s="399"/>
    </row>
    <row r="38" spans="3:9" x14ac:dyDescent="0.25">
      <c r="C38" s="399"/>
      <c r="D38" s="399"/>
      <c r="E38" s="399"/>
      <c r="F38" s="399"/>
      <c r="G38" s="399"/>
      <c r="H38" s="399"/>
      <c r="I38" s="399"/>
    </row>
    <row r="39" spans="3:9" x14ac:dyDescent="0.25">
      <c r="C39" s="399"/>
      <c r="D39" s="399"/>
      <c r="E39" s="399"/>
      <c r="F39" s="399"/>
      <c r="G39" s="399"/>
      <c r="H39" s="399"/>
      <c r="I39" s="399"/>
    </row>
    <row r="40" spans="3:9" x14ac:dyDescent="0.25">
      <c r="C40" s="399"/>
      <c r="D40" s="399"/>
      <c r="E40" s="399"/>
      <c r="F40" s="399"/>
      <c r="G40" s="399"/>
      <c r="H40" s="399"/>
      <c r="I40" s="399"/>
    </row>
  </sheetData>
  <mergeCells count="2">
    <mergeCell ref="C3:E3"/>
    <mergeCell ref="G3:I3"/>
  </mergeCells>
  <pageMargins left="0.31496062992125984" right="0.31496062992125984" top="0.74803149606299213" bottom="0.74803149606299213" header="0.31496062992125984" footer="0.31496062992125984"/>
  <pageSetup scale="5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40"/>
  <sheetViews>
    <sheetView showGridLines="0" topLeftCell="E1" zoomScale="90" zoomScaleNormal="90" workbookViewId="0">
      <selection activeCell="Z15" sqref="Z15"/>
    </sheetView>
  </sheetViews>
  <sheetFormatPr defaultRowHeight="15" x14ac:dyDescent="0.25"/>
  <cols>
    <col min="1" max="1" width="32.5703125" style="257" customWidth="1"/>
    <col min="2" max="2" width="1.28515625" style="257" customWidth="1"/>
    <col min="3" max="3" width="16.140625" style="257" customWidth="1"/>
    <col min="4" max="4" width="15.7109375" style="257" customWidth="1"/>
    <col min="5" max="5" width="16.5703125" style="257" customWidth="1"/>
    <col min="6" max="6" width="15.42578125" style="257" bestFit="1" customWidth="1"/>
    <col min="7" max="8" width="16.85546875" style="257" bestFit="1" customWidth="1"/>
    <col min="9" max="9" width="12.28515625" style="257" customWidth="1"/>
    <col min="10" max="10" width="1.85546875" style="257" customWidth="1"/>
    <col min="11" max="13" width="14.28515625" style="257" customWidth="1"/>
    <col min="14" max="14" width="2.140625" style="257" customWidth="1"/>
    <col min="15" max="15" width="13.42578125" style="257" customWidth="1"/>
    <col min="16" max="16" width="16.85546875" style="257" bestFit="1" customWidth="1"/>
    <col min="17" max="17" width="14" style="257" customWidth="1"/>
    <col min="18" max="18" width="20" style="257" customWidth="1"/>
    <col min="19" max="23" width="9.140625" style="257"/>
    <col min="24" max="24" width="9.140625" style="257" hidden="1" customWidth="1"/>
    <col min="25" max="16384" width="9.140625" style="257"/>
  </cols>
  <sheetData>
    <row r="1" spans="1:24" x14ac:dyDescent="0.25">
      <c r="X1" s="401" t="b">
        <v>1</v>
      </c>
    </row>
    <row r="2" spans="1:24" x14ac:dyDescent="0.25">
      <c r="X2" s="401" t="b">
        <v>0</v>
      </c>
    </row>
    <row r="3" spans="1:24" x14ac:dyDescent="0.25">
      <c r="X3" s="401" t="b">
        <v>0</v>
      </c>
    </row>
    <row r="11" spans="1:24" x14ac:dyDescent="0.25">
      <c r="A11" s="5" t="s">
        <v>390</v>
      </c>
    </row>
    <row r="13" spans="1:24" ht="21" x14ac:dyDescent="0.25">
      <c r="A13" s="488" t="s">
        <v>368</v>
      </c>
      <c r="B13" s="488"/>
      <c r="C13" s="488"/>
      <c r="D13" s="488"/>
      <c r="E13" s="489"/>
      <c r="F13" s="489"/>
    </row>
    <row r="14" spans="1:24" ht="43.5" customHeight="1" x14ac:dyDescent="0.25"/>
    <row r="15" spans="1:24" ht="62.45" customHeight="1" x14ac:dyDescent="0.25">
      <c r="A15" s="402" t="s">
        <v>231</v>
      </c>
      <c r="B15" s="374"/>
      <c r="C15" s="374" t="s">
        <v>369</v>
      </c>
      <c r="D15" s="374" t="s">
        <v>370</v>
      </c>
      <c r="E15" s="374" t="s">
        <v>371</v>
      </c>
      <c r="F15" s="374" t="s">
        <v>372</v>
      </c>
      <c r="G15" s="374" t="s">
        <v>373</v>
      </c>
      <c r="H15" s="374" t="s">
        <v>374</v>
      </c>
      <c r="I15" s="374" t="s">
        <v>375</v>
      </c>
      <c r="J15" s="374"/>
      <c r="K15" s="374" t="s">
        <v>376</v>
      </c>
      <c r="L15" s="374" t="s">
        <v>377</v>
      </c>
      <c r="M15" s="374" t="s">
        <v>378</v>
      </c>
      <c r="N15" s="374"/>
      <c r="O15" s="374" t="s">
        <v>379</v>
      </c>
      <c r="P15" s="374" t="s">
        <v>380</v>
      </c>
      <c r="Q15" s="374" t="s">
        <v>381</v>
      </c>
      <c r="R15" s="374"/>
    </row>
    <row r="16" spans="1:24" ht="26.25" customHeight="1" x14ac:dyDescent="0.25">
      <c r="A16" s="374"/>
      <c r="B16" s="374"/>
      <c r="C16" s="403" t="s">
        <v>382</v>
      </c>
      <c r="D16" s="403" t="s">
        <v>382</v>
      </c>
      <c r="E16" s="403" t="s">
        <v>382</v>
      </c>
      <c r="F16" s="404" t="s">
        <v>383</v>
      </c>
      <c r="G16" s="404" t="s">
        <v>384</v>
      </c>
      <c r="H16" s="404" t="s">
        <v>385</v>
      </c>
      <c r="I16" s="405"/>
      <c r="J16" s="406"/>
      <c r="K16" s="403" t="s">
        <v>382</v>
      </c>
      <c r="L16" s="403" t="s">
        <v>382</v>
      </c>
      <c r="M16" s="403" t="s">
        <v>382</v>
      </c>
      <c r="N16" s="406"/>
      <c r="O16" s="404" t="s">
        <v>386</v>
      </c>
      <c r="P16" s="404" t="s">
        <v>387</v>
      </c>
      <c r="Q16" s="404" t="s">
        <v>388</v>
      </c>
      <c r="R16" s="407"/>
    </row>
    <row r="17" spans="1:24" x14ac:dyDescent="0.25">
      <c r="A17" s="345" t="s">
        <v>232</v>
      </c>
      <c r="B17" s="345"/>
      <c r="C17" s="383">
        <f>+'Rider. Revenue Proportions'!P6</f>
        <v>0.55720017923780107</v>
      </c>
      <c r="D17" s="383">
        <f>'Rider. Revenue Proportions'!Q6</f>
        <v>5.6938960947319553E-2</v>
      </c>
      <c r="E17" s="383">
        <f>'Rider. Revenue Proportions'!R6</f>
        <v>0</v>
      </c>
      <c r="F17" s="408">
        <f t="shared" ref="F17:H24" si="0">C17*$I$26</f>
        <v>0</v>
      </c>
      <c r="G17" s="408">
        <f t="shared" si="0"/>
        <v>0</v>
      </c>
      <c r="H17" s="408">
        <f t="shared" si="0"/>
        <v>0</v>
      </c>
      <c r="I17" s="408">
        <f>SUM(F17:H17)</f>
        <v>0</v>
      </c>
      <c r="J17" s="380"/>
      <c r="K17" s="409">
        <f>+'Rider. Revenue Proportions'!G6</f>
        <v>227762</v>
      </c>
      <c r="L17" s="409">
        <f>'Rider. Revenue Proportions'!H6</f>
        <v>1652719193</v>
      </c>
      <c r="M17" s="409">
        <f>+'Rider. Revenue Proportions'!I6</f>
        <v>0</v>
      </c>
      <c r="N17" s="380"/>
      <c r="O17" s="410">
        <f>ROUND(I17/K17/12,2)</f>
        <v>0</v>
      </c>
      <c r="P17" s="411">
        <v>0</v>
      </c>
      <c r="Q17" s="387"/>
    </row>
    <row r="18" spans="1:24" x14ac:dyDescent="0.25">
      <c r="A18" s="385" t="s">
        <v>233</v>
      </c>
      <c r="B18" s="385"/>
      <c r="C18" s="383">
        <f>+'Rider. Revenue Proportions'!P7</f>
        <v>7.970586590636769E-2</v>
      </c>
      <c r="D18" s="383">
        <f>'Rider. Revenue Proportions'!Q7</f>
        <v>5.4273561114747772E-2</v>
      </c>
      <c r="E18" s="383">
        <f>'Rider. Revenue Proportions'!R7</f>
        <v>0</v>
      </c>
      <c r="F18" s="408">
        <f t="shared" si="0"/>
        <v>0</v>
      </c>
      <c r="G18" s="408">
        <f t="shared" si="0"/>
        <v>0</v>
      </c>
      <c r="H18" s="408">
        <f t="shared" si="0"/>
        <v>0</v>
      </c>
      <c r="I18" s="408">
        <f t="shared" ref="I18:I24" si="1">SUM(F18:H18)</f>
        <v>0</v>
      </c>
      <c r="J18" s="387"/>
      <c r="K18" s="409">
        <f>+'Rider. Revenue Proportions'!G7</f>
        <v>18709</v>
      </c>
      <c r="L18" s="409">
        <f>'Rider. Revenue Proportions'!H7</f>
        <v>594472785</v>
      </c>
      <c r="M18" s="409">
        <f>+'Rider. Revenue Proportions'!I7</f>
        <v>0</v>
      </c>
      <c r="N18" s="387"/>
      <c r="O18" s="410">
        <f t="shared" ref="O18:O24" si="2">ROUND(+F18/K18/12,2)</f>
        <v>0</v>
      </c>
      <c r="P18" s="412">
        <f t="shared" ref="P18:Q24" si="3">ROUND(G18/L18,4)</f>
        <v>0</v>
      </c>
      <c r="Q18" s="387"/>
    </row>
    <row r="19" spans="1:24" x14ac:dyDescent="0.25">
      <c r="A19" s="385" t="s">
        <v>234</v>
      </c>
      <c r="B19" s="385"/>
      <c r="C19" s="383">
        <f>+'Rider. Revenue Proportions'!P8</f>
        <v>9.0850606329980738E-2</v>
      </c>
      <c r="D19" s="383">
        <f>'Rider. Revenue Proportions'!Q8</f>
        <v>0</v>
      </c>
      <c r="E19" s="383">
        <f>'Rider. Revenue Proportions'!R8</f>
        <v>0.11155685499124279</v>
      </c>
      <c r="F19" s="408">
        <f t="shared" si="0"/>
        <v>0</v>
      </c>
      <c r="G19" s="408">
        <f t="shared" si="0"/>
        <v>0</v>
      </c>
      <c r="H19" s="408">
        <f t="shared" si="0"/>
        <v>0</v>
      </c>
      <c r="I19" s="408">
        <f t="shared" si="1"/>
        <v>0</v>
      </c>
      <c r="J19" s="387"/>
      <c r="K19" s="409">
        <f>+'Rider. Revenue Proportions'!G8</f>
        <v>2316</v>
      </c>
      <c r="L19" s="409">
        <f>'Rider. Revenue Proportions'!H8</f>
        <v>1840510488</v>
      </c>
      <c r="M19" s="409">
        <f>+'Rider. Revenue Proportions'!I8</f>
        <v>5066406</v>
      </c>
      <c r="N19" s="387"/>
      <c r="O19" s="410">
        <f t="shared" si="2"/>
        <v>0</v>
      </c>
      <c r="P19" s="413">
        <f t="shared" si="3"/>
        <v>0</v>
      </c>
      <c r="Q19" s="412">
        <f>ROUND(H19/M19,4)</f>
        <v>0</v>
      </c>
    </row>
    <row r="20" spans="1:24" x14ac:dyDescent="0.25">
      <c r="A20" s="385" t="s">
        <v>235</v>
      </c>
      <c r="B20" s="385"/>
      <c r="C20" s="383">
        <f>+'Rider. Revenue Proportions'!P9</f>
        <v>1.4709528613881948E-2</v>
      </c>
      <c r="D20" s="383">
        <f>'Rider. Revenue Proportions'!Q9</f>
        <v>0</v>
      </c>
      <c r="E20" s="383">
        <f>'Rider. Revenue Proportions'!R9</f>
        <v>6.8648706489132308E-3</v>
      </c>
      <c r="F20" s="408">
        <f t="shared" si="0"/>
        <v>0</v>
      </c>
      <c r="G20" s="408">
        <f t="shared" si="0"/>
        <v>0</v>
      </c>
      <c r="H20" s="408">
        <f t="shared" si="0"/>
        <v>0</v>
      </c>
      <c r="I20" s="408">
        <f t="shared" si="1"/>
        <v>0</v>
      </c>
      <c r="J20" s="387"/>
      <c r="K20" s="409">
        <f>+'Rider. Revenue Proportions'!G9</f>
        <v>6</v>
      </c>
      <c r="L20" s="409">
        <f>'Rider. Revenue Proportions'!H9</f>
        <v>242051739</v>
      </c>
      <c r="M20" s="409">
        <f>+'Rider. Revenue Proportions'!I9</f>
        <v>569520</v>
      </c>
      <c r="N20" s="387"/>
      <c r="O20" s="410">
        <f t="shared" si="2"/>
        <v>0</v>
      </c>
      <c r="P20" s="413">
        <f t="shared" si="3"/>
        <v>0</v>
      </c>
      <c r="Q20" s="412">
        <f t="shared" si="3"/>
        <v>0</v>
      </c>
    </row>
    <row r="21" spans="1:24" x14ac:dyDescent="0.25">
      <c r="A21" s="385" t="s">
        <v>236</v>
      </c>
      <c r="B21" s="385"/>
      <c r="C21" s="383">
        <f>+'Rider. Revenue Proportions'!P10</f>
        <v>2.8991816370434863E-3</v>
      </c>
      <c r="D21" s="383">
        <f>'Rider. Revenue Proportions'!Q10</f>
        <v>0</v>
      </c>
      <c r="E21" s="383">
        <f>'Rider. Revenue Proportions'!R10</f>
        <v>6.0921871564106828E-3</v>
      </c>
      <c r="F21" s="408">
        <f t="shared" si="0"/>
        <v>0</v>
      </c>
      <c r="G21" s="408">
        <f t="shared" si="0"/>
        <v>0</v>
      </c>
      <c r="H21" s="408">
        <f t="shared" si="0"/>
        <v>0</v>
      </c>
      <c r="I21" s="408">
        <f t="shared" si="1"/>
        <v>0</v>
      </c>
      <c r="J21" s="387"/>
      <c r="K21" s="409">
        <f>+'Rider. Revenue Proportions'!G10</f>
        <v>5</v>
      </c>
      <c r="L21" s="409">
        <f>'Rider. Revenue Proportions'!H10</f>
        <v>403775839</v>
      </c>
      <c r="M21" s="409">
        <f>+'Rider. Revenue Proportions'!I10</f>
        <v>2136952</v>
      </c>
      <c r="N21" s="387"/>
      <c r="O21" s="410">
        <f t="shared" si="2"/>
        <v>0</v>
      </c>
      <c r="P21" s="413">
        <f t="shared" si="3"/>
        <v>0</v>
      </c>
      <c r="Q21" s="412">
        <f t="shared" si="3"/>
        <v>0</v>
      </c>
    </row>
    <row r="22" spans="1:24" x14ac:dyDescent="0.25">
      <c r="A22" s="385" t="s">
        <v>237</v>
      </c>
      <c r="B22" s="385"/>
      <c r="C22" s="383">
        <f>+'Rider. Revenue Proportions'!P11</f>
        <v>1.6179727396789965E-3</v>
      </c>
      <c r="D22" s="383">
        <f>'Rider. Revenue Proportions'!Q11</f>
        <v>1.1851972208854055E-3</v>
      </c>
      <c r="E22" s="383">
        <f>'Rider. Revenue Proportions'!R11</f>
        <v>0</v>
      </c>
      <c r="F22" s="408">
        <f t="shared" si="0"/>
        <v>0</v>
      </c>
      <c r="G22" s="408">
        <f t="shared" si="0"/>
        <v>0</v>
      </c>
      <c r="H22" s="408">
        <f t="shared" si="0"/>
        <v>0</v>
      </c>
      <c r="I22" s="408">
        <f t="shared" si="1"/>
        <v>0</v>
      </c>
      <c r="J22" s="387"/>
      <c r="K22" s="409">
        <f>+'Rider. Revenue Proportions'!G11</f>
        <v>1857</v>
      </c>
      <c r="L22" s="409">
        <f>'Rider. Revenue Proportions'!H11</f>
        <v>10504342</v>
      </c>
      <c r="M22" s="409">
        <f>+'Rider. Revenue Proportions'!I11</f>
        <v>0</v>
      </c>
      <c r="N22" s="387"/>
      <c r="O22" s="410">
        <f t="shared" si="2"/>
        <v>0</v>
      </c>
      <c r="P22" s="412">
        <f t="shared" si="3"/>
        <v>0</v>
      </c>
      <c r="Q22" s="387"/>
    </row>
    <row r="23" spans="1:24" x14ac:dyDescent="0.25">
      <c r="A23" s="385" t="s">
        <v>238</v>
      </c>
      <c r="B23" s="385"/>
      <c r="C23" s="383">
        <f>+'Rider. Revenue Proportions'!P12</f>
        <v>1.4071997427755626E-4</v>
      </c>
      <c r="D23" s="383">
        <f>'Rider. Revenue Proportions'!Q12</f>
        <v>0</v>
      </c>
      <c r="E23" s="383">
        <f>'Rider. Revenue Proportions'!R12</f>
        <v>1.3351940847759568E-4</v>
      </c>
      <c r="F23" s="408">
        <f t="shared" si="0"/>
        <v>0</v>
      </c>
      <c r="G23" s="408">
        <f t="shared" si="0"/>
        <v>0</v>
      </c>
      <c r="H23" s="408">
        <f t="shared" si="0"/>
        <v>0</v>
      </c>
      <c r="I23" s="408">
        <f t="shared" ref="I23" si="4">SUM(F23:H23)</f>
        <v>0</v>
      </c>
      <c r="J23" s="387"/>
      <c r="K23" s="409">
        <f>+'Rider. Revenue Proportions'!G12</f>
        <v>248</v>
      </c>
      <c r="L23" s="409">
        <f>'Rider. Revenue Proportions'!H12</f>
        <v>363731</v>
      </c>
      <c r="M23" s="409">
        <f>+'Rider. Revenue Proportions'!I12</f>
        <v>1030</v>
      </c>
      <c r="N23" s="387"/>
      <c r="O23" s="410">
        <f t="shared" si="2"/>
        <v>0</v>
      </c>
      <c r="P23" s="413">
        <f t="shared" si="3"/>
        <v>0</v>
      </c>
      <c r="Q23" s="412">
        <f t="shared" si="3"/>
        <v>0</v>
      </c>
    </row>
    <row r="24" spans="1:24" x14ac:dyDescent="0.25">
      <c r="A24" s="385" t="s">
        <v>239</v>
      </c>
      <c r="B24" s="385"/>
      <c r="C24" s="383">
        <f>+'Rider. Revenue Proportions'!P13</f>
        <v>1.0805357564208676E-2</v>
      </c>
      <c r="D24" s="383">
        <f>'Rider. Revenue Proportions'!Q13</f>
        <v>0</v>
      </c>
      <c r="E24" s="383">
        <f>'Rider. Revenue Proportions'!R13</f>
        <v>5.0254365087627822E-3</v>
      </c>
      <c r="F24" s="408">
        <f t="shared" si="0"/>
        <v>0</v>
      </c>
      <c r="G24" s="408">
        <f t="shared" si="0"/>
        <v>0</v>
      </c>
      <c r="H24" s="408">
        <f t="shared" si="0"/>
        <v>0</v>
      </c>
      <c r="I24" s="408">
        <f t="shared" si="1"/>
        <v>0</v>
      </c>
      <c r="J24" s="387"/>
      <c r="K24" s="409">
        <f>+'Rider. Revenue Proportions'!G13</f>
        <v>52273</v>
      </c>
      <c r="L24" s="409">
        <f>'Rider. Revenue Proportions'!H13</f>
        <v>39610413</v>
      </c>
      <c r="M24" s="409">
        <f>+'Rider. Revenue Proportions'!I13</f>
        <v>109773</v>
      </c>
      <c r="N24" s="387"/>
      <c r="O24" s="410">
        <f t="shared" si="2"/>
        <v>0</v>
      </c>
      <c r="P24" s="413">
        <f t="shared" si="3"/>
        <v>0</v>
      </c>
      <c r="Q24" s="412">
        <f t="shared" si="3"/>
        <v>0</v>
      </c>
    </row>
    <row r="25" spans="1:24" x14ac:dyDescent="0.25">
      <c r="A25" s="393" t="s">
        <v>31</v>
      </c>
      <c r="B25" s="393"/>
      <c r="C25" s="414">
        <f t="shared" ref="C25:I25" si="5">SUM(C17:C24)</f>
        <v>0.75792941200324027</v>
      </c>
      <c r="D25" s="414">
        <f t="shared" si="5"/>
        <v>0.11239771928295274</v>
      </c>
      <c r="E25" s="414">
        <f t="shared" si="5"/>
        <v>0.12967286871380709</v>
      </c>
      <c r="F25" s="415">
        <f t="shared" si="5"/>
        <v>0</v>
      </c>
      <c r="G25" s="415">
        <f t="shared" si="5"/>
        <v>0</v>
      </c>
      <c r="H25" s="415">
        <f t="shared" si="5"/>
        <v>0</v>
      </c>
      <c r="I25" s="415">
        <f t="shared" si="5"/>
        <v>0</v>
      </c>
      <c r="J25" s="394"/>
      <c r="K25" s="415">
        <f>SUM(K17:K24)</f>
        <v>303176</v>
      </c>
      <c r="L25" s="415">
        <f>SUM(L17:L24)</f>
        <v>4784008530</v>
      </c>
      <c r="N25" s="394"/>
      <c r="O25" s="394"/>
      <c r="P25" s="394"/>
      <c r="Q25" s="394"/>
      <c r="R25" s="5"/>
      <c r="S25" s="5"/>
      <c r="T25" s="5"/>
      <c r="U25" s="5"/>
      <c r="V25" s="5"/>
      <c r="W25" s="5"/>
      <c r="X25" s="5"/>
    </row>
    <row r="26" spans="1:24" x14ac:dyDescent="0.25">
      <c r="C26" s="399"/>
      <c r="D26" s="399"/>
      <c r="E26" s="399"/>
      <c r="F26" s="399"/>
      <c r="G26" s="399"/>
      <c r="H26" s="399"/>
      <c r="I26" s="416">
        <v>0</v>
      </c>
      <c r="J26" s="399"/>
      <c r="K26" s="399"/>
      <c r="L26" s="399"/>
      <c r="M26" s="399"/>
      <c r="N26" s="399"/>
      <c r="O26" s="399"/>
      <c r="P26" s="399"/>
      <c r="Q26" s="399"/>
    </row>
    <row r="27" spans="1:24" x14ac:dyDescent="0.25">
      <c r="C27" s="399"/>
      <c r="D27" s="399"/>
      <c r="E27" s="399"/>
      <c r="F27" s="399"/>
      <c r="G27" s="399"/>
      <c r="H27" s="399"/>
      <c r="I27" s="417"/>
      <c r="J27" s="399"/>
      <c r="K27" s="399"/>
      <c r="L27" s="399"/>
      <c r="M27" s="399"/>
      <c r="N27" s="399"/>
      <c r="P27" s="399"/>
      <c r="Q27" s="399"/>
    </row>
    <row r="28" spans="1:24" x14ac:dyDescent="0.25">
      <c r="C28" s="399"/>
      <c r="D28" s="399"/>
      <c r="E28" s="399"/>
      <c r="F28" s="399"/>
      <c r="G28" s="399"/>
      <c r="H28" s="399"/>
      <c r="I28" s="418" t="s">
        <v>116</v>
      </c>
      <c r="J28" s="399"/>
      <c r="K28" s="399"/>
      <c r="L28" s="399"/>
      <c r="M28" s="399"/>
      <c r="N28" s="399"/>
      <c r="O28" s="399"/>
      <c r="P28" s="399"/>
      <c r="Q28" s="399"/>
    </row>
    <row r="29" spans="1:24" x14ac:dyDescent="0.25"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  <c r="O29" s="399"/>
      <c r="P29" s="399"/>
      <c r="Q29" s="399"/>
    </row>
    <row r="30" spans="1:24" x14ac:dyDescent="0.25">
      <c r="A30" s="419" t="s">
        <v>389</v>
      </c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</row>
    <row r="31" spans="1:24" x14ac:dyDescent="0.25"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</row>
    <row r="32" spans="1:24" x14ac:dyDescent="0.25"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</row>
    <row r="33" spans="3:17" x14ac:dyDescent="0.25"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399"/>
      <c r="P33" s="399"/>
      <c r="Q33" s="399"/>
    </row>
    <row r="34" spans="3:17" x14ac:dyDescent="0.25"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</row>
    <row r="35" spans="3:17" x14ac:dyDescent="0.25"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</row>
    <row r="36" spans="3:17" x14ac:dyDescent="0.25">
      <c r="C36" s="399"/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</row>
    <row r="37" spans="3:17" x14ac:dyDescent="0.25">
      <c r="C37" s="399"/>
      <c r="D37" s="399"/>
      <c r="E37" s="399"/>
      <c r="F37" s="399"/>
      <c r="G37" s="399"/>
      <c r="H37" s="399"/>
      <c r="I37" s="399"/>
      <c r="J37" s="399"/>
      <c r="K37" s="399"/>
      <c r="L37" s="399"/>
      <c r="M37" s="399"/>
      <c r="N37" s="399"/>
      <c r="O37" s="399"/>
      <c r="P37" s="399"/>
      <c r="Q37" s="399"/>
    </row>
    <row r="38" spans="3:17" x14ac:dyDescent="0.25">
      <c r="C38" s="399"/>
      <c r="D38" s="399"/>
      <c r="E38" s="399"/>
      <c r="F38" s="399"/>
      <c r="G38" s="399"/>
      <c r="H38" s="399"/>
      <c r="I38" s="399"/>
      <c r="J38" s="399"/>
      <c r="K38" s="399"/>
      <c r="L38" s="399"/>
      <c r="M38" s="399"/>
      <c r="N38" s="399"/>
      <c r="O38" s="399"/>
      <c r="P38" s="399"/>
      <c r="Q38" s="399"/>
    </row>
    <row r="39" spans="3:17" x14ac:dyDescent="0.25"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</row>
    <row r="40" spans="3:17" x14ac:dyDescent="0.25"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</row>
  </sheetData>
  <mergeCells count="2">
    <mergeCell ref="A13:D13"/>
    <mergeCell ref="E13:F13"/>
  </mergeCells>
  <pageMargins left="0.11811023622047245" right="0.11811023622047245" top="0.74803149606299213" bottom="0.74803149606299213" header="0.31496062992125984" footer="0.31496062992125984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tabSelected="1" zoomScaleNormal="100" workbookViewId="0">
      <selection activeCell="D22" sqref="D22"/>
    </sheetView>
  </sheetViews>
  <sheetFormatPr defaultRowHeight="15" x14ac:dyDescent="0.25"/>
  <cols>
    <col min="1" max="1" width="3.42578125" customWidth="1"/>
    <col min="2" max="2" width="35.5703125" customWidth="1"/>
    <col min="3" max="3" width="13.85546875" customWidth="1"/>
    <col min="4" max="4" width="13.85546875" style="1" customWidth="1"/>
    <col min="5" max="5" width="13.85546875" style="9" customWidth="1"/>
    <col min="6" max="6" width="2.7109375" style="9" customWidth="1"/>
  </cols>
  <sheetData>
    <row r="1" spans="1:6" x14ac:dyDescent="0.25">
      <c r="A1" s="452" t="s">
        <v>415</v>
      </c>
      <c r="B1" s="453"/>
      <c r="C1" s="453"/>
      <c r="D1" s="454"/>
      <c r="E1" s="455"/>
    </row>
    <row r="2" spans="1:6" x14ac:dyDescent="0.25">
      <c r="A2" s="7" t="s">
        <v>60</v>
      </c>
      <c r="D2" s="69"/>
      <c r="E2" s="70"/>
      <c r="F2" s="70"/>
    </row>
    <row r="3" spans="1:6" x14ac:dyDescent="0.25">
      <c r="A3" s="7"/>
    </row>
    <row r="4" spans="1:6" ht="30.75" thickBot="1" x14ac:dyDescent="0.3">
      <c r="A4" s="23" t="s">
        <v>315</v>
      </c>
      <c r="B4" s="159" t="s">
        <v>202</v>
      </c>
      <c r="C4" s="163" t="s">
        <v>210</v>
      </c>
      <c r="D4" s="160" t="s">
        <v>198</v>
      </c>
      <c r="E4" s="161" t="s">
        <v>15</v>
      </c>
      <c r="F4" s="43"/>
    </row>
    <row r="5" spans="1:6" x14ac:dyDescent="0.25">
      <c r="A5" s="22"/>
      <c r="B5" s="26" t="s">
        <v>57</v>
      </c>
      <c r="C5" s="175">
        <f>+D25</f>
        <v>16274718.927908702</v>
      </c>
      <c r="D5" s="185">
        <f>'Reg NI Rec'!F19</f>
        <v>18281100.104774401</v>
      </c>
      <c r="E5" s="188">
        <f>+C5-D5</f>
        <v>-2006381.1768656988</v>
      </c>
      <c r="F5"/>
    </row>
    <row r="6" spans="1:6" x14ac:dyDescent="0.25">
      <c r="A6" s="22"/>
      <c r="B6" s="26" t="s">
        <v>26</v>
      </c>
      <c r="C6" s="185">
        <f>+'Rate Base'!C15</f>
        <v>206263692.34400108</v>
      </c>
      <c r="D6" s="185">
        <f>+'Rate Base'!D15</f>
        <v>208212985.24800003</v>
      </c>
      <c r="E6" s="189">
        <f>+C6-D6</f>
        <v>-1949292.9039989412</v>
      </c>
      <c r="F6"/>
    </row>
    <row r="7" spans="1:6" x14ac:dyDescent="0.25">
      <c r="A7" s="22"/>
      <c r="B7" s="26" t="s">
        <v>27</v>
      </c>
      <c r="C7" s="47">
        <f>+C5/C6</f>
        <v>7.8902490026049571E-2</v>
      </c>
      <c r="D7" s="47">
        <f>+D5/D6</f>
        <v>8.7799999999999989E-2</v>
      </c>
      <c r="E7" s="236">
        <f>+C7-D7</f>
        <v>-8.8975099739504182E-3</v>
      </c>
      <c r="F7"/>
    </row>
    <row r="8" spans="1:6" x14ac:dyDescent="0.25">
      <c r="A8" s="104"/>
      <c r="B8" s="150" t="s">
        <v>81</v>
      </c>
      <c r="C8" s="151"/>
      <c r="D8" s="49">
        <f>+E7</f>
        <v>-8.8975099739504182E-3</v>
      </c>
      <c r="E8" s="257"/>
      <c r="F8" s="257"/>
    </row>
    <row r="9" spans="1:6" x14ac:dyDescent="0.25">
      <c r="A9" s="104"/>
      <c r="B9" s="150" t="s">
        <v>82</v>
      </c>
      <c r="C9" s="151"/>
      <c r="D9" s="41">
        <f>IF(D8&gt;0,+D8*C6,0)</f>
        <v>0</v>
      </c>
      <c r="E9" s="257"/>
      <c r="F9" s="257"/>
    </row>
    <row r="10" spans="1:6" x14ac:dyDescent="0.25">
      <c r="A10" s="104"/>
      <c r="B10" s="150" t="s">
        <v>84</v>
      </c>
      <c r="C10" s="151"/>
      <c r="D10" s="231">
        <f>MAX(+D9*0.5,0)</f>
        <v>0</v>
      </c>
      <c r="E10" s="257"/>
      <c r="F10" s="257"/>
    </row>
    <row r="11" spans="1:6" x14ac:dyDescent="0.25">
      <c r="A11" s="104"/>
      <c r="E11" s="38"/>
      <c r="F11" s="66"/>
    </row>
    <row r="12" spans="1:6" x14ac:dyDescent="0.25">
      <c r="A12" s="22"/>
      <c r="B12" s="8"/>
      <c r="C12" s="8"/>
      <c r="D12" s="9"/>
      <c r="E12" s="62"/>
      <c r="F12" s="66"/>
    </row>
    <row r="13" spans="1:6" ht="30.75" thickBot="1" x14ac:dyDescent="0.3">
      <c r="A13" s="23" t="s">
        <v>316</v>
      </c>
      <c r="B13" s="148" t="s">
        <v>62</v>
      </c>
      <c r="C13" s="162"/>
      <c r="D13" s="249" t="s">
        <v>210</v>
      </c>
      <c r="E13" s="234" t="s">
        <v>25</v>
      </c>
      <c r="F13" s="22"/>
    </row>
    <row r="14" spans="1:6" x14ac:dyDescent="0.25">
      <c r="B14" s="152" t="s">
        <v>211</v>
      </c>
      <c r="C14" s="153"/>
      <c r="D14" s="182">
        <f>+'Net Income'!E31</f>
        <v>16593096.729452793</v>
      </c>
      <c r="E14" s="248">
        <v>1</v>
      </c>
      <c r="F14" s="22"/>
    </row>
    <row r="15" spans="1:6" x14ac:dyDescent="0.25">
      <c r="B15" s="152" t="s">
        <v>212</v>
      </c>
      <c r="C15" s="153"/>
      <c r="D15" s="182">
        <f>+'Net Income'!E30</f>
        <v>1387405.333281632</v>
      </c>
      <c r="E15" s="83"/>
      <c r="F15" s="22"/>
    </row>
    <row r="16" spans="1:6" x14ac:dyDescent="0.25">
      <c r="B16" s="154" t="s">
        <v>253</v>
      </c>
      <c r="C16" s="155"/>
      <c r="D16" s="183">
        <f>-DisRev!D12</f>
        <v>985377.17257656995</v>
      </c>
      <c r="E16" s="248" t="s">
        <v>107</v>
      </c>
      <c r="F16" s="22"/>
    </row>
    <row r="17" spans="1:6" x14ac:dyDescent="0.25">
      <c r="B17" s="154" t="s">
        <v>391</v>
      </c>
      <c r="C17" s="155"/>
      <c r="D17" s="183">
        <v>3919</v>
      </c>
      <c r="E17" s="8"/>
      <c r="F17" s="22"/>
    </row>
    <row r="18" spans="1:6" x14ac:dyDescent="0.25">
      <c r="B18" s="154" t="s">
        <v>63</v>
      </c>
      <c r="C18" s="155"/>
      <c r="D18" s="183">
        <v>0</v>
      </c>
      <c r="E18" s="248">
        <v>3</v>
      </c>
      <c r="F18" s="22"/>
    </row>
    <row r="19" spans="1:6" x14ac:dyDescent="0.25">
      <c r="B19" s="154" t="s">
        <v>288</v>
      </c>
      <c r="C19" s="155"/>
      <c r="D19" s="185">
        <f>+D34</f>
        <v>43834.158655961779</v>
      </c>
      <c r="E19" s="234">
        <v>4</v>
      </c>
      <c r="F19" s="22"/>
    </row>
    <row r="20" spans="1:6" x14ac:dyDescent="0.25">
      <c r="B20" s="154" t="s">
        <v>85</v>
      </c>
      <c r="C20" s="155"/>
      <c r="D20" s="183">
        <v>33508</v>
      </c>
      <c r="E20" s="52"/>
      <c r="F20" s="54"/>
    </row>
    <row r="21" spans="1:6" x14ac:dyDescent="0.25">
      <c r="B21" s="154" t="s">
        <v>65</v>
      </c>
      <c r="C21" s="155"/>
      <c r="D21" s="184">
        <v>-84000</v>
      </c>
      <c r="E21" s="52"/>
      <c r="F21" s="54"/>
    </row>
    <row r="22" spans="1:6" x14ac:dyDescent="0.25">
      <c r="B22" s="150" t="s">
        <v>66</v>
      </c>
      <c r="C22" s="155"/>
      <c r="D22" s="185">
        <v>-495385</v>
      </c>
      <c r="E22" s="248">
        <v>5</v>
      </c>
      <c r="F22" s="22"/>
    </row>
    <row r="23" spans="1:6" x14ac:dyDescent="0.25">
      <c r="B23" s="156" t="s">
        <v>64</v>
      </c>
      <c r="C23" s="157"/>
      <c r="D23" s="186">
        <f>SUM(D14:D22)</f>
        <v>18467755.393966954</v>
      </c>
      <c r="E23" s="8"/>
      <c r="F23" s="22"/>
    </row>
    <row r="24" spans="1:6" x14ac:dyDescent="0.25">
      <c r="B24" s="150" t="s">
        <v>10</v>
      </c>
      <c r="C24" s="158"/>
      <c r="D24" s="184">
        <f>+PILS!D14</f>
        <v>2193036.4660582528</v>
      </c>
      <c r="E24" s="52"/>
      <c r="F24" s="54"/>
    </row>
    <row r="25" spans="1:6" x14ac:dyDescent="0.25">
      <c r="B25" s="156" t="s">
        <v>62</v>
      </c>
      <c r="C25" s="155"/>
      <c r="D25" s="187">
        <f>+D23-D24</f>
        <v>16274718.927908702</v>
      </c>
      <c r="E25" s="52" t="s">
        <v>116</v>
      </c>
      <c r="F25" s="17"/>
    </row>
    <row r="26" spans="1:6" x14ac:dyDescent="0.25">
      <c r="B26" s="169"/>
      <c r="C26" s="170"/>
      <c r="D26" s="168"/>
      <c r="E26" s="12"/>
      <c r="F26" s="12"/>
    </row>
    <row r="27" spans="1:6" x14ac:dyDescent="0.25">
      <c r="A27" s="5" t="s">
        <v>20</v>
      </c>
    </row>
    <row r="28" spans="1:6" ht="15.75" customHeight="1" x14ac:dyDescent="0.25">
      <c r="A28" s="16" t="s">
        <v>21</v>
      </c>
      <c r="B28" s="31" t="s">
        <v>58</v>
      </c>
    </row>
    <row r="29" spans="1:6" s="257" customFormat="1" ht="17.25" customHeight="1" x14ac:dyDescent="0.25">
      <c r="A29" s="16" t="s">
        <v>69</v>
      </c>
      <c r="B29" s="31" t="s">
        <v>393</v>
      </c>
      <c r="D29" s="1"/>
      <c r="E29" s="9"/>
      <c r="F29" s="9"/>
    </row>
    <row r="30" spans="1:6" x14ac:dyDescent="0.25">
      <c r="A30" s="16" t="s">
        <v>35</v>
      </c>
      <c r="B30" t="s">
        <v>254</v>
      </c>
      <c r="C30" s="51"/>
      <c r="D30" s="69"/>
      <c r="E30" s="70"/>
      <c r="F30" s="70"/>
    </row>
    <row r="31" spans="1:6" x14ac:dyDescent="0.25">
      <c r="A31" s="16"/>
      <c r="B31" t="s">
        <v>407</v>
      </c>
      <c r="C31" s="51"/>
      <c r="D31" s="69"/>
      <c r="E31" s="70"/>
      <c r="F31" s="70"/>
    </row>
    <row r="32" spans="1:6" x14ac:dyDescent="0.25">
      <c r="A32" s="25" t="s">
        <v>203</v>
      </c>
      <c r="B32" s="31" t="s">
        <v>286</v>
      </c>
      <c r="D32" s="280">
        <f>21789-10530</f>
        <v>11259</v>
      </c>
    </row>
    <row r="33" spans="1:4" x14ac:dyDescent="0.25">
      <c r="A33" s="25"/>
      <c r="B33" s="31" t="s">
        <v>287</v>
      </c>
      <c r="D33" s="293">
        <v>32575.158655961779</v>
      </c>
    </row>
    <row r="34" spans="1:4" ht="15.75" thickBot="1" x14ac:dyDescent="0.3">
      <c r="B34" s="31" t="s">
        <v>31</v>
      </c>
      <c r="D34" s="294">
        <f>SUM(D32:D33)</f>
        <v>43834.158655961779</v>
      </c>
    </row>
    <row r="35" spans="1:4" ht="15.75" thickTop="1" x14ac:dyDescent="0.25">
      <c r="A35" s="25" t="s">
        <v>392</v>
      </c>
      <c r="B35" s="31" t="s">
        <v>255</v>
      </c>
    </row>
    <row r="37" spans="1:4" x14ac:dyDescent="0.25">
      <c r="B37" s="5"/>
    </row>
  </sheetData>
  <pageMargins left="0.70866141732283472" right="0.31496062992125984" top="0.55118110236220474" bottom="0.43307086614173229" header="0.11811023622047245" footer="0.11811023622047245"/>
  <pageSetup scale="93" orientation="portrait" r:id="rId1"/>
  <headerFooter>
    <oddHeader>&amp;R&amp;D &amp;T</oddHeader>
    <oddFooter xml:space="preserve">&amp;L&amp;"Arial Narrow,Regular"&amp;9&amp;Z&amp;F&amp;R&amp;"Arial Narrow,Regular"&amp;9&amp;A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5"/>
  <sheetViews>
    <sheetView zoomScaleNormal="100" workbookViewId="0">
      <selection activeCell="D22" sqref="D22"/>
    </sheetView>
  </sheetViews>
  <sheetFormatPr defaultRowHeight="15" x14ac:dyDescent="0.25"/>
  <cols>
    <col min="1" max="1" width="4.28515625" style="257" customWidth="1"/>
    <col min="2" max="2" width="41.140625" style="257" customWidth="1"/>
    <col min="3" max="3" width="13.7109375" style="257" bestFit="1" customWidth="1"/>
    <col min="4" max="4" width="13.7109375" style="257" customWidth="1"/>
    <col min="5" max="5" width="15" style="257" customWidth="1"/>
    <col min="6" max="6" width="13.5703125" style="257" customWidth="1"/>
    <col min="7" max="16384" width="9.140625" style="257"/>
  </cols>
  <sheetData>
    <row r="1" spans="1:8" x14ac:dyDescent="0.25">
      <c r="A1" s="242" t="s">
        <v>120</v>
      </c>
      <c r="B1" s="238"/>
      <c r="C1" s="238"/>
      <c r="D1" s="238"/>
      <c r="E1" s="238"/>
      <c r="F1" s="238"/>
      <c r="G1" s="238"/>
      <c r="H1" s="238"/>
    </row>
    <row r="2" spans="1:8" x14ac:dyDescent="0.25">
      <c r="A2" s="11" t="s">
        <v>171</v>
      </c>
      <c r="B2" s="238"/>
      <c r="C2" s="238"/>
      <c r="D2" s="238"/>
      <c r="E2" s="238"/>
      <c r="F2" s="238"/>
      <c r="G2" s="238"/>
      <c r="H2" s="238"/>
    </row>
    <row r="4" spans="1:8" x14ac:dyDescent="0.25">
      <c r="B4" s="325"/>
      <c r="C4" s="468" t="s">
        <v>311</v>
      </c>
      <c r="D4" s="469"/>
      <c r="E4" s="470"/>
      <c r="F4" s="471" t="s">
        <v>313</v>
      </c>
    </row>
    <row r="5" spans="1:8" x14ac:dyDescent="0.25">
      <c r="B5" s="311" t="s">
        <v>312</v>
      </c>
      <c r="C5" s="313" t="s">
        <v>298</v>
      </c>
      <c r="D5" s="313" t="s">
        <v>50</v>
      </c>
      <c r="E5" s="313" t="s">
        <v>31</v>
      </c>
      <c r="F5" s="471"/>
    </row>
    <row r="6" spans="1:8" x14ac:dyDescent="0.25">
      <c r="B6" s="6" t="s">
        <v>297</v>
      </c>
      <c r="C6" s="312">
        <v>1325636.7200000156</v>
      </c>
      <c r="D6" s="312">
        <v>77029537.611392185</v>
      </c>
      <c r="E6" s="315">
        <f t="shared" ref="E6:E13" si="0">SUM(C6:D6)</f>
        <v>78355174.331392199</v>
      </c>
      <c r="F6" s="322">
        <f>+'Net Income'!D14</f>
        <v>22974211.104774401</v>
      </c>
    </row>
    <row r="7" spans="1:8" x14ac:dyDescent="0.25">
      <c r="B7" s="13" t="s">
        <v>299</v>
      </c>
      <c r="C7" s="265">
        <v>0</v>
      </c>
      <c r="D7" s="265">
        <v>-949339</v>
      </c>
      <c r="E7" s="314">
        <f t="shared" si="0"/>
        <v>-949339</v>
      </c>
      <c r="F7" s="323"/>
    </row>
    <row r="8" spans="1:8" x14ac:dyDescent="0.25">
      <c r="B8" s="13" t="s">
        <v>300</v>
      </c>
      <c r="C8" s="265">
        <v>0</v>
      </c>
      <c r="D8" s="265">
        <v>12468382</v>
      </c>
      <c r="E8" s="314">
        <f t="shared" si="0"/>
        <v>12468382</v>
      </c>
      <c r="F8" s="323"/>
    </row>
    <row r="9" spans="1:8" x14ac:dyDescent="0.25">
      <c r="B9" s="13" t="s">
        <v>301</v>
      </c>
      <c r="C9" s="265">
        <v>482892</v>
      </c>
      <c r="D9" s="265">
        <v>2032671</v>
      </c>
      <c r="E9" s="314">
        <f t="shared" si="0"/>
        <v>2515563</v>
      </c>
      <c r="F9" s="323"/>
    </row>
    <row r="10" spans="1:8" x14ac:dyDescent="0.25">
      <c r="B10" s="13" t="s">
        <v>302</v>
      </c>
      <c r="C10" s="265">
        <v>642098</v>
      </c>
      <c r="D10" s="265">
        <v>51910112</v>
      </c>
      <c r="E10" s="314">
        <f t="shared" si="0"/>
        <v>52552210</v>
      </c>
      <c r="F10" s="323"/>
    </row>
    <row r="11" spans="1:8" x14ac:dyDescent="0.25">
      <c r="B11" s="13" t="s">
        <v>303</v>
      </c>
      <c r="C11" s="265">
        <v>423562</v>
      </c>
      <c r="D11" s="265">
        <v>10501164</v>
      </c>
      <c r="E11" s="314">
        <f t="shared" si="0"/>
        <v>10924726</v>
      </c>
      <c r="F11" s="323"/>
    </row>
    <row r="12" spans="1:8" x14ac:dyDescent="0.25">
      <c r="B12" s="13" t="s">
        <v>306</v>
      </c>
      <c r="C12" s="265"/>
      <c r="D12" s="265">
        <v>-559101</v>
      </c>
      <c r="E12" s="314">
        <f t="shared" si="0"/>
        <v>-559101</v>
      </c>
      <c r="F12" s="323"/>
    </row>
    <row r="13" spans="1:8" ht="30" x14ac:dyDescent="0.25">
      <c r="B13" s="306" t="s">
        <v>304</v>
      </c>
      <c r="C13" s="265"/>
      <c r="D13" s="265">
        <f>-SUM('IS by RZ'!E24:G24)</f>
        <v>-121676434.05462003</v>
      </c>
      <c r="E13" s="314">
        <f t="shared" si="0"/>
        <v>-121676434.05462003</v>
      </c>
      <c r="F13" s="323"/>
    </row>
    <row r="14" spans="1:8" ht="30" x14ac:dyDescent="0.25">
      <c r="B14" s="308" t="s">
        <v>305</v>
      </c>
      <c r="C14" s="307">
        <f>SUM(C6:C13)</f>
        <v>2874188.7200000156</v>
      </c>
      <c r="D14" s="307">
        <f>SUM(D6:D13)</f>
        <v>30756992.556772172</v>
      </c>
      <c r="E14" s="316">
        <f>SUM(E6:E13)</f>
        <v>33631181.276772171</v>
      </c>
      <c r="F14" s="322">
        <f>SUM(F6:F13)</f>
        <v>22974211.104774401</v>
      </c>
    </row>
    <row r="15" spans="1:8" x14ac:dyDescent="0.25">
      <c r="B15" s="281" t="s">
        <v>307</v>
      </c>
      <c r="C15" s="202"/>
      <c r="D15" s="189"/>
      <c r="E15" s="317">
        <f>-'Net Income'!C11</f>
        <v>-363024.09852544195</v>
      </c>
      <c r="F15" s="323"/>
    </row>
    <row r="16" spans="1:8" x14ac:dyDescent="0.25">
      <c r="B16" s="309" t="s">
        <v>308</v>
      </c>
      <c r="C16" s="203"/>
      <c r="D16" s="214"/>
      <c r="E16" s="314">
        <f>-'Net Income'!C12</f>
        <v>-10024089.221262643</v>
      </c>
      <c r="F16" s="323"/>
    </row>
    <row r="17" spans="1:6" x14ac:dyDescent="0.25">
      <c r="B17" s="282" t="s">
        <v>61</v>
      </c>
      <c r="C17" s="202"/>
      <c r="D17" s="320"/>
      <c r="E17" s="318">
        <f>SUM(E14:E16)</f>
        <v>23244067.956984088</v>
      </c>
      <c r="F17" s="322">
        <f>SUM(F14:F16)</f>
        <v>22974211.104774401</v>
      </c>
    </row>
    <row r="18" spans="1:6" x14ac:dyDescent="0.25">
      <c r="B18" s="309" t="s">
        <v>310</v>
      </c>
      <c r="C18" s="203"/>
      <c r="D18" s="321"/>
      <c r="E18" s="319">
        <f>-'Net Income'!C15</f>
        <v>-1387405.333281632</v>
      </c>
      <c r="F18" s="324">
        <f>-'Net Income'!D15</f>
        <v>-4693111</v>
      </c>
    </row>
    <row r="19" spans="1:6" x14ac:dyDescent="0.25">
      <c r="B19" s="64" t="s">
        <v>309</v>
      </c>
      <c r="C19" s="241"/>
      <c r="D19" s="189"/>
      <c r="E19" s="316">
        <f>SUM(E17:E18)</f>
        <v>21856662.623702455</v>
      </c>
      <c r="F19" s="322">
        <f>SUM(F17:F18)</f>
        <v>18281100.104774401</v>
      </c>
    </row>
    <row r="23" spans="1:6" x14ac:dyDescent="0.25">
      <c r="A23" s="5" t="s">
        <v>70</v>
      </c>
    </row>
    <row r="24" spans="1:6" x14ac:dyDescent="0.25">
      <c r="B24" t="s">
        <v>137</v>
      </c>
    </row>
    <row r="25" spans="1:6" x14ac:dyDescent="0.25">
      <c r="B25" t="s">
        <v>408</v>
      </c>
    </row>
  </sheetData>
  <mergeCells count="2">
    <mergeCell ref="C4:E4"/>
    <mergeCell ref="F4:F5"/>
  </mergeCells>
  <pageMargins left="0.70866141732283472" right="0.51181102362204722" top="0.55118110236220474" bottom="0.55118110236220474" header="0.31496062992125984" footer="0.31496062992125984"/>
  <pageSetup scale="91" orientation="portrait" r:id="rId1"/>
  <headerFooter>
    <oddFooter>&amp;L&amp;Z&amp;F&amp;R&amp;A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zoomScaleNormal="100" workbookViewId="0">
      <selection activeCell="D22" sqref="D22"/>
    </sheetView>
  </sheetViews>
  <sheetFormatPr defaultRowHeight="15" x14ac:dyDescent="0.25"/>
  <cols>
    <col min="1" max="1" width="4.5703125" customWidth="1"/>
    <col min="2" max="2" width="36.140625" customWidth="1"/>
    <col min="3" max="4" width="13" customWidth="1"/>
    <col min="5" max="5" width="10.28515625" customWidth="1"/>
    <col min="6" max="6" width="6.28515625" bestFit="1" customWidth="1"/>
    <col min="7" max="7" width="12.28515625" bestFit="1" customWidth="1"/>
  </cols>
  <sheetData>
    <row r="1" spans="1:6" x14ac:dyDescent="0.25">
      <c r="A1" s="5" t="s">
        <v>28</v>
      </c>
    </row>
    <row r="2" spans="1:6" x14ac:dyDescent="0.25">
      <c r="A2" s="5" t="s">
        <v>204</v>
      </c>
    </row>
    <row r="3" spans="1:6" x14ac:dyDescent="0.25">
      <c r="B3" s="5"/>
    </row>
    <row r="4" spans="1:6" ht="30" x14ac:dyDescent="0.25">
      <c r="A4" s="23" t="s">
        <v>315</v>
      </c>
      <c r="B4" s="173" t="s">
        <v>205</v>
      </c>
      <c r="C4" s="174" t="s">
        <v>206</v>
      </c>
      <c r="D4" s="174" t="s">
        <v>207</v>
      </c>
      <c r="E4" s="174" t="s">
        <v>208</v>
      </c>
      <c r="F4" s="181" t="s">
        <v>25</v>
      </c>
    </row>
    <row r="5" spans="1:6" x14ac:dyDescent="0.25">
      <c r="B5" s="176" t="s">
        <v>56</v>
      </c>
      <c r="C5" s="177">
        <f>+'Net Income'!C14</f>
        <v>17980502.06273444</v>
      </c>
      <c r="D5" s="177">
        <f>+'Net Income'!C15</f>
        <v>1387405.333281632</v>
      </c>
      <c r="E5" s="178">
        <f>+D5/C5</f>
        <v>7.7161657023866112E-2</v>
      </c>
      <c r="F5" s="25"/>
    </row>
    <row r="6" spans="1:6" x14ac:dyDescent="0.25">
      <c r="B6" s="179" t="s">
        <v>253</v>
      </c>
      <c r="C6" s="175">
        <f>+'ESM Calc'!D16</f>
        <v>985377.17257656995</v>
      </c>
      <c r="D6" s="175">
        <f>+C6*0.265</f>
        <v>261124.95073279104</v>
      </c>
      <c r="E6" s="35">
        <f>+D6/C6</f>
        <v>0.26500000000000001</v>
      </c>
      <c r="F6" s="25"/>
    </row>
    <row r="7" spans="1:6" ht="30" x14ac:dyDescent="0.25">
      <c r="B7" s="179" t="s">
        <v>391</v>
      </c>
      <c r="C7" s="175">
        <f>+'ESM Calc'!D17</f>
        <v>3919</v>
      </c>
      <c r="D7" s="175">
        <f>+C7*0.265</f>
        <v>1038.5350000000001</v>
      </c>
      <c r="E7" s="35">
        <f>+D7/C7</f>
        <v>0.26500000000000001</v>
      </c>
      <c r="F7" s="25"/>
    </row>
    <row r="8" spans="1:6" x14ac:dyDescent="0.25">
      <c r="B8" s="179" t="s">
        <v>63</v>
      </c>
      <c r="C8" s="175">
        <f>+'ESM Calc'!D18</f>
        <v>0</v>
      </c>
      <c r="D8" s="175">
        <f t="shared" ref="D8:D13" si="0">+C8*0.265</f>
        <v>0</v>
      </c>
      <c r="E8" s="35"/>
      <c r="F8" s="25"/>
    </row>
    <row r="9" spans="1:6" ht="30" x14ac:dyDescent="0.25">
      <c r="B9" s="179" t="s">
        <v>281</v>
      </c>
      <c r="C9" s="175">
        <f>+'ESM Calc'!D19</f>
        <v>43834.158655961779</v>
      </c>
      <c r="D9" s="175">
        <f t="shared" si="0"/>
        <v>11616.052043829872</v>
      </c>
      <c r="E9" s="35"/>
      <c r="F9" s="25"/>
    </row>
    <row r="10" spans="1:6" ht="30" x14ac:dyDescent="0.25">
      <c r="B10" s="179" t="s">
        <v>85</v>
      </c>
      <c r="C10" s="175">
        <f>+'ESM Calc'!D20</f>
        <v>33508</v>
      </c>
      <c r="D10" s="175">
        <f t="shared" si="0"/>
        <v>8879.6200000000008</v>
      </c>
      <c r="E10" s="35">
        <f t="shared" ref="E10:E13" si="1">+D10/C10</f>
        <v>0.26500000000000001</v>
      </c>
      <c r="F10" s="25"/>
    </row>
    <row r="11" spans="1:6" x14ac:dyDescent="0.25">
      <c r="B11" s="179" t="s">
        <v>65</v>
      </c>
      <c r="C11" s="175">
        <f>+'ESM Calc'!D21</f>
        <v>-84000</v>
      </c>
      <c r="D11" s="175">
        <f t="shared" si="0"/>
        <v>-22260</v>
      </c>
      <c r="E11" s="35">
        <f t="shared" si="1"/>
        <v>0.26500000000000001</v>
      </c>
      <c r="F11" s="25"/>
    </row>
    <row r="12" spans="1:6" ht="30" x14ac:dyDescent="0.25">
      <c r="B12" s="179" t="s">
        <v>209</v>
      </c>
      <c r="C12" s="180"/>
      <c r="D12" s="175">
        <v>676509</v>
      </c>
      <c r="E12" s="35"/>
      <c r="F12" s="326" t="s">
        <v>116</v>
      </c>
    </row>
    <row r="13" spans="1:6" x14ac:dyDescent="0.25">
      <c r="B13" s="179" t="s">
        <v>66</v>
      </c>
      <c r="C13" s="175">
        <f>+'ESM Calc'!D22</f>
        <v>-495385</v>
      </c>
      <c r="D13" s="175">
        <f t="shared" si="0"/>
        <v>-131277.02499999999</v>
      </c>
      <c r="E13" s="35">
        <f t="shared" si="1"/>
        <v>0.26500000000000001</v>
      </c>
      <c r="F13" s="25"/>
    </row>
    <row r="14" spans="1:6" x14ac:dyDescent="0.25">
      <c r="B14" s="270" t="s">
        <v>64</v>
      </c>
      <c r="C14" s="187">
        <f>SUM(C5:C13)</f>
        <v>18467755.393966969</v>
      </c>
      <c r="D14" s="187">
        <f>SUM(D5:D13)</f>
        <v>2193036.4660582528</v>
      </c>
      <c r="E14" s="190">
        <f>+D14/C14</f>
        <v>0.11874948629516027</v>
      </c>
      <c r="F14" s="25"/>
    </row>
    <row r="15" spans="1:6" x14ac:dyDescent="0.25">
      <c r="B15" s="8"/>
      <c r="C15" s="214"/>
      <c r="D15" s="229"/>
      <c r="E15" s="226"/>
      <c r="F15" s="25"/>
    </row>
    <row r="16" spans="1:6" x14ac:dyDescent="0.25">
      <c r="B16" s="8"/>
      <c r="C16" s="214"/>
      <c r="D16" s="214"/>
      <c r="E16" s="43"/>
      <c r="F16" s="25"/>
    </row>
    <row r="17" spans="1:6" x14ac:dyDescent="0.25">
      <c r="A17" t="s">
        <v>316</v>
      </c>
      <c r="B17" s="215" t="s">
        <v>225</v>
      </c>
      <c r="C17" s="161" t="s">
        <v>226</v>
      </c>
      <c r="D17" s="230" t="s">
        <v>227</v>
      </c>
      <c r="E17" s="227"/>
    </row>
    <row r="18" spans="1:6" x14ac:dyDescent="0.25">
      <c r="B18" s="2" t="s">
        <v>229</v>
      </c>
      <c r="C18" s="175">
        <f>+'Net Income'!D29</f>
        <v>15988507.238798611</v>
      </c>
      <c r="D18" s="175">
        <v>18281100</v>
      </c>
      <c r="E18" s="225"/>
      <c r="F18" s="25" t="s">
        <v>106</v>
      </c>
    </row>
    <row r="19" spans="1:6" x14ac:dyDescent="0.25">
      <c r="B19" s="2" t="s">
        <v>224</v>
      </c>
      <c r="C19" s="275">
        <f>-10139005-2013290</f>
        <v>-12152295</v>
      </c>
      <c r="D19" s="175">
        <f>55207801-59883480</f>
        <v>-4675679</v>
      </c>
      <c r="E19" s="225"/>
      <c r="F19" s="25" t="s">
        <v>107</v>
      </c>
    </row>
    <row r="20" spans="1:6" x14ac:dyDescent="0.25">
      <c r="B20" s="2" t="s">
        <v>215</v>
      </c>
      <c r="C20" s="175">
        <f>SUM(C18:C19)</f>
        <v>3836212.2387986109</v>
      </c>
      <c r="D20" s="175">
        <f>SUM(D18:D19)</f>
        <v>13605421</v>
      </c>
      <c r="E20" s="228"/>
      <c r="F20" s="25"/>
    </row>
    <row r="21" spans="1:6" x14ac:dyDescent="0.25">
      <c r="B21" s="2" t="s">
        <v>208</v>
      </c>
      <c r="C21" s="86">
        <v>0.26500000000000001</v>
      </c>
      <c r="D21" s="86">
        <v>0.26500000000000001</v>
      </c>
      <c r="E21" s="121"/>
      <c r="F21" s="25" t="s">
        <v>180</v>
      </c>
    </row>
    <row r="22" spans="1:6" x14ac:dyDescent="0.25">
      <c r="B22" s="2" t="s">
        <v>216</v>
      </c>
      <c r="C22" s="175">
        <f>+C20*C21</f>
        <v>1016596.243281632</v>
      </c>
      <c r="D22" s="175">
        <f>+D20*D21</f>
        <v>3605436.5650000004</v>
      </c>
      <c r="E22" s="228"/>
      <c r="F22" s="25"/>
    </row>
    <row r="23" spans="1:6" x14ac:dyDescent="0.25">
      <c r="B23" s="2" t="s">
        <v>217</v>
      </c>
      <c r="C23" s="175">
        <v>-52753</v>
      </c>
      <c r="D23" s="175">
        <v>-156000</v>
      </c>
      <c r="E23" s="225"/>
      <c r="F23" s="25" t="s">
        <v>116</v>
      </c>
    </row>
    <row r="24" spans="1:6" x14ac:dyDescent="0.25">
      <c r="B24" s="2" t="s">
        <v>218</v>
      </c>
      <c r="C24" s="175">
        <f>SUM(C22:C23)</f>
        <v>963843.24328163196</v>
      </c>
      <c r="D24" s="175">
        <f>SUM(D22:D23)</f>
        <v>3449436.5650000004</v>
      </c>
      <c r="E24" s="228"/>
      <c r="F24" s="25"/>
    </row>
    <row r="25" spans="1:6" x14ac:dyDescent="0.25">
      <c r="B25" s="26" t="s">
        <v>228</v>
      </c>
      <c r="C25" s="175">
        <v>0</v>
      </c>
      <c r="D25" s="175">
        <v>1243674</v>
      </c>
      <c r="E25" s="225"/>
      <c r="F25" s="25"/>
    </row>
    <row r="26" spans="1:6" x14ac:dyDescent="0.25">
      <c r="B26" s="26" t="s">
        <v>216</v>
      </c>
      <c r="C26" s="175">
        <f>SUM(C24:C25)</f>
        <v>963843.24328163196</v>
      </c>
      <c r="D26" s="175">
        <f>SUM(D24:D25)</f>
        <v>4693110.5650000004</v>
      </c>
      <c r="E26" s="225"/>
      <c r="F26" s="25"/>
    </row>
    <row r="27" spans="1:6" x14ac:dyDescent="0.25">
      <c r="E27" s="52"/>
      <c r="F27" s="25"/>
    </row>
    <row r="28" spans="1:6" x14ac:dyDescent="0.25">
      <c r="A28" s="5" t="s">
        <v>25</v>
      </c>
      <c r="E28" s="52"/>
      <c r="F28" s="25"/>
    </row>
    <row r="29" spans="1:6" x14ac:dyDescent="0.25">
      <c r="A29" s="25" t="s">
        <v>21</v>
      </c>
      <c r="B29" t="s">
        <v>314</v>
      </c>
      <c r="E29" s="52"/>
    </row>
    <row r="30" spans="1:6" ht="18.75" customHeight="1" x14ac:dyDescent="0.25">
      <c r="A30" s="25" t="s">
        <v>69</v>
      </c>
      <c r="B30" t="s">
        <v>403</v>
      </c>
      <c r="E30" s="51"/>
    </row>
    <row r="31" spans="1:6" ht="18" customHeight="1" x14ac:dyDescent="0.25">
      <c r="A31" s="25" t="s">
        <v>35</v>
      </c>
      <c r="B31" t="s">
        <v>319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headerFooter>
    <oddFooter>&amp;L&amp;"Arial Narrow,Regular"&amp;8&amp;Z&amp;F&amp;R&amp;A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7"/>
  <sheetViews>
    <sheetView zoomScaleNormal="100" workbookViewId="0">
      <selection activeCell="D22" sqref="D22"/>
    </sheetView>
  </sheetViews>
  <sheetFormatPr defaultRowHeight="15" x14ac:dyDescent="0.25"/>
  <cols>
    <col min="1" max="1" width="3.28515625" customWidth="1"/>
    <col min="2" max="2" width="32" customWidth="1"/>
    <col min="3" max="3" width="16.5703125" customWidth="1"/>
    <col min="4" max="4" width="16.28515625" bestFit="1" customWidth="1"/>
    <col min="5" max="5" width="14.5703125" customWidth="1"/>
    <col min="6" max="6" width="4.42578125" customWidth="1"/>
  </cols>
  <sheetData>
    <row r="1" spans="1:6" x14ac:dyDescent="0.25">
      <c r="A1" s="5" t="s">
        <v>170</v>
      </c>
      <c r="D1" s="12"/>
      <c r="F1" s="51"/>
    </row>
    <row r="2" spans="1:6" x14ac:dyDescent="0.25">
      <c r="A2" s="5" t="s">
        <v>172</v>
      </c>
      <c r="F2" s="51"/>
    </row>
    <row r="3" spans="1:6" x14ac:dyDescent="0.25">
      <c r="F3" s="51"/>
    </row>
    <row r="4" spans="1:6" ht="30.75" thickBot="1" x14ac:dyDescent="0.3">
      <c r="A4" s="23" t="s">
        <v>315</v>
      </c>
      <c r="B4" s="194" t="s">
        <v>59</v>
      </c>
      <c r="C4" s="195" t="s">
        <v>156</v>
      </c>
      <c r="D4" s="196" t="s">
        <v>198</v>
      </c>
      <c r="E4" s="197" t="s">
        <v>15</v>
      </c>
      <c r="F4" s="268"/>
    </row>
    <row r="5" spans="1:6" x14ac:dyDescent="0.25">
      <c r="A5" s="23"/>
      <c r="B5" s="89" t="s">
        <v>19</v>
      </c>
      <c r="C5" s="271">
        <f>+DisRev!E7</f>
        <v>113495041.81742345</v>
      </c>
      <c r="D5" s="272">
        <f>+D53</f>
        <v>114704195.73220621</v>
      </c>
      <c r="E5" s="175">
        <f>+C5-D5</f>
        <v>-1209153.9147827625</v>
      </c>
      <c r="F5" s="237"/>
    </row>
    <row r="6" spans="1:6" x14ac:dyDescent="0.25">
      <c r="A6" s="23"/>
      <c r="B6" s="2" t="s">
        <v>22</v>
      </c>
      <c r="C6" s="271">
        <f>+OthRev!E7</f>
        <v>5300163.88</v>
      </c>
      <c r="D6" s="273">
        <f>+D52</f>
        <v>5755938</v>
      </c>
      <c r="E6" s="175">
        <f>+C6-D6</f>
        <v>-455774.12000000011</v>
      </c>
      <c r="F6" s="237"/>
    </row>
    <row r="7" spans="1:6" x14ac:dyDescent="0.25">
      <c r="A7" s="23"/>
      <c r="B7" s="6" t="s">
        <v>17</v>
      </c>
      <c r="C7" s="274">
        <f t="shared" ref="C7" si="0">SUM(C5:C6)</f>
        <v>118795205.69742344</v>
      </c>
      <c r="D7" s="274">
        <f>SUM(D5:D6)</f>
        <v>120460133.73220621</v>
      </c>
      <c r="E7" s="175">
        <f>+C7-D7</f>
        <v>-1664928.0347827673</v>
      </c>
      <c r="F7" s="237"/>
    </row>
    <row r="8" spans="1:6" ht="6.75" customHeight="1" x14ac:dyDescent="0.25">
      <c r="A8" s="23"/>
      <c r="B8" s="2"/>
      <c r="C8" s="185"/>
      <c r="D8" s="185"/>
      <c r="E8" s="175"/>
      <c r="F8" s="237"/>
    </row>
    <row r="9" spans="1:6" x14ac:dyDescent="0.25">
      <c r="A9" s="23"/>
      <c r="B9" s="26" t="s">
        <v>9</v>
      </c>
      <c r="C9" s="219">
        <f>+'OM&amp;A'!F7</f>
        <v>66680466.633618437</v>
      </c>
      <c r="D9" s="273">
        <f>+D48+D49</f>
        <v>61728494</v>
      </c>
      <c r="E9" s="275">
        <f t="shared" ref="E9:E16" si="1">+C9-D9</f>
        <v>4951972.6336184368</v>
      </c>
      <c r="F9" s="237"/>
    </row>
    <row r="10" spans="1:6" x14ac:dyDescent="0.25">
      <c r="A10" s="23"/>
      <c r="B10" s="2" t="s">
        <v>8</v>
      </c>
      <c r="C10" s="185">
        <f>+Deprec!E10</f>
        <v>23747123.681282483</v>
      </c>
      <c r="D10" s="276">
        <f>+D47</f>
        <v>25272152</v>
      </c>
      <c r="E10" s="175">
        <f t="shared" si="1"/>
        <v>-1525028.318717517</v>
      </c>
      <c r="F10" s="237"/>
    </row>
    <row r="11" spans="1:6" x14ac:dyDescent="0.25">
      <c r="A11" s="23"/>
      <c r="B11" s="2" t="s">
        <v>4</v>
      </c>
      <c r="C11" s="219">
        <f>+E34</f>
        <v>363024.09852544195</v>
      </c>
      <c r="D11" s="276">
        <f>D43</f>
        <v>366454.85403648007</v>
      </c>
      <c r="E11" s="175">
        <f t="shared" si="1"/>
        <v>-3430.7555110381218</v>
      </c>
      <c r="F11" s="237"/>
    </row>
    <row r="12" spans="1:6" x14ac:dyDescent="0.25">
      <c r="A12" s="23"/>
      <c r="B12" s="14" t="s">
        <v>5</v>
      </c>
      <c r="C12" s="219">
        <f>+E35</f>
        <v>10024089.221262643</v>
      </c>
      <c r="D12" s="272">
        <f>D44</f>
        <v>10118821.773395333</v>
      </c>
      <c r="E12" s="175">
        <f t="shared" si="1"/>
        <v>-94732.552132690325</v>
      </c>
      <c r="F12" s="237"/>
    </row>
    <row r="13" spans="1:6" x14ac:dyDescent="0.25">
      <c r="A13" s="23"/>
      <c r="B13" s="6" t="s">
        <v>18</v>
      </c>
      <c r="C13" s="274">
        <f t="shared" ref="C13" si="2">SUM(C9:C12)</f>
        <v>100814703.634689</v>
      </c>
      <c r="D13" s="274">
        <f>SUM(D9:D12)</f>
        <v>97485922.62743181</v>
      </c>
      <c r="E13" s="175">
        <f t="shared" si="1"/>
        <v>3328781.0072571933</v>
      </c>
      <c r="F13" s="237"/>
    </row>
    <row r="14" spans="1:6" x14ac:dyDescent="0.25">
      <c r="A14" s="23"/>
      <c r="B14" s="6" t="s">
        <v>61</v>
      </c>
      <c r="C14" s="274">
        <f t="shared" ref="C14" si="3">C7-C13</f>
        <v>17980502.06273444</v>
      </c>
      <c r="D14" s="274">
        <f>+D7-D13</f>
        <v>22974211.104774401</v>
      </c>
      <c r="E14" s="175">
        <f t="shared" si="1"/>
        <v>-4993709.0420399606</v>
      </c>
      <c r="F14" s="237"/>
    </row>
    <row r="15" spans="1:6" x14ac:dyDescent="0.25">
      <c r="A15" s="23"/>
      <c r="B15" s="2" t="s">
        <v>10</v>
      </c>
      <c r="C15" s="219">
        <f>+E30</f>
        <v>1387405.333281632</v>
      </c>
      <c r="D15" s="276">
        <f>+D50</f>
        <v>4693111</v>
      </c>
      <c r="E15" s="175">
        <f t="shared" si="1"/>
        <v>-3305705.666718368</v>
      </c>
      <c r="F15" s="237"/>
    </row>
    <row r="16" spans="1:6" x14ac:dyDescent="0.25">
      <c r="A16" s="23"/>
      <c r="B16" s="6" t="s">
        <v>56</v>
      </c>
      <c r="C16" s="274">
        <f t="shared" ref="C16:D16" si="4">C14-C15</f>
        <v>16593096.729452807</v>
      </c>
      <c r="D16" s="274">
        <f t="shared" si="4"/>
        <v>18281100.104774401</v>
      </c>
      <c r="E16" s="175">
        <f t="shared" si="1"/>
        <v>-1688003.3753215931</v>
      </c>
      <c r="F16" s="237"/>
    </row>
    <row r="17" spans="1:7" x14ac:dyDescent="0.25">
      <c r="A17" s="23"/>
      <c r="C17" s="115"/>
      <c r="D17" s="115"/>
      <c r="E17" s="115"/>
      <c r="F17" s="51"/>
    </row>
    <row r="18" spans="1:7" x14ac:dyDescent="0.25">
      <c r="A18" s="23"/>
      <c r="B18" s="173"/>
      <c r="C18" s="472" t="s">
        <v>156</v>
      </c>
      <c r="D18" s="472"/>
      <c r="E18" s="472"/>
      <c r="F18" s="269"/>
    </row>
    <row r="19" spans="1:7" ht="30.75" thickBot="1" x14ac:dyDescent="0.3">
      <c r="A19" s="23" t="s">
        <v>316</v>
      </c>
      <c r="B19" s="148" t="s">
        <v>59</v>
      </c>
      <c r="C19" s="277" t="s">
        <v>200</v>
      </c>
      <c r="D19" s="277" t="s">
        <v>201</v>
      </c>
      <c r="E19" s="277" t="s">
        <v>31</v>
      </c>
      <c r="F19" s="269"/>
    </row>
    <row r="20" spans="1:7" x14ac:dyDescent="0.25">
      <c r="A20" s="23"/>
      <c r="B20" s="89" t="s">
        <v>19</v>
      </c>
      <c r="C20" s="271">
        <f>DisRev!C7</f>
        <v>9593781.9199999999</v>
      </c>
      <c r="D20" s="271">
        <f>+'IS by RZ'!D6</f>
        <v>103901259.89742345</v>
      </c>
      <c r="E20" s="271">
        <f>SUM(C20:D20)</f>
        <v>113495041.81742345</v>
      </c>
      <c r="F20" s="70"/>
    </row>
    <row r="21" spans="1:7" x14ac:dyDescent="0.25">
      <c r="A21" s="23"/>
      <c r="B21" s="2" t="s">
        <v>22</v>
      </c>
      <c r="C21" s="271">
        <f>OthRev!C7</f>
        <v>508612.49000000005</v>
      </c>
      <c r="D21" s="271">
        <f>+'IS by RZ'!D8</f>
        <v>4791551.3899999997</v>
      </c>
      <c r="E21" s="271">
        <f>SUM(C21:D21)</f>
        <v>5300163.88</v>
      </c>
      <c r="F21" s="70"/>
    </row>
    <row r="22" spans="1:7" x14ac:dyDescent="0.25">
      <c r="A22" s="23"/>
      <c r="B22" s="6" t="s">
        <v>17</v>
      </c>
      <c r="C22" s="274">
        <f>SUM(C20:C21)</f>
        <v>10102394.41</v>
      </c>
      <c r="D22" s="274">
        <f t="shared" ref="D22:E22" si="5">SUM(D20:D21)</f>
        <v>108692811.28742345</v>
      </c>
      <c r="E22" s="274">
        <f t="shared" si="5"/>
        <v>118795205.69742344</v>
      </c>
      <c r="F22" s="267"/>
    </row>
    <row r="23" spans="1:7" ht="9" customHeight="1" x14ac:dyDescent="0.25">
      <c r="A23" s="23"/>
      <c r="B23" s="2"/>
      <c r="C23" s="185"/>
      <c r="D23" s="185"/>
      <c r="E23" s="185"/>
      <c r="F23" s="70"/>
    </row>
    <row r="24" spans="1:7" x14ac:dyDescent="0.25">
      <c r="A24" s="23"/>
      <c r="B24" s="2" t="s">
        <v>9</v>
      </c>
      <c r="C24" s="115">
        <f>'OM&amp;A'!F5</f>
        <v>5266751.21</v>
      </c>
      <c r="D24" s="115">
        <f>'OM&amp;A'!F6</f>
        <v>61413715.423618436</v>
      </c>
      <c r="E24" s="271">
        <f>SUM(C24:D24)</f>
        <v>66680466.633618437</v>
      </c>
      <c r="F24" s="70"/>
    </row>
    <row r="25" spans="1:7" x14ac:dyDescent="0.25">
      <c r="A25" s="23"/>
      <c r="B25" s="2" t="s">
        <v>8</v>
      </c>
      <c r="C25" s="185">
        <f>Deprec!C10</f>
        <v>1961455.1899999811</v>
      </c>
      <c r="D25" s="185">
        <f>Deprec!D10</f>
        <v>21785668.491282508</v>
      </c>
      <c r="E25" s="271">
        <f>SUM(C25:D25)</f>
        <v>23747123.68128249</v>
      </c>
      <c r="F25" s="70"/>
    </row>
    <row r="26" spans="1:7" x14ac:dyDescent="0.25">
      <c r="A26" s="23"/>
      <c r="B26" s="6" t="s">
        <v>279</v>
      </c>
      <c r="C26" s="274">
        <f>+C22-SUM(C24:C25)</f>
        <v>2874188.0100000193</v>
      </c>
      <c r="D26" s="274">
        <f t="shared" ref="D26:E26" si="6">+D22-SUM(D24:D25)</f>
        <v>25493427.372522503</v>
      </c>
      <c r="E26" s="274">
        <f t="shared" si="6"/>
        <v>28367615.382522509</v>
      </c>
      <c r="F26" s="295" t="s">
        <v>106</v>
      </c>
    </row>
    <row r="27" spans="1:7" x14ac:dyDescent="0.25">
      <c r="A27" s="23"/>
      <c r="B27" s="2" t="s">
        <v>4</v>
      </c>
      <c r="C27" s="219">
        <f>+$C11*0.0849315068493151</f>
        <v>30832.18371038001</v>
      </c>
      <c r="D27" s="219">
        <f>+$C11*334/365</f>
        <v>332191.91481506196</v>
      </c>
      <c r="E27" s="271">
        <f>SUM(C27:D27)</f>
        <v>363024.09852544195</v>
      </c>
      <c r="F27" s="70"/>
    </row>
    <row r="28" spans="1:7" x14ac:dyDescent="0.25">
      <c r="A28" s="23"/>
      <c r="B28" s="14" t="s">
        <v>5</v>
      </c>
      <c r="C28" s="219">
        <f>+$C12*0.0849315068493151</f>
        <v>851361.00235381373</v>
      </c>
      <c r="D28" s="219">
        <f>+$C12*334/365</f>
        <v>9172728.2189088296</v>
      </c>
      <c r="E28" s="271">
        <f>SUM(C28:D28)</f>
        <v>10024089.221262643</v>
      </c>
      <c r="F28" s="70"/>
    </row>
    <row r="29" spans="1:7" x14ac:dyDescent="0.25">
      <c r="A29" s="23"/>
      <c r="B29" s="6" t="s">
        <v>61</v>
      </c>
      <c r="C29" s="274">
        <f>+C26-SUM(C27:C28)</f>
        <v>1991994.8239358256</v>
      </c>
      <c r="D29" s="274">
        <f t="shared" ref="D29:E29" si="7">+D26-SUM(D27:D28)</f>
        <v>15988507.238798611</v>
      </c>
      <c r="E29" s="274">
        <f t="shared" si="7"/>
        <v>17980502.062734425</v>
      </c>
      <c r="F29" s="267"/>
    </row>
    <row r="30" spans="1:7" x14ac:dyDescent="0.25">
      <c r="A30" s="23"/>
      <c r="B30" s="2" t="s">
        <v>10</v>
      </c>
      <c r="C30" s="219">
        <v>423562.09</v>
      </c>
      <c r="D30" s="219">
        <f>+PILS!C24</f>
        <v>963843.24328163196</v>
      </c>
      <c r="E30" s="278">
        <f>SUM(C30:D30)</f>
        <v>1387405.333281632</v>
      </c>
      <c r="F30" s="70"/>
      <c r="G30" t="s">
        <v>116</v>
      </c>
    </row>
    <row r="31" spans="1:7" x14ac:dyDescent="0.25">
      <c r="A31" s="23"/>
      <c r="B31" s="6" t="s">
        <v>56</v>
      </c>
      <c r="C31" s="274">
        <f>+C29-C30</f>
        <v>1568432.7339358255</v>
      </c>
      <c r="D31" s="279">
        <f t="shared" ref="D31:E31" si="8">+D29-D30</f>
        <v>15024663.995516978</v>
      </c>
      <c r="E31" s="279">
        <f t="shared" si="8"/>
        <v>16593096.729452793</v>
      </c>
      <c r="F31" s="267"/>
    </row>
    <row r="32" spans="1:7" x14ac:dyDescent="0.25">
      <c r="A32" s="23"/>
      <c r="E32" s="51"/>
      <c r="F32" s="51"/>
    </row>
    <row r="33" spans="1:6" x14ac:dyDescent="0.25">
      <c r="A33" s="23" t="s">
        <v>317</v>
      </c>
      <c r="B33" s="5" t="s">
        <v>197</v>
      </c>
      <c r="F33" s="51"/>
    </row>
    <row r="34" spans="1:6" x14ac:dyDescent="0.25">
      <c r="A34" s="23"/>
      <c r="B34" s="2" t="str">
        <f>'Rate Base'!A13</f>
        <v>Deemed ST Debt</v>
      </c>
      <c r="C34" s="147">
        <f>'Rate Base'!B13</f>
        <v>0.04</v>
      </c>
      <c r="D34" s="175">
        <f>'Rate Base'!C13</f>
        <v>20626369.234400108</v>
      </c>
      <c r="E34" s="34">
        <f>+D34*C43</f>
        <v>363024.09852544195</v>
      </c>
      <c r="F34" s="51"/>
    </row>
    <row r="35" spans="1:6" x14ac:dyDescent="0.25">
      <c r="A35" s="23"/>
      <c r="B35" s="2" t="str">
        <f>'Rate Base'!A14</f>
        <v>Deemed LT Debt</v>
      </c>
      <c r="C35" s="147">
        <f>'Rate Base'!B14</f>
        <v>0.56000000000000005</v>
      </c>
      <c r="D35" s="175">
        <f>'Rate Base'!C14</f>
        <v>288769169.28160155</v>
      </c>
      <c r="E35" s="34">
        <f>+D35*C44</f>
        <v>10024089.221262643</v>
      </c>
      <c r="F35" s="51"/>
    </row>
    <row r="36" spans="1:6" x14ac:dyDescent="0.25">
      <c r="A36" s="23"/>
      <c r="B36" s="2" t="str">
        <f>'Rate Base'!A15</f>
        <v>Deemed Equity</v>
      </c>
      <c r="C36" s="147">
        <f>'Rate Base'!B15</f>
        <v>0.4</v>
      </c>
      <c r="D36" s="175">
        <f>'Rate Base'!C15</f>
        <v>206263692.34400108</v>
      </c>
      <c r="F36" s="51"/>
    </row>
    <row r="37" spans="1:6" x14ac:dyDescent="0.25">
      <c r="A37" s="23"/>
      <c r="B37" s="2" t="str">
        <f>'Rate Base'!A16</f>
        <v>Total Rate Base</v>
      </c>
      <c r="C37" s="147">
        <f>'Rate Base'!B16</f>
        <v>1</v>
      </c>
      <c r="D37" s="175">
        <f>'Rate Base'!C16</f>
        <v>515659230.86000276</v>
      </c>
      <c r="F37" s="51"/>
    </row>
    <row r="38" spans="1:6" x14ac:dyDescent="0.25">
      <c r="A38" s="104"/>
      <c r="D38" s="115"/>
      <c r="F38" s="51"/>
    </row>
    <row r="39" spans="1:6" x14ac:dyDescent="0.25">
      <c r="A39" s="23" t="s">
        <v>318</v>
      </c>
      <c r="B39" s="266" t="s">
        <v>199</v>
      </c>
      <c r="D39" s="115"/>
      <c r="F39" s="51"/>
    </row>
    <row r="40" spans="1:6" x14ac:dyDescent="0.25">
      <c r="A40" s="23"/>
      <c r="B40" s="2" t="s">
        <v>2</v>
      </c>
      <c r="C40" s="2"/>
      <c r="D40" s="185">
        <v>520532463.12</v>
      </c>
      <c r="F40" s="51"/>
    </row>
    <row r="41" spans="1:6" ht="7.5" customHeight="1" x14ac:dyDescent="0.25">
      <c r="A41" s="23"/>
      <c r="B41" s="8"/>
      <c r="C41" s="8"/>
      <c r="D41" s="280"/>
      <c r="F41" s="51"/>
    </row>
    <row r="42" spans="1:6" x14ac:dyDescent="0.25">
      <c r="A42" s="23"/>
      <c r="B42" s="7" t="s">
        <v>3</v>
      </c>
      <c r="C42" s="8"/>
      <c r="D42" s="280"/>
      <c r="F42" s="51"/>
    </row>
    <row r="43" spans="1:6" x14ac:dyDescent="0.25">
      <c r="A43" s="23"/>
      <c r="B43" s="2" t="s">
        <v>4</v>
      </c>
      <c r="C43" s="4">
        <v>1.7600000000000001E-2</v>
      </c>
      <c r="D43" s="185">
        <f>+$D$40*C43*0.04</f>
        <v>366454.85403648007</v>
      </c>
      <c r="F43" s="51"/>
    </row>
    <row r="44" spans="1:6" x14ac:dyDescent="0.25">
      <c r="A44" s="23"/>
      <c r="B44" s="2" t="s">
        <v>5</v>
      </c>
      <c r="C44" s="4">
        <v>3.4713156000000002E-2</v>
      </c>
      <c r="D44" s="185">
        <f>+$D$40*C44*0.56</f>
        <v>10118821.773395333</v>
      </c>
      <c r="F44" s="51"/>
    </row>
    <row r="45" spans="1:6" x14ac:dyDescent="0.25">
      <c r="A45" s="23"/>
      <c r="B45" s="2" t="s">
        <v>6</v>
      </c>
      <c r="C45" s="4">
        <v>8.7800000000000003E-2</v>
      </c>
      <c r="D45" s="185">
        <f>+$D$40*C45*0.4</f>
        <v>18281100.104774401</v>
      </c>
      <c r="F45" s="51"/>
    </row>
    <row r="46" spans="1:6" x14ac:dyDescent="0.25">
      <c r="A46" s="23"/>
      <c r="B46" s="6" t="s">
        <v>7</v>
      </c>
      <c r="C46" s="2"/>
      <c r="D46" s="274">
        <f>SUM(D43:D45)</f>
        <v>28766376.732206214</v>
      </c>
      <c r="F46" s="51"/>
    </row>
    <row r="47" spans="1:6" x14ac:dyDescent="0.25">
      <c r="A47" s="23"/>
      <c r="B47" s="2" t="s">
        <v>8</v>
      </c>
      <c r="C47" s="2"/>
      <c r="D47" s="185">
        <v>25272152</v>
      </c>
      <c r="F47" s="51"/>
    </row>
    <row r="48" spans="1:6" x14ac:dyDescent="0.25">
      <c r="A48" s="23"/>
      <c r="B48" s="2" t="s">
        <v>9</v>
      </c>
      <c r="C48" s="2"/>
      <c r="D48" s="185">
        <v>61419231</v>
      </c>
      <c r="F48" s="51"/>
    </row>
    <row r="49" spans="1:6" x14ac:dyDescent="0.25">
      <c r="A49" s="23"/>
      <c r="B49" s="2" t="s">
        <v>16</v>
      </c>
      <c r="C49" s="2"/>
      <c r="D49" s="185">
        <v>309263</v>
      </c>
      <c r="E49" s="54"/>
      <c r="F49" s="54"/>
    </row>
    <row r="50" spans="1:6" x14ac:dyDescent="0.25">
      <c r="A50" s="23"/>
      <c r="B50" s="2" t="s">
        <v>10</v>
      </c>
      <c r="C50" s="2"/>
      <c r="D50" s="185">
        <v>4693111</v>
      </c>
      <c r="E50" s="172"/>
      <c r="F50" s="172"/>
    </row>
    <row r="51" spans="1:6" x14ac:dyDescent="0.25">
      <c r="B51" s="6" t="s">
        <v>12</v>
      </c>
      <c r="C51" s="6"/>
      <c r="D51" s="274">
        <f>SUM(D46:D50)</f>
        <v>120460133.73220621</v>
      </c>
      <c r="F51" s="51"/>
    </row>
    <row r="52" spans="1:6" x14ac:dyDescent="0.25">
      <c r="B52" s="2" t="s">
        <v>11</v>
      </c>
      <c r="C52" s="2"/>
      <c r="D52" s="185">
        <v>5755938</v>
      </c>
      <c r="F52" s="51"/>
    </row>
    <row r="53" spans="1:6" x14ac:dyDescent="0.25">
      <c r="B53" s="6" t="s">
        <v>13</v>
      </c>
      <c r="C53" s="2"/>
      <c r="D53" s="274">
        <f>+D51-D52</f>
        <v>114704195.73220621</v>
      </c>
      <c r="F53" s="51"/>
    </row>
    <row r="54" spans="1:6" x14ac:dyDescent="0.25">
      <c r="F54" s="51"/>
    </row>
    <row r="55" spans="1:6" x14ac:dyDescent="0.25">
      <c r="A55" s="5" t="s">
        <v>25</v>
      </c>
      <c r="D55" s="120"/>
      <c r="F55" s="51"/>
    </row>
    <row r="56" spans="1:6" x14ac:dyDescent="0.25">
      <c r="A56" s="240" t="s">
        <v>21</v>
      </c>
      <c r="B56" t="s">
        <v>289</v>
      </c>
    </row>
    <row r="57" spans="1:6" x14ac:dyDescent="0.25">
      <c r="B57" t="s">
        <v>290</v>
      </c>
    </row>
  </sheetData>
  <mergeCells count="1">
    <mergeCell ref="C18:E18"/>
  </mergeCells>
  <pageMargins left="0.70866141732283472" right="0.31496062992125984" top="0.35433070866141736" bottom="0.55118110236220474" header="0.11811023622047245" footer="0.31496062992125984"/>
  <pageSetup scale="87" orientation="portrait" r:id="rId1"/>
  <headerFooter>
    <oddHeader>&amp;R&amp;D &amp;T</oddHeader>
    <oddFooter>&amp;L&amp;"Arial Narrow,Regular"&amp;8&amp;Z&amp;F&amp;R&amp;A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8"/>
  <sheetViews>
    <sheetView zoomScaleNormal="100" workbookViewId="0">
      <selection activeCell="D22" sqref="D22"/>
    </sheetView>
  </sheetViews>
  <sheetFormatPr defaultRowHeight="15" x14ac:dyDescent="0.25"/>
  <cols>
    <col min="1" max="1" width="28" customWidth="1"/>
    <col min="2" max="2" width="14.5703125" customWidth="1"/>
    <col min="3" max="3" width="16.42578125" bestFit="1" customWidth="1"/>
    <col min="4" max="5" width="14.140625" bestFit="1" customWidth="1"/>
  </cols>
  <sheetData>
    <row r="1" spans="1:6" x14ac:dyDescent="0.25">
      <c r="A1" s="5" t="s">
        <v>170</v>
      </c>
    </row>
    <row r="2" spans="1:6" x14ac:dyDescent="0.25">
      <c r="A2" s="5" t="s">
        <v>2</v>
      </c>
    </row>
    <row r="3" spans="1:6" ht="15.75" thickBot="1" x14ac:dyDescent="0.3"/>
    <row r="4" spans="1:6" ht="30.75" thickBot="1" x14ac:dyDescent="0.3">
      <c r="A4" s="349" t="s">
        <v>118</v>
      </c>
      <c r="B4" s="350" t="s">
        <v>80</v>
      </c>
      <c r="C4" s="351" t="s">
        <v>92</v>
      </c>
      <c r="D4" s="352" t="s">
        <v>198</v>
      </c>
      <c r="E4" s="473" t="s">
        <v>15</v>
      </c>
      <c r="F4" s="474"/>
    </row>
    <row r="5" spans="1:6" x14ac:dyDescent="0.25">
      <c r="A5" s="353" t="s">
        <v>36</v>
      </c>
      <c r="B5" s="354" t="s">
        <v>37</v>
      </c>
      <c r="C5" s="355">
        <f>+'PP&amp;E-NFA'!E8</f>
        <v>446436216.30396849</v>
      </c>
      <c r="D5" s="356">
        <v>432973917</v>
      </c>
      <c r="E5" s="357">
        <f>+C5-D5</f>
        <v>13462299.303968489</v>
      </c>
      <c r="F5" s="358">
        <f>+E5/D5</f>
        <v>3.1092633471425692E-2</v>
      </c>
    </row>
    <row r="6" spans="1:6" x14ac:dyDescent="0.25">
      <c r="A6" s="359" t="s">
        <v>117</v>
      </c>
      <c r="B6" s="18"/>
      <c r="C6" s="175"/>
      <c r="D6" s="185"/>
      <c r="E6" s="189"/>
      <c r="F6" s="360"/>
    </row>
    <row r="7" spans="1:6" x14ac:dyDescent="0.25">
      <c r="A7" s="361" t="s">
        <v>23</v>
      </c>
      <c r="B7" s="18" t="s">
        <v>38</v>
      </c>
      <c r="C7" s="175">
        <f>+COP!D6</f>
        <v>510177988</v>
      </c>
      <c r="D7" s="185">
        <v>667926057</v>
      </c>
      <c r="E7" s="189">
        <f>+C7-D7</f>
        <v>-157748069</v>
      </c>
      <c r="F7" s="362">
        <f>+E7/D7</f>
        <v>-0.23617594694318086</v>
      </c>
    </row>
    <row r="8" spans="1:6" x14ac:dyDescent="0.25">
      <c r="A8" s="361" t="s">
        <v>24</v>
      </c>
      <c r="B8" s="18" t="s">
        <v>9</v>
      </c>
      <c r="C8" s="175">
        <f>+'OM&amp;A'!F7</f>
        <v>66680466.633618437</v>
      </c>
      <c r="D8" s="185">
        <v>61728494</v>
      </c>
      <c r="E8" s="189">
        <f>+C8-D8</f>
        <v>4951972.6336184368</v>
      </c>
      <c r="F8" s="362">
        <f>+E8/D8</f>
        <v>8.0221828085072625E-2</v>
      </c>
    </row>
    <row r="9" spans="1:6" x14ac:dyDescent="0.25">
      <c r="A9" s="359" t="s">
        <v>0</v>
      </c>
      <c r="B9" s="18"/>
      <c r="C9" s="185">
        <f>SUM(C7:C8)</f>
        <v>576858454.63361847</v>
      </c>
      <c r="D9" s="185">
        <f>SUM(D7:D8)</f>
        <v>729654551</v>
      </c>
      <c r="E9" s="189">
        <f>+C9-D9</f>
        <v>-152796096.36638153</v>
      </c>
      <c r="F9" s="362">
        <f>+E9/D9</f>
        <v>-0.209408817031255</v>
      </c>
    </row>
    <row r="10" spans="1:6" ht="15.75" thickBot="1" x14ac:dyDescent="0.3">
      <c r="A10" s="363" t="s">
        <v>1</v>
      </c>
      <c r="B10" s="134">
        <v>0.12</v>
      </c>
      <c r="C10" s="286">
        <f>+C9*B10</f>
        <v>69223014.556034207</v>
      </c>
      <c r="D10" s="286">
        <f>+D9*$B$10</f>
        <v>87558546.11999999</v>
      </c>
      <c r="E10" s="287">
        <f>+C10-D10</f>
        <v>-18335531.563965783</v>
      </c>
      <c r="F10" s="364">
        <f>+E10/D10</f>
        <v>-0.20940881703125502</v>
      </c>
    </row>
    <row r="11" spans="1:6" ht="15.75" thickBot="1" x14ac:dyDescent="0.3">
      <c r="A11" s="137" t="s">
        <v>2</v>
      </c>
      <c r="B11" s="138"/>
      <c r="C11" s="288">
        <f>+C5+C10</f>
        <v>515659230.8600027</v>
      </c>
      <c r="D11" s="288">
        <f>+D5+D10</f>
        <v>520532463.12</v>
      </c>
      <c r="E11" s="289">
        <f>+C11-D11</f>
        <v>-4873232.2599973083</v>
      </c>
      <c r="F11" s="139">
        <f>+E11/D11</f>
        <v>-9.362014101460309E-3</v>
      </c>
    </row>
    <row r="12" spans="1:6" x14ac:dyDescent="0.25">
      <c r="A12" s="365"/>
      <c r="B12" s="87"/>
      <c r="C12" s="290"/>
      <c r="D12" s="290"/>
      <c r="E12" s="291"/>
      <c r="F12" s="366"/>
    </row>
    <row r="13" spans="1:6" x14ac:dyDescent="0.25">
      <c r="A13" s="367" t="s">
        <v>190</v>
      </c>
      <c r="B13" s="130">
        <v>0.04</v>
      </c>
      <c r="C13" s="292">
        <f>+C$11*$B13</f>
        <v>20626369.234400108</v>
      </c>
      <c r="D13" s="292">
        <f>+D$11*$B13</f>
        <v>20821298.524799999</v>
      </c>
      <c r="E13" s="189">
        <f t="shared" ref="E13:E14" si="0">+C13-D13</f>
        <v>-194929.29039989039</v>
      </c>
      <c r="F13" s="368">
        <f t="shared" ref="F13:F14" si="1">+E13/D13</f>
        <v>-9.3620141014602171E-3</v>
      </c>
    </row>
    <row r="14" spans="1:6" x14ac:dyDescent="0.25">
      <c r="A14" s="367" t="s">
        <v>191</v>
      </c>
      <c r="B14" s="130">
        <v>0.56000000000000005</v>
      </c>
      <c r="C14" s="292">
        <f>+C$11*$B14</f>
        <v>288769169.28160155</v>
      </c>
      <c r="D14" s="292">
        <f>+D$11*$B14</f>
        <v>291498179.34720004</v>
      </c>
      <c r="E14" s="189">
        <f t="shared" si="0"/>
        <v>-2729010.0655984879</v>
      </c>
      <c r="F14" s="368">
        <f t="shared" si="1"/>
        <v>-9.3620141014602917E-3</v>
      </c>
    </row>
    <row r="15" spans="1:6" ht="15.75" thickBot="1" x14ac:dyDescent="0.3">
      <c r="A15" s="369" t="s">
        <v>192</v>
      </c>
      <c r="B15" s="141">
        <v>0.4</v>
      </c>
      <c r="C15" s="292">
        <f>+C11*$B$15</f>
        <v>206263692.34400108</v>
      </c>
      <c r="D15" s="292">
        <f>+D11*$B$15</f>
        <v>208212985.24800003</v>
      </c>
      <c r="E15" s="292">
        <f>+E11*$B$15</f>
        <v>-1949292.9039989235</v>
      </c>
      <c r="F15" s="370">
        <f>+E15/D15</f>
        <v>-9.362014101460309E-3</v>
      </c>
    </row>
    <row r="16" spans="1:6" ht="15.75" thickBot="1" x14ac:dyDescent="0.3">
      <c r="A16" s="142" t="s">
        <v>196</v>
      </c>
      <c r="B16" s="143">
        <f>SUM(B13:B15)</f>
        <v>1</v>
      </c>
      <c r="C16" s="144">
        <f>SUM(C13:C15)</f>
        <v>515659230.86000276</v>
      </c>
      <c r="D16" s="144">
        <f>SUM(D13:D15)</f>
        <v>520532463.12000006</v>
      </c>
      <c r="E16" s="144">
        <f>SUM(E13:E15)</f>
        <v>-4873232.2599973017</v>
      </c>
      <c r="F16" s="145">
        <f>+E16/D16</f>
        <v>-9.3620141014602951E-3</v>
      </c>
    </row>
    <row r="18" spans="1:6" ht="30.75" thickBot="1" x14ac:dyDescent="0.3">
      <c r="A18" s="149" t="s">
        <v>2</v>
      </c>
      <c r="B18" s="163" t="s">
        <v>210</v>
      </c>
      <c r="C18" s="160" t="s">
        <v>198</v>
      </c>
      <c r="D18" s="164" t="s">
        <v>15</v>
      </c>
    </row>
    <row r="19" spans="1:6" x14ac:dyDescent="0.25">
      <c r="A19" s="87" t="s">
        <v>36</v>
      </c>
      <c r="B19" s="283">
        <f>+C5</f>
        <v>446436216.30396849</v>
      </c>
      <c r="C19" s="284">
        <v>432973917</v>
      </c>
      <c r="D19" s="285">
        <f>+B19-C19</f>
        <v>13462299.303968489</v>
      </c>
    </row>
    <row r="20" spans="1:6" x14ac:dyDescent="0.25">
      <c r="A20" s="2" t="s">
        <v>117</v>
      </c>
      <c r="B20" s="175"/>
      <c r="C20" s="185"/>
      <c r="D20" s="189"/>
    </row>
    <row r="21" spans="1:6" x14ac:dyDescent="0.25">
      <c r="A21" s="19" t="s">
        <v>23</v>
      </c>
      <c r="B21" s="175">
        <f>+C7</f>
        <v>510177988</v>
      </c>
      <c r="C21" s="185">
        <v>667926057</v>
      </c>
      <c r="D21" s="285">
        <f t="shared" ref="D21:D24" si="2">+B21-C21</f>
        <v>-157748069</v>
      </c>
    </row>
    <row r="22" spans="1:6" x14ac:dyDescent="0.25">
      <c r="A22" s="19" t="s">
        <v>24</v>
      </c>
      <c r="B22" s="175">
        <f>+C8</f>
        <v>66680466.633618437</v>
      </c>
      <c r="C22" s="185">
        <v>61728494</v>
      </c>
      <c r="D22" s="285">
        <f t="shared" si="2"/>
        <v>4951972.6336184368</v>
      </c>
    </row>
    <row r="23" spans="1:6" x14ac:dyDescent="0.25">
      <c r="A23" s="2" t="s">
        <v>0</v>
      </c>
      <c r="B23" s="185">
        <f>SUM(B21:B22)</f>
        <v>576858454.63361847</v>
      </c>
      <c r="C23" s="185">
        <v>729654551</v>
      </c>
      <c r="D23" s="285">
        <f t="shared" si="2"/>
        <v>-152796096.36638153</v>
      </c>
    </row>
    <row r="24" spans="1:6" ht="15.75" thickBot="1" x14ac:dyDescent="0.3">
      <c r="A24" s="133" t="s">
        <v>1</v>
      </c>
      <c r="B24" s="286">
        <f>+B23*0.12</f>
        <v>69223014.556034207</v>
      </c>
      <c r="C24" s="286">
        <v>87558546.11999999</v>
      </c>
      <c r="D24" s="285">
        <f t="shared" si="2"/>
        <v>-18335531.563965783</v>
      </c>
    </row>
    <row r="25" spans="1:6" ht="15.75" thickBot="1" x14ac:dyDescent="0.3">
      <c r="A25" s="137" t="s">
        <v>2</v>
      </c>
      <c r="B25" s="288">
        <f>+B19+B24</f>
        <v>515659230.8600027</v>
      </c>
      <c r="C25" s="288">
        <f t="shared" ref="C25:D25" si="3">+C19+C24</f>
        <v>520532463.12</v>
      </c>
      <c r="D25" s="288">
        <f t="shared" si="3"/>
        <v>-4873232.2599972934</v>
      </c>
    </row>
    <row r="26" spans="1:6" x14ac:dyDescent="0.25">
      <c r="A26" s="165"/>
      <c r="B26" s="135"/>
      <c r="C26" s="135"/>
      <c r="D26" s="136"/>
    </row>
    <row r="27" spans="1:6" x14ac:dyDescent="0.25">
      <c r="A27" s="87"/>
      <c r="B27" s="87"/>
      <c r="C27" s="135"/>
      <c r="D27" s="135"/>
      <c r="E27" s="99"/>
      <c r="F27" s="8"/>
    </row>
    <row r="28" spans="1:6" ht="30.75" thickBot="1" x14ac:dyDescent="0.3">
      <c r="A28" s="166" t="s">
        <v>197</v>
      </c>
      <c r="B28" s="167" t="s">
        <v>144</v>
      </c>
      <c r="C28" s="163" t="s">
        <v>210</v>
      </c>
      <c r="D28" s="160" t="s">
        <v>198</v>
      </c>
      <c r="E28" s="164" t="s">
        <v>15</v>
      </c>
    </row>
    <row r="29" spans="1:6" x14ac:dyDescent="0.25">
      <c r="A29" s="13" t="s">
        <v>190</v>
      </c>
      <c r="B29" s="130">
        <v>0.04</v>
      </c>
      <c r="C29" s="292">
        <f>+C$11*$B29</f>
        <v>20626369.234400108</v>
      </c>
      <c r="D29" s="292">
        <f>+D$11*$B29</f>
        <v>20821298.524799999</v>
      </c>
      <c r="E29" s="189">
        <f t="shared" ref="E29:E30" si="4">+C29-D29</f>
        <v>-194929.29039989039</v>
      </c>
    </row>
    <row r="30" spans="1:6" x14ac:dyDescent="0.25">
      <c r="A30" s="13" t="s">
        <v>191</v>
      </c>
      <c r="B30" s="130">
        <v>0.56000000000000005</v>
      </c>
      <c r="C30" s="292">
        <f>+C$11*$B30</f>
        <v>288769169.28160155</v>
      </c>
      <c r="D30" s="292">
        <f>+D$11*$B30</f>
        <v>291498179.34720004</v>
      </c>
      <c r="E30" s="189">
        <f t="shared" si="4"/>
        <v>-2729010.0655984879</v>
      </c>
    </row>
    <row r="31" spans="1:6" ht="15.75" thickBot="1" x14ac:dyDescent="0.3">
      <c r="A31" s="140" t="s">
        <v>192</v>
      </c>
      <c r="B31" s="141">
        <v>0.4</v>
      </c>
      <c r="C31" s="292">
        <f>+B25*$B$15</f>
        <v>206263692.34400108</v>
      </c>
      <c r="D31" s="292">
        <f>+C25*$B$15</f>
        <v>208212985.24800003</v>
      </c>
      <c r="E31" s="292">
        <f>+D25*$B$15</f>
        <v>-1949292.9039989174</v>
      </c>
    </row>
    <row r="32" spans="1:6" ht="15.75" thickBot="1" x14ac:dyDescent="0.3">
      <c r="A32" s="142" t="s">
        <v>196</v>
      </c>
      <c r="B32" s="143">
        <f>SUM(B29:B31)</f>
        <v>1</v>
      </c>
      <c r="C32" s="144">
        <f>SUM(C29:C31)</f>
        <v>515659230.86000276</v>
      </c>
      <c r="D32" s="144">
        <f>SUM(D29:D31)</f>
        <v>520532463.12000006</v>
      </c>
      <c r="E32" s="144">
        <f>SUM(E29:E31)</f>
        <v>-4873232.2599972952</v>
      </c>
    </row>
    <row r="34" spans="1:1" x14ac:dyDescent="0.25">
      <c r="A34" s="257"/>
    </row>
    <row r="35" spans="1:1" x14ac:dyDescent="0.25">
      <c r="A35" s="257"/>
    </row>
    <row r="38" spans="1:1" ht="14.25" customHeight="1" x14ac:dyDescent="0.25"/>
  </sheetData>
  <mergeCells count="1">
    <mergeCell ref="E4:F4"/>
  </mergeCells>
  <pageMargins left="0.70866141732283472" right="0.70866141732283472" top="0.74803149606299213" bottom="0.74803149606299213" header="0.31496062992125984" footer="0.31496062992125984"/>
  <pageSetup scale="94" orientation="portrait" r:id="rId1"/>
  <headerFooter>
    <oddHeader>&amp;R&amp;D &amp;T</oddHeader>
    <oddFooter>&amp;L&amp;"Arial Narrow,Regular"&amp;9&amp;Z&amp;F&amp;R&amp;A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5"/>
  <sheetViews>
    <sheetView zoomScaleNormal="100" workbookViewId="0">
      <selection activeCell="D22" sqref="D22"/>
    </sheetView>
  </sheetViews>
  <sheetFormatPr defaultRowHeight="15" x14ac:dyDescent="0.25"/>
  <cols>
    <col min="1" max="1" width="3.7109375" customWidth="1"/>
    <col min="2" max="2" width="29.85546875" customWidth="1"/>
    <col min="3" max="3" width="14.85546875" style="22" customWidth="1"/>
    <col min="4" max="4" width="18" style="22" customWidth="1"/>
    <col min="5" max="5" width="13.42578125" style="22" bestFit="1" customWidth="1"/>
    <col min="6" max="6" width="15.7109375" bestFit="1" customWidth="1"/>
    <col min="7" max="7" width="16.42578125" customWidth="1"/>
  </cols>
  <sheetData>
    <row r="1" spans="1:8" x14ac:dyDescent="0.25">
      <c r="A1" s="5" t="s">
        <v>170</v>
      </c>
    </row>
    <row r="2" spans="1:8" x14ac:dyDescent="0.25">
      <c r="A2" s="5" t="s">
        <v>99</v>
      </c>
      <c r="D2" s="56"/>
      <c r="E2" s="51"/>
    </row>
    <row r="4" spans="1:8" x14ac:dyDescent="0.25">
      <c r="B4" s="191" t="s">
        <v>213</v>
      </c>
      <c r="C4" s="161" t="s">
        <v>44</v>
      </c>
      <c r="D4" s="161" t="s">
        <v>45</v>
      </c>
      <c r="E4" s="161" t="s">
        <v>46</v>
      </c>
      <c r="F4" s="43" t="s">
        <v>25</v>
      </c>
      <c r="G4" s="8"/>
    </row>
    <row r="5" spans="1:8" x14ac:dyDescent="0.25">
      <c r="B5" s="2" t="s">
        <v>42</v>
      </c>
      <c r="C5" s="221">
        <v>393011067.17000002</v>
      </c>
      <c r="D5" s="421">
        <v>422396256.27999723</v>
      </c>
      <c r="E5" s="221">
        <f>SUM(C5:D5)/2</f>
        <v>407703661.72499859</v>
      </c>
      <c r="F5" s="115"/>
    </row>
    <row r="6" spans="1:8" x14ac:dyDescent="0.25">
      <c r="B6" s="427" t="s">
        <v>413</v>
      </c>
      <c r="C6" s="467">
        <v>0</v>
      </c>
      <c r="D6" s="421">
        <f>-'OM&amp;A'!F37-Deprec!E6</f>
        <v>-5263565.7642499991</v>
      </c>
      <c r="E6" s="467">
        <f>SUM(C6:D6)/2</f>
        <v>-2631782.8821249995</v>
      </c>
      <c r="F6" s="451">
        <v>1</v>
      </c>
    </row>
    <row r="7" spans="1:8" x14ac:dyDescent="0.25">
      <c r="B7" s="2" t="s">
        <v>43</v>
      </c>
      <c r="C7" s="221">
        <f>+C14</f>
        <v>43380554.088999994</v>
      </c>
      <c r="D7" s="421">
        <f>+F14</f>
        <v>39348120.833189815</v>
      </c>
      <c r="E7" s="221">
        <f>SUM(C7:D7)/2</f>
        <v>41364337.461094901</v>
      </c>
      <c r="F7" s="127" t="s">
        <v>193</v>
      </c>
    </row>
    <row r="8" spans="1:8" x14ac:dyDescent="0.25">
      <c r="B8" s="6" t="s">
        <v>31</v>
      </c>
      <c r="C8" s="223">
        <f>SUM(C5:C7)</f>
        <v>436391621.259</v>
      </c>
      <c r="D8" s="223">
        <f>SUM(D5:D7)</f>
        <v>456480811.34893703</v>
      </c>
      <c r="E8" s="223">
        <f>SUM(E5:E7)</f>
        <v>446436216.30396849</v>
      </c>
    </row>
    <row r="9" spans="1:8" s="51" customFormat="1" x14ac:dyDescent="0.25">
      <c r="B9" s="52"/>
      <c r="C9" s="54"/>
      <c r="D9" s="55"/>
      <c r="E9" s="56"/>
    </row>
    <row r="10" spans="1:8" x14ac:dyDescent="0.25">
      <c r="B10" s="5" t="s">
        <v>194</v>
      </c>
      <c r="E10"/>
    </row>
    <row r="12" spans="1:8" x14ac:dyDescent="0.25">
      <c r="B12" s="475" t="s">
        <v>43</v>
      </c>
      <c r="C12" s="477"/>
      <c r="D12" s="476"/>
      <c r="E12" s="475" t="s">
        <v>100</v>
      </c>
      <c r="F12" s="476"/>
      <c r="G12" s="43" t="s">
        <v>25</v>
      </c>
      <c r="H12" s="8"/>
    </row>
    <row r="13" spans="1:8" x14ac:dyDescent="0.25">
      <c r="B13" s="6" t="s">
        <v>68</v>
      </c>
      <c r="C13" s="57" t="s">
        <v>48</v>
      </c>
      <c r="D13" s="15" t="s">
        <v>175</v>
      </c>
      <c r="E13" s="15" t="s">
        <v>49</v>
      </c>
      <c r="F13" s="15" t="s">
        <v>45</v>
      </c>
    </row>
    <row r="14" spans="1:8" x14ac:dyDescent="0.25">
      <c r="B14" s="2" t="s">
        <v>33</v>
      </c>
      <c r="C14" s="218">
        <v>43380554.088999994</v>
      </c>
      <c r="D14" s="219"/>
      <c r="E14" s="36">
        <f>C14/$C$19</f>
        <v>0.16834468216479248</v>
      </c>
      <c r="F14" s="224">
        <f>+$D$19*E14</f>
        <v>39348120.833189815</v>
      </c>
    </row>
    <row r="15" spans="1:8" x14ac:dyDescent="0.25">
      <c r="B15" s="2" t="s">
        <v>32</v>
      </c>
      <c r="C15" s="220">
        <v>59143324.109999999</v>
      </c>
      <c r="D15" s="219"/>
      <c r="E15" s="36">
        <f>C15/$C$19</f>
        <v>0.2295144520063177</v>
      </c>
      <c r="F15" s="224">
        <f t="shared" ref="F15:F17" si="0">+$D$19*E15</f>
        <v>53645664.801383696</v>
      </c>
    </row>
    <row r="16" spans="1:8" x14ac:dyDescent="0.25">
      <c r="B16" s="2" t="s">
        <v>30</v>
      </c>
      <c r="C16" s="220">
        <v>17994921.190000001</v>
      </c>
      <c r="D16" s="219"/>
      <c r="E16" s="36">
        <f>C16/$C$19</f>
        <v>6.9831963927800347E-2</v>
      </c>
      <c r="F16" s="224">
        <f t="shared" si="0"/>
        <v>16322205.841704365</v>
      </c>
    </row>
    <row r="17" spans="1:7" x14ac:dyDescent="0.25">
      <c r="B17" s="2" t="s">
        <v>34</v>
      </c>
      <c r="C17" s="221">
        <v>137170089.44999999</v>
      </c>
      <c r="D17" s="219"/>
      <c r="E17" s="36">
        <f>C17/$C$19</f>
        <v>0.53230890190108948</v>
      </c>
      <c r="F17" s="224">
        <f t="shared" si="0"/>
        <v>124419463.23010822</v>
      </c>
    </row>
    <row r="18" spans="1:7" x14ac:dyDescent="0.25">
      <c r="B18" s="2" t="s">
        <v>114</v>
      </c>
      <c r="C18" s="221"/>
      <c r="D18" s="219">
        <f>+D30</f>
        <v>233735454.70638609</v>
      </c>
      <c r="E18" s="131"/>
      <c r="F18" s="224"/>
      <c r="G18" s="127" t="s">
        <v>414</v>
      </c>
    </row>
    <row r="19" spans="1:7" x14ac:dyDescent="0.25">
      <c r="B19" s="6" t="s">
        <v>31</v>
      </c>
      <c r="C19" s="223">
        <f>SUM(C14:C18)</f>
        <v>257688888.83899999</v>
      </c>
      <c r="D19" s="223">
        <f>SUM(D14:D18)</f>
        <v>233735454.70638609</v>
      </c>
      <c r="E19" s="132">
        <f>SUM(E14:E18)</f>
        <v>1</v>
      </c>
      <c r="F19" s="223">
        <f>SUM(F14:F18)</f>
        <v>233735454.70638609</v>
      </c>
    </row>
    <row r="20" spans="1:7" x14ac:dyDescent="0.25">
      <c r="C20" s="38"/>
      <c r="D20" s="38"/>
      <c r="E20" s="46"/>
      <c r="F20" s="22"/>
    </row>
    <row r="21" spans="1:7" x14ac:dyDescent="0.25">
      <c r="B21" s="5" t="s">
        <v>338</v>
      </c>
      <c r="C21" s="62"/>
      <c r="D21" s="62"/>
      <c r="E21" s="8"/>
    </row>
    <row r="22" spans="1:7" s="257" customFormat="1" x14ac:dyDescent="0.25">
      <c r="A22" s="16"/>
      <c r="C22" s="62"/>
      <c r="D22" s="62"/>
      <c r="E22" s="8"/>
    </row>
    <row r="23" spans="1:7" x14ac:dyDescent="0.25">
      <c r="A23" s="22"/>
      <c r="B23" s="475" t="s">
        <v>43</v>
      </c>
      <c r="C23" s="477"/>
      <c r="D23" s="476"/>
    </row>
    <row r="24" spans="1:7" x14ac:dyDescent="0.25">
      <c r="A24" s="22"/>
      <c r="B24" s="6" t="s">
        <v>68</v>
      </c>
      <c r="C24" s="75" t="s">
        <v>48</v>
      </c>
      <c r="D24" s="15" t="s">
        <v>45</v>
      </c>
      <c r="E24" s="43" t="s">
        <v>116</v>
      </c>
    </row>
    <row r="25" spans="1:7" x14ac:dyDescent="0.25">
      <c r="A25" s="22"/>
      <c r="B25" s="2" t="s">
        <v>33</v>
      </c>
      <c r="C25" s="218">
        <v>43380554.088999994</v>
      </c>
      <c r="D25" s="219">
        <v>39362028.399000034</v>
      </c>
      <c r="E25" s="372" t="s">
        <v>116</v>
      </c>
    </row>
    <row r="26" spans="1:7" x14ac:dyDescent="0.25">
      <c r="A26" s="22"/>
      <c r="B26" s="2" t="s">
        <v>32</v>
      </c>
      <c r="C26" s="220">
        <v>59143324.109999999</v>
      </c>
      <c r="D26" s="219">
        <v>49248419.627386004</v>
      </c>
    </row>
    <row r="27" spans="1:7" x14ac:dyDescent="0.25">
      <c r="A27" s="22"/>
      <c r="B27" s="2" t="s">
        <v>30</v>
      </c>
      <c r="C27" s="220">
        <v>17994921.190000001</v>
      </c>
      <c r="D27" s="219">
        <v>12025161.099999998</v>
      </c>
    </row>
    <row r="28" spans="1:7" x14ac:dyDescent="0.25">
      <c r="A28" s="22"/>
      <c r="B28" s="2" t="s">
        <v>34</v>
      </c>
      <c r="C28" s="221">
        <v>137170089.44999999</v>
      </c>
      <c r="D28" s="219">
        <v>115925733.87000005</v>
      </c>
    </row>
    <row r="29" spans="1:7" x14ac:dyDescent="0.25">
      <c r="A29" s="22"/>
      <c r="B29" s="2" t="s">
        <v>404</v>
      </c>
      <c r="C29" s="221">
        <v>0</v>
      </c>
      <c r="D29" s="219">
        <f>-Merger!C16</f>
        <v>17174111.709999997</v>
      </c>
      <c r="E29" s="22" t="s">
        <v>116</v>
      </c>
    </row>
    <row r="30" spans="1:7" x14ac:dyDescent="0.25">
      <c r="A30" s="22"/>
      <c r="B30" s="6" t="s">
        <v>31</v>
      </c>
      <c r="C30" s="222">
        <f>SUM(C25:C28)</f>
        <v>257688888.83899999</v>
      </c>
      <c r="D30" s="223">
        <f>SUM(D25:D29)</f>
        <v>233735454.70638609</v>
      </c>
    </row>
    <row r="31" spans="1:7" x14ac:dyDescent="0.25">
      <c r="A31" s="22"/>
    </row>
    <row r="32" spans="1:7" x14ac:dyDescent="0.25">
      <c r="A32" s="11" t="s">
        <v>70</v>
      </c>
    </row>
    <row r="33" spans="1:5" s="257" customFormat="1" x14ac:dyDescent="0.25">
      <c r="A33" s="16" t="s">
        <v>21</v>
      </c>
      <c r="B33" s="257" t="s">
        <v>416</v>
      </c>
      <c r="C33" s="22"/>
      <c r="D33" s="22"/>
      <c r="E33" s="22"/>
    </row>
    <row r="34" spans="1:5" s="257" customFormat="1" x14ac:dyDescent="0.25">
      <c r="A34" s="16" t="s">
        <v>69</v>
      </c>
      <c r="B34" s="62" t="s">
        <v>195</v>
      </c>
      <c r="C34" s="22"/>
      <c r="D34" s="22"/>
      <c r="E34" s="22"/>
    </row>
    <row r="35" spans="1:5" s="257" customFormat="1" x14ac:dyDescent="0.25">
      <c r="C35" s="22"/>
      <c r="D35" s="22"/>
      <c r="E35" s="22"/>
    </row>
  </sheetData>
  <mergeCells count="3">
    <mergeCell ref="E12:F12"/>
    <mergeCell ref="B12:D12"/>
    <mergeCell ref="B23:D23"/>
  </mergeCells>
  <pageMargins left="0.51181102362204722" right="0.51181102362204722" top="0.74803149606299213" bottom="0.74803149606299213" header="0.31496062992125984" footer="0.31496062992125984"/>
  <pageSetup scale="84" orientation="portrait" r:id="rId1"/>
  <headerFooter>
    <oddHeader>&amp;R&amp;D &amp;T</oddHeader>
    <oddFooter>&amp;L&amp;"Arial Narrow,Regular"&amp;8&amp;Z&amp;F&amp;R&amp;A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2"/>
  <sheetViews>
    <sheetView zoomScaleNormal="100" workbookViewId="0">
      <selection activeCell="D22" sqref="D22"/>
    </sheetView>
  </sheetViews>
  <sheetFormatPr defaultRowHeight="15" x14ac:dyDescent="0.25"/>
  <cols>
    <col min="1" max="1" width="41.5703125" customWidth="1"/>
    <col min="2" max="2" width="13.28515625" customWidth="1"/>
    <col min="3" max="3" width="14.28515625" bestFit="1" customWidth="1"/>
    <col min="4" max="4" width="13.28515625" customWidth="1"/>
    <col min="5" max="5" width="7.85546875" customWidth="1"/>
    <col min="6" max="6" width="10.140625" bestFit="1" customWidth="1"/>
  </cols>
  <sheetData>
    <row r="1" spans="1:6" x14ac:dyDescent="0.25">
      <c r="A1" s="5" t="s">
        <v>170</v>
      </c>
    </row>
    <row r="2" spans="1:6" x14ac:dyDescent="0.25">
      <c r="A2" s="5" t="s">
        <v>320</v>
      </c>
      <c r="B2" s="51"/>
      <c r="C2" s="51"/>
      <c r="D2" s="51"/>
    </row>
    <row r="3" spans="1:6" x14ac:dyDescent="0.25">
      <c r="A3" s="5"/>
      <c r="B3" s="478"/>
      <c r="C3" s="478"/>
      <c r="D3" s="478"/>
    </row>
    <row r="4" spans="1:6" x14ac:dyDescent="0.25">
      <c r="A4" s="442"/>
      <c r="B4" s="426" t="s">
        <v>41</v>
      </c>
      <c r="C4" s="426" t="s">
        <v>14</v>
      </c>
      <c r="D4" s="426" t="s">
        <v>31</v>
      </c>
      <c r="E4" s="343" t="s">
        <v>25</v>
      </c>
      <c r="F4" s="8"/>
    </row>
    <row r="5" spans="1:6" ht="24" customHeight="1" x14ac:dyDescent="0.25">
      <c r="A5" s="6" t="s">
        <v>103</v>
      </c>
      <c r="B5" s="34">
        <v>47644000</v>
      </c>
      <c r="C5" s="34">
        <v>462533988</v>
      </c>
      <c r="D5" s="34">
        <f>SUM(B5:C5)</f>
        <v>510177988</v>
      </c>
    </row>
    <row r="6" spans="1:6" ht="24.75" customHeight="1" x14ac:dyDescent="0.25">
      <c r="A6" s="6" t="s">
        <v>332</v>
      </c>
      <c r="B6" s="24">
        <f>SUM(B5:B5)</f>
        <v>47644000</v>
      </c>
      <c r="C6" s="24">
        <f>SUM(C5:C5)</f>
        <v>462533988</v>
      </c>
      <c r="D6" s="24">
        <f>SUM(D5:D5)</f>
        <v>510177988</v>
      </c>
      <c r="E6" s="22">
        <v>1</v>
      </c>
    </row>
    <row r="9" spans="1:6" x14ac:dyDescent="0.25">
      <c r="A9" s="5" t="s">
        <v>25</v>
      </c>
    </row>
    <row r="10" spans="1:6" x14ac:dyDescent="0.25">
      <c r="A10" s="344" t="s">
        <v>333</v>
      </c>
    </row>
    <row r="12" spans="1:6" x14ac:dyDescent="0.25">
      <c r="A12" t="s">
        <v>116</v>
      </c>
    </row>
  </sheetData>
  <mergeCells count="1">
    <mergeCell ref="B3:D3"/>
  </mergeCells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&amp;L&amp;"Arial Narrow,Regular"&amp;8&amp;Z&amp;F&amp;R&amp;A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0"/>
  <sheetViews>
    <sheetView zoomScaleNormal="100" workbookViewId="0">
      <selection activeCell="D22" sqref="D22"/>
    </sheetView>
  </sheetViews>
  <sheetFormatPr defaultRowHeight="15" x14ac:dyDescent="0.25"/>
  <cols>
    <col min="1" max="1" width="4.5703125" customWidth="1"/>
    <col min="2" max="2" width="28.5703125" customWidth="1"/>
    <col min="3" max="3" width="13.85546875" customWidth="1"/>
    <col min="4" max="4" width="13.42578125" customWidth="1"/>
    <col min="5" max="5" width="13.28515625" customWidth="1"/>
    <col min="6" max="6" width="14.7109375" customWidth="1"/>
    <col min="7" max="7" width="13.7109375" bestFit="1" customWidth="1"/>
  </cols>
  <sheetData>
    <row r="1" spans="1:8" x14ac:dyDescent="0.25">
      <c r="A1" s="5" t="s">
        <v>170</v>
      </c>
    </row>
    <row r="2" spans="1:8" x14ac:dyDescent="0.25">
      <c r="A2" s="5" t="s">
        <v>39</v>
      </c>
    </row>
    <row r="3" spans="1:8" x14ac:dyDescent="0.25">
      <c r="B3" s="5"/>
      <c r="C3" s="479"/>
      <c r="D3" s="479"/>
      <c r="E3" s="479"/>
    </row>
    <row r="4" spans="1:8" x14ac:dyDescent="0.25">
      <c r="B4" s="443"/>
      <c r="C4" s="161" t="s">
        <v>41</v>
      </c>
      <c r="D4" s="161" t="s">
        <v>14</v>
      </c>
      <c r="E4" s="161" t="s">
        <v>31</v>
      </c>
      <c r="F4" s="5" t="s">
        <v>25</v>
      </c>
    </row>
    <row r="5" spans="1:8" x14ac:dyDescent="0.25">
      <c r="B5" s="6" t="s">
        <v>39</v>
      </c>
      <c r="C5" s="185">
        <v>9593781.9199999999</v>
      </c>
      <c r="D5" s="219">
        <f>+D13</f>
        <v>103901259.89742345</v>
      </c>
      <c r="E5" s="185">
        <f>SUM(C5:D5)</f>
        <v>113495041.81742345</v>
      </c>
      <c r="F5" s="74" t="s">
        <v>106</v>
      </c>
    </row>
    <row r="6" spans="1:8" x14ac:dyDescent="0.25">
      <c r="B6" s="427" t="s">
        <v>104</v>
      </c>
      <c r="C6" s="220">
        <v>0</v>
      </c>
      <c r="D6" s="220">
        <v>0</v>
      </c>
      <c r="E6" s="221">
        <f>SUM(C6:D6)</f>
        <v>0</v>
      </c>
      <c r="F6" s="422" t="s">
        <v>107</v>
      </c>
    </row>
    <row r="7" spans="1:8" x14ac:dyDescent="0.25">
      <c r="B7" s="2" t="s">
        <v>105</v>
      </c>
      <c r="C7" s="175">
        <f>SUM(C5:C6)</f>
        <v>9593781.9199999999</v>
      </c>
      <c r="D7" s="175">
        <f t="shared" ref="D7:E7" si="0">SUM(D5:D6)</f>
        <v>103901259.89742345</v>
      </c>
      <c r="E7" s="175">
        <f t="shared" si="0"/>
        <v>113495041.81742345</v>
      </c>
      <c r="F7" s="25"/>
    </row>
    <row r="8" spans="1:8" x14ac:dyDescent="0.25">
      <c r="F8" s="25"/>
    </row>
    <row r="9" spans="1:8" x14ac:dyDescent="0.25">
      <c r="F9" s="25"/>
    </row>
    <row r="10" spans="1:8" x14ac:dyDescent="0.25">
      <c r="A10" s="5" t="s">
        <v>138</v>
      </c>
      <c r="C10" s="161" t="s">
        <v>31</v>
      </c>
      <c r="D10" s="161" t="s">
        <v>54</v>
      </c>
      <c r="E10" s="161" t="s">
        <v>52</v>
      </c>
      <c r="F10" s="161" t="s">
        <v>53</v>
      </c>
      <c r="G10" s="161" t="s">
        <v>55</v>
      </c>
      <c r="H10" s="8"/>
    </row>
    <row r="11" spans="1:8" x14ac:dyDescent="0.25">
      <c r="B11" s="2" t="s">
        <v>139</v>
      </c>
      <c r="C11" s="185">
        <f>SUM(D11:G11)</f>
        <v>473227871.57431591</v>
      </c>
      <c r="D11" s="185">
        <v>104886637.07000002</v>
      </c>
      <c r="E11" s="185">
        <v>61547020.38687776</v>
      </c>
      <c r="F11" s="185">
        <v>122135627.48258244</v>
      </c>
      <c r="G11" s="185">
        <v>184658586.63485572</v>
      </c>
    </row>
    <row r="12" spans="1:8" x14ac:dyDescent="0.25">
      <c r="B12" s="2" t="s">
        <v>251</v>
      </c>
      <c r="C12" s="185">
        <f t="shared" ref="C12" si="1">SUM(D12:G12)</f>
        <v>-1021165.4101117691</v>
      </c>
      <c r="D12" s="185">
        <v>-985377.17257656995</v>
      </c>
      <c r="E12" s="185">
        <v>1211711.0506055709</v>
      </c>
      <c r="F12" s="185">
        <v>-1247499.28814077</v>
      </c>
      <c r="G12" s="185">
        <v>0</v>
      </c>
    </row>
    <row r="13" spans="1:8" x14ac:dyDescent="0.25">
      <c r="B13" s="2" t="s">
        <v>31</v>
      </c>
      <c r="C13" s="185">
        <f>SUM(C11:C12)</f>
        <v>472206706.16420412</v>
      </c>
      <c r="D13" s="185">
        <f t="shared" ref="D13:G13" si="2">SUM(D11:D12)</f>
        <v>103901259.89742345</v>
      </c>
      <c r="E13" s="185">
        <f t="shared" si="2"/>
        <v>62758731.437483333</v>
      </c>
      <c r="F13" s="185">
        <f t="shared" si="2"/>
        <v>120888128.19444166</v>
      </c>
      <c r="G13" s="185">
        <f t="shared" si="2"/>
        <v>184658586.63485572</v>
      </c>
    </row>
    <row r="14" spans="1:8" x14ac:dyDescent="0.25">
      <c r="C14" s="88"/>
      <c r="F14" s="25"/>
    </row>
    <row r="17" spans="1:2" x14ac:dyDescent="0.25">
      <c r="A17" s="5" t="s">
        <v>25</v>
      </c>
    </row>
    <row r="18" spans="1:2" x14ac:dyDescent="0.25">
      <c r="A18" s="74" t="s">
        <v>21</v>
      </c>
      <c r="B18" t="s">
        <v>40</v>
      </c>
    </row>
    <row r="19" spans="1:2" x14ac:dyDescent="0.25">
      <c r="A19" s="25" t="s">
        <v>69</v>
      </c>
      <c r="B19" s="423" t="s">
        <v>321</v>
      </c>
    </row>
    <row r="20" spans="1:2" x14ac:dyDescent="0.25">
      <c r="B20" t="s">
        <v>322</v>
      </c>
    </row>
  </sheetData>
  <mergeCells count="1">
    <mergeCell ref="C3:E3"/>
  </mergeCells>
  <pageMargins left="0.51181102362204722" right="0.11811023622047245" top="0.74803149606299213" bottom="0.74803149606299213" header="0.31496062992125984" footer="0.31496062992125984"/>
  <pageSetup scale="98" orientation="portrait" r:id="rId1"/>
  <headerFooter>
    <oddFooter>&amp;L&amp;Z&amp;F&amp;R&amp;A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ESM Tables</vt:lpstr>
      <vt:lpstr>ESM Calc</vt:lpstr>
      <vt:lpstr>Reg NI Rec</vt:lpstr>
      <vt:lpstr>PILS</vt:lpstr>
      <vt:lpstr>Net Income</vt:lpstr>
      <vt:lpstr>Rate Base</vt:lpstr>
      <vt:lpstr>PP&amp;E-NFA</vt:lpstr>
      <vt:lpstr>COP</vt:lpstr>
      <vt:lpstr>DisRev</vt:lpstr>
      <vt:lpstr>OthRev</vt:lpstr>
      <vt:lpstr>OM&amp;A</vt:lpstr>
      <vt:lpstr>Deprec</vt:lpstr>
      <vt:lpstr>Allocations</vt:lpstr>
      <vt:lpstr>Merger</vt:lpstr>
      <vt:lpstr>IS by RZ</vt:lpstr>
      <vt:lpstr>ESM Rider</vt:lpstr>
      <vt:lpstr>Rider. Revenue Proportions</vt:lpstr>
      <vt:lpstr>Rate Rider. Calculation</vt:lpstr>
      <vt:lpstr>'Net Income'!Print_Area</vt:lpstr>
    </vt:vector>
  </TitlesOfParts>
  <Company>Alectra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HRZ ESM</dc:title>
  <dc:creator>John Bonadie</dc:creator>
  <cp:lastModifiedBy>Angela Yan</cp:lastModifiedBy>
  <cp:lastPrinted>2019-10-07T14:22:14Z</cp:lastPrinted>
  <dcterms:created xsi:type="dcterms:W3CDTF">2017-10-16T17:07:33Z</dcterms:created>
  <dcterms:modified xsi:type="dcterms:W3CDTF">2019-10-07T14:29:54Z</dcterms:modified>
</cp:coreProperties>
</file>