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0 Electricity Rates\IRM\IRM Applications\Price Cap IR\Waterloo North\Analyst File\"/>
    </mc:Choice>
  </mc:AlternateContent>
  <bookViews>
    <workbookView xWindow="0" yWindow="0" windowWidth="28800" windowHeight="11700"/>
  </bookViews>
  <sheets>
    <sheet name="Summary of Diff" sheetId="27" r:id="rId1"/>
    <sheet name="Jan 18" sheetId="22" r:id="rId2"/>
    <sheet name="Feb 18" sheetId="23" r:id="rId3"/>
    <sheet name="Mar 18" sheetId="24" r:id="rId4"/>
    <sheet name="April 18" sheetId="21" r:id="rId5"/>
    <sheet name="May 18" sheetId="20" r:id="rId6"/>
    <sheet name="June 18" sheetId="19" r:id="rId7"/>
    <sheet name="July 18" sheetId="18" r:id="rId8"/>
    <sheet name="Aug 18" sheetId="17" r:id="rId9"/>
    <sheet name="Sept 18" sheetId="16" r:id="rId10"/>
    <sheet name="Oct 18" sheetId="15" r:id="rId11"/>
    <sheet name="Nov 18" sheetId="11" r:id="rId12"/>
    <sheet name="Dec 18" sheetId="14" r:id="rId13"/>
    <sheet name="Total True Up" sheetId="26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27" l="1"/>
  <c r="N5" i="27" l="1"/>
  <c r="N6" i="27"/>
  <c r="M6" i="27"/>
  <c r="M7" i="27" s="1"/>
  <c r="M5" i="27"/>
  <c r="L6" i="27"/>
  <c r="L5" i="27"/>
  <c r="K6" i="27"/>
  <c r="K7" i="27" s="1"/>
  <c r="K5" i="27"/>
  <c r="J6" i="27"/>
  <c r="J5" i="27"/>
  <c r="I6" i="27"/>
  <c r="I5" i="27"/>
  <c r="H6" i="27"/>
  <c r="H5" i="27"/>
  <c r="H7" i="27" s="1"/>
  <c r="G6" i="27"/>
  <c r="G5" i="27"/>
  <c r="F6" i="27"/>
  <c r="F5" i="27"/>
  <c r="E6" i="27"/>
  <c r="E5" i="27"/>
  <c r="D6" i="27"/>
  <c r="D5" i="27"/>
  <c r="I7" i="27"/>
  <c r="C6" i="27"/>
  <c r="C5" i="27"/>
  <c r="C7" i="27" s="1"/>
  <c r="B6" i="27"/>
  <c r="B5" i="27"/>
  <c r="B7" i="27" s="1"/>
  <c r="J8" i="14"/>
  <c r="J9" i="14"/>
  <c r="M9" i="14" s="1"/>
  <c r="N9" i="14" s="1"/>
  <c r="J10" i="14"/>
  <c r="J11" i="14"/>
  <c r="J7" i="14"/>
  <c r="I8" i="14"/>
  <c r="I9" i="14"/>
  <c r="I10" i="14"/>
  <c r="I11" i="14"/>
  <c r="I7" i="14"/>
  <c r="M7" i="14" s="1"/>
  <c r="H8" i="14"/>
  <c r="H9" i="14"/>
  <c r="H10" i="14"/>
  <c r="H11" i="14"/>
  <c r="H7" i="14"/>
  <c r="J8" i="11"/>
  <c r="J9" i="11"/>
  <c r="J10" i="11"/>
  <c r="J11" i="11"/>
  <c r="J7" i="11"/>
  <c r="I8" i="11"/>
  <c r="I9" i="11"/>
  <c r="I10" i="11"/>
  <c r="I11" i="11"/>
  <c r="I7" i="11"/>
  <c r="H8" i="11"/>
  <c r="H9" i="11"/>
  <c r="H10" i="11"/>
  <c r="H11" i="11"/>
  <c r="H7" i="11"/>
  <c r="M11" i="14"/>
  <c r="N11" i="14" s="1"/>
  <c r="M10" i="14"/>
  <c r="N10" i="14" s="1"/>
  <c r="M8" i="14"/>
  <c r="N8" i="14" s="1"/>
  <c r="M11" i="11"/>
  <c r="N11" i="11" s="1"/>
  <c r="M10" i="11"/>
  <c r="N10" i="11" s="1"/>
  <c r="M9" i="11"/>
  <c r="N9" i="11" s="1"/>
  <c r="M8" i="11"/>
  <c r="N8" i="11" s="1"/>
  <c r="J8" i="15"/>
  <c r="J9" i="15"/>
  <c r="J10" i="15"/>
  <c r="J11" i="15"/>
  <c r="J7" i="15"/>
  <c r="I8" i="15"/>
  <c r="I9" i="15"/>
  <c r="I10" i="15"/>
  <c r="I11" i="15"/>
  <c r="M11" i="15" s="1"/>
  <c r="N11" i="15" s="1"/>
  <c r="I7" i="15"/>
  <c r="H8" i="15"/>
  <c r="H9" i="15"/>
  <c r="H10" i="15"/>
  <c r="H11" i="15"/>
  <c r="H7" i="15"/>
  <c r="M10" i="15"/>
  <c r="N10" i="15" s="1"/>
  <c r="M9" i="15"/>
  <c r="N9" i="15" s="1"/>
  <c r="M8" i="15"/>
  <c r="N8" i="15" s="1"/>
  <c r="J8" i="16"/>
  <c r="J9" i="16"/>
  <c r="J10" i="16"/>
  <c r="M10" i="16" s="1"/>
  <c r="N10" i="16" s="1"/>
  <c r="J11" i="16"/>
  <c r="M11" i="16" s="1"/>
  <c r="N11" i="16" s="1"/>
  <c r="J7" i="16"/>
  <c r="I8" i="16"/>
  <c r="I9" i="16"/>
  <c r="M9" i="16" s="1"/>
  <c r="N9" i="16" s="1"/>
  <c r="I10" i="16"/>
  <c r="I11" i="16"/>
  <c r="I7" i="16"/>
  <c r="H8" i="16"/>
  <c r="H9" i="16"/>
  <c r="H10" i="16"/>
  <c r="H11" i="16"/>
  <c r="H7" i="16"/>
  <c r="M8" i="16"/>
  <c r="N8" i="16" s="1"/>
  <c r="J8" i="17"/>
  <c r="J9" i="17"/>
  <c r="J10" i="17"/>
  <c r="J11" i="17"/>
  <c r="J7" i="17"/>
  <c r="I8" i="17"/>
  <c r="I9" i="17"/>
  <c r="I10" i="17"/>
  <c r="I11" i="17"/>
  <c r="I7" i="17"/>
  <c r="H8" i="17"/>
  <c r="H9" i="17"/>
  <c r="H10" i="17"/>
  <c r="H11" i="17"/>
  <c r="H7" i="17"/>
  <c r="M11" i="17"/>
  <c r="N11" i="17" s="1"/>
  <c r="M10" i="17"/>
  <c r="N10" i="17" s="1"/>
  <c r="M9" i="17"/>
  <c r="N9" i="17" s="1"/>
  <c r="M8" i="17"/>
  <c r="N8" i="17" s="1"/>
  <c r="J8" i="18"/>
  <c r="J9" i="18"/>
  <c r="J10" i="18"/>
  <c r="J11" i="18"/>
  <c r="J7" i="18"/>
  <c r="I8" i="18"/>
  <c r="I9" i="18"/>
  <c r="I10" i="18"/>
  <c r="I11" i="18"/>
  <c r="I7" i="18"/>
  <c r="H8" i="18"/>
  <c r="H9" i="18"/>
  <c r="H10" i="18"/>
  <c r="H11" i="18"/>
  <c r="H7" i="18"/>
  <c r="M11" i="18"/>
  <c r="N11" i="18" s="1"/>
  <c r="M10" i="18"/>
  <c r="N10" i="18" s="1"/>
  <c r="M9" i="18"/>
  <c r="N9" i="18" s="1"/>
  <c r="M8" i="18"/>
  <c r="N8" i="18" s="1"/>
  <c r="J8" i="19"/>
  <c r="J9" i="19"/>
  <c r="J10" i="19"/>
  <c r="J11" i="19"/>
  <c r="J7" i="19"/>
  <c r="I8" i="19"/>
  <c r="I9" i="19"/>
  <c r="I10" i="19"/>
  <c r="I11" i="19"/>
  <c r="I7" i="19"/>
  <c r="H8" i="19"/>
  <c r="H9" i="19"/>
  <c r="H10" i="19"/>
  <c r="H11" i="19"/>
  <c r="H7" i="19"/>
  <c r="M11" i="19"/>
  <c r="N11" i="19" s="1"/>
  <c r="M10" i="19"/>
  <c r="N10" i="19" s="1"/>
  <c r="M9" i="19"/>
  <c r="N9" i="19" s="1"/>
  <c r="M8" i="19"/>
  <c r="N8" i="19" s="1"/>
  <c r="J8" i="20"/>
  <c r="J9" i="20"/>
  <c r="J10" i="20"/>
  <c r="J11" i="20"/>
  <c r="J7" i="20"/>
  <c r="I8" i="20"/>
  <c r="I9" i="20"/>
  <c r="I10" i="20"/>
  <c r="I11" i="20"/>
  <c r="I7" i="20"/>
  <c r="H8" i="20"/>
  <c r="H9" i="20"/>
  <c r="H10" i="20"/>
  <c r="H11" i="20"/>
  <c r="H7" i="20"/>
  <c r="M11" i="20"/>
  <c r="N11" i="20" s="1"/>
  <c r="M10" i="20"/>
  <c r="N10" i="20" s="1"/>
  <c r="M9" i="20"/>
  <c r="N9" i="20" s="1"/>
  <c r="M8" i="20"/>
  <c r="N8" i="20" s="1"/>
  <c r="K28" i="21"/>
  <c r="J8" i="21"/>
  <c r="J9" i="21"/>
  <c r="J10" i="21"/>
  <c r="J11" i="21"/>
  <c r="J7" i="21"/>
  <c r="I8" i="21"/>
  <c r="I9" i="21"/>
  <c r="I10" i="21"/>
  <c r="I11" i="21"/>
  <c r="I7" i="21"/>
  <c r="H8" i="21"/>
  <c r="H9" i="21"/>
  <c r="H10" i="21"/>
  <c r="H11" i="21"/>
  <c r="H7" i="21"/>
  <c r="M11" i="21"/>
  <c r="N11" i="21" s="1"/>
  <c r="M10" i="21"/>
  <c r="N10" i="21" s="1"/>
  <c r="M9" i="21"/>
  <c r="N9" i="21" s="1"/>
  <c r="M8" i="21"/>
  <c r="N8" i="21" s="1"/>
  <c r="J8" i="24"/>
  <c r="J9" i="24"/>
  <c r="J10" i="24"/>
  <c r="J11" i="24"/>
  <c r="J7" i="24"/>
  <c r="I8" i="24"/>
  <c r="M8" i="24" s="1"/>
  <c r="N8" i="24" s="1"/>
  <c r="I9" i="24"/>
  <c r="I10" i="24"/>
  <c r="I11" i="24"/>
  <c r="M11" i="24" s="1"/>
  <c r="N11" i="24" s="1"/>
  <c r="I7" i="24"/>
  <c r="H8" i="24"/>
  <c r="H9" i="24"/>
  <c r="H10" i="24"/>
  <c r="H11" i="24"/>
  <c r="H7" i="24"/>
  <c r="M10" i="24"/>
  <c r="N10" i="24" s="1"/>
  <c r="M9" i="24"/>
  <c r="N9" i="24" s="1"/>
  <c r="J8" i="23"/>
  <c r="J9" i="23"/>
  <c r="J10" i="23"/>
  <c r="J11" i="23"/>
  <c r="J7" i="23"/>
  <c r="I8" i="23"/>
  <c r="I9" i="23"/>
  <c r="I10" i="23"/>
  <c r="I11" i="23"/>
  <c r="I7" i="23"/>
  <c r="H8" i="23"/>
  <c r="H9" i="23"/>
  <c r="H10" i="23"/>
  <c r="H11" i="23"/>
  <c r="H7" i="23"/>
  <c r="M11" i="23"/>
  <c r="N11" i="23" s="1"/>
  <c r="M10" i="23"/>
  <c r="N10" i="23" s="1"/>
  <c r="M9" i="23"/>
  <c r="N9" i="23" s="1"/>
  <c r="M8" i="23"/>
  <c r="N8" i="23" s="1"/>
  <c r="Q4" i="22"/>
  <c r="P4" i="22"/>
  <c r="O4" i="22"/>
  <c r="N4" i="22"/>
  <c r="M4" i="22"/>
  <c r="L4" i="22"/>
  <c r="K4" i="22"/>
  <c r="J4" i="22"/>
  <c r="I4" i="22"/>
  <c r="H4" i="22"/>
  <c r="G4" i="22"/>
  <c r="F4" i="22"/>
  <c r="L7" i="27" l="1"/>
  <c r="J7" i="27"/>
  <c r="G7" i="27"/>
  <c r="F7" i="27"/>
  <c r="E7" i="27"/>
  <c r="D7" i="27"/>
  <c r="M12" i="14"/>
  <c r="M7" i="11"/>
  <c r="M12" i="11"/>
  <c r="N7" i="14"/>
  <c r="N12" i="14" s="1"/>
  <c r="N7" i="11"/>
  <c r="N12" i="11" s="1"/>
  <c r="M7" i="15"/>
  <c r="M12" i="15" s="1"/>
  <c r="M7" i="16"/>
  <c r="N7" i="16" s="1"/>
  <c r="N12" i="16" s="1"/>
  <c r="M12" i="16"/>
  <c r="M7" i="17"/>
  <c r="N7" i="17" s="1"/>
  <c r="N12" i="17" s="1"/>
  <c r="M12" i="17"/>
  <c r="M7" i="18"/>
  <c r="M12" i="18" s="1"/>
  <c r="M7" i="19"/>
  <c r="M12" i="19" s="1"/>
  <c r="M7" i="20"/>
  <c r="M12" i="20" s="1"/>
  <c r="M7" i="21"/>
  <c r="N7" i="21" s="1"/>
  <c r="N12" i="21" s="1"/>
  <c r="M12" i="21"/>
  <c r="M7" i="24"/>
  <c r="M12" i="24" s="1"/>
  <c r="M7" i="23"/>
  <c r="N7" i="23" s="1"/>
  <c r="N12" i="23" s="1"/>
  <c r="M12" i="23"/>
  <c r="N7" i="15" l="1"/>
  <c r="N12" i="15" s="1"/>
  <c r="N7" i="18"/>
  <c r="N12" i="18" s="1"/>
  <c r="N7" i="19"/>
  <c r="N12" i="19" s="1"/>
  <c r="N7" i="20"/>
  <c r="N12" i="20" s="1"/>
  <c r="N7" i="24"/>
  <c r="N12" i="24" s="1"/>
  <c r="N12" i="22" l="1"/>
  <c r="M12" i="22"/>
  <c r="N8" i="22"/>
  <c r="N9" i="22"/>
  <c r="N10" i="22"/>
  <c r="N11" i="22"/>
  <c r="N7" i="22"/>
  <c r="M8" i="22"/>
  <c r="M9" i="22"/>
  <c r="M10" i="22"/>
  <c r="M11" i="22"/>
  <c r="M7" i="22"/>
  <c r="J8" i="22"/>
  <c r="J9" i="22"/>
  <c r="J10" i="22"/>
  <c r="J11" i="22"/>
  <c r="J7" i="22"/>
  <c r="I8" i="22"/>
  <c r="I9" i="22"/>
  <c r="I10" i="22"/>
  <c r="I11" i="22"/>
  <c r="I7" i="22"/>
  <c r="H8" i="22"/>
  <c r="H9" i="22"/>
  <c r="H10" i="22"/>
  <c r="H11" i="22"/>
  <c r="H7" i="22"/>
  <c r="K29" i="14" l="1"/>
  <c r="K30" i="14"/>
  <c r="K31" i="14"/>
  <c r="K32" i="14"/>
  <c r="K28" i="14"/>
  <c r="K29" i="11" l="1"/>
  <c r="K30" i="11"/>
  <c r="K31" i="11"/>
  <c r="K32" i="11"/>
  <c r="K28" i="11"/>
  <c r="K29" i="15" l="1"/>
  <c r="K30" i="15"/>
  <c r="K31" i="15"/>
  <c r="K32" i="15"/>
  <c r="K28" i="15"/>
  <c r="K29" i="16" l="1"/>
  <c r="K30" i="16"/>
  <c r="K31" i="16"/>
  <c r="K32" i="16"/>
  <c r="K28" i="16"/>
  <c r="K29" i="17" l="1"/>
  <c r="K30" i="17"/>
  <c r="K31" i="17"/>
  <c r="K32" i="17"/>
  <c r="K28" i="17"/>
  <c r="K29" i="18" l="1"/>
  <c r="K30" i="18"/>
  <c r="K31" i="18"/>
  <c r="K32" i="18"/>
  <c r="K28" i="18"/>
  <c r="K29" i="19" l="1"/>
  <c r="K30" i="19"/>
  <c r="K31" i="19"/>
  <c r="K32" i="19"/>
  <c r="K28" i="19"/>
  <c r="K29" i="20" l="1"/>
  <c r="K30" i="20"/>
  <c r="K31" i="20"/>
  <c r="K32" i="20"/>
  <c r="K28" i="20"/>
  <c r="K29" i="21" l="1"/>
  <c r="K30" i="21"/>
  <c r="K31" i="21"/>
  <c r="K32" i="21"/>
  <c r="K29" i="24" l="1"/>
  <c r="K30" i="24"/>
  <c r="K31" i="24"/>
  <c r="K32" i="24"/>
  <c r="K28" i="24"/>
  <c r="K29" i="23" l="1"/>
  <c r="K30" i="23"/>
  <c r="K31" i="23"/>
  <c r="K32" i="23"/>
  <c r="K28" i="23"/>
  <c r="G32" i="24" l="1"/>
  <c r="B32" i="24"/>
  <c r="G31" i="24"/>
  <c r="B31" i="24"/>
  <c r="G30" i="24"/>
  <c r="B30" i="24"/>
  <c r="G29" i="24"/>
  <c r="B29" i="24"/>
  <c r="G28" i="24"/>
  <c r="B28" i="24"/>
  <c r="G23" i="24"/>
  <c r="J22" i="24"/>
  <c r="I22" i="24"/>
  <c r="H22" i="24"/>
  <c r="E22" i="24"/>
  <c r="F22" i="24" s="1"/>
  <c r="J21" i="24"/>
  <c r="I21" i="24"/>
  <c r="H21" i="24"/>
  <c r="E21" i="24"/>
  <c r="F21" i="24" s="1"/>
  <c r="J20" i="24"/>
  <c r="I20" i="24"/>
  <c r="H20" i="24"/>
  <c r="E20" i="24"/>
  <c r="F20" i="24" s="1"/>
  <c r="J19" i="24"/>
  <c r="I19" i="24"/>
  <c r="H19" i="24"/>
  <c r="E19" i="24"/>
  <c r="F19" i="24" s="1"/>
  <c r="J18" i="24"/>
  <c r="I18" i="24"/>
  <c r="H18" i="24"/>
  <c r="E18" i="24"/>
  <c r="F18" i="24" s="1"/>
  <c r="G12" i="24"/>
  <c r="H12" i="24"/>
  <c r="G32" i="23"/>
  <c r="B32" i="23"/>
  <c r="G31" i="23"/>
  <c r="B31" i="23"/>
  <c r="G30" i="23"/>
  <c r="B30" i="23"/>
  <c r="G29" i="23"/>
  <c r="B29" i="23"/>
  <c r="G28" i="23"/>
  <c r="B28" i="23"/>
  <c r="G23" i="23"/>
  <c r="J22" i="23"/>
  <c r="I22" i="23"/>
  <c r="H22" i="23"/>
  <c r="E22" i="23"/>
  <c r="F22" i="23" s="1"/>
  <c r="J21" i="23"/>
  <c r="I21" i="23"/>
  <c r="H21" i="23"/>
  <c r="E21" i="23"/>
  <c r="F21" i="23" s="1"/>
  <c r="J20" i="23"/>
  <c r="I20" i="23"/>
  <c r="H20" i="23"/>
  <c r="E20" i="23"/>
  <c r="F20" i="23" s="1"/>
  <c r="J19" i="23"/>
  <c r="I19" i="23"/>
  <c r="H19" i="23"/>
  <c r="E19" i="23"/>
  <c r="F19" i="23" s="1"/>
  <c r="J18" i="23"/>
  <c r="I18" i="23"/>
  <c r="I23" i="23" s="1"/>
  <c r="H18" i="23"/>
  <c r="E18" i="23"/>
  <c r="F18" i="23" s="1"/>
  <c r="G12" i="23"/>
  <c r="H12" i="23"/>
  <c r="G32" i="22"/>
  <c r="B32" i="22"/>
  <c r="G31" i="22"/>
  <c r="B31" i="22"/>
  <c r="G30" i="22"/>
  <c r="B30" i="22"/>
  <c r="G29" i="22"/>
  <c r="B29" i="22"/>
  <c r="G28" i="22"/>
  <c r="G33" i="22" s="1"/>
  <c r="B28" i="22"/>
  <c r="G23" i="22"/>
  <c r="J22" i="22"/>
  <c r="I22" i="22"/>
  <c r="H22" i="22"/>
  <c r="E22" i="22"/>
  <c r="F22" i="22" s="1"/>
  <c r="J21" i="22"/>
  <c r="I21" i="22"/>
  <c r="H21" i="22"/>
  <c r="E21" i="22"/>
  <c r="F21" i="22" s="1"/>
  <c r="J20" i="22"/>
  <c r="I20" i="22"/>
  <c r="H20" i="22"/>
  <c r="E20" i="22"/>
  <c r="F20" i="22" s="1"/>
  <c r="J19" i="22"/>
  <c r="I19" i="22"/>
  <c r="H19" i="22"/>
  <c r="E19" i="22"/>
  <c r="F19" i="22" s="1"/>
  <c r="J18" i="22"/>
  <c r="J23" i="22" s="1"/>
  <c r="I18" i="22"/>
  <c r="H18" i="22"/>
  <c r="E18" i="22"/>
  <c r="F18" i="22" s="1"/>
  <c r="G12" i="22"/>
  <c r="H12" i="22"/>
  <c r="J23" i="24" l="1"/>
  <c r="I23" i="24"/>
  <c r="J23" i="23"/>
  <c r="G33" i="23"/>
  <c r="I23" i="22"/>
  <c r="G33" i="24"/>
  <c r="J12" i="22"/>
  <c r="J12" i="24"/>
  <c r="I12" i="24"/>
  <c r="J12" i="23"/>
  <c r="I12" i="23"/>
  <c r="I12" i="22"/>
  <c r="K19" i="24"/>
  <c r="K21" i="24"/>
  <c r="H23" i="24"/>
  <c r="K18" i="24"/>
  <c r="K20" i="24"/>
  <c r="K22" i="24"/>
  <c r="K19" i="23"/>
  <c r="K21" i="23"/>
  <c r="H23" i="23"/>
  <c r="K18" i="23"/>
  <c r="K20" i="23"/>
  <c r="K22" i="23"/>
  <c r="K19" i="22"/>
  <c r="K29" i="22" s="1"/>
  <c r="K21" i="22"/>
  <c r="K31" i="22" s="1"/>
  <c r="H23" i="22"/>
  <c r="K18" i="22"/>
  <c r="K28" i="22" s="1"/>
  <c r="K20" i="22"/>
  <c r="K30" i="22" s="1"/>
  <c r="K22" i="22"/>
  <c r="K32" i="22" s="1"/>
  <c r="H33" i="24" l="1"/>
  <c r="H33" i="23"/>
  <c r="J33" i="23"/>
  <c r="J33" i="24"/>
  <c r="J33" i="22"/>
  <c r="H33" i="22"/>
  <c r="K12" i="23"/>
  <c r="K12" i="22"/>
  <c r="I33" i="24"/>
  <c r="K23" i="24"/>
  <c r="K12" i="24"/>
  <c r="I33" i="23"/>
  <c r="I33" i="22"/>
  <c r="K23" i="23"/>
  <c r="K23" i="22"/>
  <c r="K33" i="23" l="1"/>
  <c r="K33" i="22"/>
  <c r="K33" i="24"/>
  <c r="G32" i="21" l="1"/>
  <c r="B32" i="21"/>
  <c r="G31" i="21"/>
  <c r="B31" i="21"/>
  <c r="G30" i="21"/>
  <c r="B30" i="21"/>
  <c r="G29" i="21"/>
  <c r="B29" i="21"/>
  <c r="G28" i="21"/>
  <c r="B28" i="21"/>
  <c r="G23" i="21"/>
  <c r="J22" i="21"/>
  <c r="I22" i="21"/>
  <c r="H22" i="21"/>
  <c r="E22" i="21"/>
  <c r="F22" i="21" s="1"/>
  <c r="J21" i="21"/>
  <c r="I21" i="21"/>
  <c r="H21" i="21"/>
  <c r="E21" i="21"/>
  <c r="F21" i="21" s="1"/>
  <c r="J20" i="21"/>
  <c r="I20" i="21"/>
  <c r="H20" i="21"/>
  <c r="E20" i="21"/>
  <c r="F20" i="21" s="1"/>
  <c r="J19" i="21"/>
  <c r="I19" i="21"/>
  <c r="H19" i="21"/>
  <c r="E19" i="21"/>
  <c r="F19" i="21" s="1"/>
  <c r="J18" i="21"/>
  <c r="J23" i="21" s="1"/>
  <c r="I18" i="21"/>
  <c r="H18" i="21"/>
  <c r="E18" i="21"/>
  <c r="F18" i="21" s="1"/>
  <c r="G12" i="21"/>
  <c r="G32" i="20"/>
  <c r="B32" i="20"/>
  <c r="G31" i="20"/>
  <c r="B31" i="20"/>
  <c r="G30" i="20"/>
  <c r="B30" i="20"/>
  <c r="G29" i="20"/>
  <c r="B29" i="20"/>
  <c r="G28" i="20"/>
  <c r="B28" i="20"/>
  <c r="G23" i="20"/>
  <c r="J22" i="20"/>
  <c r="I22" i="20"/>
  <c r="H22" i="20"/>
  <c r="E22" i="20"/>
  <c r="F22" i="20" s="1"/>
  <c r="J21" i="20"/>
  <c r="I21" i="20"/>
  <c r="H21" i="20"/>
  <c r="K21" i="20" s="1"/>
  <c r="E21" i="20"/>
  <c r="F21" i="20" s="1"/>
  <c r="J20" i="20"/>
  <c r="I20" i="20"/>
  <c r="H20" i="20"/>
  <c r="E20" i="20"/>
  <c r="F20" i="20" s="1"/>
  <c r="J19" i="20"/>
  <c r="I19" i="20"/>
  <c r="H19" i="20"/>
  <c r="E19" i="20"/>
  <c r="F19" i="20" s="1"/>
  <c r="J18" i="20"/>
  <c r="I18" i="20"/>
  <c r="I23" i="20" s="1"/>
  <c r="H18" i="20"/>
  <c r="E18" i="20"/>
  <c r="F18" i="20" s="1"/>
  <c r="G12" i="20"/>
  <c r="J12" i="20"/>
  <c r="I12" i="20"/>
  <c r="G32" i="19"/>
  <c r="B32" i="19"/>
  <c r="G31" i="19"/>
  <c r="B31" i="19"/>
  <c r="G30" i="19"/>
  <c r="B30" i="19"/>
  <c r="G29" i="19"/>
  <c r="B29" i="19"/>
  <c r="G28" i="19"/>
  <c r="B28" i="19"/>
  <c r="G23" i="19"/>
  <c r="J22" i="19"/>
  <c r="I22" i="19"/>
  <c r="H22" i="19"/>
  <c r="E22" i="19"/>
  <c r="F22" i="19" s="1"/>
  <c r="J21" i="19"/>
  <c r="I21" i="19"/>
  <c r="H21" i="19"/>
  <c r="E21" i="19"/>
  <c r="F21" i="19" s="1"/>
  <c r="J20" i="19"/>
  <c r="I20" i="19"/>
  <c r="H20" i="19"/>
  <c r="E20" i="19"/>
  <c r="F20" i="19" s="1"/>
  <c r="J19" i="19"/>
  <c r="I19" i="19"/>
  <c r="H19" i="19"/>
  <c r="E19" i="19"/>
  <c r="F19" i="19" s="1"/>
  <c r="J18" i="19"/>
  <c r="I18" i="19"/>
  <c r="H18" i="19"/>
  <c r="E18" i="19"/>
  <c r="F18" i="19" s="1"/>
  <c r="G12" i="19"/>
  <c r="G32" i="18"/>
  <c r="B32" i="18"/>
  <c r="G31" i="18"/>
  <c r="B31" i="18"/>
  <c r="G30" i="18"/>
  <c r="B30" i="18"/>
  <c r="G29" i="18"/>
  <c r="B29" i="18"/>
  <c r="G28" i="18"/>
  <c r="B28" i="18"/>
  <c r="G23" i="18"/>
  <c r="J22" i="18"/>
  <c r="I22" i="18"/>
  <c r="H22" i="18"/>
  <c r="E22" i="18"/>
  <c r="F22" i="18" s="1"/>
  <c r="J21" i="18"/>
  <c r="I21" i="18"/>
  <c r="H21" i="18"/>
  <c r="E21" i="18"/>
  <c r="F21" i="18" s="1"/>
  <c r="J20" i="18"/>
  <c r="I20" i="18"/>
  <c r="H20" i="18"/>
  <c r="E20" i="18"/>
  <c r="F20" i="18" s="1"/>
  <c r="J19" i="18"/>
  <c r="I19" i="18"/>
  <c r="H19" i="18"/>
  <c r="E19" i="18"/>
  <c r="F19" i="18" s="1"/>
  <c r="J18" i="18"/>
  <c r="I18" i="18"/>
  <c r="I23" i="18" s="1"/>
  <c r="H18" i="18"/>
  <c r="E18" i="18"/>
  <c r="F18" i="18" s="1"/>
  <c r="G12" i="18"/>
  <c r="H12" i="18"/>
  <c r="G32" i="17"/>
  <c r="B32" i="17"/>
  <c r="G31" i="17"/>
  <c r="B31" i="17"/>
  <c r="G30" i="17"/>
  <c r="B30" i="17"/>
  <c r="G29" i="17"/>
  <c r="B29" i="17"/>
  <c r="G28" i="17"/>
  <c r="B28" i="17"/>
  <c r="G23" i="17"/>
  <c r="J22" i="17"/>
  <c r="I22" i="17"/>
  <c r="H22" i="17"/>
  <c r="E22" i="17"/>
  <c r="F22" i="17" s="1"/>
  <c r="J21" i="17"/>
  <c r="I21" i="17"/>
  <c r="H21" i="17"/>
  <c r="E21" i="17"/>
  <c r="F21" i="17" s="1"/>
  <c r="J20" i="17"/>
  <c r="I20" i="17"/>
  <c r="H20" i="17"/>
  <c r="E20" i="17"/>
  <c r="F20" i="17" s="1"/>
  <c r="J19" i="17"/>
  <c r="I19" i="17"/>
  <c r="H19" i="17"/>
  <c r="E19" i="17"/>
  <c r="F19" i="17" s="1"/>
  <c r="J18" i="17"/>
  <c r="I18" i="17"/>
  <c r="H18" i="17"/>
  <c r="E18" i="17"/>
  <c r="F18" i="17" s="1"/>
  <c r="G12" i="17"/>
  <c r="G32" i="16"/>
  <c r="B32" i="16"/>
  <c r="G31" i="16"/>
  <c r="B31" i="16"/>
  <c r="G30" i="16"/>
  <c r="B30" i="16"/>
  <c r="G29" i="16"/>
  <c r="B29" i="16"/>
  <c r="G28" i="16"/>
  <c r="G33" i="16" s="1"/>
  <c r="B28" i="16"/>
  <c r="G23" i="16"/>
  <c r="J22" i="16"/>
  <c r="I22" i="16"/>
  <c r="H22" i="16"/>
  <c r="E22" i="16"/>
  <c r="F22" i="16" s="1"/>
  <c r="J21" i="16"/>
  <c r="I21" i="16"/>
  <c r="H21" i="16"/>
  <c r="E21" i="16"/>
  <c r="J20" i="16"/>
  <c r="I20" i="16"/>
  <c r="H20" i="16"/>
  <c r="E20" i="16"/>
  <c r="F20" i="16" s="1"/>
  <c r="J19" i="16"/>
  <c r="I19" i="16"/>
  <c r="H19" i="16"/>
  <c r="E19" i="16"/>
  <c r="J18" i="16"/>
  <c r="J23" i="16" s="1"/>
  <c r="I18" i="16"/>
  <c r="H18" i="16"/>
  <c r="E18" i="16"/>
  <c r="F18" i="16" s="1"/>
  <c r="G12" i="16"/>
  <c r="G32" i="15"/>
  <c r="B32" i="15"/>
  <c r="G31" i="15"/>
  <c r="B31" i="15"/>
  <c r="G30" i="15"/>
  <c r="B30" i="15"/>
  <c r="G29" i="15"/>
  <c r="B29" i="15"/>
  <c r="G28" i="15"/>
  <c r="B28" i="15"/>
  <c r="G23" i="15"/>
  <c r="J22" i="15"/>
  <c r="I22" i="15"/>
  <c r="H22" i="15"/>
  <c r="E22" i="15"/>
  <c r="F22" i="15" s="1"/>
  <c r="J21" i="15"/>
  <c r="I21" i="15"/>
  <c r="H21" i="15"/>
  <c r="E21" i="15"/>
  <c r="F21" i="15" s="1"/>
  <c r="J20" i="15"/>
  <c r="I20" i="15"/>
  <c r="H20" i="15"/>
  <c r="E20" i="15"/>
  <c r="J19" i="15"/>
  <c r="I19" i="15"/>
  <c r="H19" i="15"/>
  <c r="E19" i="15"/>
  <c r="F19" i="15" s="1"/>
  <c r="J18" i="15"/>
  <c r="I18" i="15"/>
  <c r="H18" i="15"/>
  <c r="E18" i="15"/>
  <c r="F18" i="15" s="1"/>
  <c r="G12" i="15"/>
  <c r="G32" i="14"/>
  <c r="B32" i="14"/>
  <c r="G31" i="14"/>
  <c r="B31" i="14"/>
  <c r="G30" i="14"/>
  <c r="B30" i="14"/>
  <c r="G29" i="14"/>
  <c r="B29" i="14"/>
  <c r="G28" i="14"/>
  <c r="B28" i="14"/>
  <c r="G23" i="14"/>
  <c r="J22" i="14"/>
  <c r="I22" i="14"/>
  <c r="H22" i="14"/>
  <c r="E22" i="14"/>
  <c r="F22" i="14" s="1"/>
  <c r="J21" i="14"/>
  <c r="I21" i="14"/>
  <c r="H21" i="14"/>
  <c r="E21" i="14"/>
  <c r="F21" i="14" s="1"/>
  <c r="J20" i="14"/>
  <c r="I20" i="14"/>
  <c r="H20" i="14"/>
  <c r="E20" i="14"/>
  <c r="F20" i="14" s="1"/>
  <c r="J19" i="14"/>
  <c r="I19" i="14"/>
  <c r="H19" i="14"/>
  <c r="E19" i="14"/>
  <c r="F19" i="14" s="1"/>
  <c r="J18" i="14"/>
  <c r="I18" i="14"/>
  <c r="H18" i="14"/>
  <c r="E18" i="14"/>
  <c r="F18" i="14" s="1"/>
  <c r="G12" i="14"/>
  <c r="J12" i="14"/>
  <c r="J23" i="17" l="1"/>
  <c r="I23" i="19"/>
  <c r="J23" i="19"/>
  <c r="I23" i="21"/>
  <c r="H12" i="21"/>
  <c r="I23" i="16"/>
  <c r="I12" i="14"/>
  <c r="K20" i="18"/>
  <c r="I12" i="18"/>
  <c r="H23" i="14"/>
  <c r="K22" i="17"/>
  <c r="H12" i="19"/>
  <c r="J23" i="14"/>
  <c r="K19" i="14"/>
  <c r="F20" i="15"/>
  <c r="K20" i="17"/>
  <c r="K18" i="17"/>
  <c r="K22" i="18"/>
  <c r="K18" i="18"/>
  <c r="J23" i="18"/>
  <c r="K19" i="20"/>
  <c r="K21" i="14"/>
  <c r="I23" i="14"/>
  <c r="G33" i="14"/>
  <c r="I23" i="15"/>
  <c r="H12" i="15"/>
  <c r="J12" i="15"/>
  <c r="I12" i="15"/>
  <c r="G33" i="15"/>
  <c r="H12" i="16"/>
  <c r="J12" i="16"/>
  <c r="I12" i="16"/>
  <c r="I23" i="17"/>
  <c r="H23" i="17"/>
  <c r="J12" i="17"/>
  <c r="I12" i="17"/>
  <c r="G33" i="17"/>
  <c r="H12" i="17"/>
  <c r="H23" i="18"/>
  <c r="G33" i="18"/>
  <c r="I12" i="19"/>
  <c r="G33" i="19"/>
  <c r="J12" i="19"/>
  <c r="H23" i="20"/>
  <c r="J23" i="20"/>
  <c r="H12" i="20"/>
  <c r="G33" i="20"/>
  <c r="J12" i="21"/>
  <c r="I12" i="21"/>
  <c r="G33" i="21"/>
  <c r="K19" i="21"/>
  <c r="K21" i="21"/>
  <c r="H23" i="21"/>
  <c r="K18" i="21"/>
  <c r="K20" i="21"/>
  <c r="K22" i="21"/>
  <c r="K18" i="20"/>
  <c r="K20" i="20"/>
  <c r="K22" i="20"/>
  <c r="K21" i="19"/>
  <c r="H23" i="19"/>
  <c r="K19" i="19"/>
  <c r="K18" i="19"/>
  <c r="K20" i="19"/>
  <c r="K22" i="19"/>
  <c r="J12" i="18"/>
  <c r="K19" i="18"/>
  <c r="K21" i="18"/>
  <c r="K19" i="17"/>
  <c r="K21" i="17"/>
  <c r="F19" i="16"/>
  <c r="K19" i="16"/>
  <c r="F21" i="16"/>
  <c r="K21" i="16"/>
  <c r="H23" i="16"/>
  <c r="K18" i="16"/>
  <c r="K20" i="16"/>
  <c r="K22" i="16"/>
  <c r="K19" i="15"/>
  <c r="K21" i="15"/>
  <c r="H23" i="15"/>
  <c r="K18" i="15"/>
  <c r="K20" i="15"/>
  <c r="K22" i="15"/>
  <c r="J23" i="15"/>
  <c r="H12" i="14"/>
  <c r="K18" i="14"/>
  <c r="K20" i="14"/>
  <c r="K22" i="14"/>
  <c r="B28" i="11"/>
  <c r="H33" i="21" l="1"/>
  <c r="I33" i="19"/>
  <c r="H33" i="19"/>
  <c r="K12" i="15"/>
  <c r="I33" i="21"/>
  <c r="I33" i="16"/>
  <c r="K12" i="21"/>
  <c r="I33" i="15"/>
  <c r="I33" i="18"/>
  <c r="K12" i="14"/>
  <c r="J33" i="15"/>
  <c r="J33" i="17"/>
  <c r="K23" i="18"/>
  <c r="J33" i="20"/>
  <c r="K23" i="21"/>
  <c r="J33" i="21"/>
  <c r="H33" i="14"/>
  <c r="I33" i="14"/>
  <c r="J33" i="14"/>
  <c r="J33" i="16"/>
  <c r="H33" i="16"/>
  <c r="K12" i="16"/>
  <c r="K23" i="17"/>
  <c r="I33" i="17"/>
  <c r="H33" i="17"/>
  <c r="J33" i="18"/>
  <c r="K23" i="19"/>
  <c r="J33" i="19"/>
  <c r="K12" i="19"/>
  <c r="K12" i="20"/>
  <c r="H33" i="20"/>
  <c r="I33" i="20"/>
  <c r="K23" i="20"/>
  <c r="H33" i="18"/>
  <c r="K12" i="18"/>
  <c r="K12" i="17"/>
  <c r="K23" i="16"/>
  <c r="H33" i="15"/>
  <c r="K23" i="15"/>
  <c r="K23" i="14"/>
  <c r="B29" i="11"/>
  <c r="B32" i="11"/>
  <c r="B30" i="11"/>
  <c r="B31" i="11"/>
  <c r="K33" i="21" l="1"/>
  <c r="K33" i="19"/>
  <c r="K33" i="16"/>
  <c r="K33" i="15"/>
  <c r="K33" i="17"/>
  <c r="K33" i="18"/>
  <c r="K33" i="14"/>
  <c r="K33" i="20"/>
  <c r="E18" i="11"/>
  <c r="F18" i="11" s="1"/>
  <c r="E20" i="11"/>
  <c r="F20" i="11" s="1"/>
  <c r="E19" i="11"/>
  <c r="E22" i="11"/>
  <c r="F22" i="11" s="1"/>
  <c r="E21" i="11"/>
  <c r="I20" i="11" l="1"/>
  <c r="G28" i="11"/>
  <c r="F21" i="11"/>
  <c r="G31" i="11"/>
  <c r="G30" i="11"/>
  <c r="F19" i="11"/>
  <c r="J19" i="11"/>
  <c r="I21" i="11"/>
  <c r="J21" i="11"/>
  <c r="H21" i="11"/>
  <c r="I18" i="11"/>
  <c r="H18" i="11"/>
  <c r="J18" i="11"/>
  <c r="H22" i="11"/>
  <c r="J22" i="11"/>
  <c r="I22" i="11"/>
  <c r="G32" i="11" l="1"/>
  <c r="J20" i="11"/>
  <c r="J23" i="11" s="1"/>
  <c r="H20" i="11"/>
  <c r="K20" i="11" s="1"/>
  <c r="G23" i="11"/>
  <c r="G29" i="11"/>
  <c r="G33" i="11" s="1"/>
  <c r="G12" i="11"/>
  <c r="I19" i="11"/>
  <c r="H19" i="11"/>
  <c r="H23" i="11" s="1"/>
  <c r="K21" i="11"/>
  <c r="K22" i="11"/>
  <c r="K18" i="11"/>
  <c r="B5" i="26" l="1"/>
  <c r="I23" i="11"/>
  <c r="I12" i="11"/>
  <c r="J12" i="11"/>
  <c r="K19" i="11"/>
  <c r="K23" i="11" s="1"/>
  <c r="B6" i="26"/>
  <c r="H12" i="11"/>
  <c r="B7" i="26"/>
  <c r="H33" i="11"/>
  <c r="J33" i="11" l="1"/>
  <c r="B4" i="26"/>
  <c r="I33" i="11"/>
  <c r="K12" i="11"/>
  <c r="B3" i="26"/>
  <c r="B9" i="26" l="1"/>
  <c r="K33" i="11"/>
</calcChain>
</file>

<file path=xl/sharedStrings.xml><?xml version="1.0" encoding="utf-8"?>
<sst xmlns="http://schemas.openxmlformats.org/spreadsheetml/2006/main" count="742" uniqueCount="67">
  <si>
    <t>Tier 1</t>
  </si>
  <si>
    <t>Tier 2</t>
  </si>
  <si>
    <t>TOU Off-peak</t>
  </si>
  <si>
    <t>TOU On-peak</t>
  </si>
  <si>
    <t>TOU Mid-peak</t>
  </si>
  <si>
    <t>Difference</t>
  </si>
  <si>
    <t>kWh Volumes</t>
  </si>
  <si>
    <t>RPP Rate</t>
  </si>
  <si>
    <t>Estimated RPP Revenue</t>
  </si>
  <si>
    <t>Day 4 Initial RPP Settlement Calculation:</t>
  </si>
  <si>
    <t>Actual RPP Revenue</t>
  </si>
  <si>
    <t>Total Commodity</t>
  </si>
  <si>
    <t>GA Actual</t>
  </si>
  <si>
    <t>Estimated RPP Settlement</t>
  </si>
  <si>
    <t>Actual RPP Settlement</t>
  </si>
  <si>
    <t>RPP Settlement True-UP</t>
  </si>
  <si>
    <t>True-Up RPP Revenue</t>
  </si>
  <si>
    <t>RPP Revenue Prices</t>
  </si>
  <si>
    <t>Estimated GA</t>
  </si>
  <si>
    <t>Actual GA</t>
  </si>
  <si>
    <t>Estimated HOEP</t>
  </si>
  <si>
    <t>Actual HOEP</t>
  </si>
  <si>
    <t>True-up HOEP</t>
  </si>
  <si>
    <t>True-up GA</t>
  </si>
  <si>
    <t xml:space="preserve"> RPP Settlement Calculation based on Actual GA Price:</t>
  </si>
  <si>
    <t>RPP Settlement True-up based on Actual GA Price:</t>
  </si>
  <si>
    <t>GA Price Difference</t>
  </si>
  <si>
    <t>True-Up elements</t>
  </si>
  <si>
    <t>RPP Settlement - 1st True-UP</t>
  </si>
  <si>
    <t>HOEP Difference</t>
  </si>
  <si>
    <t>Settlement kWh Volumes</t>
  </si>
  <si>
    <t>Actual kWh Volumes</t>
  </si>
  <si>
    <t>True- Up Total</t>
  </si>
  <si>
    <t>Off Peak</t>
  </si>
  <si>
    <t>Mid Peak</t>
  </si>
  <si>
    <t>On Peak</t>
  </si>
  <si>
    <t>Settlement Submission</t>
  </si>
  <si>
    <t>Total</t>
  </si>
  <si>
    <t>Took actual settlement values and inserted them on the first chart, used the OEB calculation of actual usage/HOEP/GA for second chart, compared the two</t>
  </si>
  <si>
    <t>1598 Settlement Values (billed)</t>
  </si>
  <si>
    <t>Actual RPP Revenue and Actual GA Price:</t>
  </si>
  <si>
    <t>True Up of Settled to Actual</t>
  </si>
  <si>
    <t>GA 2nd Estimate</t>
  </si>
  <si>
    <t>agree to Table 2.7a</t>
  </si>
  <si>
    <t>RPP Settlement - Calculated</t>
  </si>
  <si>
    <t>Diff</t>
  </si>
  <si>
    <t>From the IESO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</si>
  <si>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</si>
  <si>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</si>
  <si>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</si>
  <si>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</si>
  <si>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</si>
  <si>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</si>
  <si>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</si>
  <si>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</si>
  <si>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</si>
  <si>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</si>
  <si>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</si>
  <si>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</si>
  <si>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 GA Rate (¢/kWh)</t>
  </si>
  <si>
    <t>IESO Average HOEP</t>
  </si>
  <si>
    <t>Waterloo Actual HOEP</t>
  </si>
  <si>
    <t>?</t>
  </si>
  <si>
    <t>agree to Tble 2.7a</t>
  </si>
  <si>
    <t>Summary of Differences between the original submitted RPP settlement vs. the calculated amount</t>
  </si>
  <si>
    <t>Submitted</t>
  </si>
  <si>
    <t xml:space="preserve">Calculated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</si>
</sst>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_(* #,##0_);_(* \(#,##0\);_(* &quot;-&quot;??_);_(@_)"/>
    <numFmt numFmtId="167" formatCode="_(&quot;$&quot;* #,##0.0000_);_(&quot;$&quot;* \(#,##0.0000\);_(&quot;$&quot;* &quot;-&quot;??_);_(@_)"/>
    <numFmt numFmtId="168" formatCode="_(&quot;$&quot;* #,##0_);_(&quot;$&quot;* \(#,##0\);_(&quot;$&quot;* &quot;-&quot;??_);_(@_)"/>
    <numFmt numFmtId="169" formatCode="_(&quot;$&quot;* #,##0.000_);_(&quot;$&quot;* \(#,##0.000\);_(&quot;$&quot;* &quot;-&quot;??_);_(@_)"/>
    <numFmt numFmtId="170" formatCode="_-&quot;$&quot;* #,##0.0000_-;\-&quot;$&quot;* #,##0.0000_-;_-&quot;$&quot;* &quot;-&quot;??_-;_-@_-"/>
    <numFmt numFmtId="171" formatCode="_-&quot;$&quot;* #,##0.00000_-;\-&quot;$&quot;* #,##0.00000_-;_-&quot;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Whitney SSm A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D7D7D7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168" fontId="0" fillId="0" borderId="0" xfId="1" applyNumberFormat="1" applyFont="1"/>
    <xf numFmtId="168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166" fontId="0" fillId="0" borderId="1" xfId="0" applyNumberFormat="1" applyBorder="1"/>
    <xf numFmtId="166" fontId="0" fillId="0" borderId="0" xfId="2" applyNumberFormat="1" applyFont="1"/>
    <xf numFmtId="168" fontId="0" fillId="0" borderId="1" xfId="1" applyNumberFormat="1" applyFont="1" applyBorder="1"/>
    <xf numFmtId="0" fontId="3" fillId="0" borderId="0" xfId="0" applyFont="1"/>
    <xf numFmtId="168" fontId="0" fillId="0" borderId="0" xfId="1" applyNumberFormat="1" applyFont="1" applyBorder="1"/>
    <xf numFmtId="171" fontId="0" fillId="0" borderId="0" xfId="0" applyNumberFormat="1"/>
    <xf numFmtId="0" fontId="2" fillId="0" borderId="0" xfId="0" applyFont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6" fontId="0" fillId="0" borderId="0" xfId="0" applyNumberFormat="1" applyBorder="1"/>
    <xf numFmtId="168" fontId="0" fillId="0" borderId="0" xfId="0" applyNumberForma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9" fontId="0" fillId="0" borderId="0" xfId="0" applyNumberFormat="1" applyBorder="1"/>
    <xf numFmtId="166" fontId="0" fillId="0" borderId="0" xfId="2" applyNumberFormat="1" applyFont="1" applyBorder="1"/>
    <xf numFmtId="165" fontId="0" fillId="0" borderId="0" xfId="0" applyNumberFormat="1"/>
    <xf numFmtId="0" fontId="3" fillId="0" borderId="0" xfId="0" applyFont="1" applyBorder="1"/>
    <xf numFmtId="0" fontId="2" fillId="0" borderId="0" xfId="0" applyFont="1" applyBorder="1" applyAlignment="1">
      <alignment wrapText="1"/>
    </xf>
    <xf numFmtId="167" fontId="0" fillId="0" borderId="0" xfId="1" applyNumberFormat="1" applyFont="1" applyBorder="1"/>
    <xf numFmtId="170" fontId="0" fillId="0" borderId="0" xfId="0" applyNumberFormat="1" applyBorder="1"/>
    <xf numFmtId="171" fontId="0" fillId="0" borderId="0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169" fontId="0" fillId="0" borderId="4" xfId="0" applyNumberFormat="1" applyBorder="1"/>
    <xf numFmtId="167" fontId="0" fillId="0" borderId="4" xfId="1" applyNumberFormat="1" applyFont="1" applyBorder="1"/>
    <xf numFmtId="170" fontId="0" fillId="0" borderId="4" xfId="0" applyNumberFormat="1" applyBorder="1"/>
    <xf numFmtId="0" fontId="0" fillId="0" borderId="5" xfId="0" applyBorder="1"/>
    <xf numFmtId="0" fontId="0" fillId="0" borderId="6" xfId="0" applyBorder="1"/>
    <xf numFmtId="169" fontId="0" fillId="0" borderId="7" xfId="0" applyNumberFormat="1" applyBorder="1"/>
    <xf numFmtId="167" fontId="0" fillId="0" borderId="7" xfId="1" applyNumberFormat="1" applyFont="1" applyBorder="1"/>
    <xf numFmtId="170" fontId="0" fillId="0" borderId="7" xfId="0" applyNumberFormat="1" applyBorder="1"/>
    <xf numFmtId="168" fontId="0" fillId="0" borderId="1" xfId="1" applyNumberFormat="1" applyFont="1" applyFill="1" applyBorder="1"/>
    <xf numFmtId="0" fontId="2" fillId="0" borderId="2" xfId="0" applyFont="1" applyBorder="1" applyAlignment="1">
      <alignment wrapText="1"/>
    </xf>
    <xf numFmtId="0" fontId="4" fillId="0" borderId="0" xfId="0" applyFont="1"/>
    <xf numFmtId="164" fontId="0" fillId="0" borderId="0" xfId="0" applyNumberFormat="1"/>
    <xf numFmtId="43" fontId="0" fillId="0" borderId="0" xfId="3" applyFont="1" applyAlignment="1">
      <alignment wrapText="1"/>
    </xf>
    <xf numFmtId="0" fontId="2" fillId="0" borderId="8" xfId="0" applyFont="1" applyBorder="1" applyAlignment="1">
      <alignment horizontal="center"/>
    </xf>
    <xf numFmtId="168" fontId="2" fillId="2" borderId="1" xfId="1" applyNumberFormat="1" applyFont="1" applyFill="1" applyBorder="1"/>
    <xf numFmtId="168" fontId="0" fillId="3" borderId="0" xfId="1" applyNumberFormat="1" applyFont="1" applyFill="1"/>
    <xf numFmtId="168" fontId="0" fillId="3" borderId="1" xfId="1" applyNumberFormat="1" applyFont="1" applyFill="1" applyBorder="1"/>
    <xf numFmtId="0" fontId="2" fillId="3" borderId="2" xfId="0" applyFont="1" applyFill="1" applyBorder="1" applyAlignment="1">
      <alignment horizontal="center" wrapText="1"/>
    </xf>
    <xf numFmtId="168" fontId="0" fillId="0" borderId="7" xfId="0" applyNumberFormat="1" applyBorder="1"/>
    <xf numFmtId="168" fontId="2" fillId="0" borderId="0" xfId="0" applyNumberFormat="1" applyFont="1" applyBorder="1"/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/>
    </xf>
    <xf numFmtId="168" fontId="2" fillId="3" borderId="0" xfId="0" applyNumberFormat="1" applyFont="1" applyFill="1" applyBorder="1"/>
    <xf numFmtId="0" fontId="0" fillId="4" borderId="0" xfId="0" applyFill="1"/>
    <xf numFmtId="0" fontId="6" fillId="4" borderId="9" xfId="0" applyFont="1" applyFill="1" applyBorder="1" applyAlignment="1">
      <alignment vertical="top" wrapText="1" indent="1"/>
    </xf>
    <xf numFmtId="0" fontId="6" fillId="5" borderId="9" xfId="0" applyFont="1" applyFill="1" applyBorder="1" applyAlignment="1">
      <alignment horizontal="center" vertical="center" wrapText="1"/>
    </xf>
    <xf numFmtId="44" fontId="0" fillId="0" borderId="0" xfId="0" applyNumberFormat="1"/>
    <xf numFmtId="43" fontId="0" fillId="0" borderId="0" xfId="3" applyFont="1"/>
    <xf numFmtId="43" fontId="2" fillId="0" borderId="0" xfId="3" applyFont="1" applyBorder="1"/>
    <xf numFmtId="43" fontId="0" fillId="0" borderId="0" xfId="3" applyFont="1" applyBorder="1"/>
    <xf numFmtId="167" fontId="0" fillId="4" borderId="4" xfId="1" applyNumberFormat="1" applyFont="1" applyFill="1" applyBorder="1"/>
    <xf numFmtId="167" fontId="0" fillId="4" borderId="0" xfId="1" applyNumberFormat="1" applyFont="1" applyFill="1" applyBorder="1"/>
    <xf numFmtId="167" fontId="0" fillId="4" borderId="7" xfId="1" applyNumberFormat="1" applyFont="1" applyFill="1" applyBorder="1"/>
    <xf numFmtId="0" fontId="2" fillId="2" borderId="0" xfId="0" applyFont="1" applyFill="1"/>
    <xf numFmtId="168" fontId="0" fillId="3" borderId="0" xfId="0" applyNumberFormat="1" applyFill="1" applyBorder="1"/>
    <xf numFmtId="167" fontId="2" fillId="0" borderId="0" xfId="1" applyNumberFormat="1" applyFont="1" applyBorder="1"/>
    <xf numFmtId="168" fontId="0" fillId="6" borderId="0" xfId="0" applyNumberFormat="1" applyFill="1" applyBorder="1"/>
    <xf numFmtId="0" fontId="0" fillId="0" borderId="2" xfId="0" applyBorder="1"/>
    <xf numFmtId="166" fontId="0" fillId="0" borderId="2" xfId="3" applyNumberFormat="1" applyFont="1" applyBorder="1"/>
    <xf numFmtId="166" fontId="0" fillId="0" borderId="2" xfId="0" applyNumberFormat="1" applyBorder="1"/>
    <xf numFmtId="166" fontId="2" fillId="0" borderId="2" xfId="0" applyNumberFormat="1" applyFont="1" applyBorder="1"/>
    <xf numFmtId="166" fontId="2" fillId="3" borderId="2" xfId="0" applyNumberFormat="1" applyFont="1" applyFill="1" applyBorder="1"/>
    <xf numFmtId="0" fontId="5" fillId="0" borderId="0" xfId="0" applyFont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HOEP - IESO Vs. Waterloo North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 18'!$E$3</c:f>
              <c:strCache>
                <c:ptCount val="1"/>
                <c:pt idx="0">
                  <c:v>IESO Average HOEP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'Jan 18'!$F$3:$Q$3</c:f>
              <c:numCache>
                <c:formatCode>General</c:formatCode>
                <c:ptCount val="12"/>
                <c:pt idx="0">
                  <c:v>3.21</c:v>
                </c:pt>
                <c:pt idx="1">
                  <c:v>1.9</c:v>
                </c:pt>
                <c:pt idx="2">
                  <c:v>1.72</c:v>
                </c:pt>
                <c:pt idx="3">
                  <c:v>2.97</c:v>
                </c:pt>
                <c:pt idx="4">
                  <c:v>1.31</c:v>
                </c:pt>
                <c:pt idx="5">
                  <c:v>1.83</c:v>
                </c:pt>
                <c:pt idx="6">
                  <c:v>3.04</c:v>
                </c:pt>
                <c:pt idx="7">
                  <c:v>3.06</c:v>
                </c:pt>
                <c:pt idx="8">
                  <c:v>2.99</c:v>
                </c:pt>
                <c:pt idx="9">
                  <c:v>1.38</c:v>
                </c:pt>
                <c:pt idx="10">
                  <c:v>2.5099999999999998</c:v>
                </c:pt>
                <c:pt idx="11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4-4865-B720-71358EB57E02}"/>
            </c:ext>
          </c:extLst>
        </c:ser>
        <c:ser>
          <c:idx val="1"/>
          <c:order val="1"/>
          <c:tx>
            <c:strRef>
              <c:f>'Jan 18'!$E$4</c:f>
              <c:strCache>
                <c:ptCount val="1"/>
                <c:pt idx="0">
                  <c:v>Waterloo Actual HOEP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'Jan 18'!$F$4:$Q$4</c:f>
              <c:numCache>
                <c:formatCode>_("$"* #,##0.00_);_("$"* \(#,##0.00\);_("$"* "-"??_);_(@_)</c:formatCode>
                <c:ptCount val="12"/>
                <c:pt idx="0">
                  <c:v>3.0324717741935405</c:v>
                </c:pt>
                <c:pt idx="1">
                  <c:v>1.8006458333333351</c:v>
                </c:pt>
                <c:pt idx="2" formatCode="_(* #,##0.00_);_(* \(#,##0.00\);_(* &quot;-&quot;??_);_(@_)">
                  <c:v>1.6496411290322599</c:v>
                </c:pt>
                <c:pt idx="3" formatCode="_(* #,##0.00_);_(* \(#,##0.00\);_(* &quot;-&quot;??_);_(@_)">
                  <c:v>2.8557472222222167</c:v>
                </c:pt>
                <c:pt idx="4" formatCode="_(* #,##0.00_);_(* \(#,##0.00\);_(* &quot;-&quot;??_);_(@_)">
                  <c:v>1.1538561827956995</c:v>
                </c:pt>
                <c:pt idx="5" formatCode="_(* #,##0.00_);_(* \(#,##0.00\);_(* &quot;-&quot;??_);_(@_)">
                  <c:v>1.6732555555555542</c:v>
                </c:pt>
                <c:pt idx="6" formatCode="_(* #,##0.00_);_(* \(#,##0.00\);_(* &quot;-&quot;??_);_(@_)">
                  <c:v>2.8597096774193553</c:v>
                </c:pt>
                <c:pt idx="7" formatCode="_(* #,##0.00_);_(* \(#,##0.00\);_(* &quot;-&quot;??_);_(@_)">
                  <c:v>2.8918709677419376</c:v>
                </c:pt>
                <c:pt idx="8" formatCode="_(* #,##0.00_);_(* \(#,##0.00\);_(* &quot;-&quot;??_);_(@_)">
                  <c:v>2.6925847222222252</c:v>
                </c:pt>
                <c:pt idx="9" formatCode="_(* #,##0.00_);_(* \(#,##0.00\);_(* &quot;-&quot;??_);_(@_)">
                  <c:v>1.2777701612903214</c:v>
                </c:pt>
                <c:pt idx="10" formatCode="_(* #,##0.00_);_(* \(#,##0.00\);_(* &quot;-&quot;??_);_(@_)">
                  <c:v>2.3618986111111107</c:v>
                </c:pt>
                <c:pt idx="11" formatCode="_(* #,##0.00_);_(* \(#,##0.00\);_(* &quot;-&quot;??_);_(@_)">
                  <c:v>2.6604610215053737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4-4865-B720-71358EB5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611135"/>
        <c:axId val="1406609055"/>
      </c:lineChart>
      <c:catAx>
        <c:axId val="14066111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609055"/>
        <c:crosses val="autoZero"/>
        <c:auto val="1"/>
        <c:lblAlgn val="ctr"/>
        <c:lblOffset val="100"/>
        <c:noMultiLvlLbl val="0"/>
      </c:catAx>
      <c:valAx>
        <c:axId val="140660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611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13</xdr:row>
      <xdr:rowOff>133350</xdr:rowOff>
    </xdr:from>
    <xdr:to>
      <xdr:col>17</xdr:col>
      <xdr:colOff>676275</xdr:colOff>
      <xdr:row>26</xdr:row>
      <xdr:rowOff>228600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"/>
  <sheetViews>
    <sheetView tabSelected="1" workbookViewId="0">
      <selection activeCell="N7" sqref="N7"/>
    </sheetView>
  </sheetViews>
  <sheetFormatPr defaultRowHeight="14.4"/>
  <cols>
    <col min="1" max="1" width="11" customWidth="1"/>
    <col min="2" max="2" width="9.6640625" bestFit="1" customWidth="1"/>
    <col min="3" max="12" width="11.33203125" bestFit="1" customWidth="1"/>
    <col min="13" max="13" width="9.6640625" bestFit="1" customWidth="1"/>
    <col min="14" max="14" width="12.33203125" bestFit="1" customWidth="1"/>
  </cols>
  <sheetData>
    <row r="1" spans="1:14">
      <c r="A1" t="s">
        <v>64</v>
      </c>
    </row>
    <row r="2" spans="1:14">
      <c r="A2">
        <v>2018</v>
      </c>
    </row>
    <row r="4" spans="1:14" ht="13.95" customHeight="1">
      <c r="A4" s="68"/>
      <c r="B4" s="27" t="s">
        <v>47</v>
      </c>
      <c r="C4" s="27" t="s">
        <v>48</v>
      </c>
      <c r="D4" s="27" t="s">
        <v>49</v>
      </c>
      <c r="E4" s="27" t="s">
        <v>50</v>
      </c>
      <c r="F4" s="27" t="s">
        <v>51</v>
      </c>
      <c r="G4" s="27" t="s">
        <v>52</v>
      </c>
      <c r="H4" s="27" t="s">
        <v>53</v>
      </c>
      <c r="I4" s="27" t="s">
        <v>54</v>
      </c>
      <c r="J4" s="27" t="s">
        <v>55</v>
      </c>
      <c r="K4" s="27" t="s">
        <v>56</v>
      </c>
      <c r="L4" s="27" t="s">
        <v>57</v>
      </c>
      <c r="M4" s="27" t="s">
        <v>58</v>
      </c>
      <c r="N4" s="27" t="s">
        <v>37</v>
      </c>
    </row>
    <row r="5" spans="1:14">
      <c r="A5" s="68" t="s">
        <v>65</v>
      </c>
      <c r="B5" s="69">
        <f>'Jan 18'!K12</f>
        <v>81744.399999999965</v>
      </c>
      <c r="C5" s="69">
        <f>'Feb 18'!K12</f>
        <v>-158066.23999999987</v>
      </c>
      <c r="D5" s="69">
        <f>'Mar 18'!K12</f>
        <v>-1648294.21</v>
      </c>
      <c r="E5" s="69">
        <f>'April 18'!K12</f>
        <v>-2706737.14</v>
      </c>
      <c r="F5" s="69">
        <f>'May 18'!K12</f>
        <v>-3924003.8600000003</v>
      </c>
      <c r="G5" s="69">
        <f>'June 18'!K12</f>
        <v>-1471722.8299999998</v>
      </c>
      <c r="H5" s="69">
        <f>'July 18'!K12</f>
        <v>-2303867.84</v>
      </c>
      <c r="I5" s="69">
        <f>'Aug 18'!K12</f>
        <v>-782203.10000000009</v>
      </c>
      <c r="J5" s="69">
        <f>'Sept 18'!K12</f>
        <v>-1608540.91</v>
      </c>
      <c r="K5" s="69">
        <f>'Oct 18'!K12</f>
        <v>-2495928.9500000002</v>
      </c>
      <c r="L5" s="69">
        <f>'Nov 18'!K12</f>
        <v>-4228195.6100000003</v>
      </c>
      <c r="M5" s="69">
        <f>'Dec 18'!K12</f>
        <v>222593.90000000002</v>
      </c>
      <c r="N5" s="70">
        <f t="shared" ref="N5:N6" si="0">SUM(B5:M5)</f>
        <v>-21023222.390000001</v>
      </c>
    </row>
    <row r="6" spans="1:14">
      <c r="A6" s="68" t="s">
        <v>66</v>
      </c>
      <c r="B6" s="69">
        <f>'Jan 18'!M12</f>
        <v>-304431.0494056124</v>
      </c>
      <c r="C6" s="69">
        <f>'Feb 18'!M12</f>
        <v>-1508215.8692128311</v>
      </c>
      <c r="D6" s="69">
        <f>'Mar 18'!M12</f>
        <v>-1448202.3069326493</v>
      </c>
      <c r="E6" s="69">
        <f>'April 18'!M12</f>
        <v>-2005718.9008697649</v>
      </c>
      <c r="F6" s="69">
        <f>'May 18'!M12</f>
        <v>-4197291.0969209941</v>
      </c>
      <c r="G6" s="69">
        <f>'June 18'!M12</f>
        <v>-1748881.7965956633</v>
      </c>
      <c r="H6" s="69">
        <f>'July 18'!M12</f>
        <v>-1172314.753477904</v>
      </c>
      <c r="I6" s="69">
        <f>'Aug 18'!M12</f>
        <v>-1330634.3566186081</v>
      </c>
      <c r="J6" s="69">
        <f>'Sept 18'!M12</f>
        <v>-2127533.6206314927</v>
      </c>
      <c r="K6" s="69">
        <f>'Oct 18'!M12</f>
        <v>3101123.1453497121</v>
      </c>
      <c r="L6" s="69">
        <f>'Nov 18'!M12</f>
        <v>-1842571.9095544992</v>
      </c>
      <c r="M6" s="69">
        <f>'Dec 18'!M12</f>
        <v>-759702.03136722057</v>
      </c>
      <c r="N6" s="70">
        <f t="shared" si="0"/>
        <v>-15344374.546237528</v>
      </c>
    </row>
    <row r="7" spans="1:14">
      <c r="A7" s="27" t="s">
        <v>45</v>
      </c>
      <c r="B7" s="71">
        <f>B5-B6</f>
        <v>386175.44940561237</v>
      </c>
      <c r="C7" s="72">
        <f t="shared" ref="C7:M7" si="1">C5-C6</f>
        <v>1350149.6292128311</v>
      </c>
      <c r="D7" s="71">
        <f t="shared" si="1"/>
        <v>-200091.90306735062</v>
      </c>
      <c r="E7" s="71">
        <f t="shared" si="1"/>
        <v>-701018.23913023528</v>
      </c>
      <c r="F7" s="71">
        <f t="shared" si="1"/>
        <v>273287.23692099378</v>
      </c>
      <c r="G7" s="71">
        <f t="shared" si="1"/>
        <v>277158.96659566346</v>
      </c>
      <c r="H7" s="72">
        <f t="shared" si="1"/>
        <v>-1131553.0865220958</v>
      </c>
      <c r="I7" s="71">
        <f t="shared" si="1"/>
        <v>548431.25661860802</v>
      </c>
      <c r="J7" s="71">
        <f t="shared" si="1"/>
        <v>518992.71063149278</v>
      </c>
      <c r="K7" s="72">
        <f t="shared" si="1"/>
        <v>-5597052.0953497123</v>
      </c>
      <c r="L7" s="72">
        <f t="shared" si="1"/>
        <v>-2385623.7004455011</v>
      </c>
      <c r="M7" s="71">
        <f t="shared" si="1"/>
        <v>982295.93136722059</v>
      </c>
      <c r="N7" s="70">
        <f>SUM(B7:M7)</f>
        <v>-5678847.8437624732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M6" sqref="M6:N12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18.109375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24">
        <v>3.2980000000000002E-2</v>
      </c>
      <c r="D7" s="32">
        <v>8.6599999999999996E-2</v>
      </c>
      <c r="E7" s="32"/>
      <c r="F7" s="33"/>
      <c r="G7" s="7">
        <v>4345876.9871699996</v>
      </c>
      <c r="H7" s="1">
        <f>B7*G7</f>
        <v>334632.52801208996</v>
      </c>
      <c r="I7" s="1">
        <f>C7*G7</f>
        <v>143327.02303686659</v>
      </c>
      <c r="J7" s="1">
        <f>D7*G7</f>
        <v>376352.94708892197</v>
      </c>
      <c r="K7" s="1">
        <v>-146750.66</v>
      </c>
      <c r="M7" s="16">
        <f>H7-I7-J7</f>
        <v>-185047.44211369861</v>
      </c>
      <c r="N7" s="16">
        <f>K7-M7</f>
        <v>38296.782113698602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8.8999999999999996E-2</v>
      </c>
      <c r="C8" s="24">
        <v>3.2980000000000002E-2</v>
      </c>
      <c r="D8" s="24">
        <v>8.6599999999999996E-2</v>
      </c>
      <c r="E8" s="24"/>
      <c r="F8" s="25"/>
      <c r="G8" s="7">
        <v>4535847.0478099994</v>
      </c>
      <c r="H8" s="1">
        <f t="shared" ref="H8:H11" si="0">B8*G8</f>
        <v>403690.38725508994</v>
      </c>
      <c r="I8" s="1">
        <f t="shared" ref="I8:I11" si="1">C8*G8</f>
        <v>149592.23563677378</v>
      </c>
      <c r="J8" s="1">
        <f t="shared" ref="J8:J11" si="2">D8*G8</f>
        <v>392804.35434034595</v>
      </c>
      <c r="K8" s="1">
        <v>-98735.37</v>
      </c>
      <c r="M8" s="16">
        <f t="shared" ref="M8:M11" si="3">H8-I8-J8</f>
        <v>-138706.20272202979</v>
      </c>
      <c r="N8" s="16">
        <f t="shared" ref="N8:N11" si="4">K8-M8</f>
        <v>39970.832722029794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3.3059999999999999E-2</v>
      </c>
      <c r="D9" s="24">
        <v>8.6599999999999996E-2</v>
      </c>
      <c r="E9" s="24"/>
      <c r="F9" s="25"/>
      <c r="G9" s="7">
        <v>31023844.188130002</v>
      </c>
      <c r="H9" s="1">
        <f t="shared" si="0"/>
        <v>2016549.8722284501</v>
      </c>
      <c r="I9" s="1">
        <f t="shared" si="1"/>
        <v>1025648.2888595778</v>
      </c>
      <c r="J9" s="1">
        <f t="shared" si="2"/>
        <v>2686664.9066920583</v>
      </c>
      <c r="K9" s="1">
        <v>-1422310.79</v>
      </c>
      <c r="M9" s="16">
        <f t="shared" si="3"/>
        <v>-1695763.323323186</v>
      </c>
      <c r="N9" s="16">
        <f t="shared" si="4"/>
        <v>273452.53332318598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9.4E-2</v>
      </c>
      <c r="C10" s="24">
        <v>3.3059999999999999E-2</v>
      </c>
      <c r="D10" s="24">
        <v>8.6599999999999996E-2</v>
      </c>
      <c r="E10" s="24"/>
      <c r="F10" s="25"/>
      <c r="G10" s="7">
        <v>9005227.4561100006</v>
      </c>
      <c r="H10" s="1">
        <f t="shared" si="0"/>
        <v>846491.38087434007</v>
      </c>
      <c r="I10" s="1">
        <f t="shared" si="1"/>
        <v>297712.81969899661</v>
      </c>
      <c r="J10" s="1">
        <f t="shared" si="2"/>
        <v>779852.69769912597</v>
      </c>
      <c r="K10" s="1">
        <v>-151699.62</v>
      </c>
      <c r="M10" s="16">
        <f t="shared" si="3"/>
        <v>-231074.13652378251</v>
      </c>
      <c r="N10" s="16">
        <f t="shared" si="4"/>
        <v>79374.516523782513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3.3059999999999999E-2</v>
      </c>
      <c r="D11" s="37">
        <v>8.6599999999999996E-2</v>
      </c>
      <c r="E11" s="37"/>
      <c r="F11" s="38"/>
      <c r="G11" s="7">
        <v>9972243.4401299991</v>
      </c>
      <c r="H11" s="1">
        <f t="shared" si="0"/>
        <v>1316336.1340971598</v>
      </c>
      <c r="I11" s="1">
        <f t="shared" si="1"/>
        <v>329682.36813069775</v>
      </c>
      <c r="J11" s="1">
        <f t="shared" si="2"/>
        <v>863596.28191525792</v>
      </c>
      <c r="K11" s="1">
        <v>210955.53</v>
      </c>
      <c r="M11" s="49">
        <f t="shared" si="3"/>
        <v>123057.48405120417</v>
      </c>
      <c r="N11" s="49">
        <f t="shared" si="4"/>
        <v>87898.045948795829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58883039.119350001</v>
      </c>
      <c r="H12" s="8">
        <f t="shared" ref="H12:J12" si="5">SUM(H7:H11)</f>
        <v>4917700.3024671301</v>
      </c>
      <c r="I12" s="8">
        <f t="shared" si="5"/>
        <v>1945962.7353629125</v>
      </c>
      <c r="J12" s="8">
        <f t="shared" si="5"/>
        <v>5099271.1877357103</v>
      </c>
      <c r="K12" s="39">
        <f>SUM(K7:K11)</f>
        <v>-1608540.91</v>
      </c>
      <c r="M12" s="50">
        <f>SUM(M7:M11)</f>
        <v>-2127533.6206314927</v>
      </c>
      <c r="N12" s="53">
        <f>SUM(N7:N11)</f>
        <v>518992.71063149278</v>
      </c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2.6925847222222254E-2</v>
      </c>
      <c r="D18" s="61">
        <v>8.584E-2</v>
      </c>
      <c r="E18" s="32">
        <f>+C18+D18</f>
        <v>0.11276584722222226</v>
      </c>
      <c r="F18" s="33">
        <f>+B18-E18</f>
        <v>-3.5765847222222258E-2</v>
      </c>
      <c r="G18" s="7">
        <v>4354074.0909900013</v>
      </c>
      <c r="H18" s="1">
        <f>+G18*B18</f>
        <v>335263.7050062301</v>
      </c>
      <c r="I18" s="1">
        <f>+G18*C18</f>
        <v>117237.133768233</v>
      </c>
      <c r="J18" s="1">
        <f>+G18*D18</f>
        <v>373753.7199705817</v>
      </c>
      <c r="K18" s="1">
        <f>+H18-I18-J18</f>
        <v>-155727.14873258461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8.8999999999999996E-2</v>
      </c>
      <c r="C19" s="24">
        <v>2.6925847222222254E-2</v>
      </c>
      <c r="D19" s="62">
        <v>8.584E-2</v>
      </c>
      <c r="E19" s="24">
        <f t="shared" ref="E19:E22" si="6">+C19+D19</f>
        <v>0.11276584722222226</v>
      </c>
      <c r="F19" s="25">
        <f t="shared" ref="F19:F22" si="7">+B19-E19</f>
        <v>-2.3765847222222261E-2</v>
      </c>
      <c r="G19" s="7">
        <v>3506642.2561400002</v>
      </c>
      <c r="H19" s="1">
        <f t="shared" ref="H19:H22" si="8">+G19*B19</f>
        <v>312091.16079646</v>
      </c>
      <c r="I19" s="1">
        <f t="shared" ref="I19:I22" si="9">+G19*C19</f>
        <v>94419.313651814402</v>
      </c>
      <c r="J19" s="1">
        <f t="shared" ref="J19:J22" si="10">+G19*D19</f>
        <v>301010.17126705759</v>
      </c>
      <c r="K19" s="1">
        <f t="shared" ref="K19:K22" si="11">+H19-I19-J19</f>
        <v>-83338.324122412014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2.6925847222222254E-2</v>
      </c>
      <c r="D20" s="62">
        <v>8.584E-2</v>
      </c>
      <c r="E20" s="24">
        <f t="shared" si="6"/>
        <v>0.11276584722222226</v>
      </c>
      <c r="F20" s="25">
        <f t="shared" si="7"/>
        <v>-4.7765847222222255E-2</v>
      </c>
      <c r="G20" s="7">
        <v>31927023.187539995</v>
      </c>
      <c r="H20" s="1">
        <f t="shared" si="8"/>
        <v>2075256.5071900997</v>
      </c>
      <c r="I20" s="1">
        <f t="shared" si="9"/>
        <v>859662.14860804926</v>
      </c>
      <c r="J20" s="1">
        <f t="shared" si="10"/>
        <v>2740615.6704184329</v>
      </c>
      <c r="K20" s="1">
        <f t="shared" si="11"/>
        <v>-1525021.3118363824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9.4E-2</v>
      </c>
      <c r="C21" s="24">
        <v>2.6925847222222254E-2</v>
      </c>
      <c r="D21" s="62">
        <v>8.584E-2</v>
      </c>
      <c r="E21" s="24">
        <f t="shared" si="6"/>
        <v>0.11276584722222226</v>
      </c>
      <c r="F21" s="25">
        <f t="shared" si="7"/>
        <v>-1.8765847222222257E-2</v>
      </c>
      <c r="G21" s="7">
        <v>8112182.0884600012</v>
      </c>
      <c r="H21" s="1">
        <f t="shared" si="8"/>
        <v>762545.11631524016</v>
      </c>
      <c r="I21" s="1">
        <f t="shared" si="9"/>
        <v>218427.37555272185</v>
      </c>
      <c r="J21" s="1">
        <f t="shared" si="10"/>
        <v>696349.71047340648</v>
      </c>
      <c r="K21" s="1">
        <f t="shared" si="11"/>
        <v>-152231.96971088822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2.6925847222222254E-2</v>
      </c>
      <c r="D22" s="63">
        <v>8.584E-2</v>
      </c>
      <c r="E22" s="37">
        <f t="shared" si="6"/>
        <v>0.11276584722222226</v>
      </c>
      <c r="F22" s="38">
        <f t="shared" si="7"/>
        <v>1.9234152777777749E-2</v>
      </c>
      <c r="G22" s="7">
        <v>8484377.9098099992</v>
      </c>
      <c r="H22" s="1">
        <f t="shared" si="8"/>
        <v>1119937.88409492</v>
      </c>
      <c r="I22" s="1">
        <f t="shared" si="9"/>
        <v>228449.06337514141</v>
      </c>
      <c r="J22" s="1">
        <f t="shared" si="10"/>
        <v>728298.99977809028</v>
      </c>
      <c r="K22" s="1">
        <f t="shared" si="11"/>
        <v>163189.82094168826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56384299.532939993</v>
      </c>
      <c r="H23" s="39">
        <f t="shared" ref="H23:J23" si="12">SUM(H18:H22)</f>
        <v>4605094.3734029494</v>
      </c>
      <c r="I23" s="8">
        <f t="shared" si="12"/>
        <v>1518195.03495596</v>
      </c>
      <c r="J23" s="8">
        <f t="shared" si="12"/>
        <v>4840028.2719075689</v>
      </c>
      <c r="K23" s="8">
        <f>SUM(K18:K22)</f>
        <v>-1753128.933460579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13">+G7-G18</f>
        <v>-8197.1038200017065</v>
      </c>
      <c r="H28" s="1"/>
      <c r="I28" s="1"/>
      <c r="J28" s="1"/>
      <c r="K28" s="1">
        <f>K18-K7</f>
        <v>-8976.4887325846066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13"/>
        <v>1029204.7916699992</v>
      </c>
      <c r="H29" s="1"/>
      <c r="I29" s="1"/>
      <c r="J29" s="1"/>
      <c r="K29" s="1">
        <f t="shared" ref="K29:K32" si="14">K19-K8</f>
        <v>15397.045877587982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13"/>
        <v>-903178.99940999225</v>
      </c>
      <c r="H30" s="1"/>
      <c r="I30" s="1"/>
      <c r="J30" s="1"/>
      <c r="K30" s="1">
        <f t="shared" si="14"/>
        <v>-102710.52183638234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13"/>
        <v>893045.36764999945</v>
      </c>
      <c r="H31" s="1"/>
      <c r="I31" s="1"/>
      <c r="J31" s="1"/>
      <c r="K31" s="1">
        <f t="shared" si="14"/>
        <v>-532.34971088822931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13"/>
        <v>1487865.5303199999</v>
      </c>
      <c r="H32" s="1"/>
      <c r="I32" s="1"/>
      <c r="J32" s="1"/>
      <c r="K32" s="1">
        <f t="shared" si="14"/>
        <v>-47765.709058311739</v>
      </c>
      <c r="M32" s="2"/>
      <c r="N32" s="21"/>
    </row>
    <row r="33" spans="7:12" ht="15" thickBot="1">
      <c r="G33" s="6">
        <f>SUM(G28:G32)</f>
        <v>2498739.5864100046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45">
        <f>SUM(K28:K32)</f>
        <v>-144588.02346057893</v>
      </c>
      <c r="L33" s="64" t="s">
        <v>43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36"/>
  <sheetViews>
    <sheetView zoomScale="80" zoomScaleNormal="80" workbookViewId="0">
      <selection activeCell="M6" sqref="M6:N12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20.88671875" customWidth="1"/>
    <col min="14" max="14" width="12.109375" bestFit="1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24">
        <v>2.8819999999999998E-2</v>
      </c>
      <c r="D7" s="32">
        <v>0.12</v>
      </c>
      <c r="E7" s="32"/>
      <c r="F7" s="33"/>
      <c r="G7" s="7">
        <v>4131367.13693</v>
      </c>
      <c r="H7" s="46">
        <f>B7*G7</f>
        <v>318115.26954360999</v>
      </c>
      <c r="I7" s="46">
        <f>C7*G7</f>
        <v>119066.0008863226</v>
      </c>
      <c r="J7" s="46">
        <f>D7*I7</f>
        <v>14287.920106358712</v>
      </c>
      <c r="K7" s="1">
        <v>-195038.91</v>
      </c>
      <c r="M7" s="16">
        <f>H7-I7-J7</f>
        <v>184761.3485509287</v>
      </c>
      <c r="N7" s="16">
        <f>K7-M7</f>
        <v>-379800.25855092867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8.8999999999999996E-2</v>
      </c>
      <c r="C8" s="24">
        <v>2.8819999999999998E-2</v>
      </c>
      <c r="D8" s="24">
        <v>0.12</v>
      </c>
      <c r="E8" s="24"/>
      <c r="F8" s="25"/>
      <c r="G8" s="7">
        <v>3143023.1715600002</v>
      </c>
      <c r="H8" s="46">
        <f t="shared" ref="H8:H11" si="0">B8*G8</f>
        <v>279729.06226883997</v>
      </c>
      <c r="I8" s="46">
        <f t="shared" ref="I8:I11" si="1">C8*G8</f>
        <v>90581.927804359206</v>
      </c>
      <c r="J8" s="46">
        <f t="shared" ref="J8:J11" si="2">D8*I8</f>
        <v>10869.831336523104</v>
      </c>
      <c r="K8" s="1">
        <v>-110656.4</v>
      </c>
      <c r="M8" s="16">
        <f t="shared" ref="M8:M11" si="3">H8-I8-J8</f>
        <v>178277.30312795765</v>
      </c>
      <c r="N8" s="16">
        <f t="shared" ref="N8:N11" si="4">K8-M8</f>
        <v>-288933.70312795765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2.8330000000000001E-2</v>
      </c>
      <c r="D9" s="24">
        <v>0.12</v>
      </c>
      <c r="E9" s="24"/>
      <c r="F9" s="25"/>
      <c r="G9" s="7">
        <v>33849611.552060001</v>
      </c>
      <c r="H9" s="46">
        <f t="shared" si="0"/>
        <v>2200224.7508839001</v>
      </c>
      <c r="I9" s="46">
        <f t="shared" si="1"/>
        <v>958959.49526985991</v>
      </c>
      <c r="J9" s="46">
        <f t="shared" si="2"/>
        <v>115075.13943238319</v>
      </c>
      <c r="K9" s="1">
        <v>-1987707.59</v>
      </c>
      <c r="M9" s="65">
        <f t="shared" si="3"/>
        <v>1126190.116181657</v>
      </c>
      <c r="N9" s="65">
        <f t="shared" si="4"/>
        <v>-3113897.706181657</v>
      </c>
      <c r="O9" s="66" t="s">
        <v>62</v>
      </c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9.4E-2</v>
      </c>
      <c r="C10" s="24">
        <v>2.8330000000000001E-2</v>
      </c>
      <c r="D10" s="24">
        <v>0.12</v>
      </c>
      <c r="E10" s="24"/>
      <c r="F10" s="25"/>
      <c r="G10" s="7">
        <v>9626416.8972499985</v>
      </c>
      <c r="H10" s="46">
        <f t="shared" si="0"/>
        <v>904883.18834149989</v>
      </c>
      <c r="I10" s="46">
        <f t="shared" si="1"/>
        <v>272716.39069909247</v>
      </c>
      <c r="J10" s="46">
        <f t="shared" si="2"/>
        <v>32725.966883891095</v>
      </c>
      <c r="K10" s="1">
        <v>-286113.71999999997</v>
      </c>
      <c r="M10" s="16">
        <f t="shared" si="3"/>
        <v>599440.83075851633</v>
      </c>
      <c r="N10" s="16">
        <f t="shared" si="4"/>
        <v>-885554.5507585163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2.8330000000000001E-2</v>
      </c>
      <c r="D11" s="37">
        <v>0.12</v>
      </c>
      <c r="E11" s="37"/>
      <c r="F11" s="38"/>
      <c r="G11" s="7">
        <v>10097232.550489999</v>
      </c>
      <c r="H11" s="46">
        <f t="shared" si="0"/>
        <v>1332834.69666468</v>
      </c>
      <c r="I11" s="46">
        <f t="shared" si="1"/>
        <v>286054.59815538168</v>
      </c>
      <c r="J11" s="46">
        <f t="shared" si="2"/>
        <v>34326.5517786458</v>
      </c>
      <c r="K11" s="1">
        <v>83587.67</v>
      </c>
      <c r="M11" s="49">
        <f t="shared" si="3"/>
        <v>1012453.5467306526</v>
      </c>
      <c r="N11" s="49">
        <f t="shared" si="4"/>
        <v>-928865.87673065253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60847651.308289997</v>
      </c>
      <c r="H12" s="8">
        <f t="shared" ref="H12:J12" si="5">SUM(H7:H11)</f>
        <v>5035786.9677025303</v>
      </c>
      <c r="I12" s="8">
        <f t="shared" si="5"/>
        <v>1727378.412815016</v>
      </c>
      <c r="J12" s="8">
        <f t="shared" si="5"/>
        <v>207285.4095378019</v>
      </c>
      <c r="K12" s="39">
        <f>SUM(K7:K11)</f>
        <v>-2495928.9500000002</v>
      </c>
      <c r="M12" s="50">
        <f>SUM(M7:M11)</f>
        <v>3101123.1453497121</v>
      </c>
      <c r="N12" s="53">
        <f>SUM(N7:N11)</f>
        <v>-5597052.0953497123</v>
      </c>
      <c r="O12" s="3" t="s">
        <v>62</v>
      </c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1.2777701612903215E-2</v>
      </c>
      <c r="D18" s="61">
        <v>0.12059</v>
      </c>
      <c r="E18" s="32">
        <f>+C18+D18</f>
        <v>0.13336770161290321</v>
      </c>
      <c r="F18" s="33">
        <f>+B18-E18</f>
        <v>-5.6367701612903207E-2</v>
      </c>
      <c r="G18" s="7">
        <v>4041122.7685100003</v>
      </c>
      <c r="H18" s="1">
        <f>+G18*B18</f>
        <v>311166.45317527</v>
      </c>
      <c r="I18" s="1">
        <f>+G18*C18</f>
        <v>51636.260917130137</v>
      </c>
      <c r="J18" s="1">
        <f>+G18*D18</f>
        <v>487318.99465462094</v>
      </c>
      <c r="K18" s="1">
        <f>+H18-I18-J18</f>
        <v>-227788.80239648107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8.8999999999999996E-2</v>
      </c>
      <c r="C19" s="24">
        <v>1.2777701612903215E-2</v>
      </c>
      <c r="D19" s="62">
        <v>0.12059</v>
      </c>
      <c r="E19" s="24">
        <f t="shared" ref="E19:E22" si="6">+C19+D19</f>
        <v>0.13336770161290321</v>
      </c>
      <c r="F19" s="25">
        <f t="shared" ref="F19:F22" si="7">+B19-E19</f>
        <v>-4.436770161290321E-2</v>
      </c>
      <c r="G19" s="7">
        <v>3605105.5245299996</v>
      </c>
      <c r="H19" s="1">
        <f t="shared" ref="H19:H22" si="8">+G19*B19</f>
        <v>320854.39168316993</v>
      </c>
      <c r="I19" s="1">
        <f t="shared" ref="I19:I22" si="9">+G19*C19</f>
        <v>46064.962675473267</v>
      </c>
      <c r="J19" s="1">
        <f t="shared" ref="J19:J22" si="10">+G19*D19</f>
        <v>434739.67520307266</v>
      </c>
      <c r="K19" s="1">
        <f t="shared" ref="K19:K22" si="11">+H19-I19-J19</f>
        <v>-159950.24619537598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1.2777701612903215E-2</v>
      </c>
      <c r="D20" s="62">
        <v>0.12059</v>
      </c>
      <c r="E20" s="24">
        <f t="shared" si="6"/>
        <v>0.13336770161290321</v>
      </c>
      <c r="F20" s="25">
        <f t="shared" si="7"/>
        <v>-6.8367701612903203E-2</v>
      </c>
      <c r="G20" s="7">
        <v>27411735.073399998</v>
      </c>
      <c r="H20" s="1">
        <f t="shared" si="8"/>
        <v>1781762.7797709999</v>
      </c>
      <c r="I20" s="1">
        <f t="shared" si="9"/>
        <v>350258.97145985876</v>
      </c>
      <c r="J20" s="1">
        <f t="shared" si="10"/>
        <v>3305581.132501306</v>
      </c>
      <c r="K20" s="1">
        <f t="shared" si="11"/>
        <v>-1874077.3241901649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9.4E-2</v>
      </c>
      <c r="C21" s="24">
        <v>1.2777701612903215E-2</v>
      </c>
      <c r="D21" s="62">
        <v>0.12059</v>
      </c>
      <c r="E21" s="24">
        <f t="shared" si="6"/>
        <v>0.13336770161290321</v>
      </c>
      <c r="F21" s="25">
        <f t="shared" si="7"/>
        <v>-3.9367701612903205E-2</v>
      </c>
      <c r="G21" s="7">
        <v>8581563.1529900003</v>
      </c>
      <c r="H21" s="1">
        <f t="shared" si="8"/>
        <v>806666.93638106005</v>
      </c>
      <c r="I21" s="1">
        <f t="shared" si="9"/>
        <v>109652.65334119112</v>
      </c>
      <c r="J21" s="1">
        <f t="shared" si="10"/>
        <v>1034850.7006190642</v>
      </c>
      <c r="K21" s="1">
        <f t="shared" si="11"/>
        <v>-337836.41757919523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1.2777701612903215E-2</v>
      </c>
      <c r="D22" s="63">
        <v>0.12059</v>
      </c>
      <c r="E22" s="37">
        <f t="shared" si="6"/>
        <v>0.13336770161290321</v>
      </c>
      <c r="F22" s="38">
        <f t="shared" si="7"/>
        <v>-1.3677016129031994E-3</v>
      </c>
      <c r="G22" s="7">
        <v>8152039.7426300002</v>
      </c>
      <c r="H22" s="1">
        <f t="shared" si="8"/>
        <v>1076069.24602716</v>
      </c>
      <c r="I22" s="1">
        <f t="shared" si="9"/>
        <v>104164.33136785447</v>
      </c>
      <c r="J22" s="1">
        <f t="shared" si="10"/>
        <v>983054.47256375174</v>
      </c>
      <c r="K22" s="1">
        <f t="shared" si="11"/>
        <v>-11149.557904446265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51791566.262059994</v>
      </c>
      <c r="H23" s="39">
        <f t="shared" ref="H23:J23" si="12">SUM(H18:H22)</f>
        <v>4296519.8070376599</v>
      </c>
      <c r="I23" s="8">
        <f t="shared" si="12"/>
        <v>661777.17976150778</v>
      </c>
      <c r="J23" s="8">
        <f t="shared" si="12"/>
        <v>6245544.9755418161</v>
      </c>
      <c r="K23" s="8">
        <f>SUM(K18:K22)</f>
        <v>-2610802.3482656637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13">+G7-G18</f>
        <v>90244.368419999722</v>
      </c>
      <c r="H28" s="1"/>
      <c r="I28" s="1"/>
      <c r="J28" s="1"/>
      <c r="K28" s="1">
        <f>K18-K7</f>
        <v>-32749.892396481067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13"/>
        <v>-462082.35296999943</v>
      </c>
      <c r="H29" s="1"/>
      <c r="I29" s="1"/>
      <c r="J29" s="1"/>
      <c r="K29" s="1">
        <f t="shared" ref="K29:K32" si="14">K19-K8</f>
        <v>-49293.846195375983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13"/>
        <v>6437876.4786600024</v>
      </c>
      <c r="H30" s="1"/>
      <c r="I30" s="1"/>
      <c r="J30" s="1"/>
      <c r="K30" s="1">
        <f t="shared" si="14"/>
        <v>113630.26580983517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13"/>
        <v>1044853.7442599982</v>
      </c>
      <c r="H31" s="1"/>
      <c r="I31" s="1"/>
      <c r="J31" s="1"/>
      <c r="K31" s="1">
        <f t="shared" si="14"/>
        <v>-51722.697579195257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13"/>
        <v>1945192.8078599991</v>
      </c>
      <c r="H32" s="1"/>
      <c r="I32" s="1"/>
      <c r="J32" s="1"/>
      <c r="K32" s="1">
        <f t="shared" si="14"/>
        <v>-94737.227904446263</v>
      </c>
      <c r="M32" s="2"/>
      <c r="N32" s="21"/>
    </row>
    <row r="33" spans="7:12" ht="15" thickBot="1">
      <c r="G33" s="6">
        <f>SUM(G28:G32)</f>
        <v>9056085.0462299995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45">
        <f>SUM(K28:K32)</f>
        <v>-114873.3982656634</v>
      </c>
      <c r="L33" s="4" t="s">
        <v>63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opLeftCell="B2" zoomScale="80" zoomScaleNormal="80" workbookViewId="0">
      <selection activeCell="M19" sqref="M19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18.88671875" customWidth="1"/>
    <col min="14" max="14" width="12.109375" bestFit="1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24">
        <v>1.4829999999999999E-2</v>
      </c>
      <c r="D7" s="32">
        <v>0.10539999999999999</v>
      </c>
      <c r="E7" s="32"/>
      <c r="F7" s="33"/>
      <c r="G7" s="7">
        <v>4178835.0963299996</v>
      </c>
      <c r="H7" s="46">
        <f>B7*G7</f>
        <v>321770.30241740996</v>
      </c>
      <c r="I7" s="46">
        <f>C7*G7</f>
        <v>61972.124478573889</v>
      </c>
      <c r="J7" s="46">
        <f>D7*G7</f>
        <v>440449.21915318194</v>
      </c>
      <c r="K7" s="1">
        <v>-384014.18</v>
      </c>
      <c r="M7" s="16">
        <f>H7-I7-J7</f>
        <v>-180651.04121434587</v>
      </c>
      <c r="N7" s="16">
        <f>K7-M7</f>
        <v>-203363.13878565413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8.8999999999999996E-2</v>
      </c>
      <c r="C8" s="24">
        <v>1.4829999999999999E-2</v>
      </c>
      <c r="D8" s="24">
        <v>0.10539999999999999</v>
      </c>
      <c r="E8" s="24"/>
      <c r="F8" s="25"/>
      <c r="G8" s="7">
        <v>3648149.02929</v>
      </c>
      <c r="H8" s="46">
        <f t="shared" ref="H8:H11" si="0">B8*G8</f>
        <v>324685.26360681001</v>
      </c>
      <c r="I8" s="46">
        <f t="shared" ref="I8:I11" si="1">C8*G8</f>
        <v>54102.050104370697</v>
      </c>
      <c r="J8" s="46">
        <f t="shared" ref="J8:J11" si="2">D8*G8</f>
        <v>384514.90768716595</v>
      </c>
      <c r="K8" s="1">
        <v>-291468.98</v>
      </c>
      <c r="M8" s="16">
        <f t="shared" ref="M8:M11" si="3">H8-I8-J8</f>
        <v>-113931.69418472663</v>
      </c>
      <c r="N8" s="16">
        <f t="shared" ref="N8:N11" si="4">K8-M8</f>
        <v>-177537.28581527335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1.507E-2</v>
      </c>
      <c r="D9" s="24">
        <v>0.10539999999999999</v>
      </c>
      <c r="E9" s="24"/>
      <c r="F9" s="25"/>
      <c r="G9" s="7">
        <v>25762691.018039998</v>
      </c>
      <c r="H9" s="46">
        <f t="shared" si="0"/>
        <v>1674574.9161725999</v>
      </c>
      <c r="I9" s="46">
        <f t="shared" si="1"/>
        <v>388243.75364186277</v>
      </c>
      <c r="J9" s="46">
        <f t="shared" si="2"/>
        <v>2715387.6333014155</v>
      </c>
      <c r="K9" s="1">
        <v>-2682788.87</v>
      </c>
      <c r="M9" s="65">
        <f t="shared" si="3"/>
        <v>-1429056.4707706785</v>
      </c>
      <c r="N9" s="65">
        <f t="shared" si="4"/>
        <v>-1253732.3992293216</v>
      </c>
      <c r="O9" s="24" t="s">
        <v>62</v>
      </c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9.4E-2</v>
      </c>
      <c r="C10" s="24">
        <v>1.507E-2</v>
      </c>
      <c r="D10" s="24">
        <v>0.10539999999999999</v>
      </c>
      <c r="E10" s="24"/>
      <c r="F10" s="25"/>
      <c r="G10" s="7">
        <v>7812189.025489999</v>
      </c>
      <c r="H10" s="46">
        <f t="shared" si="0"/>
        <v>734345.76839605987</v>
      </c>
      <c r="I10" s="46">
        <f t="shared" si="1"/>
        <v>117729.68861413428</v>
      </c>
      <c r="J10" s="46">
        <f t="shared" si="2"/>
        <v>823404.72328664584</v>
      </c>
      <c r="K10" s="1">
        <v>-586966.1</v>
      </c>
      <c r="M10" s="16">
        <f t="shared" si="3"/>
        <v>-206788.6435047203</v>
      </c>
      <c r="N10" s="16">
        <f t="shared" si="4"/>
        <v>-380177.45649527968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1.507E-2</v>
      </c>
      <c r="D11" s="37">
        <v>0.10539999999999999</v>
      </c>
      <c r="E11" s="37"/>
      <c r="F11" s="38"/>
      <c r="G11" s="7">
        <v>7619769.3078899998</v>
      </c>
      <c r="H11" s="46">
        <f t="shared" si="0"/>
        <v>1005809.54864148</v>
      </c>
      <c r="I11" s="46">
        <f t="shared" si="1"/>
        <v>114829.92346990229</v>
      </c>
      <c r="J11" s="46">
        <f t="shared" si="2"/>
        <v>803123.68505160592</v>
      </c>
      <c r="K11" s="1">
        <v>-282957.48</v>
      </c>
      <c r="M11" s="49">
        <f t="shared" si="3"/>
        <v>87855.94011997187</v>
      </c>
      <c r="N11" s="49">
        <f t="shared" si="4"/>
        <v>-370813.42011997185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49021633.477039993</v>
      </c>
      <c r="H12" s="8">
        <f t="shared" ref="H12:J12" si="5">SUM(H7:H11)</f>
        <v>4061185.79923436</v>
      </c>
      <c r="I12" s="8">
        <f t="shared" si="5"/>
        <v>736877.54030884395</v>
      </c>
      <c r="J12" s="8">
        <f t="shared" si="5"/>
        <v>5166880.1684800154</v>
      </c>
      <c r="K12" s="39">
        <f>SUM(K7:K11)</f>
        <v>-4228195.6100000003</v>
      </c>
      <c r="M12" s="50">
        <f>SUM(M7:M11)</f>
        <v>-1842571.9095544992</v>
      </c>
      <c r="N12" s="53">
        <f>SUM(N7:N11)</f>
        <v>-2385623.7004455007</v>
      </c>
      <c r="O12" s="3" t="s">
        <v>62</v>
      </c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2.3618986111111104E-2</v>
      </c>
      <c r="D18" s="61">
        <v>9.8549999999999999E-2</v>
      </c>
      <c r="E18" s="32">
        <f>+C18+D18</f>
        <v>0.1221689861111111</v>
      </c>
      <c r="F18" s="33">
        <f>+B18-E18</f>
        <v>-4.5168986111111101E-2</v>
      </c>
      <c r="G18" s="7">
        <v>5360041.1599200005</v>
      </c>
      <c r="H18" s="1">
        <f>+G18*B18</f>
        <v>412723.16931384004</v>
      </c>
      <c r="I18" s="1">
        <f>+G18*C18</f>
        <v>126598.73771113435</v>
      </c>
      <c r="J18" s="1">
        <f>+G18*D18</f>
        <v>528232.05631011608</v>
      </c>
      <c r="K18" s="1">
        <f>+H18-I18-J18</f>
        <v>-242107.6247074104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8.8999999999999996E-2</v>
      </c>
      <c r="C19" s="24">
        <v>2.3618986111111104E-2</v>
      </c>
      <c r="D19" s="62">
        <v>9.8549999999999999E-2</v>
      </c>
      <c r="E19" s="24">
        <f t="shared" ref="E19:E22" si="6">+C19+D19</f>
        <v>0.1221689861111111</v>
      </c>
      <c r="F19" s="25">
        <f t="shared" ref="F19:F22" si="7">+B19-E19</f>
        <v>-3.3168986111111104E-2</v>
      </c>
      <c r="G19" s="7">
        <v>3452546.0834099995</v>
      </c>
      <c r="H19" s="1">
        <f t="shared" ref="H19:H22" si="8">+G19*B19</f>
        <v>307276.60142348992</v>
      </c>
      <c r="I19" s="1">
        <f t="shared" ref="I19:I22" si="9">+G19*C19</f>
        <v>81545.637992031814</v>
      </c>
      <c r="J19" s="1">
        <f t="shared" ref="J19:J22" si="10">+G19*D19</f>
        <v>340248.41652005544</v>
      </c>
      <c r="K19" s="1">
        <f t="shared" ref="K19:K22" si="11">+H19-I19-J19</f>
        <v>-114517.45308859734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2.3618986111111104E-2</v>
      </c>
      <c r="D20" s="62">
        <v>9.8549999999999999E-2</v>
      </c>
      <c r="E20" s="24">
        <f t="shared" si="6"/>
        <v>0.1221689861111111</v>
      </c>
      <c r="F20" s="25">
        <f t="shared" si="7"/>
        <v>-5.7168986111111098E-2</v>
      </c>
      <c r="G20" s="7">
        <v>29311319.353570007</v>
      </c>
      <c r="H20" s="1">
        <f t="shared" si="8"/>
        <v>1905235.7579820505</v>
      </c>
      <c r="I20" s="1">
        <f t="shared" si="9"/>
        <v>692303.64471031213</v>
      </c>
      <c r="J20" s="1">
        <f t="shared" si="10"/>
        <v>2888630.5222943244</v>
      </c>
      <c r="K20" s="1">
        <f t="shared" si="11"/>
        <v>-1675698.409022586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9.4E-2</v>
      </c>
      <c r="C21" s="24">
        <v>2.3618986111111104E-2</v>
      </c>
      <c r="D21" s="62">
        <v>9.8549999999999999E-2</v>
      </c>
      <c r="E21" s="24">
        <f t="shared" si="6"/>
        <v>0.1221689861111111</v>
      </c>
      <c r="F21" s="25">
        <f t="shared" si="7"/>
        <v>-2.81689861111111E-2</v>
      </c>
      <c r="G21" s="7">
        <v>9112935.4542499967</v>
      </c>
      <c r="H21" s="1">
        <f t="shared" si="8"/>
        <v>856615.93269949965</v>
      </c>
      <c r="I21" s="1">
        <f t="shared" si="9"/>
        <v>215238.29592538264</v>
      </c>
      <c r="J21" s="1">
        <f t="shared" si="10"/>
        <v>898079.78901633713</v>
      </c>
      <c r="K21" s="1">
        <f t="shared" si="11"/>
        <v>-256702.15224222012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2.3618986111111104E-2</v>
      </c>
      <c r="D22" s="63">
        <v>9.8549999999999999E-2</v>
      </c>
      <c r="E22" s="37">
        <f t="shared" si="6"/>
        <v>0.1221689861111111</v>
      </c>
      <c r="F22" s="38">
        <f t="shared" si="7"/>
        <v>9.8310138888889065E-3</v>
      </c>
      <c r="G22" s="7">
        <v>9765047.475159999</v>
      </c>
      <c r="H22" s="1">
        <f t="shared" si="8"/>
        <v>1288986.2667211199</v>
      </c>
      <c r="I22" s="1">
        <f t="shared" si="9"/>
        <v>230640.52069014456</v>
      </c>
      <c r="J22" s="1">
        <f t="shared" si="10"/>
        <v>962345.42867701792</v>
      </c>
      <c r="K22" s="1">
        <f t="shared" si="11"/>
        <v>96000.317353957449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57001889.526310012</v>
      </c>
      <c r="H23" s="39">
        <f t="shared" ref="H23:J23" si="12">SUM(H18:H22)</f>
        <v>4770837.7281400003</v>
      </c>
      <c r="I23" s="8">
        <f t="shared" si="12"/>
        <v>1346326.8370290054</v>
      </c>
      <c r="J23" s="8">
        <f t="shared" si="12"/>
        <v>5617536.2128178505</v>
      </c>
      <c r="K23" s="8">
        <f>SUM(K18:K22)</f>
        <v>-2193025.3217068566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13">+G7-G18</f>
        <v>-1181206.0635900008</v>
      </c>
      <c r="H28" s="1"/>
      <c r="I28" s="1"/>
      <c r="J28" s="1"/>
      <c r="K28" s="1">
        <f>K18-K7</f>
        <v>141906.55529258959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13"/>
        <v>195602.94588000048</v>
      </c>
      <c r="H29" s="1"/>
      <c r="I29" s="1"/>
      <c r="J29" s="1"/>
      <c r="K29" s="1">
        <f t="shared" ref="K29:K32" si="14">K19-K8</f>
        <v>176951.52691140265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13"/>
        <v>-3548628.3355300091</v>
      </c>
      <c r="H30" s="1"/>
      <c r="I30" s="1"/>
      <c r="J30" s="1"/>
      <c r="K30" s="1">
        <f t="shared" si="14"/>
        <v>1007090.4609774142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13"/>
        <v>-1300746.4287599977</v>
      </c>
      <c r="H31" s="1"/>
      <c r="I31" s="1"/>
      <c r="J31" s="1"/>
      <c r="K31" s="1">
        <f t="shared" si="14"/>
        <v>330263.94775777985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13"/>
        <v>-2145278.1672699992</v>
      </c>
      <c r="H32" s="1"/>
      <c r="I32" s="1"/>
      <c r="J32" s="1"/>
      <c r="K32" s="1">
        <f t="shared" si="14"/>
        <v>378957.79735395743</v>
      </c>
      <c r="M32" s="2"/>
      <c r="N32" s="21"/>
    </row>
    <row r="33" spans="7:12" ht="15" thickBot="1">
      <c r="G33" s="6">
        <f>SUM(G28:G32)</f>
        <v>-7980256.0492700059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45">
        <f>SUM(K28:K32)</f>
        <v>2035170.2882931437</v>
      </c>
      <c r="L33" s="4" t="s">
        <v>43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M18" sqref="M18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20.6640625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24">
        <v>2.5190000000000001E-2</v>
      </c>
      <c r="D7" s="32">
        <v>7.0699999999999999E-2</v>
      </c>
      <c r="E7" s="32"/>
      <c r="F7" s="33"/>
      <c r="G7" s="7">
        <v>5325725.6531900009</v>
      </c>
      <c r="H7" s="46">
        <f>B7*G7</f>
        <v>410080.87529563007</v>
      </c>
      <c r="I7" s="46">
        <f>C7*G7</f>
        <v>134155.02920385613</v>
      </c>
      <c r="J7" s="46">
        <f>D7*G7</f>
        <v>376528.80368053308</v>
      </c>
      <c r="K7" s="1">
        <v>-7716.41</v>
      </c>
      <c r="M7" s="16">
        <f>H7-I7-J7</f>
        <v>-100602.95758875913</v>
      </c>
      <c r="N7" s="16">
        <f>K7-M7</f>
        <v>92886.547588759131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8.8999999999999996E-2</v>
      </c>
      <c r="C8" s="24">
        <v>2.5190000000000001E-2</v>
      </c>
      <c r="D8" s="24">
        <v>7.0699999999999999E-2</v>
      </c>
      <c r="E8" s="24"/>
      <c r="F8" s="25"/>
      <c r="G8" s="7">
        <v>3539434.0243799998</v>
      </c>
      <c r="H8" s="46">
        <f t="shared" ref="H8:H11" si="0">B8*G8</f>
        <v>315009.62816981995</v>
      </c>
      <c r="I8" s="46">
        <f t="shared" ref="I8:I11" si="1">C8*G8</f>
        <v>89158.343074132194</v>
      </c>
      <c r="J8" s="46">
        <f t="shared" ref="J8:J11" si="2">D8*G8</f>
        <v>250237.98552366599</v>
      </c>
      <c r="K8" s="1">
        <v>37344.94</v>
      </c>
      <c r="M8" s="16">
        <f t="shared" ref="M8:M11" si="3">H8-I8-J8</f>
        <v>-24386.700427978241</v>
      </c>
      <c r="N8" s="16">
        <f t="shared" ref="N8:N11" si="4">K8-M8</f>
        <v>61731.640427978244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2.5989999999999999E-2</v>
      </c>
      <c r="D9" s="24">
        <v>7.0699999999999999E-2</v>
      </c>
      <c r="E9" s="24"/>
      <c r="F9" s="25"/>
      <c r="G9" s="7">
        <v>29501910.245960001</v>
      </c>
      <c r="H9" s="46">
        <f t="shared" si="0"/>
        <v>1917624.1659874001</v>
      </c>
      <c r="I9" s="46">
        <f t="shared" si="1"/>
        <v>766754.64729250036</v>
      </c>
      <c r="J9" s="46">
        <f t="shared" si="2"/>
        <v>2085785.054389372</v>
      </c>
      <c r="K9" s="1">
        <v>-420168.91</v>
      </c>
      <c r="M9" s="67">
        <f t="shared" si="3"/>
        <v>-934915.53569447226</v>
      </c>
      <c r="N9" s="67">
        <f t="shared" si="4"/>
        <v>514746.62569447228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9.4E-2</v>
      </c>
      <c r="C10" s="24">
        <v>2.5989999999999999E-2</v>
      </c>
      <c r="D10" s="24">
        <v>7.0699999999999999E-2</v>
      </c>
      <c r="E10" s="24"/>
      <c r="F10" s="25"/>
      <c r="G10" s="7">
        <v>8765461.3822900001</v>
      </c>
      <c r="H10" s="46">
        <f t="shared" si="0"/>
        <v>823953.36993526004</v>
      </c>
      <c r="I10" s="46">
        <f t="shared" si="1"/>
        <v>227814.34132571711</v>
      </c>
      <c r="J10" s="46">
        <f t="shared" si="2"/>
        <v>619718.11972790305</v>
      </c>
      <c r="K10" s="1">
        <v>129359.87</v>
      </c>
      <c r="M10" s="16">
        <f t="shared" si="3"/>
        <v>-23579.091118360171</v>
      </c>
      <c r="N10" s="16">
        <f t="shared" si="4"/>
        <v>152938.96111836017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2.5989999999999999E-2</v>
      </c>
      <c r="D11" s="37">
        <v>7.0699999999999999E-2</v>
      </c>
      <c r="E11" s="37"/>
      <c r="F11" s="38"/>
      <c r="G11" s="7">
        <v>9169704.1479000002</v>
      </c>
      <c r="H11" s="46">
        <f t="shared" si="0"/>
        <v>1210400.9475228002</v>
      </c>
      <c r="I11" s="46">
        <f t="shared" si="1"/>
        <v>238320.61080392101</v>
      </c>
      <c r="J11" s="46">
        <f t="shared" si="2"/>
        <v>648298.08325652999</v>
      </c>
      <c r="K11" s="1">
        <v>483774.41</v>
      </c>
      <c r="M11" s="49">
        <f t="shared" si="3"/>
        <v>323782.25346234918</v>
      </c>
      <c r="N11" s="49">
        <f t="shared" si="4"/>
        <v>159992.15653765079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56302235.453719996</v>
      </c>
      <c r="H12" s="8">
        <f t="shared" ref="H12:J12" si="5">SUM(H7:H11)</f>
        <v>4677068.9869109103</v>
      </c>
      <c r="I12" s="8">
        <f t="shared" si="5"/>
        <v>1456202.9717001268</v>
      </c>
      <c r="J12" s="8">
        <f t="shared" si="5"/>
        <v>3980568.0465780045</v>
      </c>
      <c r="K12" s="39">
        <f>SUM(K7:K11)</f>
        <v>222593.90000000002</v>
      </c>
      <c r="M12" s="50">
        <f>SUM(M7:M11)</f>
        <v>-759702.03136722057</v>
      </c>
      <c r="N12" s="53">
        <f>SUM(N7:N11)</f>
        <v>982295.93136722059</v>
      </c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2.6604610215053736E-2</v>
      </c>
      <c r="D18" s="61">
        <v>7.4039999999999995E-2</v>
      </c>
      <c r="E18" s="32">
        <f>+C18+D18</f>
        <v>0.10064461021505373</v>
      </c>
      <c r="F18" s="33">
        <f>+B18-E18</f>
        <v>-2.3644610215053735E-2</v>
      </c>
      <c r="G18" s="7">
        <v>5439545.4567099996</v>
      </c>
      <c r="H18" s="1">
        <f>+G18*B18</f>
        <v>418845.00016666995</v>
      </c>
      <c r="I18" s="1">
        <f>+G18*C18</f>
        <v>144716.986622836</v>
      </c>
      <c r="J18" s="1">
        <f>+G18*D18</f>
        <v>402743.94561480836</v>
      </c>
      <c r="K18" s="1">
        <f>+H18-I18-J18</f>
        <v>-128615.93207097438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8.8999999999999996E-2</v>
      </c>
      <c r="C19" s="24">
        <v>2.6604610215053736E-2</v>
      </c>
      <c r="D19" s="62">
        <v>7.4039999999999995E-2</v>
      </c>
      <c r="E19" s="24">
        <f t="shared" ref="E19:E22" si="6">+C19+D19</f>
        <v>0.10064461021505373</v>
      </c>
      <c r="F19" s="25">
        <f t="shared" ref="F19:F22" si="7">+B19-E19</f>
        <v>-1.1644610215053738E-2</v>
      </c>
      <c r="G19" s="7">
        <v>3594528.99706</v>
      </c>
      <c r="H19" s="1">
        <f t="shared" ref="H19:H22" si="8">+G19*B19</f>
        <v>319913.08073833998</v>
      </c>
      <c r="I19" s="1">
        <f t="shared" ref="I19:I22" si="9">+G19*C19</f>
        <v>95631.042873489336</v>
      </c>
      <c r="J19" s="1">
        <f t="shared" ref="J19:J22" si="10">+G19*D19</f>
        <v>266138.9269423224</v>
      </c>
      <c r="K19" s="1">
        <f t="shared" ref="K19:K22" si="11">+H19-I19-J19</f>
        <v>-41856.889077471744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2.6604610215053736E-2</v>
      </c>
      <c r="D20" s="62">
        <v>7.4039999999999995E-2</v>
      </c>
      <c r="E20" s="24">
        <f t="shared" si="6"/>
        <v>0.10064461021505373</v>
      </c>
      <c r="F20" s="25">
        <f t="shared" si="7"/>
        <v>-3.5644610215053732E-2</v>
      </c>
      <c r="G20" s="7">
        <v>35028451.857630007</v>
      </c>
      <c r="H20" s="1">
        <f t="shared" si="8"/>
        <v>2276849.3707459504</v>
      </c>
      <c r="I20" s="1">
        <f t="shared" si="9"/>
        <v>931918.30810902128</v>
      </c>
      <c r="J20" s="1">
        <f t="shared" si="10"/>
        <v>2593506.5755389254</v>
      </c>
      <c r="K20" s="1">
        <f t="shared" si="11"/>
        <v>-1248575.5129019963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9.4E-2</v>
      </c>
      <c r="C21" s="24">
        <v>2.6604610215053736E-2</v>
      </c>
      <c r="D21" s="62">
        <v>7.4039999999999995E-2</v>
      </c>
      <c r="E21" s="24">
        <f t="shared" si="6"/>
        <v>0.10064461021505373</v>
      </c>
      <c r="F21" s="25">
        <f t="shared" si="7"/>
        <v>-6.6446102150537339E-3</v>
      </c>
      <c r="G21" s="7">
        <v>8297764.6502900003</v>
      </c>
      <c r="H21" s="1">
        <f t="shared" si="8"/>
        <v>779989.87712725997</v>
      </c>
      <c r="I21" s="1">
        <f t="shared" si="9"/>
        <v>220758.79417721712</v>
      </c>
      <c r="J21" s="1">
        <f t="shared" si="10"/>
        <v>614366.49470747157</v>
      </c>
      <c r="K21" s="1">
        <f t="shared" si="11"/>
        <v>-55135.411757428781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2.6604610215053736E-2</v>
      </c>
      <c r="D22" s="63">
        <v>7.4039999999999995E-2</v>
      </c>
      <c r="E22" s="37">
        <f t="shared" si="6"/>
        <v>0.10064461021505373</v>
      </c>
      <c r="F22" s="38">
        <f t="shared" si="7"/>
        <v>3.1355389784946272E-2</v>
      </c>
      <c r="G22" s="7">
        <v>8759198.2842399999</v>
      </c>
      <c r="H22" s="1">
        <f t="shared" si="8"/>
        <v>1156214.17351968</v>
      </c>
      <c r="I22" s="1">
        <f t="shared" si="9"/>
        <v>233035.05614857265</v>
      </c>
      <c r="J22" s="1">
        <f t="shared" si="10"/>
        <v>648531.0409651295</v>
      </c>
      <c r="K22" s="1">
        <f t="shared" si="11"/>
        <v>274648.07640597795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61119489.245930009</v>
      </c>
      <c r="H23" s="39">
        <f t="shared" ref="H23:J23" si="12">SUM(H18:H22)</f>
        <v>4951811.5022979006</v>
      </c>
      <c r="I23" s="8">
        <f t="shared" si="12"/>
        <v>1626060.1879311365</v>
      </c>
      <c r="J23" s="8">
        <f t="shared" si="12"/>
        <v>4525286.9837686568</v>
      </c>
      <c r="K23" s="8">
        <f>SUM(K18:K22)</f>
        <v>-1199535.6694018934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13">+G7-G18</f>
        <v>-113819.80351999868</v>
      </c>
      <c r="H28" s="1"/>
      <c r="I28" s="1"/>
      <c r="J28" s="1"/>
      <c r="K28" s="1">
        <f>K18-K7</f>
        <v>-120899.52207097437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13"/>
        <v>-55094.972680000123</v>
      </c>
      <c r="H29" s="1"/>
      <c r="I29" s="1"/>
      <c r="J29" s="1"/>
      <c r="K29" s="1">
        <f t="shared" ref="K29:K32" si="14">K19-K8</f>
        <v>-79201.829077471746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13"/>
        <v>-5526541.6116700061</v>
      </c>
      <c r="H30" s="1"/>
      <c r="I30" s="1"/>
      <c r="J30" s="1"/>
      <c r="K30" s="1">
        <f t="shared" si="14"/>
        <v>-828406.60290199635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13"/>
        <v>467696.73199999984</v>
      </c>
      <c r="H31" s="1"/>
      <c r="I31" s="1"/>
      <c r="J31" s="1"/>
      <c r="K31" s="1">
        <f t="shared" si="14"/>
        <v>-184495.28175742878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13"/>
        <v>410505.86366000026</v>
      </c>
      <c r="H32" s="1"/>
      <c r="I32" s="1"/>
      <c r="J32" s="1"/>
      <c r="K32" s="1">
        <f t="shared" si="14"/>
        <v>-209126.33359402203</v>
      </c>
      <c r="M32" s="2"/>
      <c r="N32" s="21"/>
    </row>
    <row r="33" spans="7:12" ht="15" thickBot="1">
      <c r="G33" s="6">
        <f>SUM(G28:G32)</f>
        <v>-4817253.7922100043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45">
        <f>SUM(K28:K32)</f>
        <v>-1422129.5694018933</v>
      </c>
      <c r="L33" s="64" t="s">
        <v>43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B7" sqref="B7"/>
    </sheetView>
  </sheetViews>
  <sheetFormatPr defaultRowHeight="14.4"/>
  <cols>
    <col min="2" max="2" width="13.5546875" bestFit="1" customWidth="1"/>
    <col min="3" max="3" width="49.5546875" customWidth="1"/>
    <col min="4" max="4" width="11.88671875" bestFit="1" customWidth="1"/>
  </cols>
  <sheetData>
    <row r="2" spans="1:4">
      <c r="B2" t="s">
        <v>32</v>
      </c>
      <c r="C2" t="s">
        <v>36</v>
      </c>
      <c r="D2" t="s">
        <v>37</v>
      </c>
    </row>
    <row r="3" spans="1:4">
      <c r="A3" t="s">
        <v>0</v>
      </c>
      <c r="B3" s="42">
        <f>'Jan 18'!K28+'Feb 18'!K28+'Mar 18'!K28+'April 18'!K28+'May 18'!K28+'June 18'!K28+'July 18'!K28+'Aug 18'!K28+'Sept 18'!K28+'Oct 18'!K28+'Nov 18'!K28+'Dec 18'!K28</f>
        <v>-51828.245983407978</v>
      </c>
      <c r="C3" s="42"/>
      <c r="D3" s="42"/>
    </row>
    <row r="4" spans="1:4">
      <c r="A4" t="s">
        <v>1</v>
      </c>
      <c r="B4" s="42">
        <f>'Jan 18'!K29+'Feb 18'!K29+'Mar 18'!K29+'April 18'!K29+'May 18'!K29+'June 18'!K29+'July 18'!K29+'Aug 18'!K29+'Sept 18'!K29+'Oct 18'!K29+'Nov 18'!K29+'Dec 18'!K29</f>
        <v>-52831.052822714148</v>
      </c>
      <c r="C4" s="42"/>
      <c r="D4" s="42"/>
    </row>
    <row r="5" spans="1:4">
      <c r="A5" t="s">
        <v>33</v>
      </c>
      <c r="B5" s="42">
        <f>'Jan 18'!K30+'Feb 18'!K30+'Mar 18'!K30+'April 18'!K30+'May 18'!K30+'June 18'!K30+'July 18'!K30+'Aug 18'!K30+'Sept 18'!K30+'Oct 18'!K30+'Nov 18'!K30+'Dec 18'!K30</f>
        <v>-46272.989806302125</v>
      </c>
      <c r="C5" s="42"/>
      <c r="D5" s="42"/>
    </row>
    <row r="6" spans="1:4">
      <c r="A6" t="s">
        <v>34</v>
      </c>
      <c r="B6" s="42">
        <f>'Jan 18'!K31+'Feb 18'!K31+'Mar 18'!K31+'April 18'!K31+'May 18'!K31+'June 18'!K31+'July 18'!K31+'Aug 18'!K31+'Sept 18'!K31+'Oct 18'!K31+'Nov 18'!K31+'Dec 18'!K31</f>
        <v>-54927.574197138194</v>
      </c>
      <c r="C6" s="42"/>
      <c r="D6" s="42"/>
    </row>
    <row r="7" spans="1:4">
      <c r="A7" t="s">
        <v>35</v>
      </c>
      <c r="B7" s="42">
        <f>'Jan 18'!K32+'Feb 18'!K32+'Mar 18'!K32+'April 18'!K32+'May 18'!K32+'June 18'!K32+'July 18'!K32+'Aug 18'!K32+'Sept 18'!K32+'Oct 18'!K32+'Nov 18'!K32+'Dec 18'!K32</f>
        <v>-92522.372333727777</v>
      </c>
      <c r="C7" s="42"/>
      <c r="D7" s="42"/>
    </row>
    <row r="9" spans="1:4">
      <c r="B9" s="42">
        <f>SUM(B3:B8)</f>
        <v>-298382.23514329025</v>
      </c>
    </row>
    <row r="13" spans="1:4" ht="43.2">
      <c r="C13" s="43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opLeftCell="C1" zoomScale="80" zoomScaleNormal="80" workbookViewId="0">
      <selection activeCell="H18" sqref="H18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20.88671875" customWidth="1"/>
    <col min="14" max="14" width="12.33203125" bestFit="1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  <c r="D1" s="73" t="s">
        <v>46</v>
      </c>
      <c r="E1" s="54"/>
      <c r="F1" s="54" t="s">
        <v>47</v>
      </c>
      <c r="G1" s="54" t="s">
        <v>48</v>
      </c>
      <c r="H1" s="54" t="s">
        <v>49</v>
      </c>
      <c r="I1" s="54" t="s">
        <v>50</v>
      </c>
      <c r="J1" s="54" t="s">
        <v>51</v>
      </c>
      <c r="K1" s="54" t="s">
        <v>52</v>
      </c>
      <c r="L1" s="54" t="s">
        <v>53</v>
      </c>
      <c r="M1" s="54" t="s">
        <v>54</v>
      </c>
      <c r="N1" s="54" t="s">
        <v>55</v>
      </c>
      <c r="O1" s="54" t="s">
        <v>56</v>
      </c>
      <c r="P1" s="54" t="s">
        <v>57</v>
      </c>
      <c r="Q1" s="54" t="s">
        <v>58</v>
      </c>
    </row>
    <row r="2" spans="1:32" ht="28.2" thickBot="1">
      <c r="D2" s="73"/>
      <c r="E2" s="55" t="s">
        <v>59</v>
      </c>
      <c r="F2" s="55">
        <v>6.74</v>
      </c>
      <c r="G2" s="55">
        <v>8.17</v>
      </c>
      <c r="H2" s="55">
        <v>9.48</v>
      </c>
      <c r="I2" s="55">
        <v>9.9600000000000009</v>
      </c>
      <c r="J2" s="55">
        <v>10.79</v>
      </c>
      <c r="K2" s="55">
        <v>11.9</v>
      </c>
      <c r="L2" s="55">
        <v>7.74</v>
      </c>
      <c r="M2" s="55">
        <v>7.49</v>
      </c>
      <c r="N2" s="55">
        <v>8.58</v>
      </c>
      <c r="O2" s="55">
        <v>12.06</v>
      </c>
      <c r="P2" s="55">
        <v>9.86</v>
      </c>
      <c r="Q2" s="55">
        <v>7.4</v>
      </c>
    </row>
    <row r="3" spans="1:32" ht="28.2" thickBot="1">
      <c r="A3" s="9" t="s">
        <v>9</v>
      </c>
      <c r="D3" s="73"/>
      <c r="E3" s="56" t="s">
        <v>60</v>
      </c>
      <c r="F3" s="56">
        <v>3.21</v>
      </c>
      <c r="G3" s="56">
        <v>1.9</v>
      </c>
      <c r="H3" s="56">
        <v>1.72</v>
      </c>
      <c r="I3" s="56">
        <v>2.97</v>
      </c>
      <c r="J3" s="56">
        <v>1.31</v>
      </c>
      <c r="K3" s="56">
        <v>1.83</v>
      </c>
      <c r="L3" s="56">
        <v>3.04</v>
      </c>
      <c r="M3" s="56">
        <v>3.06</v>
      </c>
      <c r="N3" s="56">
        <v>2.99</v>
      </c>
      <c r="O3" s="56">
        <v>1.38</v>
      </c>
      <c r="P3" s="56">
        <v>2.5099999999999998</v>
      </c>
      <c r="Q3" s="56">
        <v>2.79</v>
      </c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E4" t="s">
        <v>61</v>
      </c>
      <c r="F4" s="57">
        <f>C18*100</f>
        <v>3.0324717741935405</v>
      </c>
      <c r="G4" s="57">
        <f>'Feb 18'!C18*100</f>
        <v>1.8006458333333351</v>
      </c>
      <c r="H4" s="58">
        <f>'Mar 18'!C18*100</f>
        <v>1.6496411290322599</v>
      </c>
      <c r="I4" s="58">
        <f>'April 18'!C18*100</f>
        <v>2.8557472222222167</v>
      </c>
      <c r="J4" s="58">
        <f>'May 18'!C18*100</f>
        <v>1.1538561827956995</v>
      </c>
      <c r="K4" s="58">
        <f>'June 18'!C18*100</f>
        <v>1.6732555555555542</v>
      </c>
      <c r="L4" s="59">
        <f>'July 18'!C18*100</f>
        <v>2.8597096774193553</v>
      </c>
      <c r="M4" s="60">
        <f>'Aug 18'!C18*100</f>
        <v>2.8918709677419376</v>
      </c>
      <c r="N4" s="60">
        <f>'Sept 18'!C18*100</f>
        <v>2.6925847222222252</v>
      </c>
      <c r="O4" s="60">
        <f>'Oct 18'!C18*100</f>
        <v>1.2777701612903214</v>
      </c>
      <c r="P4" s="60">
        <f>'Nov 18'!C18*100</f>
        <v>2.3618986111111107</v>
      </c>
      <c r="Q4" s="60">
        <f>'Dec 18'!C18*100</f>
        <v>2.6604610215053737</v>
      </c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48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24">
        <v>2.0789999999999999E-2</v>
      </c>
      <c r="D7" s="32">
        <v>6.3700000000000007E-2</v>
      </c>
      <c r="E7" s="32"/>
      <c r="F7" s="33"/>
      <c r="G7" s="7">
        <v>4697186.0638400009</v>
      </c>
      <c r="H7" s="46">
        <f>B7*G7</f>
        <v>361683.32691568008</v>
      </c>
      <c r="I7" s="46">
        <f>C7*G7</f>
        <v>97654.498267233619</v>
      </c>
      <c r="J7" s="46">
        <f>D7*G7</f>
        <v>299210.75226660806</v>
      </c>
      <c r="K7" s="1">
        <v>-9678.86</v>
      </c>
      <c r="M7" s="16">
        <f>H7-I7-J7</f>
        <v>-35181.923618161585</v>
      </c>
      <c r="N7" s="16">
        <f>K7-M7</f>
        <v>25503.063618161585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0.09</v>
      </c>
      <c r="C8" s="24">
        <v>2.0789999999999999E-2</v>
      </c>
      <c r="D8" s="24">
        <v>6.3700000000000007E-2</v>
      </c>
      <c r="E8" s="24"/>
      <c r="F8" s="25"/>
      <c r="G8" s="7">
        <v>4347052.0393599998</v>
      </c>
      <c r="H8" s="46">
        <f t="shared" ref="H8:H11" si="0">B8*G8</f>
        <v>391234.68354239996</v>
      </c>
      <c r="I8" s="46">
        <f t="shared" ref="I8:I11" si="1">C8*G8</f>
        <v>90375.211898294394</v>
      </c>
      <c r="J8" s="46">
        <f t="shared" ref="J8:J11" si="2">D8*G8</f>
        <v>276907.21490723203</v>
      </c>
      <c r="K8" s="1">
        <v>48851.08</v>
      </c>
      <c r="M8" s="16">
        <f t="shared" ref="M8:M11" si="3">H8-I8-J8</f>
        <v>23952.256736873533</v>
      </c>
      <c r="N8" s="16">
        <f t="shared" ref="N8:N11" si="4">K8-M8</f>
        <v>24898.823263126469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2.2919999999999999E-2</v>
      </c>
      <c r="D9" s="24">
        <v>6.3700000000000007E-2</v>
      </c>
      <c r="E9" s="24"/>
      <c r="F9" s="25"/>
      <c r="G9" s="7">
        <v>40665706.437369995</v>
      </c>
      <c r="H9" s="46">
        <f t="shared" si="0"/>
        <v>2643270.9184290497</v>
      </c>
      <c r="I9" s="46">
        <f t="shared" si="1"/>
        <v>932057.99154452025</v>
      </c>
      <c r="J9" s="46">
        <f t="shared" si="2"/>
        <v>2590405.5000604689</v>
      </c>
      <c r="K9" s="1">
        <v>-658528</v>
      </c>
      <c r="M9" s="16">
        <f t="shared" si="3"/>
        <v>-879192.5731759395</v>
      </c>
      <c r="N9" s="16">
        <f t="shared" si="4"/>
        <v>220664.5731759395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9.5000000000000001E-2</v>
      </c>
      <c r="C10" s="24">
        <v>2.2919999999999999E-2</v>
      </c>
      <c r="D10" s="24">
        <v>6.3700000000000007E-2</v>
      </c>
      <c r="E10" s="24"/>
      <c r="F10" s="25"/>
      <c r="G10" s="7">
        <v>10175157.074289998</v>
      </c>
      <c r="H10" s="46">
        <f t="shared" si="0"/>
        <v>966639.92205754982</v>
      </c>
      <c r="I10" s="46">
        <f t="shared" si="1"/>
        <v>233214.60014272676</v>
      </c>
      <c r="J10" s="46">
        <f t="shared" si="2"/>
        <v>648157.50563227292</v>
      </c>
      <c r="K10" s="1">
        <v>140490.29999999999</v>
      </c>
      <c r="M10" s="16">
        <f t="shared" si="3"/>
        <v>85267.816282550106</v>
      </c>
      <c r="N10" s="16">
        <f t="shared" si="4"/>
        <v>55222.483717449883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2.2919999999999999E-2</v>
      </c>
      <c r="D11" s="37">
        <v>6.3700000000000007E-2</v>
      </c>
      <c r="E11" s="37"/>
      <c r="F11" s="38"/>
      <c r="G11" s="7">
        <v>11034010.01254</v>
      </c>
      <c r="H11" s="46">
        <f t="shared" si="0"/>
        <v>1456489.32165528</v>
      </c>
      <c r="I11" s="46">
        <f t="shared" si="1"/>
        <v>252899.50948741677</v>
      </c>
      <c r="J11" s="46">
        <f t="shared" si="2"/>
        <v>702866.43779879808</v>
      </c>
      <c r="K11" s="1">
        <v>560609.88</v>
      </c>
      <c r="M11" s="49">
        <f t="shared" si="3"/>
        <v>500723.37436906504</v>
      </c>
      <c r="N11" s="49">
        <f t="shared" si="4"/>
        <v>59886.50563093496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70919111.627399996</v>
      </c>
      <c r="H12" s="47">
        <f t="shared" ref="H12:J12" si="5">SUM(H7:H11)</f>
        <v>5819318.1725999592</v>
      </c>
      <c r="I12" s="47">
        <f t="shared" si="5"/>
        <v>1606201.8113401916</v>
      </c>
      <c r="J12" s="47">
        <f t="shared" si="5"/>
        <v>4517547.4106653798</v>
      </c>
      <c r="K12" s="39">
        <f>SUM(K7:K11)</f>
        <v>81744.399999999965</v>
      </c>
      <c r="M12" s="50">
        <f>SUM(M7:M11)</f>
        <v>-304431.0494056124</v>
      </c>
      <c r="N12" s="53">
        <f>SUM(N7:N11)</f>
        <v>386175.44940561237</v>
      </c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3.0324717741935407E-2</v>
      </c>
      <c r="D18" s="61">
        <v>6.7360000000000003E-2</v>
      </c>
      <c r="E18" s="32">
        <f>+C18+D18</f>
        <v>9.7684717741935406E-2</v>
      </c>
      <c r="F18" s="33">
        <f>+B18-E18</f>
        <v>-2.0684717741935407E-2</v>
      </c>
      <c r="G18" s="7">
        <v>5239327.450530001</v>
      </c>
      <c r="H18" s="1">
        <f>+G18*B18</f>
        <v>403428.21369081008</v>
      </c>
      <c r="I18" s="1">
        <f>+G18*C18</f>
        <v>158881.12609489632</v>
      </c>
      <c r="J18" s="1">
        <f>+G18*D18</f>
        <v>352921.09706770087</v>
      </c>
      <c r="K18" s="1">
        <f>+H18-I18-J18</f>
        <v>-108374.00947178711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0.09</v>
      </c>
      <c r="C19" s="24">
        <v>3.0324717741935407E-2</v>
      </c>
      <c r="D19" s="62">
        <v>6.7360000000000003E-2</v>
      </c>
      <c r="E19" s="24">
        <f t="shared" ref="E19:E22" si="6">+C19+D19</f>
        <v>9.7684717741935406E-2</v>
      </c>
      <c r="F19" s="25">
        <f t="shared" ref="F19:F22" si="7">+B19-E19</f>
        <v>-7.6847177419354096E-3</v>
      </c>
      <c r="G19" s="7">
        <v>4261597.4895799998</v>
      </c>
      <c r="H19" s="1">
        <f>+G19*B19</f>
        <v>383543.77406219998</v>
      </c>
      <c r="I19" s="1">
        <f>+G19*C19</f>
        <v>129231.74100125401</v>
      </c>
      <c r="J19" s="1">
        <f>+G19*D19</f>
        <v>287061.20689810882</v>
      </c>
      <c r="K19" s="1">
        <f t="shared" ref="K19:K22" si="8">+H19-I19-J19</f>
        <v>-32749.173837162845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3.0324717741935407E-2</v>
      </c>
      <c r="D20" s="62">
        <v>6.7360000000000003E-2</v>
      </c>
      <c r="E20" s="24">
        <f t="shared" si="6"/>
        <v>9.7684717741935406E-2</v>
      </c>
      <c r="F20" s="25">
        <f t="shared" si="7"/>
        <v>-3.2684717741935404E-2</v>
      </c>
      <c r="G20" s="7">
        <v>35737230.787109993</v>
      </c>
      <c r="H20" s="1">
        <f>+G20*B20</f>
        <v>2322920.0011621495</v>
      </c>
      <c r="I20" s="1">
        <f>+G20*C20</f>
        <v>1083721.4364975146</v>
      </c>
      <c r="J20" s="1">
        <f>+G20*D20</f>
        <v>2407259.8658197294</v>
      </c>
      <c r="K20" s="1">
        <f t="shared" si="8"/>
        <v>-1168061.3011550945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9.5000000000000001E-2</v>
      </c>
      <c r="C21" s="24">
        <v>3.0324717741935407E-2</v>
      </c>
      <c r="D21" s="62">
        <v>6.7360000000000003E-2</v>
      </c>
      <c r="E21" s="24">
        <f t="shared" si="6"/>
        <v>9.7684717741935406E-2</v>
      </c>
      <c r="F21" s="25">
        <f t="shared" si="7"/>
        <v>-2.6847177419354051E-3</v>
      </c>
      <c r="G21" s="7">
        <v>10179250.563630003</v>
      </c>
      <c r="H21" s="1">
        <f>+G21*B21</f>
        <v>967028.80354485032</v>
      </c>
      <c r="I21" s="1">
        <f>+G21*C21</f>
        <v>308682.90016651677</v>
      </c>
      <c r="J21" s="1">
        <f>+G21*D21</f>
        <v>685674.31796611706</v>
      </c>
      <c r="K21" s="1">
        <f t="shared" si="8"/>
        <v>-27328.414587783511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3.0324717741935407E-2</v>
      </c>
      <c r="D22" s="63">
        <v>6.7360000000000003E-2</v>
      </c>
      <c r="E22" s="37">
        <f t="shared" si="6"/>
        <v>9.7684717741935406E-2</v>
      </c>
      <c r="F22" s="38">
        <f t="shared" si="7"/>
        <v>3.43152822580646E-2</v>
      </c>
      <c r="G22" s="7">
        <v>10997957.63047</v>
      </c>
      <c r="H22" s="1">
        <f>+G22*B22</f>
        <v>1451730.40722204</v>
      </c>
      <c r="I22" s="1">
        <f>+G22*C22</f>
        <v>333509.9608817675</v>
      </c>
      <c r="J22" s="1">
        <f>+G22*D22</f>
        <v>740822.42598845926</v>
      </c>
      <c r="K22" s="1">
        <f t="shared" si="8"/>
        <v>377398.02035181317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66415363.921319999</v>
      </c>
      <c r="H23" s="39">
        <f t="shared" ref="H23:J23" si="9">SUM(H18:H22)</f>
        <v>5528651.1996820495</v>
      </c>
      <c r="I23" s="8">
        <f t="shared" si="9"/>
        <v>2014027.1646419491</v>
      </c>
      <c r="J23" s="8">
        <f t="shared" si="9"/>
        <v>4473738.9137401152</v>
      </c>
      <c r="K23" s="8">
        <f>SUM(K18:K22)</f>
        <v>-959114.87870001467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>+G7-G18</f>
        <v>-542141.38669000007</v>
      </c>
      <c r="H28" s="1"/>
      <c r="I28" s="1"/>
      <c r="J28" s="1"/>
      <c r="K28" s="1">
        <f>K18-K7</f>
        <v>-98695.14947178711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>+G8-G19</f>
        <v>85454.549780000001</v>
      </c>
      <c r="H29" s="1"/>
      <c r="I29" s="1"/>
      <c r="J29" s="1"/>
      <c r="K29" s="1">
        <f t="shared" ref="K29:K32" si="10">K19-K8</f>
        <v>-81600.253837162847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>+G9-G20</f>
        <v>4928475.6502600014</v>
      </c>
      <c r="H30" s="1"/>
      <c r="I30" s="1"/>
      <c r="J30" s="1"/>
      <c r="K30" s="1">
        <f t="shared" si="10"/>
        <v>-509533.30115509452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>+G10-G21</f>
        <v>-4093.4893400054425</v>
      </c>
      <c r="H31" s="1"/>
      <c r="I31" s="1"/>
      <c r="J31" s="1"/>
      <c r="K31" s="1">
        <f t="shared" si="10"/>
        <v>-167818.7145877835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>+G11-G22</f>
        <v>36052.382069999352</v>
      </c>
      <c r="H32" s="1"/>
      <c r="I32" s="1"/>
      <c r="J32" s="1"/>
      <c r="K32" s="1">
        <f t="shared" si="10"/>
        <v>-183211.85964818683</v>
      </c>
      <c r="M32" s="2"/>
      <c r="N32" s="21"/>
    </row>
    <row r="33" spans="7:12" ht="15" thickBot="1">
      <c r="G33" s="6">
        <f>SUM(G28:G32)</f>
        <v>4503747.7060799953</v>
      </c>
      <c r="H33" s="8">
        <f t="shared" ref="H33:J33" si="11">SUM(H28:H32)</f>
        <v>0</v>
      </c>
      <c r="I33" s="8">
        <f t="shared" si="11"/>
        <v>0</v>
      </c>
      <c r="J33" s="8">
        <f t="shared" si="11"/>
        <v>0</v>
      </c>
      <c r="K33" s="45">
        <f>SUM(K28:K32)</f>
        <v>-1040859.2787000147</v>
      </c>
      <c r="L33" s="4" t="s">
        <v>43</v>
      </c>
    </row>
    <row r="34" spans="7:12" ht="15" thickTop="1"/>
    <row r="36" spans="7:12">
      <c r="K36" s="2"/>
    </row>
  </sheetData>
  <mergeCells count="1">
    <mergeCell ref="D1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M6" sqref="M6:N12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18.5546875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24">
        <v>3.1789999999999999E-2</v>
      </c>
      <c r="D7" s="32">
        <v>7.7100000000000002E-2</v>
      </c>
      <c r="E7" s="32"/>
      <c r="F7" s="33"/>
      <c r="G7" s="7">
        <v>5442411.8705800008</v>
      </c>
      <c r="H7" s="46">
        <f>B7*G7</f>
        <v>419065.71403466008</v>
      </c>
      <c r="I7" s="46">
        <f>C7*G7</f>
        <v>173014.27336573822</v>
      </c>
      <c r="J7" s="46">
        <f>D7*G7</f>
        <v>419609.95522171806</v>
      </c>
      <c r="K7" s="1">
        <v>-45999.54</v>
      </c>
      <c r="M7" s="16">
        <f>H7-I7-J7</f>
        <v>-173558.5145527962</v>
      </c>
      <c r="N7" s="16">
        <f>K7-M7</f>
        <v>127558.97455279619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0.09</v>
      </c>
      <c r="C8" s="24">
        <v>3.1789999999999999E-2</v>
      </c>
      <c r="D8" s="24">
        <v>7.7100000000000002E-2</v>
      </c>
      <c r="E8" s="24"/>
      <c r="F8" s="25"/>
      <c r="G8" s="7">
        <v>4305685.1215199996</v>
      </c>
      <c r="H8" s="46">
        <f t="shared" ref="H8:H11" si="0">B8*G8</f>
        <v>387511.66093679995</v>
      </c>
      <c r="I8" s="46">
        <f t="shared" ref="I8:I11" si="1">C8*G8</f>
        <v>136877.73001312077</v>
      </c>
      <c r="J8" s="46">
        <f t="shared" ref="J8:J11" si="2">D8*G8</f>
        <v>331968.32286919199</v>
      </c>
      <c r="K8" s="1">
        <v>19578.41</v>
      </c>
      <c r="M8" s="16">
        <f t="shared" ref="M8:M11" si="3">H8-I8-J8</f>
        <v>-81334.39194551282</v>
      </c>
      <c r="N8" s="16">
        <f t="shared" ref="N8:N11" si="4">K8-M8</f>
        <v>100912.80194551282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3.1570000000000001E-2</v>
      </c>
      <c r="D9" s="24">
        <v>7.7100000000000002E-2</v>
      </c>
      <c r="E9" s="24"/>
      <c r="F9" s="25"/>
      <c r="G9" s="7">
        <v>30855439.565329999</v>
      </c>
      <c r="H9" s="46">
        <f t="shared" si="0"/>
        <v>2005603.5717464499</v>
      </c>
      <c r="I9" s="46">
        <f t="shared" si="1"/>
        <v>974106.22707746807</v>
      </c>
      <c r="J9" s="46">
        <f t="shared" si="2"/>
        <v>2378954.3904869431</v>
      </c>
      <c r="K9" s="1">
        <v>-623998.43999999994</v>
      </c>
      <c r="M9" s="16">
        <f t="shared" si="3"/>
        <v>-1347457.0458179612</v>
      </c>
      <c r="N9" s="16">
        <f t="shared" si="4"/>
        <v>723458.60581796127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9.5000000000000001E-2</v>
      </c>
      <c r="C10" s="24">
        <v>3.1570000000000001E-2</v>
      </c>
      <c r="D10" s="24">
        <v>7.7100000000000002E-2</v>
      </c>
      <c r="E10" s="24"/>
      <c r="F10" s="25"/>
      <c r="G10" s="7">
        <v>8164751.0455499999</v>
      </c>
      <c r="H10" s="46">
        <f t="shared" si="0"/>
        <v>775651.34932725003</v>
      </c>
      <c r="I10" s="46">
        <f t="shared" si="1"/>
        <v>257761.1905080135</v>
      </c>
      <c r="J10" s="46">
        <f t="shared" si="2"/>
        <v>629502.30561190506</v>
      </c>
      <c r="K10" s="1">
        <v>79827.05</v>
      </c>
      <c r="M10" s="16">
        <f t="shared" si="3"/>
        <v>-111612.1467926685</v>
      </c>
      <c r="N10" s="16">
        <f t="shared" si="4"/>
        <v>191439.19679266849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3.1570000000000001E-2</v>
      </c>
      <c r="D11" s="37">
        <v>7.7100000000000002E-2</v>
      </c>
      <c r="E11" s="37"/>
      <c r="F11" s="38"/>
      <c r="G11" s="7">
        <v>8818955.4177499991</v>
      </c>
      <c r="H11" s="46">
        <f t="shared" si="0"/>
        <v>1164102.1151429999</v>
      </c>
      <c r="I11" s="46">
        <f t="shared" si="1"/>
        <v>278414.42253836751</v>
      </c>
      <c r="J11" s="46">
        <f t="shared" si="2"/>
        <v>679941.46270852489</v>
      </c>
      <c r="K11" s="1">
        <v>412526.28</v>
      </c>
      <c r="M11" s="49">
        <f t="shared" si="3"/>
        <v>205746.22989610746</v>
      </c>
      <c r="N11" s="49">
        <f t="shared" si="4"/>
        <v>206780.05010389257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57587243.020730004</v>
      </c>
      <c r="H12" s="8">
        <f t="shared" ref="H12:J12" si="5">SUM(H7:H11)</f>
        <v>4751934.4111881601</v>
      </c>
      <c r="I12" s="8">
        <f t="shared" si="5"/>
        <v>1820173.8435027082</v>
      </c>
      <c r="J12" s="8">
        <f t="shared" si="5"/>
        <v>4439976.4368982837</v>
      </c>
      <c r="K12" s="39">
        <f>SUM(K7:K11)</f>
        <v>-158066.23999999987</v>
      </c>
      <c r="M12" s="50">
        <f>SUM(M7:M11)</f>
        <v>-1508215.8692128311</v>
      </c>
      <c r="N12" s="53">
        <f>SUM(N7:N11)</f>
        <v>1350149.6292128314</v>
      </c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1.800645833333335E-2</v>
      </c>
      <c r="D18" s="61">
        <v>8.1670000000000006E-2</v>
      </c>
      <c r="E18" s="32">
        <f>+C18+D18</f>
        <v>9.9676458333333356E-2</v>
      </c>
      <c r="F18" s="33">
        <f>+B18-E18</f>
        <v>-2.2676458333333357E-2</v>
      </c>
      <c r="G18" s="7">
        <v>4884973.4649099987</v>
      </c>
      <c r="H18" s="1">
        <f>+G18*B18</f>
        <v>376142.95679806988</v>
      </c>
      <c r="I18" s="1">
        <f>+G18*C18</f>
        <v>87961.071155340935</v>
      </c>
      <c r="J18" s="1">
        <f>+G18*D18</f>
        <v>398955.7828791996</v>
      </c>
      <c r="K18" s="1">
        <f>+H18-I18-J18</f>
        <v>-110773.89723647066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0.09</v>
      </c>
      <c r="C19" s="24">
        <v>1.800645833333335E-2</v>
      </c>
      <c r="D19" s="62">
        <v>8.1670000000000006E-2</v>
      </c>
      <c r="E19" s="24">
        <f t="shared" ref="E19:E22" si="6">+C19+D19</f>
        <v>9.9676458333333356E-2</v>
      </c>
      <c r="F19" s="25">
        <f t="shared" ref="F19:F22" si="7">+B19-E19</f>
        <v>-9.6764583333333598E-3</v>
      </c>
      <c r="G19" s="7">
        <v>3310865.03572</v>
      </c>
      <c r="H19" s="1">
        <f t="shared" ref="H19:H22" si="8">+G19*B19</f>
        <v>297977.85321480001</v>
      </c>
      <c r="I19" s="1">
        <f t="shared" ref="I19:I22" si="9">+G19*C19</f>
        <v>59616.953312982412</v>
      </c>
      <c r="J19" s="1">
        <f t="shared" ref="J19:J22" si="10">+G19*D19</f>
        <v>270398.3474672524</v>
      </c>
      <c r="K19" s="1">
        <f t="shared" ref="K19:K22" si="11">+H19-I19-J19</f>
        <v>-32037.447565434792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1.800645833333335E-2</v>
      </c>
      <c r="D20" s="62">
        <v>8.1670000000000006E-2</v>
      </c>
      <c r="E20" s="24">
        <f t="shared" si="6"/>
        <v>9.9676458333333356E-2</v>
      </c>
      <c r="F20" s="25">
        <f t="shared" si="7"/>
        <v>-3.4676458333333354E-2</v>
      </c>
      <c r="G20" s="7">
        <v>30827656.834129989</v>
      </c>
      <c r="H20" s="1">
        <f t="shared" si="8"/>
        <v>2003797.6942184493</v>
      </c>
      <c r="I20" s="1">
        <f t="shared" si="9"/>
        <v>555096.91829806077</v>
      </c>
      <c r="J20" s="1">
        <f t="shared" si="10"/>
        <v>2517694.7336433963</v>
      </c>
      <c r="K20" s="1">
        <f t="shared" si="11"/>
        <v>-1068993.9577230078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9.5000000000000001E-2</v>
      </c>
      <c r="C21" s="24">
        <v>1.800645833333335E-2</v>
      </c>
      <c r="D21" s="62">
        <v>8.1670000000000006E-2</v>
      </c>
      <c r="E21" s="24">
        <f t="shared" si="6"/>
        <v>9.9676458333333356E-2</v>
      </c>
      <c r="F21" s="25">
        <f t="shared" si="7"/>
        <v>-4.6764583333333554E-3</v>
      </c>
      <c r="G21" s="7">
        <v>8062077.1102400012</v>
      </c>
      <c r="H21" s="1">
        <f t="shared" si="8"/>
        <v>765897.32547280018</v>
      </c>
      <c r="I21" s="1">
        <f t="shared" si="9"/>
        <v>145169.45556565712</v>
      </c>
      <c r="J21" s="1">
        <f t="shared" si="10"/>
        <v>658429.83759330097</v>
      </c>
      <c r="K21" s="1">
        <f t="shared" si="11"/>
        <v>-37701.967686157906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1.800645833333335E-2</v>
      </c>
      <c r="D22" s="63">
        <v>8.1670000000000006E-2</v>
      </c>
      <c r="E22" s="37">
        <f t="shared" si="6"/>
        <v>9.9676458333333356E-2</v>
      </c>
      <c r="F22" s="38">
        <f t="shared" si="7"/>
        <v>3.232354166666665E-2</v>
      </c>
      <c r="G22" s="7">
        <v>8769330.061900001</v>
      </c>
      <c r="H22" s="1">
        <f t="shared" si="8"/>
        <v>1157551.5681708001</v>
      </c>
      <c r="I22" s="1">
        <f t="shared" si="9"/>
        <v>157904.57637084994</v>
      </c>
      <c r="J22" s="1">
        <f t="shared" si="10"/>
        <v>716191.18615537311</v>
      </c>
      <c r="K22" s="1">
        <f t="shared" si="11"/>
        <v>283455.80564457702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55854902.506899998</v>
      </c>
      <c r="H23" s="39">
        <f t="shared" ref="H23:J23" si="12">SUM(H18:H22)</f>
        <v>4601367.3978749197</v>
      </c>
      <c r="I23" s="8">
        <f t="shared" si="12"/>
        <v>1005748.9747028912</v>
      </c>
      <c r="J23" s="8">
        <f t="shared" si="12"/>
        <v>4561669.8877385221</v>
      </c>
      <c r="K23" s="8">
        <f>SUM(K18:K22)</f>
        <v>-966051.46456649399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13">+G7-G18</f>
        <v>557438.4056700021</v>
      </c>
      <c r="H28" s="1"/>
      <c r="I28" s="1"/>
      <c r="J28" s="1"/>
      <c r="K28" s="1">
        <f>K18-K7</f>
        <v>-64774.357236470656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13"/>
        <v>994820.08579999954</v>
      </c>
      <c r="H29" s="1"/>
      <c r="I29" s="1"/>
      <c r="J29" s="1"/>
      <c r="K29" s="1">
        <f t="shared" ref="K29:K32" si="14">K19-K8</f>
        <v>-51615.857565434795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13"/>
        <v>27782.731200009584</v>
      </c>
      <c r="H30" s="1"/>
      <c r="I30" s="1"/>
      <c r="J30" s="1"/>
      <c r="K30" s="1">
        <f t="shared" si="14"/>
        <v>-444995.51772300783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13"/>
        <v>102673.93530999869</v>
      </c>
      <c r="H31" s="1"/>
      <c r="I31" s="1"/>
      <c r="J31" s="1"/>
      <c r="K31" s="1">
        <f t="shared" si="14"/>
        <v>-117529.01768615791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13"/>
        <v>49625.355849998072</v>
      </c>
      <c r="H32" s="1"/>
      <c r="I32" s="1"/>
      <c r="J32" s="1"/>
      <c r="K32" s="1">
        <f t="shared" si="14"/>
        <v>-129070.47435542301</v>
      </c>
      <c r="M32" s="2"/>
      <c r="N32" s="21"/>
    </row>
    <row r="33" spans="7:12" ht="15" thickBot="1">
      <c r="G33" s="6">
        <f>SUM(G28:G32)</f>
        <v>1732340.513830008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45">
        <f>SUM(K28:K32)</f>
        <v>-807985.22456649423</v>
      </c>
      <c r="L33" s="64" t="s">
        <v>43</v>
      </c>
    </row>
    <row r="34" spans="7:12" ht="15" thickTop="1"/>
    <row r="36" spans="7:12">
      <c r="K3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M6" sqref="M6:N12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20.44140625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24">
        <v>1.866E-2</v>
      </c>
      <c r="D7" s="32">
        <v>8.5999999999999993E-2</v>
      </c>
      <c r="E7" s="32"/>
      <c r="F7" s="33"/>
      <c r="G7" s="7">
        <v>4885703.8273199992</v>
      </c>
      <c r="H7" s="1">
        <f>B7*G7</f>
        <v>376199.19470363995</v>
      </c>
      <c r="I7" s="1">
        <f>C7*G7</f>
        <v>91167.233417791183</v>
      </c>
      <c r="J7" s="1">
        <f>D7*G7</f>
        <v>420170.52914951992</v>
      </c>
      <c r="K7" s="1">
        <v>-150434.85999999999</v>
      </c>
      <c r="M7" s="16">
        <f>H7-I7-J7</f>
        <v>-135138.56786367117</v>
      </c>
      <c r="N7" s="16">
        <f>K7-M7</f>
        <v>-15296.292136328819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0.09</v>
      </c>
      <c r="C8" s="24">
        <v>1.866E-2</v>
      </c>
      <c r="D8" s="24">
        <v>8.5999999999999993E-2</v>
      </c>
      <c r="E8" s="24"/>
      <c r="F8" s="25"/>
      <c r="G8" s="7">
        <v>3303634.5220300001</v>
      </c>
      <c r="H8" s="1">
        <f t="shared" ref="H8:H11" si="0">B8*G8</f>
        <v>297327.1069827</v>
      </c>
      <c r="I8" s="1">
        <f t="shared" ref="I8:I11" si="1">C8*G8</f>
        <v>61645.820181079798</v>
      </c>
      <c r="J8" s="1">
        <f t="shared" ref="J8:J11" si="2">D8*G8</f>
        <v>284112.56889458001</v>
      </c>
      <c r="K8" s="1">
        <v>-58767.57</v>
      </c>
      <c r="M8" s="16">
        <f t="shared" ref="M8:M11" si="3">H8-I8-J8</f>
        <v>-48431.282092959795</v>
      </c>
      <c r="N8" s="16">
        <f t="shared" ref="N8:N11" si="4">K8-M8</f>
        <v>-10336.287907040205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1.9449999999999999E-2</v>
      </c>
      <c r="D9" s="24">
        <v>8.5999999999999993E-2</v>
      </c>
      <c r="E9" s="24"/>
      <c r="F9" s="25"/>
      <c r="G9" s="7">
        <v>35620825.48488</v>
      </c>
      <c r="H9" s="1">
        <f t="shared" si="0"/>
        <v>2315353.6565172002</v>
      </c>
      <c r="I9" s="1">
        <f t="shared" si="1"/>
        <v>692825.05568091595</v>
      </c>
      <c r="J9" s="1">
        <f t="shared" si="2"/>
        <v>3063390.9916996798</v>
      </c>
      <c r="K9" s="1">
        <v>-1552517.47</v>
      </c>
      <c r="M9" s="16">
        <f t="shared" si="3"/>
        <v>-1440862.3908633955</v>
      </c>
      <c r="N9" s="16">
        <f t="shared" si="4"/>
        <v>-111655.07913660444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9.5000000000000001E-2</v>
      </c>
      <c r="C10" s="24">
        <v>1.9449999999999999E-2</v>
      </c>
      <c r="D10" s="24">
        <v>8.5999999999999993E-2</v>
      </c>
      <c r="E10" s="24"/>
      <c r="F10" s="25"/>
      <c r="G10" s="7">
        <v>9617215.6106899995</v>
      </c>
      <c r="H10" s="1">
        <f t="shared" si="0"/>
        <v>913635.48301554995</v>
      </c>
      <c r="I10" s="1">
        <f t="shared" si="1"/>
        <v>187054.84362792049</v>
      </c>
      <c r="J10" s="1">
        <f t="shared" si="2"/>
        <v>827080.54251933994</v>
      </c>
      <c r="K10" s="1">
        <v>-130639.94</v>
      </c>
      <c r="M10" s="16">
        <f t="shared" si="3"/>
        <v>-100499.90313171048</v>
      </c>
      <c r="N10" s="16">
        <f t="shared" si="4"/>
        <v>-30140.03686828952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1.9449999999999999E-2</v>
      </c>
      <c r="D11" s="37">
        <v>8.5999999999999993E-2</v>
      </c>
      <c r="E11" s="37"/>
      <c r="F11" s="38"/>
      <c r="G11" s="7">
        <v>10422969.379249999</v>
      </c>
      <c r="H11" s="1">
        <f t="shared" si="0"/>
        <v>1375831.9580609999</v>
      </c>
      <c r="I11" s="1">
        <f t="shared" si="1"/>
        <v>202726.75442641246</v>
      </c>
      <c r="J11" s="1">
        <f t="shared" si="2"/>
        <v>896375.36661549984</v>
      </c>
      <c r="K11" s="1">
        <v>244065.63</v>
      </c>
      <c r="M11" s="49">
        <f t="shared" si="3"/>
        <v>276729.83701908751</v>
      </c>
      <c r="N11" s="49">
        <f t="shared" si="4"/>
        <v>-32664.207019087509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63850348.824169993</v>
      </c>
      <c r="H12" s="8">
        <f t="shared" ref="H12:J12" si="5">SUM(H7:H11)</f>
        <v>5278347.3992800899</v>
      </c>
      <c r="I12" s="8">
        <f t="shared" si="5"/>
        <v>1235419.7073341198</v>
      </c>
      <c r="J12" s="8">
        <f t="shared" si="5"/>
        <v>5491129.9988786206</v>
      </c>
      <c r="K12" s="39">
        <f>SUM(K7:K11)</f>
        <v>-1648294.21</v>
      </c>
      <c r="M12" s="50">
        <f>SUM(M7:M11)</f>
        <v>-1448202.3069326493</v>
      </c>
      <c r="N12" s="53">
        <f>SUM(N7:N11)</f>
        <v>-200091.9030673505</v>
      </c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1.6496411290322598E-2</v>
      </c>
      <c r="D18" s="61">
        <v>9.4810000000000005E-2</v>
      </c>
      <c r="E18" s="32">
        <f>+C18+D18</f>
        <v>0.11130641129032261</v>
      </c>
      <c r="F18" s="33">
        <f>+B18-E18</f>
        <v>-3.4306411290322608E-2</v>
      </c>
      <c r="G18" s="7">
        <v>4702956.4246700006</v>
      </c>
      <c r="H18" s="1">
        <f>+G18*B18</f>
        <v>362127.64469959005</v>
      </c>
      <c r="I18" s="1">
        <f>+G18*C18</f>
        <v>77581.903461821392</v>
      </c>
      <c r="J18" s="1">
        <f>+G18*D18</f>
        <v>445887.29862296279</v>
      </c>
      <c r="K18" s="1">
        <f>+H18-I18-J18</f>
        <v>-161341.55738519412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0.09</v>
      </c>
      <c r="C19" s="24">
        <v>1.6496411290322598E-2</v>
      </c>
      <c r="D19" s="62">
        <v>9.4810000000000005E-2</v>
      </c>
      <c r="E19" s="24">
        <f t="shared" ref="E19:E22" si="6">+C19+D19</f>
        <v>0.11130641129032261</v>
      </c>
      <c r="F19" s="25">
        <f t="shared" ref="F19:F22" si="7">+B19-E19</f>
        <v>-2.130641129032261E-2</v>
      </c>
      <c r="G19" s="7">
        <v>3494410.9895599997</v>
      </c>
      <c r="H19" s="1">
        <f t="shared" ref="H19:H22" si="8">+G19*B19</f>
        <v>314496.98906039994</v>
      </c>
      <c r="I19" s="1">
        <f t="shared" ref="I19:I22" si="9">+G19*C19</f>
        <v>57645.240901204939</v>
      </c>
      <c r="J19" s="1">
        <f t="shared" ref="J19:J22" si="10">+G19*D19</f>
        <v>331305.10592018359</v>
      </c>
      <c r="K19" s="1">
        <f t="shared" ref="K19:K22" si="11">+H19-I19-J19</f>
        <v>-74453.357760988583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1.6496411290322598E-2</v>
      </c>
      <c r="D20" s="62">
        <v>9.4810000000000005E-2</v>
      </c>
      <c r="E20" s="24">
        <f t="shared" si="6"/>
        <v>0.11130641129032261</v>
      </c>
      <c r="F20" s="25">
        <f t="shared" si="7"/>
        <v>-4.6306411290322605E-2</v>
      </c>
      <c r="G20" s="7">
        <v>32094644.593630001</v>
      </c>
      <c r="H20" s="1">
        <f t="shared" si="8"/>
        <v>2086151.89858595</v>
      </c>
      <c r="I20" s="1">
        <f t="shared" si="9"/>
        <v>529446.4574332491</v>
      </c>
      <c r="J20" s="1">
        <f t="shared" si="10"/>
        <v>3042893.2539220606</v>
      </c>
      <c r="K20" s="1">
        <f t="shared" si="11"/>
        <v>-1486187.8127693597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9.5000000000000001E-2</v>
      </c>
      <c r="C21" s="24">
        <v>1.6496411290322598E-2</v>
      </c>
      <c r="D21" s="62">
        <v>9.4810000000000005E-2</v>
      </c>
      <c r="E21" s="24">
        <f t="shared" si="6"/>
        <v>0.11130641129032261</v>
      </c>
      <c r="F21" s="25">
        <f t="shared" si="7"/>
        <v>-1.6306411290322606E-2</v>
      </c>
      <c r="G21" s="7">
        <v>8589863.3632700015</v>
      </c>
      <c r="H21" s="1">
        <f t="shared" si="8"/>
        <v>816037.01951065019</v>
      </c>
      <c r="I21" s="1">
        <f t="shared" si="9"/>
        <v>141701.91896817571</v>
      </c>
      <c r="J21" s="1">
        <f t="shared" si="10"/>
        <v>814404.94547162892</v>
      </c>
      <c r="K21" s="1">
        <f t="shared" si="11"/>
        <v>-140069.84492915438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1.6496411290322598E-2</v>
      </c>
      <c r="D22" s="63">
        <v>9.4810000000000005E-2</v>
      </c>
      <c r="E22" s="37">
        <f t="shared" si="6"/>
        <v>0.11130641129032261</v>
      </c>
      <c r="F22" s="38">
        <f t="shared" si="7"/>
        <v>2.0693588709677399E-2</v>
      </c>
      <c r="G22" s="7">
        <v>9075163.453300003</v>
      </c>
      <c r="H22" s="1">
        <f t="shared" si="8"/>
        <v>1197921.5758356005</v>
      </c>
      <c r="I22" s="1">
        <f t="shared" si="9"/>
        <v>149707.62885254118</v>
      </c>
      <c r="J22" s="1">
        <f t="shared" si="10"/>
        <v>860416.24700737337</v>
      </c>
      <c r="K22" s="1">
        <f t="shared" si="11"/>
        <v>187797.69997568591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57957038.824430004</v>
      </c>
      <c r="H23" s="39">
        <f t="shared" ref="H23:J23" si="12">SUM(H18:H22)</f>
        <v>4776735.1276921909</v>
      </c>
      <c r="I23" s="8">
        <f t="shared" si="12"/>
        <v>956083.14961699245</v>
      </c>
      <c r="J23" s="8">
        <f t="shared" si="12"/>
        <v>5494906.8509442098</v>
      </c>
      <c r="K23" s="8">
        <f>SUM(K18:K22)</f>
        <v>-1674254.8728690108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13">+G7-G18</f>
        <v>182747.40264999866</v>
      </c>
      <c r="H28" s="1"/>
      <c r="I28" s="1"/>
      <c r="J28" s="1"/>
      <c r="K28" s="1">
        <f>K18-K7</f>
        <v>-10906.697385194129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13"/>
        <v>-190776.46752999956</v>
      </c>
      <c r="H29" s="1"/>
      <c r="I29" s="1"/>
      <c r="J29" s="1"/>
      <c r="K29" s="1">
        <f t="shared" ref="K29:K32" si="14">K19-K8</f>
        <v>-15685.787760988584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13"/>
        <v>3526180.8912499994</v>
      </c>
      <c r="H30" s="1"/>
      <c r="I30" s="1"/>
      <c r="J30" s="1"/>
      <c r="K30" s="1">
        <f t="shared" si="14"/>
        <v>66329.657230640296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13"/>
        <v>1027352.247419998</v>
      </c>
      <c r="H31" s="1"/>
      <c r="I31" s="1"/>
      <c r="J31" s="1"/>
      <c r="K31" s="1">
        <f t="shared" si="14"/>
        <v>-9429.9049291543779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13"/>
        <v>1347805.9259499963</v>
      </c>
      <c r="H32" s="1"/>
      <c r="I32" s="1"/>
      <c r="J32" s="1"/>
      <c r="K32" s="1">
        <f t="shared" si="14"/>
        <v>-56267.93002431409</v>
      </c>
      <c r="M32" s="2"/>
      <c r="N32" s="21"/>
    </row>
    <row r="33" spans="7:12" ht="15" thickBot="1">
      <c r="G33" s="6">
        <f>SUM(G28:G32)</f>
        <v>5893309.9997399934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45">
        <f>SUM(K28:K32)</f>
        <v>-25960.662869010885</v>
      </c>
      <c r="L33" s="64" t="s">
        <v>43</v>
      </c>
    </row>
    <row r="34" spans="7:12" ht="15" thickTop="1"/>
    <row r="36" spans="7:12">
      <c r="K3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M6" sqref="M6:N12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17.6640625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24">
        <v>1.8380000000000001E-2</v>
      </c>
      <c r="D7" s="32">
        <v>0.1007</v>
      </c>
      <c r="E7" s="32"/>
      <c r="F7" s="33"/>
      <c r="G7" s="7">
        <v>4712006.5683899997</v>
      </c>
      <c r="H7" s="46">
        <f>B7*G7</f>
        <v>362824.50576602999</v>
      </c>
      <c r="I7" s="46">
        <f>C7*G7</f>
        <v>86606.680727008192</v>
      </c>
      <c r="J7" s="46">
        <f>D7*G7</f>
        <v>474499.06143687293</v>
      </c>
      <c r="K7" s="1">
        <v>-259334.75</v>
      </c>
      <c r="M7" s="16">
        <f>H7-I7-J7</f>
        <v>-198281.23639785114</v>
      </c>
      <c r="N7" s="16">
        <f>K7-M7</f>
        <v>-61053.513602148858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0.09</v>
      </c>
      <c r="C8" s="24">
        <v>1.8380000000000001E-2</v>
      </c>
      <c r="D8" s="24">
        <v>0.1007</v>
      </c>
      <c r="E8" s="24"/>
      <c r="F8" s="25"/>
      <c r="G8" s="7">
        <v>3520586.5710199997</v>
      </c>
      <c r="H8" s="46">
        <f t="shared" ref="H8:H11" si="0">B8*G8</f>
        <v>316852.79139179998</v>
      </c>
      <c r="I8" s="46">
        <f t="shared" ref="I8:I11" si="1">C8*G8</f>
        <v>64708.381175347597</v>
      </c>
      <c r="J8" s="46">
        <f t="shared" ref="J8:J11" si="2">D8*G8</f>
        <v>354523.06770171394</v>
      </c>
      <c r="K8" s="1">
        <v>-147994.93</v>
      </c>
      <c r="M8" s="16">
        <f t="shared" ref="M8:M11" si="3">H8-I8-J8</f>
        <v>-102378.65748526156</v>
      </c>
      <c r="N8" s="16">
        <f t="shared" ref="N8:N11" si="4">K8-M8</f>
        <v>-45616.272514738434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1.934E-2</v>
      </c>
      <c r="D9" s="24">
        <v>0.1007</v>
      </c>
      <c r="E9" s="24"/>
      <c r="F9" s="25"/>
      <c r="G9" s="7">
        <v>29140595.834079999</v>
      </c>
      <c r="H9" s="46">
        <f t="shared" si="0"/>
        <v>1894138.7292152001</v>
      </c>
      <c r="I9" s="46">
        <f t="shared" si="1"/>
        <v>563579.12343110715</v>
      </c>
      <c r="J9" s="46">
        <f t="shared" si="2"/>
        <v>2934458.0004918557</v>
      </c>
      <c r="K9" s="1">
        <v>-1981491.56</v>
      </c>
      <c r="M9" s="16">
        <f t="shared" si="3"/>
        <v>-1603898.3947077626</v>
      </c>
      <c r="N9" s="16">
        <f t="shared" si="4"/>
        <v>-377593.16529223742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9.5000000000000001E-2</v>
      </c>
      <c r="C10" s="24">
        <v>1.934E-2</v>
      </c>
      <c r="D10" s="24">
        <v>0.1007</v>
      </c>
      <c r="E10" s="24"/>
      <c r="F10" s="25"/>
      <c r="G10" s="7">
        <v>8141283.3579599997</v>
      </c>
      <c r="H10" s="46">
        <f t="shared" si="0"/>
        <v>773421.91900619993</v>
      </c>
      <c r="I10" s="46">
        <f t="shared" si="1"/>
        <v>157452.42014294639</v>
      </c>
      <c r="J10" s="46">
        <f t="shared" si="2"/>
        <v>819827.23414657195</v>
      </c>
      <c r="K10" s="1">
        <v>-309349.5</v>
      </c>
      <c r="M10" s="16">
        <f t="shared" si="3"/>
        <v>-203857.73528331844</v>
      </c>
      <c r="N10" s="16">
        <f t="shared" si="4"/>
        <v>-105491.76471668156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1.934E-2</v>
      </c>
      <c r="D11" s="37">
        <v>0.1007</v>
      </c>
      <c r="E11" s="37"/>
      <c r="F11" s="38"/>
      <c r="G11" s="7">
        <v>8586715.9702700004</v>
      </c>
      <c r="H11" s="46">
        <f t="shared" si="0"/>
        <v>1133446.5080756401</v>
      </c>
      <c r="I11" s="46">
        <f t="shared" si="1"/>
        <v>166067.08686502182</v>
      </c>
      <c r="J11" s="46">
        <f t="shared" si="2"/>
        <v>864682.29820618907</v>
      </c>
      <c r="K11" s="1">
        <v>-8566.4</v>
      </c>
      <c r="M11" s="49">
        <f t="shared" si="3"/>
        <v>102697.12300442916</v>
      </c>
      <c r="N11" s="49">
        <f t="shared" si="4"/>
        <v>-111263.52300442915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54101188.301720001</v>
      </c>
      <c r="H12" s="8">
        <f t="shared" ref="H12:J12" si="5">SUM(H7:H11)</f>
        <v>4480684.4534548707</v>
      </c>
      <c r="I12" s="8">
        <f t="shared" si="5"/>
        <v>1038413.6923414312</v>
      </c>
      <c r="J12" s="8">
        <f t="shared" si="5"/>
        <v>5447989.6619832031</v>
      </c>
      <c r="K12" s="39">
        <f>SUM(K7:K11)</f>
        <v>-2706737.14</v>
      </c>
      <c r="M12" s="50">
        <f>SUM(M7:M11)</f>
        <v>-2005718.9008697649</v>
      </c>
      <c r="N12" s="53">
        <f>SUM(N7:N11)</f>
        <v>-701018.23913023551</v>
      </c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2.8557472222222168E-2</v>
      </c>
      <c r="D18" s="61">
        <v>9.9589999999999998E-2</v>
      </c>
      <c r="E18" s="32">
        <f>+C18+D18</f>
        <v>0.12814747222222217</v>
      </c>
      <c r="F18" s="33">
        <f>+B18-E18</f>
        <v>-5.1147472222222171E-2</v>
      </c>
      <c r="G18" s="7">
        <v>4869308.3846199997</v>
      </c>
      <c r="H18" s="1">
        <f>+G18*B18</f>
        <v>374936.74561573996</v>
      </c>
      <c r="I18" s="1">
        <f>+G18*C18</f>
        <v>139055.13893521915</v>
      </c>
      <c r="J18" s="1">
        <f>+G18*D18</f>
        <v>484934.42202430574</v>
      </c>
      <c r="K18" s="1">
        <f>+H18-I18-J18</f>
        <v>-249052.81534378493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0.09</v>
      </c>
      <c r="C19" s="24">
        <v>2.8557472222222168E-2</v>
      </c>
      <c r="D19" s="62">
        <v>9.9589999999999998E-2</v>
      </c>
      <c r="E19" s="24">
        <f t="shared" ref="E19:E22" si="6">+C19+D19</f>
        <v>0.12814747222222217</v>
      </c>
      <c r="F19" s="25">
        <f t="shared" ref="F19:F22" si="7">+B19-E19</f>
        <v>-3.8147472222222173E-2</v>
      </c>
      <c r="G19" s="7">
        <v>3080705.8979700003</v>
      </c>
      <c r="H19" s="1">
        <f t="shared" ref="H19:H22" si="8">+G19*B19</f>
        <v>277263.53081730002</v>
      </c>
      <c r="I19" s="1">
        <f t="shared" ref="I19:I22" si="9">+G19*C19</f>
        <v>87977.173106114278</v>
      </c>
      <c r="J19" s="1">
        <f t="shared" ref="J19:J22" si="10">+G19*D19</f>
        <v>306807.50037883234</v>
      </c>
      <c r="K19" s="1">
        <f t="shared" ref="K19:K22" si="11">+H19-I19-J19</f>
        <v>-117521.14266764658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2.8557472222222168E-2</v>
      </c>
      <c r="D20" s="62">
        <v>9.9589999999999998E-2</v>
      </c>
      <c r="E20" s="24">
        <f t="shared" si="6"/>
        <v>0.12814747222222217</v>
      </c>
      <c r="F20" s="25">
        <f t="shared" si="7"/>
        <v>-6.3147472222222167E-2</v>
      </c>
      <c r="G20" s="7">
        <v>29012878.987110004</v>
      </c>
      <c r="H20" s="1">
        <f t="shared" si="8"/>
        <v>1885837.1341621503</v>
      </c>
      <c r="I20" s="1">
        <f t="shared" si="9"/>
        <v>828534.48576108715</v>
      </c>
      <c r="J20" s="1">
        <f t="shared" si="10"/>
        <v>2889392.6183262854</v>
      </c>
      <c r="K20" s="1">
        <f t="shared" si="11"/>
        <v>-1832089.9699252222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9.5000000000000001E-2</v>
      </c>
      <c r="C21" s="24">
        <v>2.8557472222222168E-2</v>
      </c>
      <c r="D21" s="62">
        <v>9.9589999999999998E-2</v>
      </c>
      <c r="E21" s="24">
        <f t="shared" si="6"/>
        <v>0.12814747222222217</v>
      </c>
      <c r="F21" s="25">
        <f t="shared" si="7"/>
        <v>-3.3147472222222168E-2</v>
      </c>
      <c r="G21" s="7">
        <v>8135189.2133300016</v>
      </c>
      <c r="H21" s="1">
        <f t="shared" si="8"/>
        <v>772842.9752663502</v>
      </c>
      <c r="I21" s="1">
        <f t="shared" si="9"/>
        <v>232320.43998219294</v>
      </c>
      <c r="J21" s="1">
        <f t="shared" si="10"/>
        <v>810183.49375553487</v>
      </c>
      <c r="K21" s="1">
        <f t="shared" si="11"/>
        <v>-269660.95847137761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2.8557472222222168E-2</v>
      </c>
      <c r="D22" s="63">
        <v>9.9589999999999998E-2</v>
      </c>
      <c r="E22" s="37">
        <f t="shared" si="6"/>
        <v>0.12814747222222217</v>
      </c>
      <c r="F22" s="38">
        <f t="shared" si="7"/>
        <v>3.8525277777778366E-3</v>
      </c>
      <c r="G22" s="7">
        <v>8502326.2487600017</v>
      </c>
      <c r="H22" s="1">
        <f t="shared" si="8"/>
        <v>1122307.0648363202</v>
      </c>
      <c r="I22" s="1">
        <f t="shared" si="9"/>
        <v>242804.94567323415</v>
      </c>
      <c r="J22" s="1">
        <f t="shared" si="10"/>
        <v>846746.67111400852</v>
      </c>
      <c r="K22" s="1">
        <f t="shared" si="11"/>
        <v>32755.448049077531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53600408.731790006</v>
      </c>
      <c r="H23" s="39">
        <f t="shared" ref="H23:J23" si="12">SUM(H18:H22)</f>
        <v>4433187.4506978607</v>
      </c>
      <c r="I23" s="8">
        <f t="shared" si="12"/>
        <v>1530692.1834578475</v>
      </c>
      <c r="J23" s="8">
        <f t="shared" si="12"/>
        <v>5338064.7055989671</v>
      </c>
      <c r="K23" s="8">
        <f>SUM(K18:K22)</f>
        <v>-2435569.4383589532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13">+G7-G18</f>
        <v>-157301.81623</v>
      </c>
      <c r="H28" s="1"/>
      <c r="I28" s="1"/>
      <c r="J28" s="1"/>
      <c r="K28" s="1">
        <f>K18-K7</f>
        <v>10281.934656215075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13"/>
        <v>439880.6730499994</v>
      </c>
      <c r="H29" s="1"/>
      <c r="I29" s="1"/>
      <c r="J29" s="1"/>
      <c r="K29" s="1">
        <f t="shared" ref="K29:K32" si="14">K19-K8</f>
        <v>30473.787332353415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13"/>
        <v>127716.84696999565</v>
      </c>
      <c r="H30" s="1"/>
      <c r="I30" s="1"/>
      <c r="J30" s="1"/>
      <c r="K30" s="1">
        <f t="shared" si="14"/>
        <v>149401.59007477784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13"/>
        <v>6094.1446299981326</v>
      </c>
      <c r="H31" s="1"/>
      <c r="I31" s="1"/>
      <c r="J31" s="1"/>
      <c r="K31" s="1">
        <f t="shared" si="14"/>
        <v>39688.541528622387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13"/>
        <v>84389.721509998664</v>
      </c>
      <c r="H32" s="1"/>
      <c r="I32" s="1"/>
      <c r="J32" s="1"/>
      <c r="K32" s="1">
        <f t="shared" si="14"/>
        <v>41321.848049077533</v>
      </c>
      <c r="M32" s="2"/>
      <c r="N32" s="21"/>
    </row>
    <row r="33" spans="7:12" ht="15" thickBot="1">
      <c r="G33" s="6">
        <f>SUM(G28:G32)</f>
        <v>500779.56992999185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45">
        <f>SUM(K28:K32)</f>
        <v>271167.70164104627</v>
      </c>
      <c r="L33" s="64" t="s">
        <v>43</v>
      </c>
    </row>
    <row r="34" spans="7:12" ht="15" thickTop="1"/>
    <row r="36" spans="7:12">
      <c r="K36" s="2"/>
    </row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M6" sqref="M6:N12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22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24">
        <v>2.9010000000000001E-2</v>
      </c>
      <c r="D7" s="32">
        <v>0.13200000000000001</v>
      </c>
      <c r="E7" s="32"/>
      <c r="F7" s="33"/>
      <c r="G7" s="7">
        <v>4756971.4114899999</v>
      </c>
      <c r="H7" s="46">
        <f>B7*G7</f>
        <v>366286.79868472996</v>
      </c>
      <c r="I7" s="46">
        <f>C7*G7</f>
        <v>137999.74064732491</v>
      </c>
      <c r="J7" s="46">
        <f>D7*G7</f>
        <v>627920.22631667997</v>
      </c>
      <c r="K7" s="1">
        <v>-385529.8</v>
      </c>
      <c r="M7" s="16">
        <f>H7-I7-J7</f>
        <v>-399633.16827927495</v>
      </c>
      <c r="N7" s="16">
        <f>K7-M7</f>
        <v>14103.368279274961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8.8999999999999996E-2</v>
      </c>
      <c r="C8" s="24">
        <v>2.9010000000000001E-2</v>
      </c>
      <c r="D8" s="24">
        <v>0.13200000000000001</v>
      </c>
      <c r="E8" s="24"/>
      <c r="F8" s="25"/>
      <c r="G8" s="7">
        <v>3023504.7359000007</v>
      </c>
      <c r="H8" s="46">
        <f t="shared" ref="H8:H11" si="0">B8*G8</f>
        <v>269091.92149510008</v>
      </c>
      <c r="I8" s="46">
        <f t="shared" ref="I8:I11" si="1">C8*G8</f>
        <v>87711.872388459029</v>
      </c>
      <c r="J8" s="46">
        <f t="shared" ref="J8:J11" si="2">D8*G8</f>
        <v>399102.62513880013</v>
      </c>
      <c r="K8" s="1">
        <v>-191683.75</v>
      </c>
      <c r="M8" s="16">
        <f t="shared" ref="M8:M11" si="3">H8-I8-J8</f>
        <v>-217722.57603215909</v>
      </c>
      <c r="N8" s="16">
        <f t="shared" ref="N8:N11" si="4">K8-M8</f>
        <v>26038.826032159093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2.6429999999999999E-2</v>
      </c>
      <c r="D9" s="24">
        <v>0.13200000000000001</v>
      </c>
      <c r="E9" s="24"/>
      <c r="F9" s="25"/>
      <c r="G9" s="7">
        <v>30060172.968810003</v>
      </c>
      <c r="H9" s="46">
        <f t="shared" si="0"/>
        <v>1953911.2429726503</v>
      </c>
      <c r="I9" s="46">
        <f t="shared" si="1"/>
        <v>794490.37156564835</v>
      </c>
      <c r="J9" s="46">
        <f t="shared" si="2"/>
        <v>3967942.8318829206</v>
      </c>
      <c r="K9" s="1">
        <v>-2664625.86</v>
      </c>
      <c r="M9" s="16">
        <f t="shared" si="3"/>
        <v>-2808521.9604759188</v>
      </c>
      <c r="N9" s="16">
        <f t="shared" si="4"/>
        <v>143896.10047591897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9.4E-2</v>
      </c>
      <c r="C10" s="24">
        <v>2.6429999999999999E-2</v>
      </c>
      <c r="D10" s="24">
        <v>0.13200000000000001</v>
      </c>
      <c r="E10" s="24"/>
      <c r="F10" s="25"/>
      <c r="G10" s="7">
        <v>8400620.0644500013</v>
      </c>
      <c r="H10" s="46">
        <f t="shared" si="0"/>
        <v>789658.28605830017</v>
      </c>
      <c r="I10" s="46">
        <f t="shared" si="1"/>
        <v>222028.38830341352</v>
      </c>
      <c r="J10" s="46">
        <f t="shared" si="2"/>
        <v>1108881.8485074001</v>
      </c>
      <c r="K10" s="1">
        <v>-493689.28</v>
      </c>
      <c r="M10" s="16">
        <f t="shared" si="3"/>
        <v>-541251.95075251348</v>
      </c>
      <c r="N10" s="16">
        <f t="shared" si="4"/>
        <v>47562.670752513455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2.6429999999999999E-2</v>
      </c>
      <c r="D11" s="37">
        <v>0.13200000000000001</v>
      </c>
      <c r="E11" s="37"/>
      <c r="F11" s="38"/>
      <c r="G11" s="7">
        <v>8708340.5743899997</v>
      </c>
      <c r="H11" s="46">
        <f t="shared" si="0"/>
        <v>1149500.9558194801</v>
      </c>
      <c r="I11" s="46">
        <f t="shared" si="1"/>
        <v>230161.44138112769</v>
      </c>
      <c r="J11" s="46">
        <f t="shared" si="2"/>
        <v>1149500.9558194801</v>
      </c>
      <c r="K11" s="1">
        <v>-188475.17</v>
      </c>
      <c r="M11" s="49">
        <f t="shared" si="3"/>
        <v>-230161.44138112769</v>
      </c>
      <c r="N11" s="49">
        <f t="shared" si="4"/>
        <v>41686.271381127677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54949609.755040005</v>
      </c>
      <c r="H12" s="8">
        <f t="shared" ref="H12:J12" si="5">SUM(H7:H11)</f>
        <v>4528449.2050302606</v>
      </c>
      <c r="I12" s="8">
        <f t="shared" si="5"/>
        <v>1472391.8142859736</v>
      </c>
      <c r="J12" s="8">
        <f t="shared" si="5"/>
        <v>7253348.4876652807</v>
      </c>
      <c r="K12" s="39">
        <f>SUM(K7:K11)</f>
        <v>-3924003.8600000003</v>
      </c>
      <c r="M12" s="50">
        <f>SUM(M7:M11)</f>
        <v>-4197291.0969209941</v>
      </c>
      <c r="N12" s="53">
        <f>SUM(N7:N11)</f>
        <v>273287.23692099412</v>
      </c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1.1538561827956994E-2</v>
      </c>
      <c r="D18" s="61">
        <v>0.10793</v>
      </c>
      <c r="E18" s="32">
        <f>+C18+D18</f>
        <v>0.119468561827957</v>
      </c>
      <c r="F18" s="33">
        <f>+B18-E18</f>
        <v>-4.2468561827956997E-2</v>
      </c>
      <c r="G18" s="7">
        <v>3897187.072459999</v>
      </c>
      <c r="H18" s="1">
        <f>+G18*B18</f>
        <v>300083.40457941993</v>
      </c>
      <c r="I18" s="1">
        <f>+G18*C18</f>
        <v>44967.933990694415</v>
      </c>
      <c r="J18" s="1">
        <f>+G18*D18</f>
        <v>420623.40073060768</v>
      </c>
      <c r="K18" s="1">
        <f>+H18-I18-J18</f>
        <v>-165507.93014188216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8.8999999999999996E-2</v>
      </c>
      <c r="C19" s="24">
        <v>1.1538561827956994E-2</v>
      </c>
      <c r="D19" s="62">
        <v>0.10793</v>
      </c>
      <c r="E19" s="24">
        <f t="shared" ref="E19:E22" si="6">+C19+D19</f>
        <v>0.119468561827957</v>
      </c>
      <c r="F19" s="25">
        <f t="shared" ref="F19:F22" si="7">+B19-E19</f>
        <v>-3.0468561827957E-2</v>
      </c>
      <c r="G19" s="7">
        <v>3485191.7990500005</v>
      </c>
      <c r="H19" s="1">
        <f t="shared" ref="H19:H22" si="8">+G19*B19</f>
        <v>310182.07011545001</v>
      </c>
      <c r="I19" s="1">
        <f t="shared" ref="I19:I22" si="9">+G19*C19</f>
        <v>40214.101055627099</v>
      </c>
      <c r="J19" s="1">
        <f t="shared" ref="J19:J22" si="10">+G19*D19</f>
        <v>376156.75087146653</v>
      </c>
      <c r="K19" s="1">
        <f t="shared" ref="K19:K22" si="11">+H19-I19-J19</f>
        <v>-106188.78181164362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1.1538561827956994E-2</v>
      </c>
      <c r="D20" s="62">
        <v>0.10793</v>
      </c>
      <c r="E20" s="24">
        <f t="shared" si="6"/>
        <v>0.119468561827957</v>
      </c>
      <c r="F20" s="25">
        <f t="shared" si="7"/>
        <v>-5.4468561827956993E-2</v>
      </c>
      <c r="G20" s="7">
        <v>27057300.73663</v>
      </c>
      <c r="H20" s="1">
        <f t="shared" si="8"/>
        <v>1758724.5478809502</v>
      </c>
      <c r="I20" s="1">
        <f t="shared" si="9"/>
        <v>312202.33744723158</v>
      </c>
      <c r="J20" s="1">
        <f t="shared" si="10"/>
        <v>2920294.4685044759</v>
      </c>
      <c r="K20" s="1">
        <f t="shared" si="11"/>
        <v>-1473772.2580707574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9.4E-2</v>
      </c>
      <c r="C21" s="24">
        <v>1.1538561827956994E-2</v>
      </c>
      <c r="D21" s="62">
        <v>0.10793</v>
      </c>
      <c r="E21" s="24">
        <f t="shared" si="6"/>
        <v>0.119468561827957</v>
      </c>
      <c r="F21" s="25">
        <f t="shared" si="7"/>
        <v>-2.5468561827956995E-2</v>
      </c>
      <c r="G21" s="7">
        <v>8471788.6254899986</v>
      </c>
      <c r="H21" s="1">
        <f t="shared" si="8"/>
        <v>796348.13079605985</v>
      </c>
      <c r="I21" s="1">
        <f t="shared" si="9"/>
        <v>97752.256848599151</v>
      </c>
      <c r="J21" s="1">
        <f t="shared" si="10"/>
        <v>914360.14634913555</v>
      </c>
      <c r="K21" s="1">
        <f t="shared" si="11"/>
        <v>-215764.27240167488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1.1538561827956994E-2</v>
      </c>
      <c r="D22" s="63">
        <v>0.10793</v>
      </c>
      <c r="E22" s="37">
        <f t="shared" si="6"/>
        <v>0.119468561827957</v>
      </c>
      <c r="F22" s="38">
        <f t="shared" si="7"/>
        <v>1.2531438172043011E-2</v>
      </c>
      <c r="G22" s="7">
        <v>8616394.4865300003</v>
      </c>
      <c r="H22" s="1">
        <f t="shared" si="8"/>
        <v>1137364.0722219602</v>
      </c>
      <c r="I22" s="1">
        <f t="shared" si="9"/>
        <v>99420.80051689416</v>
      </c>
      <c r="J22" s="1">
        <f t="shared" si="10"/>
        <v>929967.45693118288</v>
      </c>
      <c r="K22" s="1">
        <f t="shared" si="11"/>
        <v>107975.81477388309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51527862.72016</v>
      </c>
      <c r="H23" s="39">
        <f t="shared" ref="H23:J23" si="12">SUM(H18:H22)</f>
        <v>4302702.2255938398</v>
      </c>
      <c r="I23" s="8">
        <f t="shared" si="12"/>
        <v>594557.42985904648</v>
      </c>
      <c r="J23" s="8">
        <f t="shared" si="12"/>
        <v>5561402.2233868688</v>
      </c>
      <c r="K23" s="8">
        <f>SUM(K18:K22)</f>
        <v>-1853257.427652075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13">+G7-G18</f>
        <v>859784.33903000085</v>
      </c>
      <c r="H28" s="1"/>
      <c r="I28" s="1"/>
      <c r="J28" s="1"/>
      <c r="K28" s="1">
        <f>K18-K7</f>
        <v>220021.86985811783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13"/>
        <v>-461687.06314999983</v>
      </c>
      <c r="H29" s="1"/>
      <c r="I29" s="1"/>
      <c r="J29" s="1"/>
      <c r="K29" s="1">
        <f t="shared" ref="K29:K32" si="14">K19-K8</f>
        <v>85494.968188356375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13"/>
        <v>3002872.2321800031</v>
      </c>
      <c r="H30" s="1"/>
      <c r="I30" s="1"/>
      <c r="J30" s="1"/>
      <c r="K30" s="1">
        <f t="shared" si="14"/>
        <v>1190853.6019292425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13"/>
        <v>-71168.561039997265</v>
      </c>
      <c r="H31" s="1"/>
      <c r="I31" s="1"/>
      <c r="J31" s="1"/>
      <c r="K31" s="1">
        <f t="shared" si="14"/>
        <v>277925.00759832514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13"/>
        <v>91946.087859999388</v>
      </c>
      <c r="H32" s="1"/>
      <c r="I32" s="1"/>
      <c r="J32" s="1"/>
      <c r="K32" s="1">
        <f t="shared" si="14"/>
        <v>296450.98477388313</v>
      </c>
      <c r="M32" s="2"/>
      <c r="N32" s="21"/>
    </row>
    <row r="33" spans="7:12" ht="15" thickBot="1">
      <c r="G33" s="6">
        <f>SUM(G28:G32)</f>
        <v>3421747.0348800062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45">
        <f>SUM(K28:K32)</f>
        <v>2070746.4323479249</v>
      </c>
      <c r="L33" s="4" t="s">
        <v>43</v>
      </c>
    </row>
    <row r="34" spans="7:12" ht="15" thickTop="1"/>
    <row r="36" spans="7:12">
      <c r="K36" s="2"/>
    </row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K11" sqref="K11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14.6640625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24">
        <v>1.455E-2</v>
      </c>
      <c r="D7" s="32">
        <v>0.1024</v>
      </c>
      <c r="E7" s="32"/>
      <c r="F7" s="33"/>
      <c r="G7" s="7">
        <v>3900281.3110199999</v>
      </c>
      <c r="H7" s="46">
        <f>B7*G7</f>
        <v>300321.66094853997</v>
      </c>
      <c r="I7" s="46">
        <f>C7*G7</f>
        <v>56749.093075340999</v>
      </c>
      <c r="J7" s="46">
        <f>D7*G7</f>
        <v>399388.80624844803</v>
      </c>
      <c r="K7" s="1">
        <v>-134895.79999999999</v>
      </c>
      <c r="M7" s="16">
        <f>H7-I7-J7</f>
        <v>-155816.23837524906</v>
      </c>
      <c r="N7" s="16">
        <f>K7-M7</f>
        <v>20920.438375249068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8.8999999999999996E-2</v>
      </c>
      <c r="C8" s="24">
        <v>1.455E-2</v>
      </c>
      <c r="D8" s="24">
        <v>0.1024</v>
      </c>
      <c r="E8" s="24"/>
      <c r="F8" s="25"/>
      <c r="G8" s="7">
        <v>3546803.6303099999</v>
      </c>
      <c r="H8" s="46">
        <f t="shared" ref="H8:H11" si="0">B8*G8</f>
        <v>315665.52309758996</v>
      </c>
      <c r="I8" s="46">
        <f t="shared" ref="I8:I11" si="1">C8*G8</f>
        <v>51605.992821010499</v>
      </c>
      <c r="J8" s="46">
        <f t="shared" ref="J8:J11" si="2">D8*G8</f>
        <v>363192.69174374401</v>
      </c>
      <c r="K8" s="1">
        <v>-80082.38</v>
      </c>
      <c r="M8" s="16">
        <f t="shared" ref="M8:M11" si="3">H8-I8-J8</f>
        <v>-99133.16146716458</v>
      </c>
      <c r="N8" s="16">
        <f t="shared" ref="N8:N11" si="4">K8-M8</f>
        <v>19050.781467164576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1.4420000000000001E-2</v>
      </c>
      <c r="D9" s="24">
        <v>0.1024</v>
      </c>
      <c r="E9" s="24"/>
      <c r="F9" s="25"/>
      <c r="G9" s="7">
        <v>27678232.02352</v>
      </c>
      <c r="H9" s="46">
        <f t="shared" si="0"/>
        <v>1799085.0815288001</v>
      </c>
      <c r="I9" s="46">
        <f t="shared" si="1"/>
        <v>399120.10577915842</v>
      </c>
      <c r="J9" s="46">
        <f t="shared" si="2"/>
        <v>2834250.959208448</v>
      </c>
      <c r="K9" s="1">
        <v>-1285903.82</v>
      </c>
      <c r="M9" s="16">
        <f t="shared" si="3"/>
        <v>-1434285.9834588063</v>
      </c>
      <c r="N9" s="16">
        <f t="shared" si="4"/>
        <v>148382.16345880623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9.4E-2</v>
      </c>
      <c r="C10" s="24">
        <v>1.4420000000000001E-2</v>
      </c>
      <c r="D10" s="24">
        <v>0.1024</v>
      </c>
      <c r="E10" s="24"/>
      <c r="F10" s="25"/>
      <c r="G10" s="7">
        <v>8123904.2749100002</v>
      </c>
      <c r="H10" s="46">
        <f t="shared" si="0"/>
        <v>763647.00184153998</v>
      </c>
      <c r="I10" s="46">
        <f t="shared" si="1"/>
        <v>117146.69964420221</v>
      </c>
      <c r="J10" s="46">
        <f t="shared" si="2"/>
        <v>831887.79775078408</v>
      </c>
      <c r="K10" s="1">
        <v>-140988.65</v>
      </c>
      <c r="M10" s="16">
        <f t="shared" si="3"/>
        <v>-185387.49555344635</v>
      </c>
      <c r="N10" s="16">
        <f t="shared" si="4"/>
        <v>44398.845553446357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1.4420000000000001E-2</v>
      </c>
      <c r="D11" s="37">
        <v>0.1024</v>
      </c>
      <c r="E11" s="37"/>
      <c r="F11" s="38"/>
      <c r="G11" s="7">
        <v>8283338.7522399994</v>
      </c>
      <c r="H11" s="46">
        <f t="shared" si="0"/>
        <v>1093400.7152956799</v>
      </c>
      <c r="I11" s="46">
        <f t="shared" si="1"/>
        <v>119445.7448073008</v>
      </c>
      <c r="J11" s="46">
        <f t="shared" si="2"/>
        <v>848213.88822937594</v>
      </c>
      <c r="K11" s="1">
        <v>170147.82</v>
      </c>
      <c r="M11" s="49">
        <f t="shared" si="3"/>
        <v>125741.08225900307</v>
      </c>
      <c r="N11" s="49">
        <f t="shared" si="4"/>
        <v>44406.737740996934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51532559.992000006</v>
      </c>
      <c r="H12" s="47">
        <f t="shared" ref="H12:J12" si="5">SUM(H7:H11)</f>
        <v>4272119.9827121496</v>
      </c>
      <c r="I12" s="47">
        <f t="shared" si="5"/>
        <v>744067.63612701301</v>
      </c>
      <c r="J12" s="47">
        <f t="shared" si="5"/>
        <v>5276934.1431807997</v>
      </c>
      <c r="K12" s="39">
        <f>SUM(K7:K11)</f>
        <v>-1471722.8299999998</v>
      </c>
      <c r="M12" s="50">
        <f>SUM(M7:M11)</f>
        <v>-1748881.7965956633</v>
      </c>
      <c r="N12" s="53">
        <f>SUM(N7:N11)</f>
        <v>277158.96659566317</v>
      </c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1.6732555555555542E-2</v>
      </c>
      <c r="D18" s="61">
        <v>0.11896</v>
      </c>
      <c r="E18" s="32">
        <f>+C18+D18</f>
        <v>0.13569255555555554</v>
      </c>
      <c r="F18" s="33">
        <f>+B18-E18</f>
        <v>-5.8692555555555539E-2</v>
      </c>
      <c r="G18" s="7">
        <v>4383361.5452200007</v>
      </c>
      <c r="H18" s="1">
        <f>+G18*B18</f>
        <v>337518.83898194006</v>
      </c>
      <c r="I18" s="1">
        <f>+G18*C18</f>
        <v>73344.840575479451</v>
      </c>
      <c r="J18" s="1">
        <f>+G18*D18</f>
        <v>521444.68941937125</v>
      </c>
      <c r="K18" s="1">
        <f>+H18-I18-J18</f>
        <v>-257270.69101291063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8.8999999999999996E-2</v>
      </c>
      <c r="C19" s="24">
        <v>1.6732555555555542E-2</v>
      </c>
      <c r="D19" s="62">
        <v>0.11896</v>
      </c>
      <c r="E19" s="24">
        <f t="shared" ref="E19:E22" si="6">+C19+D19</f>
        <v>0.13569255555555554</v>
      </c>
      <c r="F19" s="25">
        <f t="shared" ref="F19:F22" si="7">+B19-E19</f>
        <v>-4.6692555555555543E-2</v>
      </c>
      <c r="G19" s="7">
        <v>3708462.8582899999</v>
      </c>
      <c r="H19" s="1">
        <f t="shared" ref="H19:H22" si="8">+G19*B19</f>
        <v>330053.19438780996</v>
      </c>
      <c r="I19" s="1">
        <f t="shared" ref="I19:I22" si="9">+G19*C19</f>
        <v>62052.060802051725</v>
      </c>
      <c r="J19" s="1">
        <f t="shared" ref="J19:J22" si="10">+G19*D19</f>
        <v>441158.74162217835</v>
      </c>
      <c r="K19" s="1">
        <f t="shared" ref="K19:K22" si="11">+H19-I19-J19</f>
        <v>-173157.60803642013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1.6732555555555542E-2</v>
      </c>
      <c r="D20" s="62">
        <v>0.11896</v>
      </c>
      <c r="E20" s="24">
        <f t="shared" si="6"/>
        <v>0.13569255555555554</v>
      </c>
      <c r="F20" s="25">
        <f t="shared" si="7"/>
        <v>-7.0692555555555536E-2</v>
      </c>
      <c r="G20" s="7">
        <v>29600230.393570002</v>
      </c>
      <c r="H20" s="1">
        <f t="shared" si="8"/>
        <v>1924014.9755820502</v>
      </c>
      <c r="I20" s="1">
        <f t="shared" si="9"/>
        <v>495287.49951765378</v>
      </c>
      <c r="J20" s="1">
        <f t="shared" si="10"/>
        <v>3521243.4076190875</v>
      </c>
      <c r="K20" s="1">
        <f t="shared" si="11"/>
        <v>-2092515.9315546912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9.4E-2</v>
      </c>
      <c r="C21" s="24">
        <v>1.6732555555555542E-2</v>
      </c>
      <c r="D21" s="62">
        <v>0.11896</v>
      </c>
      <c r="E21" s="24">
        <f t="shared" si="6"/>
        <v>0.13569255555555554</v>
      </c>
      <c r="F21" s="25">
        <f t="shared" si="7"/>
        <v>-4.1692555555555538E-2</v>
      </c>
      <c r="G21" s="7">
        <v>8817439.8960100021</v>
      </c>
      <c r="H21" s="1">
        <f t="shared" si="8"/>
        <v>828839.35022494022</v>
      </c>
      <c r="I21" s="1">
        <f t="shared" si="9"/>
        <v>147538.30291775925</v>
      </c>
      <c r="J21" s="1">
        <f t="shared" si="10"/>
        <v>1048922.6500293498</v>
      </c>
      <c r="K21" s="1">
        <f t="shared" si="11"/>
        <v>-367621.6027221689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1.6732555555555542E-2</v>
      </c>
      <c r="D22" s="63">
        <v>0.11896</v>
      </c>
      <c r="E22" s="37">
        <f t="shared" si="6"/>
        <v>0.13569255555555554</v>
      </c>
      <c r="F22" s="38">
        <f t="shared" si="7"/>
        <v>-3.6925555555555323E-3</v>
      </c>
      <c r="G22" s="7">
        <v>9163743.7149700001</v>
      </c>
      <c r="H22" s="1">
        <f t="shared" si="8"/>
        <v>1209614.17037604</v>
      </c>
      <c r="I22" s="1">
        <f t="shared" si="9"/>
        <v>153332.85080760845</v>
      </c>
      <c r="J22" s="1">
        <f t="shared" si="10"/>
        <v>1090118.9523328312</v>
      </c>
      <c r="K22" s="1">
        <f t="shared" si="11"/>
        <v>-33837.63276439975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55673238.408060007</v>
      </c>
      <c r="H23" s="39">
        <f t="shared" ref="H23:J23" si="12">SUM(H18:H22)</f>
        <v>4630040.5295527801</v>
      </c>
      <c r="I23" s="8">
        <f t="shared" si="12"/>
        <v>931555.55462055269</v>
      </c>
      <c r="J23" s="8">
        <f t="shared" si="12"/>
        <v>6622888.441022818</v>
      </c>
      <c r="K23" s="8">
        <f>SUM(K18:K22)</f>
        <v>-2924403.4660905907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13">+G7-G18</f>
        <v>-483080.23420000076</v>
      </c>
      <c r="H28" s="1"/>
      <c r="I28" s="1"/>
      <c r="J28" s="1"/>
      <c r="K28" s="1">
        <f>K18-K7</f>
        <v>-122374.89101291064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13"/>
        <v>-161659.22797999997</v>
      </c>
      <c r="H29" s="1"/>
      <c r="I29" s="1"/>
      <c r="J29" s="1"/>
      <c r="K29" s="1">
        <f t="shared" ref="K29:K32" si="14">K19-K8</f>
        <v>-93075.228036420129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13"/>
        <v>-1921998.3700500019</v>
      </c>
      <c r="H30" s="1"/>
      <c r="I30" s="1"/>
      <c r="J30" s="1"/>
      <c r="K30" s="1">
        <f t="shared" si="14"/>
        <v>-806612.1115546911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13"/>
        <v>-693535.62110000197</v>
      </c>
      <c r="H31" s="1"/>
      <c r="I31" s="1"/>
      <c r="J31" s="1"/>
      <c r="K31" s="1">
        <f t="shared" si="14"/>
        <v>-226632.95272216891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13"/>
        <v>-880404.96273000073</v>
      </c>
      <c r="H32" s="1"/>
      <c r="I32" s="1"/>
      <c r="J32" s="1"/>
      <c r="K32" s="1">
        <f t="shared" si="14"/>
        <v>-203985.45276439976</v>
      </c>
      <c r="M32" s="2"/>
      <c r="N32" s="21"/>
    </row>
    <row r="33" spans="7:12" ht="15" thickBot="1">
      <c r="G33" s="6">
        <f>SUM(G28:G32)</f>
        <v>-4140678.4160600053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45">
        <f>SUM(K28:K32)</f>
        <v>-1452680.6360905906</v>
      </c>
      <c r="L33" s="4" t="s">
        <v>43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M6" sqref="M6:N12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14.33203125" customWidth="1"/>
    <col min="14" max="14" width="12.109375" bestFit="1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24">
        <v>2.0070000000000001E-2</v>
      </c>
      <c r="D7" s="32">
        <v>8.1199999999999994E-2</v>
      </c>
      <c r="E7" s="32"/>
      <c r="F7" s="33"/>
      <c r="G7" s="7">
        <v>4473726.1367600001</v>
      </c>
      <c r="H7" s="1">
        <f>B7*G7</f>
        <v>344476.91253052</v>
      </c>
      <c r="I7" s="1">
        <f>C7*G7</f>
        <v>89787.683564773208</v>
      </c>
      <c r="J7" s="1">
        <f>D7*G7</f>
        <v>363266.56230491196</v>
      </c>
      <c r="K7" s="1">
        <v>-192625.13</v>
      </c>
      <c r="M7" s="16">
        <f>H7-I7-J7</f>
        <v>-108577.33333916517</v>
      </c>
      <c r="N7" s="16">
        <f>K7-M7</f>
        <v>-84047.796660834836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8.8999999999999996E-2</v>
      </c>
      <c r="C8" s="24">
        <v>2.0070000000000001E-2</v>
      </c>
      <c r="D8" s="24">
        <v>8.1199999999999994E-2</v>
      </c>
      <c r="E8" s="24"/>
      <c r="F8" s="25"/>
      <c r="G8" s="7">
        <v>3709056.0161899999</v>
      </c>
      <c r="H8" s="1">
        <f t="shared" ref="H8:H11" si="0">B8*G8</f>
        <v>330105.98544090998</v>
      </c>
      <c r="I8" s="1">
        <f t="shared" ref="I8:I11" si="1">C8*G8</f>
        <v>74440.754244933298</v>
      </c>
      <c r="J8" s="1">
        <f t="shared" ref="J8:J11" si="2">D8*G8</f>
        <v>301175.34851462796</v>
      </c>
      <c r="K8" s="1">
        <v>-115165.17</v>
      </c>
      <c r="M8" s="16">
        <f t="shared" ref="M8:M11" si="3">H8-I8-J8</f>
        <v>-45510.11731865129</v>
      </c>
      <c r="N8" s="16">
        <f t="shared" ref="N8:N11" si="4">K8-M8</f>
        <v>-69655.052681348709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2.1600000000000001E-2</v>
      </c>
      <c r="D9" s="24">
        <v>8.1199999999999994E-2</v>
      </c>
      <c r="E9" s="24"/>
      <c r="F9" s="25"/>
      <c r="G9" s="7">
        <v>32497261.005380001</v>
      </c>
      <c r="H9" s="1">
        <f t="shared" si="0"/>
        <v>2112321.9653497003</v>
      </c>
      <c r="I9" s="1">
        <f t="shared" si="1"/>
        <v>701940.83771620807</v>
      </c>
      <c r="J9" s="1">
        <f t="shared" si="2"/>
        <v>2638777.5936368559</v>
      </c>
      <c r="K9" s="1">
        <v>-1838839.62</v>
      </c>
      <c r="M9" s="16">
        <f t="shared" si="3"/>
        <v>-1228396.4660033637</v>
      </c>
      <c r="N9" s="16">
        <f t="shared" si="4"/>
        <v>-610443.15399663639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9.4E-2</v>
      </c>
      <c r="C10" s="24">
        <v>2.1600000000000001E-2</v>
      </c>
      <c r="D10" s="24">
        <v>8.1199999999999994E-2</v>
      </c>
      <c r="E10" s="24"/>
      <c r="F10" s="25"/>
      <c r="G10" s="7">
        <v>9498864.7710299995</v>
      </c>
      <c r="H10" s="1">
        <f t="shared" si="0"/>
        <v>892893.28847681999</v>
      </c>
      <c r="I10" s="1">
        <f t="shared" si="1"/>
        <v>205175.47905424799</v>
      </c>
      <c r="J10" s="1">
        <f t="shared" si="2"/>
        <v>771307.81940763595</v>
      </c>
      <c r="K10" s="1">
        <v>-262020.92</v>
      </c>
      <c r="M10" s="16">
        <f t="shared" si="3"/>
        <v>-83590.009985063924</v>
      </c>
      <c r="N10" s="16">
        <f t="shared" si="4"/>
        <v>-178430.91001493609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2.1600000000000001E-2</v>
      </c>
      <c r="D11" s="37">
        <v>8.1199999999999994E-2</v>
      </c>
      <c r="E11" s="37"/>
      <c r="F11" s="38"/>
      <c r="G11" s="7">
        <v>10060245.65645</v>
      </c>
      <c r="H11" s="1">
        <f t="shared" si="0"/>
        <v>1327952.4266514</v>
      </c>
      <c r="I11" s="1">
        <f t="shared" si="1"/>
        <v>217301.30617932</v>
      </c>
      <c r="J11" s="1">
        <f t="shared" si="2"/>
        <v>816891.94730373996</v>
      </c>
      <c r="K11" s="1">
        <v>104783</v>
      </c>
      <c r="M11" s="49">
        <f t="shared" si="3"/>
        <v>293759.17316834012</v>
      </c>
      <c r="N11" s="49">
        <f t="shared" si="4"/>
        <v>-188976.17316834012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60239153.585810006</v>
      </c>
      <c r="H12" s="8">
        <f t="shared" ref="H12:J12" si="5">SUM(H7:H11)</f>
        <v>5007750.5784493499</v>
      </c>
      <c r="I12" s="8">
        <f t="shared" si="5"/>
        <v>1288646.0607594824</v>
      </c>
      <c r="J12" s="8">
        <f t="shared" si="5"/>
        <v>4891419.2711677719</v>
      </c>
      <c r="K12" s="39">
        <f>SUM(K7:K11)</f>
        <v>-2303867.84</v>
      </c>
      <c r="M12" s="50">
        <f>SUM(M7:M11)</f>
        <v>-1172314.753477904</v>
      </c>
      <c r="N12" s="53">
        <f>SUM(N7:N11)</f>
        <v>-1131553.0865220963</v>
      </c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2.8597096774193555E-2</v>
      </c>
      <c r="D18" s="61">
        <v>7.7369999999999994E-2</v>
      </c>
      <c r="E18" s="32">
        <f>+C18+D18</f>
        <v>0.10596709677419355</v>
      </c>
      <c r="F18" s="33">
        <f>+B18-E18</f>
        <v>-2.8967096774193554E-2</v>
      </c>
      <c r="G18" s="7">
        <v>4325596.4692800008</v>
      </c>
      <c r="H18" s="1">
        <f>+G18*B18</f>
        <v>333070.92813456006</v>
      </c>
      <c r="I18" s="1">
        <f>+G18*C18</f>
        <v>123699.50083811014</v>
      </c>
      <c r="J18" s="1">
        <f>+G18*D18</f>
        <v>334671.39882819366</v>
      </c>
      <c r="K18" s="1">
        <f>+H18-I18-J18</f>
        <v>-125299.97153174374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8.8999999999999996E-2</v>
      </c>
      <c r="C19" s="24">
        <v>2.8597096774193555E-2</v>
      </c>
      <c r="D19" s="62">
        <v>7.7369999999999994E-2</v>
      </c>
      <c r="E19" s="24">
        <f t="shared" ref="E19:E22" si="6">+C19+D19</f>
        <v>0.10596709677419355</v>
      </c>
      <c r="F19" s="25">
        <f t="shared" ref="F19:F22" si="7">+B19-E19</f>
        <v>-1.6967096774193557E-2</v>
      </c>
      <c r="G19" s="7">
        <v>4242652.8953600004</v>
      </c>
      <c r="H19" s="1">
        <f t="shared" ref="H19:H22" si="8">+G19*B19</f>
        <v>377596.10768704</v>
      </c>
      <c r="I19" s="1">
        <f t="shared" ref="I19:I22" si="9">+G19*C19</f>
        <v>121327.55542792242</v>
      </c>
      <c r="J19" s="1">
        <f t="shared" ref="J19:J22" si="10">+G19*D19</f>
        <v>328254.05451400322</v>
      </c>
      <c r="K19" s="1">
        <f t="shared" ref="K19:K22" si="11">+H19-I19-J19</f>
        <v>-71985.502254885621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2.8597096774193555E-2</v>
      </c>
      <c r="D20" s="62">
        <v>7.7369999999999994E-2</v>
      </c>
      <c r="E20" s="24">
        <f t="shared" si="6"/>
        <v>0.10596709677419355</v>
      </c>
      <c r="F20" s="25">
        <f t="shared" si="7"/>
        <v>-4.0967096774193551E-2</v>
      </c>
      <c r="G20" s="7">
        <v>35689459.367609993</v>
      </c>
      <c r="H20" s="1">
        <f t="shared" si="8"/>
        <v>2319814.8588946494</v>
      </c>
      <c r="I20" s="1">
        <f t="shared" si="9"/>
        <v>1020614.9233541917</v>
      </c>
      <c r="J20" s="1">
        <f t="shared" si="10"/>
        <v>2761293.4712719847</v>
      </c>
      <c r="K20" s="1">
        <f t="shared" si="11"/>
        <v>-1462093.535731527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9.4E-2</v>
      </c>
      <c r="C21" s="24">
        <v>2.8597096774193555E-2</v>
      </c>
      <c r="D21" s="62">
        <v>7.7369999999999994E-2</v>
      </c>
      <c r="E21" s="24">
        <f t="shared" si="6"/>
        <v>0.10596709677419355</v>
      </c>
      <c r="F21" s="25">
        <f t="shared" si="7"/>
        <v>-1.1967096774193553E-2</v>
      </c>
      <c r="G21" s="7">
        <v>10341746.523859998</v>
      </c>
      <c r="H21" s="1">
        <f t="shared" si="8"/>
        <v>972124.17324283987</v>
      </c>
      <c r="I21" s="1">
        <f t="shared" si="9"/>
        <v>295743.92615700414</v>
      </c>
      <c r="J21" s="1">
        <f t="shared" si="10"/>
        <v>800140.92855104804</v>
      </c>
      <c r="K21" s="1">
        <f t="shared" si="11"/>
        <v>-123760.68146521226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2.8597096774193555E-2</v>
      </c>
      <c r="D22" s="63">
        <v>7.7369999999999994E-2</v>
      </c>
      <c r="E22" s="37">
        <f t="shared" si="6"/>
        <v>0.10596709677419355</v>
      </c>
      <c r="F22" s="38">
        <f t="shared" si="7"/>
        <v>2.6032903225806453E-2</v>
      </c>
      <c r="G22" s="7">
        <v>11546963.60808</v>
      </c>
      <c r="H22" s="1">
        <f t="shared" si="8"/>
        <v>1524199.1962665601</v>
      </c>
      <c r="I22" s="1">
        <f t="shared" si="9"/>
        <v>330209.63574835495</v>
      </c>
      <c r="J22" s="1">
        <f t="shared" si="10"/>
        <v>893388.57435714954</v>
      </c>
      <c r="K22" s="1">
        <f t="shared" si="11"/>
        <v>300600.98616105563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66146418.86418999</v>
      </c>
      <c r="H23" s="39">
        <f t="shared" ref="H23:J23" si="12">SUM(H18:H22)</f>
        <v>5526805.2642256496</v>
      </c>
      <c r="I23" s="8">
        <f t="shared" si="12"/>
        <v>1891595.5415255835</v>
      </c>
      <c r="J23" s="8">
        <f t="shared" si="12"/>
        <v>5117748.427522379</v>
      </c>
      <c r="K23" s="8">
        <f>SUM(K18:K22)</f>
        <v>-1482538.704822313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13">+G7-G18</f>
        <v>148129.66747999936</v>
      </c>
      <c r="H28" s="1"/>
      <c r="I28" s="1"/>
      <c r="J28" s="1"/>
      <c r="K28" s="1">
        <f>K18-K7</f>
        <v>67325.158468256268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13"/>
        <v>-533596.87917000055</v>
      </c>
      <c r="H29" s="1"/>
      <c r="I29" s="1"/>
      <c r="J29" s="1"/>
      <c r="K29" s="1">
        <f t="shared" ref="K29:K32" si="14">K19-K8</f>
        <v>43179.667745114377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13"/>
        <v>-3192198.3622299917</v>
      </c>
      <c r="H30" s="1"/>
      <c r="I30" s="1"/>
      <c r="J30" s="1"/>
      <c r="K30" s="1">
        <f t="shared" si="14"/>
        <v>376746.08426847309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13"/>
        <v>-842881.75282999873</v>
      </c>
      <c r="H31" s="1"/>
      <c r="I31" s="1"/>
      <c r="J31" s="1"/>
      <c r="K31" s="1">
        <f t="shared" si="14"/>
        <v>138260.23853478776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13"/>
        <v>-1486717.95163</v>
      </c>
      <c r="H32" s="1"/>
      <c r="I32" s="1"/>
      <c r="J32" s="1"/>
      <c r="K32" s="1">
        <f t="shared" si="14"/>
        <v>195817.98616105563</v>
      </c>
      <c r="M32" s="2"/>
      <c r="N32" s="21"/>
    </row>
    <row r="33" spans="7:12" ht="15" thickBot="1">
      <c r="G33" s="6">
        <f>SUM(G28:G32)</f>
        <v>-5907265.2783799917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45">
        <f>SUM(K28:K32)</f>
        <v>821329.13517768716</v>
      </c>
      <c r="L33" s="64" t="s">
        <v>43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M6" sqref="M6:N12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21.33203125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4" t="s">
        <v>42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44</v>
      </c>
      <c r="N6" s="52" t="s">
        <v>45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32">
        <v>3.125E-2</v>
      </c>
      <c r="D7" s="32">
        <v>7.3200000000000001E-2</v>
      </c>
      <c r="E7" s="32"/>
      <c r="F7" s="33"/>
      <c r="G7" s="7">
        <v>4209135.52513</v>
      </c>
      <c r="H7" s="46">
        <f>B7*G7</f>
        <v>324103.43543501</v>
      </c>
      <c r="I7" s="46">
        <f>C7*G7</f>
        <v>131535.4851603125</v>
      </c>
      <c r="J7" s="46">
        <f>D7*G7</f>
        <v>308108.72043951601</v>
      </c>
      <c r="K7" s="1">
        <v>-79360.97</v>
      </c>
      <c r="M7" s="16">
        <f>H7-I7-J7</f>
        <v>-115540.7701648185</v>
      </c>
      <c r="N7" s="16">
        <f>K7-M7</f>
        <v>36179.800164818502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8.8999999999999996E-2</v>
      </c>
      <c r="C8" s="24">
        <v>3.125E-2</v>
      </c>
      <c r="D8" s="24">
        <v>7.3200000000000001E-2</v>
      </c>
      <c r="E8" s="24"/>
      <c r="F8" s="25"/>
      <c r="G8" s="7">
        <v>4137251.2332100002</v>
      </c>
      <c r="H8" s="46">
        <f t="shared" ref="H8:H11" si="0">B8*G8</f>
        <v>368215.35975568998</v>
      </c>
      <c r="I8" s="46">
        <f t="shared" ref="I8:I11" si="1">C8*G8</f>
        <v>129289.10103781251</v>
      </c>
      <c r="J8" s="46">
        <f t="shared" ref="J8:J11" si="2">D8*G8</f>
        <v>302846.79027097201</v>
      </c>
      <c r="K8" s="1">
        <v>-28358.62</v>
      </c>
      <c r="M8" s="16">
        <f t="shared" ref="M8:M11" si="3">H8-I8-J8</f>
        <v>-63920.531553094537</v>
      </c>
      <c r="N8" s="16">
        <f t="shared" ref="N8:N11" si="4">K8-M8</f>
        <v>35561.911553094542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3.1140000000000001E-2</v>
      </c>
      <c r="D9" s="24">
        <v>7.3200000000000001E-2</v>
      </c>
      <c r="E9" s="24"/>
      <c r="F9" s="25"/>
      <c r="G9" s="7">
        <v>34426931.029440001</v>
      </c>
      <c r="H9" s="46">
        <f t="shared" si="0"/>
        <v>2237750.5169136003</v>
      </c>
      <c r="I9" s="46">
        <f t="shared" si="1"/>
        <v>1072054.6322567617</v>
      </c>
      <c r="J9" s="46">
        <f t="shared" si="2"/>
        <v>2520051.3513550083</v>
      </c>
      <c r="K9" s="1">
        <v>-1058298.47</v>
      </c>
      <c r="M9" s="16">
        <f t="shared" si="3"/>
        <v>-1354355.4666981697</v>
      </c>
      <c r="N9" s="16">
        <f t="shared" si="4"/>
        <v>296056.99669816974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9.4E-2</v>
      </c>
      <c r="C10" s="24">
        <v>3.1140000000000001E-2</v>
      </c>
      <c r="D10" s="24">
        <v>7.3200000000000001E-2</v>
      </c>
      <c r="E10" s="24"/>
      <c r="F10" s="25"/>
      <c r="G10" s="7">
        <v>9942394.2592799999</v>
      </c>
      <c r="H10" s="46">
        <f t="shared" si="0"/>
        <v>934585.06037232</v>
      </c>
      <c r="I10" s="46">
        <f t="shared" si="1"/>
        <v>309606.1572339792</v>
      </c>
      <c r="J10" s="46">
        <f t="shared" si="2"/>
        <v>727783.259779296</v>
      </c>
      <c r="K10" s="1">
        <v>-17303.990000000002</v>
      </c>
      <c r="M10" s="16">
        <f t="shared" si="3"/>
        <v>-102804.3566409552</v>
      </c>
      <c r="N10" s="16">
        <f t="shared" si="4"/>
        <v>85500.366640955195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3.1140000000000001E-2</v>
      </c>
      <c r="D11" s="37">
        <v>7.3200000000000001E-2</v>
      </c>
      <c r="E11" s="37"/>
      <c r="F11" s="38"/>
      <c r="G11" s="7">
        <v>11062428.360029999</v>
      </c>
      <c r="H11" s="46">
        <f t="shared" si="0"/>
        <v>1460240.54352396</v>
      </c>
      <c r="I11" s="46">
        <f t="shared" si="1"/>
        <v>344484.01913133421</v>
      </c>
      <c r="J11" s="46">
        <f t="shared" si="2"/>
        <v>809769.75595419598</v>
      </c>
      <c r="K11" s="1">
        <v>401118.95</v>
      </c>
      <c r="M11" s="49">
        <f t="shared" si="3"/>
        <v>305986.7684384298</v>
      </c>
      <c r="N11" s="49">
        <f t="shared" si="4"/>
        <v>95132.181561570207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63778140.407089993</v>
      </c>
      <c r="H12" s="8">
        <f t="shared" ref="H12:J12" si="5">SUM(H7:H11)</f>
        <v>5324894.9160005804</v>
      </c>
      <c r="I12" s="8">
        <f t="shared" si="5"/>
        <v>1986969.3948202</v>
      </c>
      <c r="J12" s="8">
        <f t="shared" si="5"/>
        <v>4668559.8777989885</v>
      </c>
      <c r="K12" s="39">
        <f>SUM(K7:K11)</f>
        <v>-782203.10000000009</v>
      </c>
      <c r="M12" s="50">
        <f>SUM(M7:M11)</f>
        <v>-1330634.3566186081</v>
      </c>
      <c r="N12" s="53">
        <f>SUM(N7:N11)</f>
        <v>548431.25661860825</v>
      </c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2.8918709677419378E-2</v>
      </c>
      <c r="D18" s="61">
        <v>7.4899999999999994E-2</v>
      </c>
      <c r="E18" s="32">
        <f>+C18+D18</f>
        <v>0.10381870967741938</v>
      </c>
      <c r="F18" s="33">
        <f>+B18-E18</f>
        <v>-2.6818709677419381E-2</v>
      </c>
      <c r="G18" s="7">
        <v>4151867.7554399995</v>
      </c>
      <c r="H18" s="1">
        <f>+G18*B18</f>
        <v>319693.81716887996</v>
      </c>
      <c r="I18" s="1">
        <f>+G18*C18</f>
        <v>120066.65823860819</v>
      </c>
      <c r="J18" s="1">
        <f>+G18*D18</f>
        <v>310974.89488245593</v>
      </c>
      <c r="K18" s="1">
        <f>+H18-I18-J18</f>
        <v>-111347.73595218416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8.8999999999999996E-2</v>
      </c>
      <c r="C19" s="24">
        <v>2.8918709677419378E-2</v>
      </c>
      <c r="D19" s="62">
        <v>7.4899999999999994E-2</v>
      </c>
      <c r="E19" s="24">
        <f t="shared" ref="E19:E22" si="6">+C19+D19</f>
        <v>0.10381870967741938</v>
      </c>
      <c r="F19" s="25">
        <f t="shared" ref="F19:F22" si="7">+B19-E19</f>
        <v>-1.4818709677419384E-2</v>
      </c>
      <c r="G19" s="7">
        <v>4198332.2272300003</v>
      </c>
      <c r="H19" s="1">
        <f t="shared" ref="H19:H22" si="8">+G19*B19</f>
        <v>373651.56822347001</v>
      </c>
      <c r="I19" s="1">
        <f t="shared" ref="I19:I22" si="9">+G19*C19</f>
        <v>121410.35080861786</v>
      </c>
      <c r="J19" s="1">
        <f t="shared" ref="J19:J22" si="10">+G19*D19</f>
        <v>314455.083819527</v>
      </c>
      <c r="K19" s="1">
        <f t="shared" ref="K19:K22" si="11">+H19-I19-J19</f>
        <v>-62213.86640467486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2.8918709677419378E-2</v>
      </c>
      <c r="D20" s="62">
        <v>7.4899999999999994E-2</v>
      </c>
      <c r="E20" s="24">
        <f t="shared" si="6"/>
        <v>0.10381870967741938</v>
      </c>
      <c r="F20" s="25">
        <f t="shared" si="7"/>
        <v>-3.8818709677419377E-2</v>
      </c>
      <c r="G20" s="7">
        <v>33910582.702629998</v>
      </c>
      <c r="H20" s="1">
        <f t="shared" si="8"/>
        <v>2204187.8756709499</v>
      </c>
      <c r="I20" s="1">
        <f t="shared" si="9"/>
        <v>980650.29616947635</v>
      </c>
      <c r="J20" s="1">
        <f t="shared" si="10"/>
        <v>2539902.6444269866</v>
      </c>
      <c r="K20" s="1">
        <f t="shared" si="11"/>
        <v>-1316365.064925513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9.4E-2</v>
      </c>
      <c r="C21" s="24">
        <v>2.8918709677419378E-2</v>
      </c>
      <c r="D21" s="62">
        <v>7.4899999999999994E-2</v>
      </c>
      <c r="E21" s="24">
        <f t="shared" si="6"/>
        <v>0.10381870967741938</v>
      </c>
      <c r="F21" s="25">
        <f t="shared" si="7"/>
        <v>-9.8187096774193794E-3</v>
      </c>
      <c r="G21" s="7">
        <v>10205860.437480005</v>
      </c>
      <c r="H21" s="1">
        <f t="shared" si="8"/>
        <v>959350.88112312043</v>
      </c>
      <c r="I21" s="1">
        <f t="shared" si="9"/>
        <v>295140.31499974459</v>
      </c>
      <c r="J21" s="1">
        <f t="shared" si="10"/>
        <v>764418.94676725229</v>
      </c>
      <c r="K21" s="1">
        <f t="shared" si="11"/>
        <v>-100208.38064387639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2.8918709677419378E-2</v>
      </c>
      <c r="D22" s="63">
        <v>7.4899999999999994E-2</v>
      </c>
      <c r="E22" s="37">
        <f t="shared" si="6"/>
        <v>0.10381870967741938</v>
      </c>
      <c r="F22" s="38">
        <f t="shared" si="7"/>
        <v>2.8181290322580627E-2</v>
      </c>
      <c r="G22" s="7">
        <v>11362607.780270001</v>
      </c>
      <c r="H22" s="1">
        <f t="shared" si="8"/>
        <v>1499864.2269956402</v>
      </c>
      <c r="I22" s="1">
        <f t="shared" si="9"/>
        <v>328591.95557601482</v>
      </c>
      <c r="J22" s="1">
        <f t="shared" si="10"/>
        <v>851059.32274222304</v>
      </c>
      <c r="K22" s="1">
        <f t="shared" si="11"/>
        <v>320212.94867740222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63829250.903050005</v>
      </c>
      <c r="H23" s="39">
        <f t="shared" ref="H23:J23" si="12">SUM(H18:H22)</f>
        <v>5356748.3691820605</v>
      </c>
      <c r="I23" s="8">
        <f t="shared" si="12"/>
        <v>1845859.5757924616</v>
      </c>
      <c r="J23" s="8">
        <f t="shared" si="12"/>
        <v>4780810.8926384449</v>
      </c>
      <c r="K23" s="8">
        <f>SUM(K18:K22)</f>
        <v>-1269922.0992488463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13">+G7-G18</f>
        <v>57267.769690000452</v>
      </c>
      <c r="H28" s="1"/>
      <c r="I28" s="1"/>
      <c r="J28" s="1"/>
      <c r="K28" s="1">
        <f>K18-K7</f>
        <v>-31986.765952184156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13"/>
        <v>-61080.9940200001</v>
      </c>
      <c r="H29" s="1"/>
      <c r="I29" s="1"/>
      <c r="J29" s="1"/>
      <c r="K29" s="1">
        <f t="shared" ref="K29:K32" si="14">K19-K8</f>
        <v>-33855.246404674865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13"/>
        <v>516348.32681000233</v>
      </c>
      <c r="H30" s="1"/>
      <c r="I30" s="1"/>
      <c r="J30" s="1"/>
      <c r="K30" s="1">
        <f t="shared" si="14"/>
        <v>-258066.59492551303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13"/>
        <v>-263466.17820000462</v>
      </c>
      <c r="H31" s="1"/>
      <c r="I31" s="1"/>
      <c r="J31" s="1"/>
      <c r="K31" s="1">
        <f t="shared" si="14"/>
        <v>-82904.390643876381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13"/>
        <v>-300179.42024000175</v>
      </c>
      <c r="H32" s="1"/>
      <c r="I32" s="1"/>
      <c r="J32" s="1"/>
      <c r="K32" s="1">
        <f t="shared" si="14"/>
        <v>-80906.001322597789</v>
      </c>
      <c r="M32" s="2"/>
      <c r="N32" s="21"/>
    </row>
    <row r="33" spans="7:12" ht="15" thickBot="1">
      <c r="G33" s="6">
        <f>SUM(G28:G32)</f>
        <v>-51110.495960003696</v>
      </c>
      <c r="H33" s="8">
        <f t="shared" ref="H33:J33" si="15">SUM(H28:H32)</f>
        <v>0</v>
      </c>
      <c r="I33" s="8">
        <f t="shared" si="15"/>
        <v>0</v>
      </c>
      <c r="J33" s="8">
        <f t="shared" si="15"/>
        <v>0</v>
      </c>
      <c r="K33" s="45">
        <f>SUM(K28:K32)</f>
        <v>-487718.99924884626</v>
      </c>
      <c r="L33" s="64" t="s">
        <v>43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 of Diff</vt:lpstr>
      <vt:lpstr>Jan 18</vt:lpstr>
      <vt:lpstr>Feb 18</vt:lpstr>
      <vt:lpstr>Mar 18</vt:lpstr>
      <vt:lpstr>April 18</vt:lpstr>
      <vt:lpstr>May 18</vt:lpstr>
      <vt:lpstr>June 18</vt:lpstr>
      <vt:lpstr>July 18</vt:lpstr>
      <vt:lpstr>Aug 18</vt:lpstr>
      <vt:lpstr>Sept 18</vt:lpstr>
      <vt:lpstr>Oct 18</vt:lpstr>
      <vt:lpstr>Nov 18</vt:lpstr>
      <vt:lpstr>Dec 18</vt:lpstr>
      <vt:lpstr>Total True 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Driver</dc:creator>
  <cp:lastModifiedBy>Tina Li</cp:lastModifiedBy>
  <cp:lastPrinted>2019-01-07T16:30:38Z</cp:lastPrinted>
  <dcterms:created xsi:type="dcterms:W3CDTF">2018-10-12T16:56:48Z</dcterms:created>
  <dcterms:modified xsi:type="dcterms:W3CDTF">2019-10-18T13:42:02Z</dcterms:modified>
</cp:coreProperties>
</file>