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0 Electricity Rates\IRM\IRM Applications\Price Cap IR\Waterloo North\Analyst File\"/>
    </mc:Choice>
  </mc:AlternateContent>
  <bookViews>
    <workbookView xWindow="-120" yWindow="-120" windowWidth="28116" windowHeight="16440" activeTab="9"/>
  </bookViews>
  <sheets>
    <sheet name="Summary of Diff" sheetId="23" r:id="rId1"/>
    <sheet name="April 17" sheetId="21" r:id="rId2"/>
    <sheet name="May 17" sheetId="20" r:id="rId3"/>
    <sheet name="June 17" sheetId="19" r:id="rId4"/>
    <sheet name="July 17" sheetId="18" r:id="rId5"/>
    <sheet name="Aug 17" sheetId="17" r:id="rId6"/>
    <sheet name="Sept 17" sheetId="16" r:id="rId7"/>
    <sheet name="Oct 17" sheetId="15" r:id="rId8"/>
    <sheet name="Nov 17" sheetId="11" r:id="rId9"/>
    <sheet name="Dec 17" sheetId="14" r:id="rId10"/>
    <sheet name="Total True Up" sheetId="22" r:id="rId1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4" l="1"/>
  <c r="H24" i="11"/>
  <c r="H24" i="15"/>
  <c r="H24" i="16"/>
  <c r="H24" i="17"/>
  <c r="H24" i="18"/>
  <c r="H24" i="19"/>
  <c r="H24" i="20"/>
  <c r="H24" i="21"/>
  <c r="M7" i="21" l="1"/>
  <c r="K5" i="23" l="1"/>
  <c r="K6" i="23"/>
  <c r="K4" i="23"/>
  <c r="J5" i="23"/>
  <c r="J4" i="23"/>
  <c r="J6" i="23" s="1"/>
  <c r="I5" i="23"/>
  <c r="I4" i="23"/>
  <c r="H5" i="23"/>
  <c r="H4" i="23"/>
  <c r="G5" i="23"/>
  <c r="G4" i="23"/>
  <c r="F5" i="23"/>
  <c r="F4" i="23"/>
  <c r="E5" i="23"/>
  <c r="E4" i="23"/>
  <c r="E6" i="23" s="1"/>
  <c r="D5" i="23"/>
  <c r="D4" i="23"/>
  <c r="C6" i="23"/>
  <c r="C5" i="23"/>
  <c r="C4" i="23"/>
  <c r="B6" i="23"/>
  <c r="B5" i="23"/>
  <c r="B4" i="23"/>
  <c r="I6" i="23" l="1"/>
  <c r="H6" i="23"/>
  <c r="G6" i="23"/>
  <c r="F6" i="23"/>
  <c r="D6" i="23"/>
  <c r="J8" i="14"/>
  <c r="J9" i="14"/>
  <c r="J10" i="14"/>
  <c r="J11" i="14"/>
  <c r="J7" i="14"/>
  <c r="I8" i="14"/>
  <c r="I9" i="14"/>
  <c r="I10" i="14"/>
  <c r="I11" i="14"/>
  <c r="I7" i="14"/>
  <c r="H8" i="14"/>
  <c r="H9" i="14"/>
  <c r="H10" i="14"/>
  <c r="H11" i="14"/>
  <c r="H7" i="14"/>
  <c r="M11" i="14"/>
  <c r="N11" i="14" s="1"/>
  <c r="M10" i="14"/>
  <c r="N10" i="14" s="1"/>
  <c r="M9" i="14"/>
  <c r="N9" i="14" s="1"/>
  <c r="M8" i="14"/>
  <c r="N8" i="14" s="1"/>
  <c r="J8" i="11"/>
  <c r="J9" i="11"/>
  <c r="J10" i="11"/>
  <c r="J11" i="11"/>
  <c r="J7" i="11"/>
  <c r="I8" i="11"/>
  <c r="I9" i="11"/>
  <c r="I10" i="11"/>
  <c r="I11" i="11"/>
  <c r="I7" i="11"/>
  <c r="H8" i="11"/>
  <c r="H9" i="11"/>
  <c r="H10" i="11"/>
  <c r="H11" i="11"/>
  <c r="H7" i="11"/>
  <c r="M11" i="11"/>
  <c r="N11" i="11" s="1"/>
  <c r="M10" i="11"/>
  <c r="N10" i="11" s="1"/>
  <c r="M9" i="11"/>
  <c r="N9" i="11" s="1"/>
  <c r="M8" i="11"/>
  <c r="N8" i="11" s="1"/>
  <c r="J8" i="15"/>
  <c r="J9" i="15"/>
  <c r="J10" i="15"/>
  <c r="J11" i="15"/>
  <c r="J7" i="15"/>
  <c r="I8" i="15"/>
  <c r="I9" i="15"/>
  <c r="I10" i="15"/>
  <c r="I11" i="15"/>
  <c r="I7" i="15"/>
  <c r="H8" i="15"/>
  <c r="H9" i="15"/>
  <c r="H10" i="15"/>
  <c r="H11" i="15"/>
  <c r="H7" i="15"/>
  <c r="M11" i="15"/>
  <c r="N11" i="15" s="1"/>
  <c r="M10" i="15"/>
  <c r="N10" i="15" s="1"/>
  <c r="M9" i="15"/>
  <c r="N9" i="15" s="1"/>
  <c r="M8" i="15"/>
  <c r="N8" i="15" s="1"/>
  <c r="J8" i="16"/>
  <c r="J9" i="16"/>
  <c r="J10" i="16"/>
  <c r="J11" i="16"/>
  <c r="J7" i="16"/>
  <c r="I8" i="16"/>
  <c r="I9" i="16"/>
  <c r="I10" i="16"/>
  <c r="I11" i="16"/>
  <c r="I7" i="16"/>
  <c r="H8" i="16"/>
  <c r="H9" i="16"/>
  <c r="H10" i="16"/>
  <c r="H11" i="16"/>
  <c r="H7" i="16"/>
  <c r="M10" i="16"/>
  <c r="N10" i="16" s="1"/>
  <c r="M9" i="16"/>
  <c r="N9" i="16" s="1"/>
  <c r="M8" i="16"/>
  <c r="N8" i="16" s="1"/>
  <c r="J8" i="17"/>
  <c r="J9" i="17"/>
  <c r="J10" i="17"/>
  <c r="J11" i="17"/>
  <c r="J7" i="17"/>
  <c r="I12" i="17"/>
  <c r="I8" i="17"/>
  <c r="I9" i="17"/>
  <c r="I10" i="17"/>
  <c r="I11" i="17"/>
  <c r="I7" i="17"/>
  <c r="H8" i="17"/>
  <c r="H9" i="17"/>
  <c r="H10" i="17"/>
  <c r="H11" i="17"/>
  <c r="H7" i="17"/>
  <c r="M7" i="17" s="1"/>
  <c r="M10" i="17"/>
  <c r="N10" i="17" s="1"/>
  <c r="M9" i="17"/>
  <c r="N9" i="17" s="1"/>
  <c r="M8" i="17"/>
  <c r="N8" i="17" s="1"/>
  <c r="N7" i="18"/>
  <c r="M7" i="18"/>
  <c r="M11" i="18"/>
  <c r="N11" i="18" s="1"/>
  <c r="M10" i="18"/>
  <c r="N10" i="18" s="1"/>
  <c r="M9" i="18"/>
  <c r="N9" i="18" s="1"/>
  <c r="M8" i="18"/>
  <c r="N8" i="18" s="1"/>
  <c r="M12" i="18"/>
  <c r="J8" i="18"/>
  <c r="J9" i="18"/>
  <c r="J10" i="18"/>
  <c r="J11" i="18"/>
  <c r="J7" i="18"/>
  <c r="I8" i="18"/>
  <c r="I9" i="18"/>
  <c r="I10" i="18"/>
  <c r="I11" i="18"/>
  <c r="I7" i="18"/>
  <c r="H8" i="18"/>
  <c r="H9" i="18"/>
  <c r="H10" i="18"/>
  <c r="H11" i="18"/>
  <c r="H7" i="18"/>
  <c r="N12" i="21"/>
  <c r="M12" i="21"/>
  <c r="N12" i="19"/>
  <c r="M12" i="19"/>
  <c r="N8" i="19"/>
  <c r="N9" i="19"/>
  <c r="N10" i="19"/>
  <c r="N11" i="19"/>
  <c r="N7" i="19"/>
  <c r="M8" i="19"/>
  <c r="M9" i="19"/>
  <c r="M10" i="19"/>
  <c r="M11" i="19"/>
  <c r="M7" i="19"/>
  <c r="J8" i="19"/>
  <c r="J9" i="19"/>
  <c r="J10" i="19"/>
  <c r="J11" i="19"/>
  <c r="J7" i="19"/>
  <c r="I8" i="19"/>
  <c r="I9" i="19"/>
  <c r="I10" i="19"/>
  <c r="I11" i="19"/>
  <c r="I7" i="19"/>
  <c r="H8" i="19"/>
  <c r="H9" i="19"/>
  <c r="H10" i="19"/>
  <c r="H11" i="19"/>
  <c r="H7" i="19"/>
  <c r="N12" i="20"/>
  <c r="N8" i="20"/>
  <c r="N9" i="20"/>
  <c r="N10" i="20"/>
  <c r="N11" i="20"/>
  <c r="N7" i="20"/>
  <c r="M12" i="20"/>
  <c r="M8" i="20"/>
  <c r="M9" i="20"/>
  <c r="M10" i="20"/>
  <c r="M11" i="20"/>
  <c r="M7" i="20"/>
  <c r="J8" i="20"/>
  <c r="J9" i="20"/>
  <c r="J10" i="20"/>
  <c r="J11" i="20"/>
  <c r="J7" i="20"/>
  <c r="I8" i="20"/>
  <c r="I9" i="20"/>
  <c r="I10" i="20"/>
  <c r="I11" i="20"/>
  <c r="I7" i="20"/>
  <c r="H8" i="20"/>
  <c r="H9" i="20"/>
  <c r="H10" i="20"/>
  <c r="H11" i="20"/>
  <c r="H7" i="20"/>
  <c r="R4" i="21"/>
  <c r="Q4" i="21"/>
  <c r="P4" i="21"/>
  <c r="O4" i="21"/>
  <c r="N4" i="21"/>
  <c r="M4" i="21"/>
  <c r="L4" i="21"/>
  <c r="K4" i="21"/>
  <c r="J4" i="21"/>
  <c r="M7" i="14" l="1"/>
  <c r="M12" i="14" s="1"/>
  <c r="N7" i="14"/>
  <c r="N12" i="14" s="1"/>
  <c r="M7" i="11"/>
  <c r="M12" i="11" s="1"/>
  <c r="M7" i="15"/>
  <c r="N7" i="15" s="1"/>
  <c r="N12" i="15" s="1"/>
  <c r="M7" i="16"/>
  <c r="M11" i="16"/>
  <c r="N11" i="16" s="1"/>
  <c r="M12" i="16"/>
  <c r="N7" i="16"/>
  <c r="N12" i="16" s="1"/>
  <c r="M11" i="17"/>
  <c r="N11" i="17" s="1"/>
  <c r="N7" i="17"/>
  <c r="N12" i="18"/>
  <c r="N7" i="11" l="1"/>
  <c r="N12" i="11" s="1"/>
  <c r="M12" i="15"/>
  <c r="N12" i="17"/>
  <c r="M12" i="17"/>
  <c r="N8" i="21" l="1"/>
  <c r="N9" i="21"/>
  <c r="N10" i="21"/>
  <c r="N11" i="21"/>
  <c r="N7" i="21"/>
  <c r="M8" i="21"/>
  <c r="M9" i="21"/>
  <c r="M10" i="21"/>
  <c r="M11" i="21"/>
  <c r="K18" i="21"/>
  <c r="J8" i="21"/>
  <c r="J9" i="21"/>
  <c r="J10" i="21"/>
  <c r="J11" i="21"/>
  <c r="J7" i="21"/>
  <c r="I8" i="21"/>
  <c r="I9" i="21"/>
  <c r="I10" i="21"/>
  <c r="I11" i="21"/>
  <c r="I7" i="21"/>
  <c r="I18" i="21"/>
  <c r="H18" i="21"/>
  <c r="H8" i="21"/>
  <c r="H9" i="21"/>
  <c r="H10" i="21"/>
  <c r="H11" i="21"/>
  <c r="H7" i="21"/>
  <c r="F7" i="21"/>
  <c r="K20" i="11" l="1"/>
  <c r="K30" i="11"/>
  <c r="B5" i="22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E11" i="14"/>
  <c r="F11" i="14" s="1"/>
  <c r="E10" i="14"/>
  <c r="F10" i="14" s="1"/>
  <c r="E9" i="14"/>
  <c r="F9" i="14" s="1"/>
  <c r="E8" i="14"/>
  <c r="F8" i="14" s="1"/>
  <c r="E7" i="14"/>
  <c r="F7" i="14" s="1"/>
  <c r="E11" i="11"/>
  <c r="F11" i="11" s="1"/>
  <c r="E10" i="11"/>
  <c r="F10" i="11" s="1"/>
  <c r="E9" i="11"/>
  <c r="F9" i="11" s="1"/>
  <c r="E8" i="11"/>
  <c r="F8" i="11" s="1"/>
  <c r="E7" i="11"/>
  <c r="F7" i="11" s="1"/>
  <c r="E11" i="15"/>
  <c r="F11" i="15" s="1"/>
  <c r="E10" i="15"/>
  <c r="F10" i="15" s="1"/>
  <c r="E9" i="15"/>
  <c r="F9" i="15" s="1"/>
  <c r="E8" i="15"/>
  <c r="F8" i="15" s="1"/>
  <c r="E7" i="15"/>
  <c r="F7" i="15" s="1"/>
  <c r="F11" i="16"/>
  <c r="E11" i="16"/>
  <c r="E10" i="16"/>
  <c r="F10" i="16" s="1"/>
  <c r="E9" i="16"/>
  <c r="F9" i="16" s="1"/>
  <c r="E8" i="16"/>
  <c r="F8" i="16" s="1"/>
  <c r="F7" i="16"/>
  <c r="E7" i="16"/>
  <c r="F11" i="17"/>
  <c r="E11" i="17"/>
  <c r="E10" i="17"/>
  <c r="F10" i="17" s="1"/>
  <c r="E9" i="17"/>
  <c r="F9" i="17" s="1"/>
  <c r="E8" i="17"/>
  <c r="F8" i="17" s="1"/>
  <c r="F7" i="17"/>
  <c r="E7" i="17"/>
  <c r="E11" i="18"/>
  <c r="F11" i="18" s="1"/>
  <c r="E10" i="18"/>
  <c r="F10" i="18" s="1"/>
  <c r="E9" i="18"/>
  <c r="F9" i="18" s="1"/>
  <c r="E8" i="18"/>
  <c r="F8" i="18" s="1"/>
  <c r="E7" i="18"/>
  <c r="F7" i="18" s="1"/>
  <c r="E11" i="19"/>
  <c r="F11" i="19" s="1"/>
  <c r="E10" i="19"/>
  <c r="F10" i="19" s="1"/>
  <c r="E9" i="19"/>
  <c r="F9" i="19" s="1"/>
  <c r="E8" i="19"/>
  <c r="F8" i="19" s="1"/>
  <c r="E7" i="19"/>
  <c r="F7" i="19" s="1"/>
  <c r="E11" i="20"/>
  <c r="E32" i="20" s="1"/>
  <c r="E10" i="20"/>
  <c r="F10" i="20" s="1"/>
  <c r="F31" i="20" s="1"/>
  <c r="E9" i="20"/>
  <c r="E30" i="20" s="1"/>
  <c r="E8" i="20"/>
  <c r="E29" i="20" s="1"/>
  <c r="E7" i="20"/>
  <c r="E28" i="20" s="1"/>
  <c r="E11" i="21"/>
  <c r="F11" i="21" s="1"/>
  <c r="E10" i="21"/>
  <c r="F10" i="21" s="1"/>
  <c r="E9" i="21"/>
  <c r="F9" i="21" s="1"/>
  <c r="E8" i="21"/>
  <c r="E7" i="21"/>
  <c r="D32" i="20"/>
  <c r="D31" i="20"/>
  <c r="D30" i="20"/>
  <c r="D29" i="20"/>
  <c r="D28" i="20"/>
  <c r="E31" i="20"/>
  <c r="F11" i="20" l="1"/>
  <c r="F32" i="20" s="1"/>
  <c r="F8" i="20"/>
  <c r="F29" i="20" s="1"/>
  <c r="F7" i="20"/>
  <c r="F28" i="20" s="1"/>
  <c r="F9" i="20"/>
  <c r="F30" i="20" s="1"/>
  <c r="F8" i="21"/>
  <c r="F20" i="21" l="1"/>
  <c r="E9" i="22" l="1"/>
  <c r="K33" i="11" l="1"/>
  <c r="K28" i="11"/>
  <c r="K29" i="11"/>
  <c r="K31" i="11"/>
  <c r="K32" i="11"/>
  <c r="K29" i="15" l="1"/>
  <c r="K30" i="15"/>
  <c r="K31" i="15"/>
  <c r="K32" i="15"/>
  <c r="K28" i="15"/>
  <c r="K29" i="16" l="1"/>
  <c r="K30" i="16"/>
  <c r="K31" i="16"/>
  <c r="K32" i="16"/>
  <c r="K28" i="16"/>
  <c r="K29" i="17" l="1"/>
  <c r="K30" i="17"/>
  <c r="K31" i="17"/>
  <c r="K32" i="17"/>
  <c r="K28" i="17"/>
  <c r="K29" i="18" l="1"/>
  <c r="K30" i="18"/>
  <c r="K31" i="18"/>
  <c r="K32" i="18"/>
  <c r="K28" i="18"/>
  <c r="K29" i="19"/>
  <c r="K30" i="19"/>
  <c r="K31" i="19"/>
  <c r="K32" i="19"/>
  <c r="K28" i="19"/>
  <c r="K29" i="20"/>
  <c r="K30" i="20"/>
  <c r="K31" i="20"/>
  <c r="K32" i="20"/>
  <c r="K28" i="20"/>
  <c r="K29" i="21"/>
  <c r="K30" i="21"/>
  <c r="K31" i="21"/>
  <c r="K32" i="21"/>
  <c r="K28" i="21"/>
  <c r="G32" i="21" l="1"/>
  <c r="B32" i="21"/>
  <c r="G31" i="21"/>
  <c r="B31" i="21"/>
  <c r="G30" i="21"/>
  <c r="B30" i="21"/>
  <c r="G29" i="21"/>
  <c r="B29" i="21"/>
  <c r="G28" i="21"/>
  <c r="B28" i="21"/>
  <c r="G23" i="21"/>
  <c r="J22" i="21"/>
  <c r="I22" i="21"/>
  <c r="H22" i="21"/>
  <c r="E22" i="21"/>
  <c r="F22" i="21" s="1"/>
  <c r="J21" i="21"/>
  <c r="I21" i="21"/>
  <c r="H21" i="21"/>
  <c r="E21" i="21"/>
  <c r="F21" i="21" s="1"/>
  <c r="J20" i="21"/>
  <c r="I20" i="21"/>
  <c r="H20" i="21"/>
  <c r="E20" i="21"/>
  <c r="J19" i="21"/>
  <c r="I19" i="21"/>
  <c r="H19" i="21"/>
  <c r="E19" i="21"/>
  <c r="F19" i="21" s="1"/>
  <c r="J18" i="21"/>
  <c r="J23" i="21" s="1"/>
  <c r="I23" i="21"/>
  <c r="E18" i="21"/>
  <c r="F18" i="21" s="1"/>
  <c r="G12" i="21"/>
  <c r="G32" i="20"/>
  <c r="B32" i="20"/>
  <c r="G31" i="20"/>
  <c r="B31" i="20"/>
  <c r="G30" i="20"/>
  <c r="B30" i="20"/>
  <c r="G29" i="20"/>
  <c r="B29" i="20"/>
  <c r="G28" i="20"/>
  <c r="B28" i="20"/>
  <c r="G23" i="20"/>
  <c r="J22" i="20"/>
  <c r="I22" i="20"/>
  <c r="H22" i="20"/>
  <c r="E22" i="20"/>
  <c r="F22" i="20" s="1"/>
  <c r="J21" i="20"/>
  <c r="I21" i="20"/>
  <c r="H21" i="20"/>
  <c r="K21" i="20" s="1"/>
  <c r="E21" i="20"/>
  <c r="F21" i="20" s="1"/>
  <c r="J20" i="20"/>
  <c r="I20" i="20"/>
  <c r="H20" i="20"/>
  <c r="E20" i="20"/>
  <c r="F20" i="20" s="1"/>
  <c r="J19" i="20"/>
  <c r="I19" i="20"/>
  <c r="H19" i="20"/>
  <c r="E19" i="20"/>
  <c r="F19" i="20" s="1"/>
  <c r="J18" i="20"/>
  <c r="I18" i="20"/>
  <c r="H18" i="20"/>
  <c r="E18" i="20"/>
  <c r="F18" i="20" s="1"/>
  <c r="G12" i="20"/>
  <c r="J12" i="20"/>
  <c r="G32" i="19"/>
  <c r="B32" i="19"/>
  <c r="G31" i="19"/>
  <c r="B31" i="19"/>
  <c r="G30" i="19"/>
  <c r="B30" i="19"/>
  <c r="G29" i="19"/>
  <c r="B29" i="19"/>
  <c r="G28" i="19"/>
  <c r="B28" i="19"/>
  <c r="G23" i="19"/>
  <c r="J22" i="19"/>
  <c r="I22" i="19"/>
  <c r="H22" i="19"/>
  <c r="E22" i="19"/>
  <c r="F22" i="19" s="1"/>
  <c r="J21" i="19"/>
  <c r="I21" i="19"/>
  <c r="H21" i="19"/>
  <c r="E21" i="19"/>
  <c r="F21" i="19" s="1"/>
  <c r="J20" i="19"/>
  <c r="I20" i="19"/>
  <c r="H20" i="19"/>
  <c r="E20" i="19"/>
  <c r="F20" i="19" s="1"/>
  <c r="J19" i="19"/>
  <c r="I19" i="19"/>
  <c r="H19" i="19"/>
  <c r="E19" i="19"/>
  <c r="F19" i="19" s="1"/>
  <c r="J18" i="19"/>
  <c r="I18" i="19"/>
  <c r="I23" i="19" s="1"/>
  <c r="H18" i="19"/>
  <c r="E18" i="19"/>
  <c r="F18" i="19" s="1"/>
  <c r="G12" i="19"/>
  <c r="G32" i="18"/>
  <c r="B32" i="18"/>
  <c r="G31" i="18"/>
  <c r="B31" i="18"/>
  <c r="G30" i="18"/>
  <c r="B30" i="18"/>
  <c r="G29" i="18"/>
  <c r="B29" i="18"/>
  <c r="G28" i="18"/>
  <c r="B28" i="18"/>
  <c r="G23" i="18"/>
  <c r="J22" i="18"/>
  <c r="I22" i="18"/>
  <c r="H22" i="18"/>
  <c r="E22" i="18"/>
  <c r="F22" i="18" s="1"/>
  <c r="J21" i="18"/>
  <c r="I21" i="18"/>
  <c r="H21" i="18"/>
  <c r="E21" i="18"/>
  <c r="F21" i="18" s="1"/>
  <c r="J20" i="18"/>
  <c r="I20" i="18"/>
  <c r="H20" i="18"/>
  <c r="E20" i="18"/>
  <c r="F20" i="18" s="1"/>
  <c r="J19" i="18"/>
  <c r="I19" i="18"/>
  <c r="H19" i="18"/>
  <c r="E19" i="18"/>
  <c r="F19" i="18" s="1"/>
  <c r="J18" i="18"/>
  <c r="I18" i="18"/>
  <c r="I23" i="18" s="1"/>
  <c r="H18" i="18"/>
  <c r="E18" i="18"/>
  <c r="F18" i="18" s="1"/>
  <c r="G12" i="18"/>
  <c r="G32" i="17"/>
  <c r="B32" i="17"/>
  <c r="G31" i="17"/>
  <c r="B31" i="17"/>
  <c r="G30" i="17"/>
  <c r="B30" i="17"/>
  <c r="G29" i="17"/>
  <c r="B29" i="17"/>
  <c r="G28" i="17"/>
  <c r="B28" i="17"/>
  <c r="G23" i="17"/>
  <c r="J22" i="17"/>
  <c r="I22" i="17"/>
  <c r="H22" i="17"/>
  <c r="E22" i="17"/>
  <c r="F22" i="17" s="1"/>
  <c r="J21" i="17"/>
  <c r="I21" i="17"/>
  <c r="H21" i="17"/>
  <c r="E21" i="17"/>
  <c r="F21" i="17" s="1"/>
  <c r="J20" i="17"/>
  <c r="I20" i="17"/>
  <c r="H20" i="17"/>
  <c r="E20" i="17"/>
  <c r="F20" i="17" s="1"/>
  <c r="J19" i="17"/>
  <c r="I19" i="17"/>
  <c r="H19" i="17"/>
  <c r="E19" i="17"/>
  <c r="F19" i="17" s="1"/>
  <c r="J18" i="17"/>
  <c r="J23" i="17" s="1"/>
  <c r="I18" i="17"/>
  <c r="H18" i="17"/>
  <c r="E18" i="17"/>
  <c r="F18" i="17" s="1"/>
  <c r="G12" i="17"/>
  <c r="G32" i="16"/>
  <c r="B32" i="16"/>
  <c r="G31" i="16"/>
  <c r="B31" i="16"/>
  <c r="G30" i="16"/>
  <c r="B30" i="16"/>
  <c r="G29" i="16"/>
  <c r="B29" i="16"/>
  <c r="G28" i="16"/>
  <c r="B28" i="16"/>
  <c r="G23" i="16"/>
  <c r="J22" i="16"/>
  <c r="I22" i="16"/>
  <c r="H22" i="16"/>
  <c r="E22" i="16"/>
  <c r="F22" i="16" s="1"/>
  <c r="J21" i="16"/>
  <c r="I21" i="16"/>
  <c r="H21" i="16"/>
  <c r="E21" i="16"/>
  <c r="J20" i="16"/>
  <c r="I20" i="16"/>
  <c r="H20" i="16"/>
  <c r="E20" i="16"/>
  <c r="F20" i="16" s="1"/>
  <c r="J19" i="16"/>
  <c r="I19" i="16"/>
  <c r="H19" i="16"/>
  <c r="E19" i="16"/>
  <c r="J18" i="16"/>
  <c r="J23" i="16" s="1"/>
  <c r="I18" i="16"/>
  <c r="H18" i="16"/>
  <c r="E18" i="16"/>
  <c r="F18" i="16" s="1"/>
  <c r="G12" i="16"/>
  <c r="G32" i="15"/>
  <c r="B32" i="15"/>
  <c r="G31" i="15"/>
  <c r="B31" i="15"/>
  <c r="G30" i="15"/>
  <c r="B30" i="15"/>
  <c r="G29" i="15"/>
  <c r="B29" i="15"/>
  <c r="G28" i="15"/>
  <c r="B28" i="15"/>
  <c r="G23" i="15"/>
  <c r="J22" i="15"/>
  <c r="I22" i="15"/>
  <c r="H22" i="15"/>
  <c r="E22" i="15"/>
  <c r="F22" i="15" s="1"/>
  <c r="J21" i="15"/>
  <c r="I21" i="15"/>
  <c r="H21" i="15"/>
  <c r="E21" i="15"/>
  <c r="F21" i="15" s="1"/>
  <c r="J20" i="15"/>
  <c r="I20" i="15"/>
  <c r="H20" i="15"/>
  <c r="E20" i="15"/>
  <c r="J19" i="15"/>
  <c r="I19" i="15"/>
  <c r="H19" i="15"/>
  <c r="E19" i="15"/>
  <c r="F19" i="15" s="1"/>
  <c r="J18" i="15"/>
  <c r="I18" i="15"/>
  <c r="H18" i="15"/>
  <c r="E18" i="15"/>
  <c r="F18" i="15" s="1"/>
  <c r="G12" i="15"/>
  <c r="G32" i="14"/>
  <c r="B32" i="14"/>
  <c r="G31" i="14"/>
  <c r="B31" i="14"/>
  <c r="G30" i="14"/>
  <c r="B30" i="14"/>
  <c r="G29" i="14"/>
  <c r="B29" i="14"/>
  <c r="G28" i="14"/>
  <c r="B28" i="14"/>
  <c r="G23" i="14"/>
  <c r="J22" i="14"/>
  <c r="I22" i="14"/>
  <c r="H22" i="14"/>
  <c r="E22" i="14"/>
  <c r="F22" i="14" s="1"/>
  <c r="J21" i="14"/>
  <c r="I21" i="14"/>
  <c r="H21" i="14"/>
  <c r="E21" i="14"/>
  <c r="F21" i="14" s="1"/>
  <c r="J20" i="14"/>
  <c r="I20" i="14"/>
  <c r="H20" i="14"/>
  <c r="E20" i="14"/>
  <c r="F20" i="14" s="1"/>
  <c r="J19" i="14"/>
  <c r="I19" i="14"/>
  <c r="H19" i="14"/>
  <c r="E19" i="14"/>
  <c r="F19" i="14" s="1"/>
  <c r="J18" i="14"/>
  <c r="I18" i="14"/>
  <c r="H18" i="14"/>
  <c r="E18" i="14"/>
  <c r="F18" i="14" s="1"/>
  <c r="G12" i="14"/>
  <c r="G33" i="16" l="1"/>
  <c r="H12" i="18"/>
  <c r="J12" i="14"/>
  <c r="I23" i="16"/>
  <c r="I23" i="20"/>
  <c r="H33" i="21"/>
  <c r="H12" i="21"/>
  <c r="J23" i="19"/>
  <c r="I12" i="20"/>
  <c r="I12" i="14"/>
  <c r="K20" i="18"/>
  <c r="I12" i="18"/>
  <c r="H23" i="14"/>
  <c r="K22" i="17"/>
  <c r="H12" i="19"/>
  <c r="J23" i="14"/>
  <c r="K19" i="14"/>
  <c r="K29" i="14" s="1"/>
  <c r="F20" i="15"/>
  <c r="K20" i="17"/>
  <c r="K18" i="17"/>
  <c r="K22" i="18"/>
  <c r="K18" i="18"/>
  <c r="J23" i="18"/>
  <c r="K19" i="20"/>
  <c r="K21" i="14"/>
  <c r="K31" i="14" s="1"/>
  <c r="I23" i="14"/>
  <c r="G33" i="14"/>
  <c r="I23" i="15"/>
  <c r="H12" i="15"/>
  <c r="J12" i="15"/>
  <c r="I12" i="15"/>
  <c r="G33" i="15"/>
  <c r="H12" i="16"/>
  <c r="J12" i="16"/>
  <c r="I12" i="16"/>
  <c r="I23" i="17"/>
  <c r="H23" i="17"/>
  <c r="J12" i="17"/>
  <c r="G33" i="17"/>
  <c r="H12" i="17"/>
  <c r="H23" i="18"/>
  <c r="G33" i="18"/>
  <c r="I33" i="19"/>
  <c r="I12" i="19"/>
  <c r="G33" i="19"/>
  <c r="J12" i="19"/>
  <c r="H23" i="20"/>
  <c r="J23" i="20"/>
  <c r="H12" i="20"/>
  <c r="G33" i="20"/>
  <c r="I33" i="21"/>
  <c r="J12" i="21"/>
  <c r="I12" i="21"/>
  <c r="G33" i="21"/>
  <c r="K19" i="21"/>
  <c r="K21" i="21"/>
  <c r="H23" i="21"/>
  <c r="K20" i="21"/>
  <c r="K22" i="21"/>
  <c r="K18" i="20"/>
  <c r="K20" i="20"/>
  <c r="K22" i="20"/>
  <c r="K21" i="19"/>
  <c r="H23" i="19"/>
  <c r="K19" i="19"/>
  <c r="K18" i="19"/>
  <c r="K20" i="19"/>
  <c r="K22" i="19"/>
  <c r="J12" i="18"/>
  <c r="K19" i="18"/>
  <c r="K21" i="18"/>
  <c r="K19" i="17"/>
  <c r="K21" i="17"/>
  <c r="F19" i="16"/>
  <c r="K19" i="16"/>
  <c r="F21" i="16"/>
  <c r="K21" i="16"/>
  <c r="H23" i="16"/>
  <c r="K18" i="16"/>
  <c r="K20" i="16"/>
  <c r="K22" i="16"/>
  <c r="K19" i="15"/>
  <c r="K21" i="15"/>
  <c r="H23" i="15"/>
  <c r="K18" i="15"/>
  <c r="K20" i="15"/>
  <c r="K22" i="15"/>
  <c r="J23" i="15"/>
  <c r="H12" i="14"/>
  <c r="K18" i="14"/>
  <c r="K28" i="14" s="1"/>
  <c r="K20" i="14"/>
  <c r="K30" i="14" s="1"/>
  <c r="K22" i="14"/>
  <c r="K32" i="14" s="1"/>
  <c r="B28" i="11"/>
  <c r="H33" i="19" l="1"/>
  <c r="K12" i="15"/>
  <c r="I33" i="16"/>
  <c r="K12" i="21"/>
  <c r="I33" i="15"/>
  <c r="I33" i="18"/>
  <c r="K12" i="14"/>
  <c r="J33" i="15"/>
  <c r="J33" i="17"/>
  <c r="K23" i="18"/>
  <c r="J33" i="20"/>
  <c r="K23" i="21"/>
  <c r="J33" i="21"/>
  <c r="H33" i="14"/>
  <c r="I33" i="14"/>
  <c r="J33" i="14"/>
  <c r="J33" i="16"/>
  <c r="H33" i="16"/>
  <c r="K12" i="16"/>
  <c r="K23" i="17"/>
  <c r="I33" i="17"/>
  <c r="H33" i="17"/>
  <c r="J33" i="18"/>
  <c r="K23" i="19"/>
  <c r="J33" i="19"/>
  <c r="K12" i="19"/>
  <c r="K12" i="20"/>
  <c r="H33" i="20"/>
  <c r="I33" i="20"/>
  <c r="K23" i="20"/>
  <c r="H33" i="18"/>
  <c r="K12" i="18"/>
  <c r="K12" i="17"/>
  <c r="K23" i="16"/>
  <c r="H33" i="15"/>
  <c r="K23" i="15"/>
  <c r="K23" i="14"/>
  <c r="B29" i="11"/>
  <c r="B32" i="11"/>
  <c r="B30" i="11"/>
  <c r="B31" i="11"/>
  <c r="K33" i="21" l="1"/>
  <c r="K33" i="19"/>
  <c r="K33" i="16"/>
  <c r="K33" i="15"/>
  <c r="K33" i="17"/>
  <c r="K33" i="18"/>
  <c r="K33" i="14"/>
  <c r="K33" i="20"/>
  <c r="E18" i="11"/>
  <c r="F18" i="11" s="1"/>
  <c r="E20" i="11"/>
  <c r="F20" i="11" s="1"/>
  <c r="E19" i="11"/>
  <c r="E22" i="11"/>
  <c r="F22" i="11" s="1"/>
  <c r="E21" i="11"/>
  <c r="I20" i="11" l="1"/>
  <c r="G28" i="11"/>
  <c r="F21" i="11"/>
  <c r="G31" i="11"/>
  <c r="G30" i="11"/>
  <c r="F19" i="11"/>
  <c r="J19" i="11"/>
  <c r="I21" i="11"/>
  <c r="J21" i="11"/>
  <c r="H21" i="11"/>
  <c r="I18" i="11"/>
  <c r="H18" i="11"/>
  <c r="J18" i="11"/>
  <c r="H22" i="11"/>
  <c r="J22" i="11"/>
  <c r="I22" i="11"/>
  <c r="G32" i="11" l="1"/>
  <c r="J20" i="11"/>
  <c r="J23" i="11" s="1"/>
  <c r="H20" i="11"/>
  <c r="G23" i="11"/>
  <c r="G29" i="11"/>
  <c r="G33" i="11" s="1"/>
  <c r="G12" i="11"/>
  <c r="I19" i="11"/>
  <c r="H19" i="11"/>
  <c r="H23" i="11" s="1"/>
  <c r="K21" i="11"/>
  <c r="K22" i="11"/>
  <c r="K18" i="11"/>
  <c r="H5" i="22" l="1"/>
  <c r="I23" i="11"/>
  <c r="I12" i="11"/>
  <c r="J12" i="11"/>
  <c r="K19" i="11"/>
  <c r="K23" i="11" s="1"/>
  <c r="B6" i="22"/>
  <c r="H6" i="22" s="1"/>
  <c r="H12" i="11"/>
  <c r="B7" i="22"/>
  <c r="H7" i="22" s="1"/>
  <c r="H33" i="11"/>
  <c r="J33" i="11" l="1"/>
  <c r="B4" i="22"/>
  <c r="H4" i="22" s="1"/>
  <c r="I33" i="11"/>
  <c r="K12" i="11"/>
  <c r="B3" i="22"/>
  <c r="H3" i="22" s="1"/>
  <c r="H9" i="22" s="1"/>
  <c r="B9" i="22" l="1"/>
</calcChain>
</file>

<file path=xl/comments1.xml><?xml version="1.0" encoding="utf-8"?>
<comments xmlns="http://schemas.openxmlformats.org/spreadsheetml/2006/main">
  <authors>
    <author>Tina Li</author>
  </authors>
  <commentList>
    <comment ref="K6" authorId="0" shapeId="0">
      <text>
        <r>
          <rPr>
            <b/>
            <sz val="9"/>
            <color indexed="81"/>
            <rFont val="Tahoma"/>
            <charset val="1"/>
          </rPr>
          <t>Tina Li:</t>
        </r>
        <r>
          <rPr>
            <sz val="9"/>
            <color indexed="81"/>
            <rFont val="Tahoma"/>
            <charset val="1"/>
          </rPr>
          <t xml:space="preserve">
estimated RPP settlement does not equal to the calculated amount based on the estimated prices and volumes
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Tina Li:</t>
        </r>
        <r>
          <rPr>
            <sz val="9"/>
            <color indexed="81"/>
            <rFont val="Tahoma"/>
            <family val="2"/>
          </rPr>
          <t xml:space="preserve">
why the differences are so big?</t>
        </r>
      </text>
    </comment>
  </commentList>
</comments>
</file>

<file path=xl/sharedStrings.xml><?xml version="1.0" encoding="utf-8"?>
<sst xmlns="http://schemas.openxmlformats.org/spreadsheetml/2006/main" count="591" uniqueCount="82">
  <si>
    <t>Tier 1</t>
  </si>
  <si>
    <t>Tier 2</t>
  </si>
  <si>
    <t>TOU Off-peak</t>
  </si>
  <si>
    <t>TOU On-peak</t>
  </si>
  <si>
    <t>TOU Mid-peak</t>
  </si>
  <si>
    <t>Difference</t>
  </si>
  <si>
    <t>kWh Volumes</t>
  </si>
  <si>
    <t>RPP Rate</t>
  </si>
  <si>
    <t>Estimated RPP Revenue</t>
  </si>
  <si>
    <t>Day 4 Initial RPP Settlement Calculation:</t>
  </si>
  <si>
    <t>Actual RPP Revenue</t>
  </si>
  <si>
    <t>Total Commodity</t>
  </si>
  <si>
    <t>GA Actual</t>
  </si>
  <si>
    <t>Estimated RPP Settlement</t>
  </si>
  <si>
    <t>Actual RPP Settlement</t>
  </si>
  <si>
    <t>RPP Settlement True-UP</t>
  </si>
  <si>
    <t>True-Up RPP Revenue</t>
  </si>
  <si>
    <t>RPP Revenue Prices</t>
  </si>
  <si>
    <t>Estimated GA</t>
  </si>
  <si>
    <t>Actual GA</t>
  </si>
  <si>
    <t>Estimated HOEP</t>
  </si>
  <si>
    <t>Actual HOEP</t>
  </si>
  <si>
    <t>True-up HOEP</t>
  </si>
  <si>
    <t>True-up GA</t>
  </si>
  <si>
    <t xml:space="preserve"> RPP Settlement Calculation based on Actual GA Price:</t>
  </si>
  <si>
    <t>RPP Settlement True-up based on Actual GA Price:</t>
  </si>
  <si>
    <t>GA Price Difference</t>
  </si>
  <si>
    <t>True-Up elements</t>
  </si>
  <si>
    <t>RPP Settlement - 1st True-UP</t>
  </si>
  <si>
    <t>HOEP Difference</t>
  </si>
  <si>
    <t>Settlement kWh Volumes</t>
  </si>
  <si>
    <t>Actual kWh Volumes</t>
  </si>
  <si>
    <t>True- Up Total</t>
  </si>
  <si>
    <t>Off Peak</t>
  </si>
  <si>
    <t>Mid Peak</t>
  </si>
  <si>
    <t>On Peak</t>
  </si>
  <si>
    <t>Took actual settlement values and inserted them on the first chart, used the OEB calculation of actual usage/HOEP/GA for second chart, compared the two</t>
  </si>
  <si>
    <t>Already submitted to IESO</t>
  </si>
  <si>
    <t>New True Up</t>
  </si>
  <si>
    <t>2017 True Up to Submit</t>
  </si>
  <si>
    <t>1598 Settlement Values (billed)</t>
  </si>
  <si>
    <t>Actual RPP Revenue and Actual GA Price:</t>
  </si>
  <si>
    <t>True Up of Settled to Actual</t>
  </si>
  <si>
    <t>GA 2nd Estimate</t>
  </si>
  <si>
    <t>Total Commodity Difference</t>
  </si>
  <si>
    <t>RPP Settlement - Calculated</t>
  </si>
  <si>
    <t>diff</t>
  </si>
  <si>
    <t>FROM THE IESO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</si>
  <si>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</si>
  <si>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</si>
  <si>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</si>
  <si>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</si>
  <si>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</si>
  <si>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</si>
  <si>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</si>
  <si>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</si>
  <si>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</si>
  <si>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</si>
  <si>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</si>
  <si>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</si>
  <si>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​Actual GA</t>
  </si>
  <si>
    <t>Average weighted HOEP</t>
  </si>
  <si>
    <t>agree to Table 2.7 a</t>
  </si>
  <si>
    <t>agree to the Table 2.7a</t>
  </si>
  <si>
    <t>agree to Table 2.7a</t>
  </si>
  <si>
    <t>small difference, pass</t>
  </si>
  <si>
    <t>large difference</t>
  </si>
  <si>
    <t>small difference</t>
  </si>
  <si>
    <t>large differences</t>
  </si>
  <si>
    <t>Summary of Differences between the RPP settlements submitted and the RPP variance calculated</t>
  </si>
  <si>
    <t xml:space="preserve">April </t>
  </si>
  <si>
    <t>June</t>
  </si>
  <si>
    <t>July</t>
  </si>
  <si>
    <t>August</t>
  </si>
  <si>
    <t>September</t>
  </si>
  <si>
    <t>October</t>
  </si>
  <si>
    <t>November</t>
  </si>
  <si>
    <t>December</t>
  </si>
  <si>
    <t>Submitted</t>
  </si>
  <si>
    <t>Calculated</t>
  </si>
  <si>
    <t>Total</t>
  </si>
  <si>
    <t>weighted RPP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</si>
</sst>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??_);_(@_)"/>
    <numFmt numFmtId="169" formatCode="_-&quot;$&quot;* #,##0.0000_-;\-&quot;$&quot;* #,##0.0000_-;_-&quot;$&quot;* &quot;-&quot;??_-;_-@_-"/>
    <numFmt numFmtId="170" formatCode="_-&quot;$&quot;* #,##0.00000_-;\-&quot;$&quot;* #,##0.00000_-;_-&quot;$&quot;* &quot;-&quot;??_-;_-@_-"/>
    <numFmt numFmtId="171" formatCode="_-* #,##0_-;\-* #,##0_-;_-* &quot;-&quot;??_-;_-@_-"/>
    <numFmt numFmtId="172" formatCode="_(* #,##0.00000_);_(* \(#,##0.000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3C3E42"/>
      <name val="Calibri"/>
      <family val="2"/>
      <scheme val="minor"/>
    </font>
    <font>
      <sz val="11"/>
      <color rgb="FF333333"/>
      <name val="Whitney SSm 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rgb="FFD7D7D7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167" fontId="0" fillId="0" borderId="0" xfId="1" applyNumberFormat="1" applyFont="1"/>
    <xf numFmtId="167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165" fontId="0" fillId="0" borderId="1" xfId="0" applyNumberFormat="1" applyBorder="1"/>
    <xf numFmtId="165" fontId="0" fillId="0" borderId="0" xfId="2" applyNumberFormat="1" applyFont="1"/>
    <xf numFmtId="167" fontId="0" fillId="0" borderId="1" xfId="1" applyNumberFormat="1" applyFont="1" applyBorder="1"/>
    <xf numFmtId="0" fontId="3" fillId="0" borderId="0" xfId="0" applyFont="1"/>
    <xf numFmtId="167" fontId="0" fillId="0" borderId="0" xfId="1" applyNumberFormat="1" applyFont="1" applyBorder="1"/>
    <xf numFmtId="170" fontId="0" fillId="0" borderId="0" xfId="0" applyNumberFormat="1"/>
    <xf numFmtId="0" fontId="2" fillId="0" borderId="0" xfId="0" applyFont="1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165" fontId="0" fillId="0" borderId="0" xfId="0" applyNumberFormat="1" applyBorder="1"/>
    <xf numFmtId="167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8" fontId="0" fillId="0" borderId="0" xfId="0" applyNumberFormat="1" applyBorder="1"/>
    <xf numFmtId="165" fontId="0" fillId="0" borderId="0" xfId="2" applyNumberFormat="1" applyFont="1" applyBorder="1"/>
    <xf numFmtId="164" fontId="0" fillId="0" borderId="0" xfId="0" applyNumberFormat="1"/>
    <xf numFmtId="0" fontId="3" fillId="0" borderId="0" xfId="0" applyFont="1" applyBorder="1"/>
    <xf numFmtId="0" fontId="2" fillId="0" borderId="0" xfId="0" applyFont="1" applyBorder="1" applyAlignment="1">
      <alignment wrapText="1"/>
    </xf>
    <xf numFmtId="166" fontId="0" fillId="0" borderId="0" xfId="1" applyNumberFormat="1" applyFont="1" applyBorder="1"/>
    <xf numFmtId="169" fontId="0" fillId="0" borderId="0" xfId="0" applyNumberFormat="1" applyBorder="1"/>
    <xf numFmtId="170" fontId="0" fillId="0" borderId="0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168" fontId="0" fillId="0" borderId="4" xfId="0" applyNumberFormat="1" applyBorder="1"/>
    <xf numFmtId="166" fontId="0" fillId="0" borderId="4" xfId="1" applyNumberFormat="1" applyFont="1" applyBorder="1"/>
    <xf numFmtId="169" fontId="0" fillId="0" borderId="4" xfId="0" applyNumberFormat="1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6" fontId="0" fillId="0" borderId="7" xfId="1" applyNumberFormat="1" applyFont="1" applyBorder="1"/>
    <xf numFmtId="169" fontId="0" fillId="0" borderId="7" xfId="0" applyNumberFormat="1" applyBorder="1"/>
    <xf numFmtId="167" fontId="0" fillId="0" borderId="1" xfId="1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  <xf numFmtId="164" fontId="0" fillId="0" borderId="0" xfId="3" applyFont="1"/>
    <xf numFmtId="164" fontId="5" fillId="0" borderId="0" xfId="3" applyFont="1"/>
    <xf numFmtId="164" fontId="6" fillId="0" borderId="0" xfId="3" applyFont="1"/>
    <xf numFmtId="164" fontId="0" fillId="0" borderId="0" xfId="3" applyFont="1" applyAlignment="1">
      <alignment wrapText="1"/>
    </xf>
    <xf numFmtId="43" fontId="0" fillId="0" borderId="0" xfId="0" applyNumberFormat="1"/>
    <xf numFmtId="0" fontId="2" fillId="0" borderId="8" xfId="0" applyFont="1" applyBorder="1" applyAlignment="1">
      <alignment horizontal="center"/>
    </xf>
    <xf numFmtId="167" fontId="0" fillId="2" borderId="0" xfId="1" applyNumberFormat="1" applyFont="1" applyFill="1"/>
    <xf numFmtId="0" fontId="2" fillId="2" borderId="0" xfId="0" applyFont="1" applyFill="1" applyBorder="1" applyAlignment="1">
      <alignment horizontal="center"/>
    </xf>
    <xf numFmtId="167" fontId="0" fillId="2" borderId="0" xfId="0" applyNumberFormat="1" applyFill="1" applyBorder="1" applyAlignment="1"/>
    <xf numFmtId="0" fontId="2" fillId="2" borderId="0" xfId="0" applyFont="1" applyFill="1" applyBorder="1" applyAlignment="1">
      <alignment horizontal="center" wrapText="1"/>
    </xf>
    <xf numFmtId="168" fontId="0" fillId="2" borderId="0" xfId="0" applyNumberFormat="1" applyFill="1" applyBorder="1"/>
    <xf numFmtId="0" fontId="0" fillId="3" borderId="0" xfId="0" applyFill="1"/>
    <xf numFmtId="0" fontId="9" fillId="3" borderId="0" xfId="0" applyFont="1" applyFill="1" applyAlignment="1">
      <alignment horizontal="left" vertical="center"/>
    </xf>
    <xf numFmtId="0" fontId="0" fillId="3" borderId="0" xfId="0" applyFont="1" applyFill="1" applyAlignment="1"/>
    <xf numFmtId="0" fontId="10" fillId="4" borderId="9" xfId="0" applyFont="1" applyFill="1" applyBorder="1" applyAlignment="1">
      <alignment horizontal="center" vertical="center" wrapText="1"/>
    </xf>
    <xf numFmtId="44" fontId="0" fillId="0" borderId="0" xfId="0" applyNumberFormat="1"/>
    <xf numFmtId="164" fontId="2" fillId="0" borderId="0" xfId="3" applyFont="1" applyBorder="1"/>
    <xf numFmtId="164" fontId="0" fillId="0" borderId="0" xfId="3" applyFont="1" applyBorder="1"/>
    <xf numFmtId="166" fontId="0" fillId="3" borderId="4" xfId="1" applyNumberFormat="1" applyFont="1" applyFill="1" applyBorder="1"/>
    <xf numFmtId="166" fontId="0" fillId="3" borderId="0" xfId="1" applyNumberFormat="1" applyFont="1" applyFill="1" applyBorder="1"/>
    <xf numFmtId="166" fontId="0" fillId="3" borderId="7" xfId="1" applyNumberFormat="1" applyFont="1" applyFill="1" applyBorder="1"/>
    <xf numFmtId="167" fontId="0" fillId="5" borderId="1" xfId="1" applyNumberFormat="1" applyFont="1" applyFill="1" applyBorder="1"/>
    <xf numFmtId="167" fontId="0" fillId="0" borderId="7" xfId="0" applyNumberFormat="1" applyBorder="1"/>
    <xf numFmtId="167" fontId="2" fillId="5" borderId="1" xfId="1" applyNumberFormat="1" applyFont="1" applyFill="1" applyBorder="1"/>
    <xf numFmtId="167" fontId="0" fillId="2" borderId="7" xfId="0" applyNumberFormat="1" applyFill="1" applyBorder="1" applyAlignment="1"/>
    <xf numFmtId="168" fontId="0" fillId="2" borderId="7" xfId="0" applyNumberFormat="1" applyFill="1" applyBorder="1"/>
    <xf numFmtId="167" fontId="2" fillId="2" borderId="0" xfId="0" applyNumberFormat="1" applyFont="1" applyFill="1" applyBorder="1"/>
    <xf numFmtId="167" fontId="2" fillId="5" borderId="0" xfId="0" applyNumberFormat="1" applyFont="1" applyFill="1" applyBorder="1"/>
    <xf numFmtId="167" fontId="2" fillId="6" borderId="0" xfId="0" applyNumberFormat="1" applyFont="1" applyFill="1" applyBorder="1"/>
    <xf numFmtId="167" fontId="0" fillId="6" borderId="0" xfId="0" applyNumberFormat="1" applyFill="1" applyBorder="1"/>
    <xf numFmtId="0" fontId="0" fillId="0" borderId="2" xfId="0" applyBorder="1"/>
    <xf numFmtId="171" fontId="0" fillId="0" borderId="2" xfId="3" applyNumberFormat="1" applyFont="1" applyBorder="1"/>
    <xf numFmtId="37" fontId="0" fillId="0" borderId="2" xfId="1" applyNumberFormat="1" applyFont="1" applyBorder="1"/>
    <xf numFmtId="171" fontId="0" fillId="0" borderId="2" xfId="0" applyNumberFormat="1" applyBorder="1"/>
    <xf numFmtId="171" fontId="2" fillId="0" borderId="2" xfId="0" applyNumberFormat="1" applyFont="1" applyBorder="1"/>
    <xf numFmtId="37" fontId="2" fillId="0" borderId="2" xfId="1" applyNumberFormat="1" applyFont="1" applyBorder="1"/>
    <xf numFmtId="171" fontId="2" fillId="2" borderId="2" xfId="0" applyNumberFormat="1" applyFont="1" applyFill="1" applyBorder="1"/>
    <xf numFmtId="37" fontId="2" fillId="2" borderId="2" xfId="1" applyNumberFormat="1" applyFont="1" applyFill="1" applyBorder="1"/>
    <xf numFmtId="167" fontId="0" fillId="0" borderId="0" xfId="1" applyNumberFormat="1" applyFont="1" applyFill="1" applyBorder="1"/>
    <xf numFmtId="172" fontId="0" fillId="0" borderId="0" xfId="0" applyNumberForma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3" applyFont="1" applyAlignment="1">
      <alignment horizontal="center"/>
    </xf>
    <xf numFmtId="166" fontId="0" fillId="0" borderId="0" xfId="1" applyNumberFormat="1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HOEP</a:t>
            </a:r>
            <a:r>
              <a:rPr lang="en-US" baseline="0"/>
              <a:t> - IESO vs. Waterloo North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'April 17'!$F$3</c:f>
              <c:strCache>
                <c:ptCount val="1"/>
                <c:pt idx="0">
                  <c:v>Average weighted HOEP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'April 17'!$G$3:$R$3</c:f>
              <c:numCache>
                <c:formatCode>General</c:formatCode>
                <c:ptCount val="12"/>
                <c:pt idx="0">
                  <c:v>2.16</c:v>
                </c:pt>
                <c:pt idx="1">
                  <c:v>2.11</c:v>
                </c:pt>
                <c:pt idx="2">
                  <c:v>2.6</c:v>
                </c:pt>
                <c:pt idx="3">
                  <c:v>1.1100000000000001</c:v>
                </c:pt>
                <c:pt idx="4">
                  <c:v>0.32</c:v>
                </c:pt>
                <c:pt idx="5">
                  <c:v>0.59</c:v>
                </c:pt>
                <c:pt idx="6">
                  <c:v>1.36</c:v>
                </c:pt>
                <c:pt idx="7">
                  <c:v>1.73</c:v>
                </c:pt>
                <c:pt idx="8">
                  <c:v>2.31</c:v>
                </c:pt>
                <c:pt idx="9">
                  <c:v>0.88</c:v>
                </c:pt>
                <c:pt idx="10">
                  <c:v>1.4</c:v>
                </c:pt>
                <c:pt idx="11">
                  <c:v>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E-40B1-BC6A-17367ABD09A8}"/>
            </c:ext>
          </c:extLst>
        </c:ser>
        <c:ser>
          <c:idx val="1"/>
          <c:order val="1"/>
          <c:tx>
            <c:strRef>
              <c:f>'April 17'!$F$4</c:f>
              <c:strCache>
                <c:ptCount val="1"/>
                <c:pt idx="0">
                  <c:v>Actual HOEP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'April 17'!$G$4:$R$4</c:f>
              <c:numCache>
                <c:formatCode>General</c:formatCode>
                <c:ptCount val="12"/>
                <c:pt idx="3" formatCode="_(&quot;$&quot;* #,##0.00_);_(&quot;$&quot;* \(#,##0.00\);_(&quot;$&quot;* &quot;-&quot;??_);_(@_)">
                  <c:v>0.96599999999999997</c:v>
                </c:pt>
                <c:pt idx="4" formatCode="_-* #,##0.00_-;\-* #,##0.00_-;_-* &quot;-&quot;??_-;_-@_-">
                  <c:v>0.25600000000000001</c:v>
                </c:pt>
                <c:pt idx="5" formatCode="_-* #,##0.00_-;\-* #,##0.00_-;_-* &quot;-&quot;??_-;_-@_-">
                  <c:v>0.47299999999999998</c:v>
                </c:pt>
                <c:pt idx="6" formatCode="_-* #,##0.00_-;\-* #,##0.00_-;_-* &quot;-&quot;??_-;_-@_-">
                  <c:v>1.1659999999999999</c:v>
                </c:pt>
                <c:pt idx="7" formatCode="_-* #,##0.00_-;\-* #,##0.00_-;_-* &quot;-&quot;??_-;_-@_-">
                  <c:v>1.5709999999999997</c:v>
                </c:pt>
                <c:pt idx="8" formatCode="_-* #,##0.00_-;\-* #,##0.00_-;_-* &quot;-&quot;??_-;_-@_-">
                  <c:v>2.0350000000000001</c:v>
                </c:pt>
                <c:pt idx="9" formatCode="_-* #,##0.00_-;\-* #,##0.00_-;_-* &quot;-&quot;??_-;_-@_-">
                  <c:v>0.79500000000000004</c:v>
                </c:pt>
                <c:pt idx="10" formatCode="_-* #,##0.00_-;\-* #,##0.00_-;_-* &quot;-&quot;??_-;_-@_-">
                  <c:v>1.2989999999999999</c:v>
                </c:pt>
                <c:pt idx="11" formatCode="_-* #,##0.00_-;\-* #,##0.00_-;_-* &quot;-&quot;??_-;_-@_-">
                  <c:v>1.9319999999999999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E-40B1-BC6A-17367ABD0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982064"/>
        <c:axId val="1974974576"/>
      </c:lineChart>
      <c:catAx>
        <c:axId val="1974982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974576"/>
        <c:crosses val="autoZero"/>
        <c:auto val="1"/>
        <c:lblAlgn val="ctr"/>
        <c:lblOffset val="100"/>
        <c:noMultiLvlLbl val="0"/>
      </c:catAx>
      <c:valAx>
        <c:axId val="19749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98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12</xdr:row>
      <xdr:rowOff>76200</xdr:rowOff>
    </xdr:from>
    <xdr:to>
      <xdr:col>16</xdr:col>
      <xdr:colOff>742950</xdr:colOff>
      <xdr:row>25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"/>
  <sheetViews>
    <sheetView workbookViewId="0">
      <selection activeCell="A5" sqref="A5"/>
    </sheetView>
  </sheetViews>
  <sheetFormatPr defaultRowHeight="14.4"/>
  <cols>
    <col min="1" max="1" width="13.5546875" customWidth="1"/>
    <col min="2" max="2" width="12.6640625" bestFit="1" customWidth="1"/>
    <col min="3" max="10" width="10.33203125" bestFit="1" customWidth="1"/>
    <col min="11" max="11" width="11.33203125" bestFit="1" customWidth="1"/>
  </cols>
  <sheetData>
    <row r="1" spans="1:11">
      <c r="A1" s="4" t="s">
        <v>69</v>
      </c>
    </row>
    <row r="3" spans="1:11">
      <c r="A3" s="72"/>
      <c r="B3" s="27" t="s">
        <v>70</v>
      </c>
      <c r="C3" s="27" t="s">
        <v>52</v>
      </c>
      <c r="D3" s="27" t="s">
        <v>71</v>
      </c>
      <c r="E3" s="27" t="s">
        <v>72</v>
      </c>
      <c r="F3" s="27" t="s">
        <v>73</v>
      </c>
      <c r="G3" s="27" t="s">
        <v>74</v>
      </c>
      <c r="H3" s="27" t="s">
        <v>75</v>
      </c>
      <c r="I3" s="27" t="s">
        <v>76</v>
      </c>
      <c r="J3" s="27" t="s">
        <v>77</v>
      </c>
      <c r="K3" s="27" t="s">
        <v>80</v>
      </c>
    </row>
    <row r="4" spans="1:11">
      <c r="A4" s="27" t="s">
        <v>78</v>
      </c>
      <c r="B4" s="73">
        <f>'April 17'!K12</f>
        <v>2997701.63</v>
      </c>
      <c r="C4" s="74">
        <f>'May 17'!K12</f>
        <v>-3713676.74</v>
      </c>
      <c r="D4" s="74">
        <f>'June 17'!K12</f>
        <v>-2922886.66</v>
      </c>
      <c r="E4" s="74">
        <f>'July 17'!K12</f>
        <v>-1297750.2599999998</v>
      </c>
      <c r="F4" s="74">
        <f>'Aug 17'!K12</f>
        <v>-689599.14</v>
      </c>
      <c r="G4" s="74">
        <f>'Sept 17'!K12</f>
        <v>-1631969.14</v>
      </c>
      <c r="H4" s="74">
        <f>'Oct 17'!K12</f>
        <v>-457501.64000000013</v>
      </c>
      <c r="I4" s="74">
        <f>'Nov 17'!K12</f>
        <v>-5182910.78</v>
      </c>
      <c r="J4" s="74">
        <f>'Dec 17'!K12</f>
        <v>-2291464.1300000004</v>
      </c>
      <c r="K4" s="75">
        <f>SUM(B4:J4)</f>
        <v>-15190056.860000001</v>
      </c>
    </row>
    <row r="5" spans="1:11">
      <c r="A5" s="27" t="s">
        <v>79</v>
      </c>
      <c r="B5" s="74">
        <f>'April 17'!M12</f>
        <v>-860603.29404950049</v>
      </c>
      <c r="C5" s="74">
        <f>'May 17'!M12</f>
        <v>-2455417.7676426005</v>
      </c>
      <c r="D5" s="74">
        <f>'June 17'!M12</f>
        <v>-1438624.6603175993</v>
      </c>
      <c r="E5" s="74">
        <f>'July 17'!M12</f>
        <v>-1329366.8384526996</v>
      </c>
      <c r="F5" s="74">
        <f>'Aug 17'!M12</f>
        <v>-2007863.6237325002</v>
      </c>
      <c r="G5" s="74">
        <f>'Sept 17'!M12</f>
        <v>-1635538.1833949001</v>
      </c>
      <c r="H5" s="74">
        <f>'Oct 17'!M12</f>
        <v>-3018710.2682088995</v>
      </c>
      <c r="I5" s="74">
        <f>'Nov 17'!M12</f>
        <v>-1373665.2699151998</v>
      </c>
      <c r="J5" s="74">
        <f>'Dec 17'!M12</f>
        <v>-1328490.9550523995</v>
      </c>
      <c r="K5" s="75">
        <f t="shared" ref="K5:K6" si="0">SUM(B5:J5)</f>
        <v>-15448280.860766301</v>
      </c>
    </row>
    <row r="6" spans="1:11">
      <c r="A6" s="27" t="s">
        <v>5</v>
      </c>
      <c r="B6" s="78">
        <f>B4-B5</f>
        <v>3858304.9240495004</v>
      </c>
      <c r="C6" s="79">
        <f t="shared" ref="C6:J6" si="1">C4-C5</f>
        <v>-1258258.9723573998</v>
      </c>
      <c r="D6" s="79">
        <f t="shared" si="1"/>
        <v>-1484261.9996824008</v>
      </c>
      <c r="E6" s="77">
        <f t="shared" si="1"/>
        <v>31616.578452699818</v>
      </c>
      <c r="F6" s="79">
        <f t="shared" si="1"/>
        <v>1318264.4837325001</v>
      </c>
      <c r="G6" s="77">
        <f t="shared" si="1"/>
        <v>3569.0433949001599</v>
      </c>
      <c r="H6" s="79">
        <f t="shared" si="1"/>
        <v>2561208.6282088994</v>
      </c>
      <c r="I6" s="79">
        <f t="shared" si="1"/>
        <v>-3809245.5100848004</v>
      </c>
      <c r="J6" s="79">
        <f t="shared" si="1"/>
        <v>-962973.17494760081</v>
      </c>
      <c r="K6" s="76">
        <f t="shared" si="0"/>
        <v>258224.0007662978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topLeftCell="A3" zoomScale="80" zoomScaleNormal="80" workbookViewId="0">
      <selection activeCell="E13" sqref="E13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0.3320312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45</v>
      </c>
      <c r="N6" s="49" t="s">
        <v>46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32">
        <v>1.3990000000000001E-2</v>
      </c>
      <c r="D7" s="32">
        <v>9.6699999999999994E-2</v>
      </c>
      <c r="E7" s="32">
        <f>+C7+D7</f>
        <v>0.11069</v>
      </c>
      <c r="F7" s="33">
        <f>+B7-E7</f>
        <v>-3.3689999999999998E-2</v>
      </c>
      <c r="G7" s="7">
        <v>4190659.87</v>
      </c>
      <c r="H7" s="48">
        <f>B7*G7</f>
        <v>322680.80998999998</v>
      </c>
      <c r="I7" s="48">
        <f>C7*G7</f>
        <v>58627.331581300008</v>
      </c>
      <c r="J7" s="48">
        <f>D7*G7</f>
        <v>405236.80942900002</v>
      </c>
      <c r="K7" s="1">
        <v>-223745.04</v>
      </c>
      <c r="M7" s="16">
        <f>H7-I7-J7</f>
        <v>-141183.33102030004</v>
      </c>
      <c r="N7" s="16">
        <f>K7-M7</f>
        <v>-82561.708979699964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1.3990000000000001E-2</v>
      </c>
      <c r="D8" s="24">
        <v>9.6699999999999994E-2</v>
      </c>
      <c r="E8" s="24">
        <f t="shared" ref="E8:E11" si="0">+C8+D8</f>
        <v>0.11069</v>
      </c>
      <c r="F8" s="25">
        <f t="shared" ref="F8:F11" si="1">+B8-E8</f>
        <v>-2.069E-2</v>
      </c>
      <c r="G8" s="7">
        <v>2841310.59</v>
      </c>
      <c r="H8" s="48">
        <f t="shared" ref="H8:H11" si="2">B8*G8</f>
        <v>255717.95309999998</v>
      </c>
      <c r="I8" s="48">
        <f t="shared" ref="I8:I11" si="3">C8*G8</f>
        <v>39749.9351541</v>
      </c>
      <c r="J8" s="48">
        <f t="shared" ref="J8:J11" si="4">D8*G8</f>
        <v>274754.73405299999</v>
      </c>
      <c r="K8" s="1">
        <v>-114663.12</v>
      </c>
      <c r="M8" s="16">
        <f t="shared" ref="M8:M11" si="5">H8-I8-J8</f>
        <v>-58786.716107100016</v>
      </c>
      <c r="N8" s="16">
        <f t="shared" ref="N8:N11" si="6">K8-M8</f>
        <v>-55876.40389289998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1.38E-2</v>
      </c>
      <c r="D9" s="24">
        <v>9.6699999999999994E-2</v>
      </c>
      <c r="E9" s="24">
        <f t="shared" si="0"/>
        <v>0.11049999999999999</v>
      </c>
      <c r="F9" s="25">
        <f t="shared" si="1"/>
        <v>-4.5499999999999985E-2</v>
      </c>
      <c r="G9" s="7">
        <v>26066143.140000001</v>
      </c>
      <c r="H9" s="48">
        <f t="shared" si="2"/>
        <v>1694299.3041000001</v>
      </c>
      <c r="I9" s="48">
        <f t="shared" si="3"/>
        <v>359712.77533199999</v>
      </c>
      <c r="J9" s="48">
        <f t="shared" si="4"/>
        <v>2520596.0416379999</v>
      </c>
      <c r="K9" s="1">
        <v>-1699574.81</v>
      </c>
      <c r="M9" s="16">
        <f t="shared" si="5"/>
        <v>-1186009.5128699997</v>
      </c>
      <c r="N9" s="16">
        <f t="shared" si="6"/>
        <v>-513565.29713000031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1.38E-2</v>
      </c>
      <c r="D10" s="24">
        <v>9.6699999999999994E-2</v>
      </c>
      <c r="E10" s="24">
        <f t="shared" si="0"/>
        <v>0.11049999999999999</v>
      </c>
      <c r="F10" s="25">
        <f t="shared" si="1"/>
        <v>-1.5499999999999986E-2</v>
      </c>
      <c r="G10" s="7">
        <v>7620194.5899999999</v>
      </c>
      <c r="H10" s="48">
        <f t="shared" si="2"/>
        <v>723918.48604999995</v>
      </c>
      <c r="I10" s="48">
        <f t="shared" si="3"/>
        <v>105158.685342</v>
      </c>
      <c r="J10" s="48">
        <f t="shared" si="4"/>
        <v>736872.81685299997</v>
      </c>
      <c r="K10" s="1">
        <v>-268227.58</v>
      </c>
      <c r="M10" s="16">
        <f t="shared" si="5"/>
        <v>-118113.016145</v>
      </c>
      <c r="N10" s="16">
        <f t="shared" si="6"/>
        <v>-150114.56385500001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1.38E-2</v>
      </c>
      <c r="D11" s="37">
        <v>9.6699999999999994E-2</v>
      </c>
      <c r="E11" s="37">
        <f t="shared" si="0"/>
        <v>0.11049999999999999</v>
      </c>
      <c r="F11" s="38">
        <f t="shared" si="1"/>
        <v>2.1500000000000019E-2</v>
      </c>
      <c r="G11" s="7">
        <v>8167517.2599999998</v>
      </c>
      <c r="H11" s="48">
        <f t="shared" si="2"/>
        <v>1078112.27832</v>
      </c>
      <c r="I11" s="48">
        <f t="shared" si="3"/>
        <v>112711.73818799999</v>
      </c>
      <c r="J11" s="48">
        <f t="shared" si="4"/>
        <v>789798.91904199996</v>
      </c>
      <c r="K11" s="1">
        <v>14746.42</v>
      </c>
      <c r="M11" s="64">
        <f t="shared" si="5"/>
        <v>175601.62109000015</v>
      </c>
      <c r="N11" s="64">
        <f t="shared" si="6"/>
        <v>-160855.20109000013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48885825.449999996</v>
      </c>
      <c r="H12" s="8">
        <f t="shared" ref="H12:J12" si="7">SUM(H7:H11)</f>
        <v>4074728.8315599998</v>
      </c>
      <c r="I12" s="8">
        <f t="shared" si="7"/>
        <v>675960.46559739998</v>
      </c>
      <c r="J12" s="8">
        <f t="shared" si="7"/>
        <v>4727259.3210149994</v>
      </c>
      <c r="K12" s="39">
        <f>SUM(K7:K11)</f>
        <v>-2291464.1300000004</v>
      </c>
      <c r="M12" s="70">
        <f>SUM(M7:M11)</f>
        <v>-1328490.9550523995</v>
      </c>
      <c r="N12" s="68">
        <f>SUM(N7:N11)</f>
        <v>-962973.17494760035</v>
      </c>
      <c r="O12" s="3" t="s">
        <v>68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1.932E-2</v>
      </c>
      <c r="D18" s="60">
        <v>9.2069999999999999E-2</v>
      </c>
      <c r="E18" s="32">
        <f>+C18+D18</f>
        <v>0.11139</v>
      </c>
      <c r="F18" s="33">
        <f>+B18-E18</f>
        <v>-3.4390000000000004E-2</v>
      </c>
      <c r="G18" s="7">
        <v>4508111.66</v>
      </c>
      <c r="H18" s="1">
        <f>+G18*B18</f>
        <v>347124.59782000002</v>
      </c>
      <c r="I18" s="1">
        <f>+G18*C18</f>
        <v>87096.717271200003</v>
      </c>
      <c r="J18" s="1">
        <f>+G18*D18</f>
        <v>415061.84053620003</v>
      </c>
      <c r="K18" s="1">
        <f>+H18-I18-J18</f>
        <v>-155033.95998740001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1.932E-2</v>
      </c>
      <c r="D19" s="61">
        <v>9.2069999999999999E-2</v>
      </c>
      <c r="E19" s="24">
        <f t="shared" ref="E19:E22" si="8">+C19+D19</f>
        <v>0.11139</v>
      </c>
      <c r="F19" s="25">
        <f t="shared" ref="F19:F22" si="9">+B19-E19</f>
        <v>-2.1390000000000006E-2</v>
      </c>
      <c r="G19" s="7">
        <v>3720174.18</v>
      </c>
      <c r="H19" s="1">
        <f t="shared" ref="H19:H22" si="10">+G19*B19</f>
        <v>334815.67619999999</v>
      </c>
      <c r="I19" s="1">
        <f t="shared" ref="I19:I22" si="11">+G19*C19</f>
        <v>71873.765157600006</v>
      </c>
      <c r="J19" s="1">
        <f t="shared" ref="J19:J22" si="12">+G19*D19</f>
        <v>342516.43675260001</v>
      </c>
      <c r="K19" s="1">
        <f t="shared" ref="K19:K22" si="13">+H19-I19-J19</f>
        <v>-79574.525710200018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1.932E-2</v>
      </c>
      <c r="D20" s="61">
        <v>9.2069999999999999E-2</v>
      </c>
      <c r="E20" s="24">
        <f t="shared" si="8"/>
        <v>0.11139</v>
      </c>
      <c r="F20" s="25">
        <f t="shared" si="9"/>
        <v>-4.6390000000000001E-2</v>
      </c>
      <c r="G20" s="7">
        <v>36909230.829999998</v>
      </c>
      <c r="H20" s="1">
        <f t="shared" si="10"/>
        <v>2399100.0039499998</v>
      </c>
      <c r="I20" s="1">
        <f t="shared" si="11"/>
        <v>713086.33963559999</v>
      </c>
      <c r="J20" s="1">
        <f t="shared" si="12"/>
        <v>3398232.8825180996</v>
      </c>
      <c r="K20" s="1">
        <f t="shared" si="13"/>
        <v>-1712219.2182036997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1.932E-2</v>
      </c>
      <c r="D21" s="61">
        <v>9.2069999999999999E-2</v>
      </c>
      <c r="E21" s="24">
        <f t="shared" si="8"/>
        <v>0.11139</v>
      </c>
      <c r="F21" s="25">
        <f t="shared" si="9"/>
        <v>-1.6390000000000002E-2</v>
      </c>
      <c r="G21" s="7">
        <v>8437794.1300000008</v>
      </c>
      <c r="H21" s="1">
        <f t="shared" si="10"/>
        <v>801590.44235000014</v>
      </c>
      <c r="I21" s="1">
        <f t="shared" si="11"/>
        <v>163018.18259160002</v>
      </c>
      <c r="J21" s="1">
        <f t="shared" si="12"/>
        <v>776867.70554910006</v>
      </c>
      <c r="K21" s="1">
        <f t="shared" si="13"/>
        <v>-138295.44579069992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1.932E-2</v>
      </c>
      <c r="D22" s="62">
        <v>9.2069999999999999E-2</v>
      </c>
      <c r="E22" s="37">
        <f t="shared" si="8"/>
        <v>0.11139</v>
      </c>
      <c r="F22" s="38">
        <f t="shared" si="9"/>
        <v>2.0610000000000003E-2</v>
      </c>
      <c r="G22" s="7">
        <v>9137897.7899999991</v>
      </c>
      <c r="H22" s="1">
        <f t="shared" si="10"/>
        <v>1206202.50828</v>
      </c>
      <c r="I22" s="1">
        <f t="shared" si="11"/>
        <v>176544.18530279998</v>
      </c>
      <c r="J22" s="1">
        <f t="shared" si="12"/>
        <v>841326.24952529988</v>
      </c>
      <c r="K22" s="1">
        <f t="shared" si="13"/>
        <v>188332.07345190004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62713208.590000004</v>
      </c>
      <c r="H23" s="39">
        <f t="shared" ref="H23:J23" si="14">SUM(H18:H22)</f>
        <v>5088833.2286</v>
      </c>
      <c r="I23" s="8">
        <f t="shared" si="14"/>
        <v>1211619.1899587999</v>
      </c>
      <c r="J23" s="8">
        <f t="shared" si="14"/>
        <v>5774005.1148813004</v>
      </c>
      <c r="K23" s="8">
        <f>SUM(K18:K22)</f>
        <v>-1896791.0762400995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G24" t="s">
        <v>81</v>
      </c>
      <c r="H24" s="85">
        <f>H23/G23</f>
        <v>8.1144520317390445E-2</v>
      </c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>
        <f t="shared" ref="D28:F32" si="15">+D7-D18</f>
        <v>4.6299999999999952E-3</v>
      </c>
      <c r="E28" s="32">
        <f t="shared" si="15"/>
        <v>-7.0000000000000617E-4</v>
      </c>
      <c r="F28" s="33">
        <f>+F7-F18</f>
        <v>7.0000000000000617E-4</v>
      </c>
      <c r="G28" s="7">
        <f t="shared" ref="G28:G32" si="16">+G7-G18</f>
        <v>-317451.79000000004</v>
      </c>
      <c r="H28" s="1"/>
      <c r="I28" s="1"/>
      <c r="J28" s="1"/>
      <c r="K28" s="1">
        <f>K18-K7</f>
        <v>68711.080012599996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>
        <f t="shared" si="15"/>
        <v>4.6299999999999952E-3</v>
      </c>
      <c r="E29" s="24">
        <f t="shared" si="15"/>
        <v>-7.0000000000000617E-4</v>
      </c>
      <c r="F29" s="25">
        <f t="shared" si="15"/>
        <v>7.0000000000000617E-4</v>
      </c>
      <c r="G29" s="7">
        <f t="shared" si="16"/>
        <v>-878863.59000000032</v>
      </c>
      <c r="H29" s="1"/>
      <c r="I29" s="1"/>
      <c r="J29" s="1"/>
      <c r="K29" s="1">
        <f t="shared" ref="K29:K32" si="17">K19-K8</f>
        <v>35088.594289799978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>
        <f t="shared" si="15"/>
        <v>4.6299999999999952E-3</v>
      </c>
      <c r="E30" s="24">
        <f>+E9-E20</f>
        <v>-8.9000000000001578E-4</v>
      </c>
      <c r="F30" s="25">
        <f t="shared" si="15"/>
        <v>8.9000000000001578E-4</v>
      </c>
      <c r="G30" s="7">
        <f t="shared" si="16"/>
        <v>-10843087.689999998</v>
      </c>
      <c r="H30" s="1"/>
      <c r="I30" s="1"/>
      <c r="J30" s="1"/>
      <c r="K30" s="1">
        <f t="shared" si="17"/>
        <v>-12644.408203699626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>
        <f t="shared" si="15"/>
        <v>4.6299999999999952E-3</v>
      </c>
      <c r="E31" s="24">
        <f t="shared" si="15"/>
        <v>-8.9000000000001578E-4</v>
      </c>
      <c r="F31" s="25">
        <f t="shared" si="15"/>
        <v>8.9000000000001578E-4</v>
      </c>
      <c r="G31" s="7">
        <f t="shared" si="16"/>
        <v>-817599.54000000097</v>
      </c>
      <c r="H31" s="1"/>
      <c r="I31" s="1"/>
      <c r="J31" s="1"/>
      <c r="K31" s="1">
        <f t="shared" si="17"/>
        <v>129932.1342093001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>
        <f t="shared" si="15"/>
        <v>4.6299999999999952E-3</v>
      </c>
      <c r="E32" s="37">
        <f t="shared" si="15"/>
        <v>-8.9000000000001578E-4</v>
      </c>
      <c r="F32" s="38">
        <f t="shared" si="15"/>
        <v>8.9000000000001578E-4</v>
      </c>
      <c r="G32" s="7">
        <f t="shared" si="16"/>
        <v>-970380.52999999933</v>
      </c>
      <c r="H32" s="1"/>
      <c r="I32" s="1"/>
      <c r="J32" s="1"/>
      <c r="K32" s="1">
        <f t="shared" si="17"/>
        <v>173585.65345190003</v>
      </c>
      <c r="M32" s="2"/>
      <c r="N32" s="21"/>
    </row>
    <row r="33" spans="7:12" ht="15" thickBot="1">
      <c r="G33" s="6">
        <f>SUM(G28:G32)</f>
        <v>-13827383.139999999</v>
      </c>
      <c r="H33" s="8">
        <f t="shared" ref="H33:J33" si="18">SUM(H28:H32)</f>
        <v>0</v>
      </c>
      <c r="I33" s="8">
        <f t="shared" si="18"/>
        <v>0</v>
      </c>
      <c r="J33" s="8">
        <f t="shared" si="18"/>
        <v>0</v>
      </c>
      <c r="K33" s="65">
        <f>SUM(K28:K32)</f>
        <v>394673.0537599005</v>
      </c>
      <c r="L33" s="4" t="s">
        <v>64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5" sqref="B5"/>
    </sheetView>
  </sheetViews>
  <sheetFormatPr defaultColWidth="9.109375" defaultRowHeight="14.4"/>
  <cols>
    <col min="1" max="1" width="10.5546875" style="42" bestFit="1" customWidth="1"/>
    <col min="2" max="2" width="15" style="42" bestFit="1" customWidth="1"/>
    <col min="3" max="3" width="9.109375" style="42"/>
    <col min="4" max="5" width="14.44140625" customWidth="1"/>
    <col min="6" max="6" width="8.88671875"/>
    <col min="7" max="8" width="14.109375" style="42" customWidth="1"/>
    <col min="9" max="9" width="48.5546875" style="42" bestFit="1" customWidth="1"/>
    <col min="10" max="16384" width="9.109375" style="42"/>
  </cols>
  <sheetData>
    <row r="1" spans="1:9">
      <c r="A1" s="84" t="s">
        <v>38</v>
      </c>
      <c r="B1" s="84"/>
      <c r="D1" s="83" t="s">
        <v>37</v>
      </c>
      <c r="E1" s="83"/>
      <c r="G1" s="84" t="s">
        <v>39</v>
      </c>
      <c r="H1" s="84"/>
    </row>
    <row r="2" spans="1:9">
      <c r="B2" s="42" t="s">
        <v>32</v>
      </c>
      <c r="E2" t="s">
        <v>32</v>
      </c>
    </row>
    <row r="3" spans="1:9">
      <c r="A3" s="42" t="s">
        <v>0</v>
      </c>
      <c r="B3" s="44">
        <f>'April 17'!K28+'May 17'!K28+'June 17'!K28+'July 17'!K28+'Aug 17'!K28+'Sept 17'!K28+'Oct 17'!K28+'Nov 17'!K28+'Dec 17'!K28</f>
        <v>133896.18872339989</v>
      </c>
      <c r="D3" t="s">
        <v>0</v>
      </c>
      <c r="E3" s="42">
        <v>34353.988801300198</v>
      </c>
      <c r="G3" t="s">
        <v>0</v>
      </c>
      <c r="H3" s="42">
        <f>B3-E3</f>
        <v>99542.19992209968</v>
      </c>
    </row>
    <row r="4" spans="1:9">
      <c r="A4" s="42" t="s">
        <v>1</v>
      </c>
      <c r="B4" s="44">
        <f>'April 17'!K29+'May 17'!K29+'June 17'!K29+'July 17'!K29+'Aug 17'!K29+'Sept 17'!K29+'Oct 17'!K29+'Nov 17'!K29+'Dec 17'!K29</f>
        <v>49592.030351399997</v>
      </c>
      <c r="D4" t="s">
        <v>1</v>
      </c>
      <c r="E4" s="42">
        <v>49889.878399900001</v>
      </c>
      <c r="G4" t="s">
        <v>1</v>
      </c>
      <c r="H4" s="43">
        <f t="shared" ref="H4:H7" si="0">B4-E4</f>
        <v>-297.84804850000364</v>
      </c>
    </row>
    <row r="5" spans="1:9">
      <c r="A5" s="42" t="s">
        <v>33</v>
      </c>
      <c r="B5" s="44">
        <f>'April 17'!K30+'May 17'!K30+'June 17'!K30+'July 17'!K30+'Aug 17'!K30+'Sept 17'!K30+'Oct 17'!K30+'Nov 17'!K30+'Dec 17'!K30</f>
        <v>1025564.8497183007</v>
      </c>
      <c r="D5" t="s">
        <v>33</v>
      </c>
      <c r="E5" s="42">
        <v>59442.592674600099</v>
      </c>
      <c r="G5" t="s">
        <v>33</v>
      </c>
      <c r="H5" s="42">
        <f t="shared" si="0"/>
        <v>966122.25704370067</v>
      </c>
    </row>
    <row r="6" spans="1:9">
      <c r="A6" s="42" t="s">
        <v>34</v>
      </c>
      <c r="B6" s="44">
        <f>'April 17'!K31+'May 17'!K31+'June 17'!K31+'July 17'!K31+'Aug 17'!K31+'Sept 17'!K31+'Oct 17'!K31+'Nov 17'!K31+'Dec 17'!K31</f>
        <v>135059.13248290034</v>
      </c>
      <c r="D6" t="s">
        <v>34</v>
      </c>
      <c r="E6" s="42">
        <v>58192.3594411999</v>
      </c>
      <c r="G6" t="s">
        <v>34</v>
      </c>
      <c r="H6" s="42">
        <f t="shared" si="0"/>
        <v>76866.77304170045</v>
      </c>
    </row>
    <row r="7" spans="1:9">
      <c r="A7" s="42" t="s">
        <v>35</v>
      </c>
      <c r="B7" s="43">
        <f>'April 17'!K32+'May 17'!K32+'June 17'!K32+'July 17'!K32+'Aug 17'!K32+'Sept 17'!K32+'Oct 17'!K32+'Nov 17'!K32+'Dec 17'!K32</f>
        <v>-150831.03674269977</v>
      </c>
      <c r="D7" t="s">
        <v>35</v>
      </c>
      <c r="E7" s="42">
        <v>197023.39482270001</v>
      </c>
      <c r="G7" t="s">
        <v>35</v>
      </c>
      <c r="H7" s="43">
        <f t="shared" si="0"/>
        <v>-347854.43156539975</v>
      </c>
    </row>
    <row r="8" spans="1:9">
      <c r="B8" s="43"/>
    </row>
    <row r="9" spans="1:9">
      <c r="B9" s="44">
        <f>SUM(B3:B8)</f>
        <v>1193281.164533301</v>
      </c>
      <c r="E9" s="44">
        <f>SUM(E3:E8)</f>
        <v>398902.21413970017</v>
      </c>
      <c r="H9" s="42">
        <f>SUM(H3:H8)</f>
        <v>794378.95039360109</v>
      </c>
    </row>
    <row r="12" spans="1:9">
      <c r="E12" s="46"/>
    </row>
    <row r="13" spans="1:9" ht="43.2">
      <c r="I13" s="45" t="s">
        <v>36</v>
      </c>
    </row>
  </sheetData>
  <mergeCells count="3">
    <mergeCell ref="D1:E1"/>
    <mergeCell ref="G1:H1"/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G24" sqref="G24:H24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20.88671875" customWidth="1"/>
    <col min="13" max="13" width="20.6640625" customWidth="1"/>
    <col min="14" max="14" width="18.8867187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  <c r="E1" s="82" t="s">
        <v>47</v>
      </c>
      <c r="F1" s="53"/>
      <c r="G1" s="53" t="s">
        <v>48</v>
      </c>
      <c r="H1" s="53" t="s">
        <v>49</v>
      </c>
      <c r="I1" s="53" t="s">
        <v>50</v>
      </c>
      <c r="J1" s="53" t="s">
        <v>51</v>
      </c>
      <c r="K1" s="53" t="s">
        <v>52</v>
      </c>
      <c r="L1" s="53" t="s">
        <v>53</v>
      </c>
      <c r="M1" s="53" t="s">
        <v>54</v>
      </c>
      <c r="N1" s="53" t="s">
        <v>55</v>
      </c>
      <c r="O1" s="53" t="s">
        <v>56</v>
      </c>
      <c r="P1" s="53" t="s">
        <v>57</v>
      </c>
      <c r="Q1" s="53" t="s">
        <v>58</v>
      </c>
      <c r="R1" s="53" t="s">
        <v>59</v>
      </c>
    </row>
    <row r="2" spans="1:32">
      <c r="E2" s="82"/>
      <c r="F2" s="54" t="s">
        <v>60</v>
      </c>
      <c r="G2" s="55">
        <v>8.23</v>
      </c>
      <c r="H2" s="55">
        <v>8.64</v>
      </c>
      <c r="I2" s="55">
        <v>7.14</v>
      </c>
      <c r="J2" s="55">
        <v>10.78</v>
      </c>
      <c r="K2" s="55">
        <v>12.31</v>
      </c>
      <c r="L2" s="55">
        <v>11.85</v>
      </c>
      <c r="M2" s="55">
        <v>11.28</v>
      </c>
      <c r="N2" s="55">
        <v>10.11</v>
      </c>
      <c r="O2" s="55">
        <v>8.86</v>
      </c>
      <c r="P2" s="55">
        <v>12.56</v>
      </c>
      <c r="Q2" s="55">
        <v>9.6999999999999993</v>
      </c>
      <c r="R2" s="55">
        <v>9.2100000000000009</v>
      </c>
    </row>
    <row r="3" spans="1:32" ht="42" thickBot="1">
      <c r="A3" s="9" t="s">
        <v>9</v>
      </c>
      <c r="E3" s="82"/>
      <c r="F3" s="56" t="s">
        <v>61</v>
      </c>
      <c r="G3" s="56">
        <v>2.16</v>
      </c>
      <c r="H3" s="56">
        <v>2.11</v>
      </c>
      <c r="I3" s="56">
        <v>2.6</v>
      </c>
      <c r="J3" s="56">
        <v>1.1100000000000001</v>
      </c>
      <c r="K3" s="56">
        <v>0.32</v>
      </c>
      <c r="L3" s="56">
        <v>0.59</v>
      </c>
      <c r="M3" s="56">
        <v>1.36</v>
      </c>
      <c r="N3" s="56">
        <v>1.73</v>
      </c>
      <c r="O3" s="56">
        <v>2.31</v>
      </c>
      <c r="P3" s="56">
        <v>0.88</v>
      </c>
      <c r="Q3" s="56">
        <v>1.4</v>
      </c>
      <c r="R3" s="56">
        <v>2.06</v>
      </c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F4" t="s">
        <v>21</v>
      </c>
      <c r="J4" s="57">
        <f>C18*100</f>
        <v>0.96599999999999997</v>
      </c>
      <c r="K4" s="42">
        <f>'May 17'!C18*100</f>
        <v>0.25600000000000001</v>
      </c>
      <c r="L4" s="58">
        <f>'June 17'!C18*100</f>
        <v>0.47299999999999998</v>
      </c>
      <c r="M4" s="59">
        <f>'July 17'!C18*100</f>
        <v>1.1659999999999999</v>
      </c>
      <c r="N4" s="59">
        <f>'Aug 17'!C18*100</f>
        <v>1.5709999999999997</v>
      </c>
      <c r="O4" s="59">
        <f>'Sept 17'!C18*100</f>
        <v>2.0350000000000001</v>
      </c>
      <c r="P4" s="59">
        <f>'Oct 17'!C18*100</f>
        <v>0.79500000000000004</v>
      </c>
      <c r="Q4" s="59">
        <f>'Nov 17'!C18*100</f>
        <v>1.2989999999999999</v>
      </c>
      <c r="R4" s="59">
        <f>'Dec 17'!C18*100</f>
        <v>1.9319999999999999</v>
      </c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45</v>
      </c>
      <c r="N6" s="49" t="s">
        <v>46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0.10299999999999999</v>
      </c>
      <c r="C7" s="32">
        <v>2.5870000000000001E-2</v>
      </c>
      <c r="D7" s="32">
        <v>0.1022</v>
      </c>
      <c r="E7" s="32">
        <f>+C7+D7</f>
        <v>0.12806999999999999</v>
      </c>
      <c r="F7" s="33">
        <f>+B7-E7</f>
        <v>-2.5069999999999995E-2</v>
      </c>
      <c r="G7" s="7">
        <v>4308014.5999999996</v>
      </c>
      <c r="H7" s="48">
        <f>B7*G7</f>
        <v>443725.50379999995</v>
      </c>
      <c r="I7" s="48">
        <f>C7*G7</f>
        <v>111448.33770199999</v>
      </c>
      <c r="J7" s="48">
        <f>D7*G7</f>
        <v>440279.09211999999</v>
      </c>
      <c r="K7" s="1">
        <v>150373.82999999999</v>
      </c>
      <c r="M7" s="50">
        <f>H7-I7-J7</f>
        <v>-108001.92602200003</v>
      </c>
      <c r="N7" s="52">
        <f>K7-M7</f>
        <v>258375.75602200002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0.121</v>
      </c>
      <c r="C8" s="24">
        <v>2.5870000000000001E-2</v>
      </c>
      <c r="D8" s="24">
        <v>0.1022</v>
      </c>
      <c r="E8" s="24">
        <f t="shared" ref="E8:E11" si="0">+C8+D8</f>
        <v>0.12806999999999999</v>
      </c>
      <c r="F8" s="25">
        <f t="shared" ref="F8:F11" si="1">+B8-E8</f>
        <v>-7.069999999999993E-3</v>
      </c>
      <c r="G8" s="7">
        <v>3546649.91</v>
      </c>
      <c r="H8" s="48">
        <f t="shared" ref="H8:H11" si="2">B8*G8</f>
        <v>429144.63910999999</v>
      </c>
      <c r="I8" s="48">
        <f t="shared" ref="I8:I11" si="3">C8*G8</f>
        <v>91751.833171700011</v>
      </c>
      <c r="J8" s="48">
        <f t="shared" ref="J8:J11" si="4">D8*G8</f>
        <v>362467.62080199999</v>
      </c>
      <c r="K8" s="1">
        <v>187637.64</v>
      </c>
      <c r="M8" s="50">
        <f t="shared" ref="M8:M11" si="5">H8-I8-J8</f>
        <v>-25074.814863700012</v>
      </c>
      <c r="N8" s="52">
        <f t="shared" ref="N8:N11" si="6">K8-M8</f>
        <v>212712.45486370003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8.6999999999999994E-2</v>
      </c>
      <c r="C9" s="24">
        <v>2.3460000000000002E-2</v>
      </c>
      <c r="D9" s="24">
        <v>0.1022</v>
      </c>
      <c r="E9" s="24">
        <f t="shared" si="0"/>
        <v>0.12565999999999999</v>
      </c>
      <c r="F9" s="25">
        <f t="shared" si="1"/>
        <v>-3.866E-2</v>
      </c>
      <c r="G9" s="7">
        <v>35600625.229999997</v>
      </c>
      <c r="H9" s="48">
        <f t="shared" si="2"/>
        <v>3097254.3950099996</v>
      </c>
      <c r="I9" s="48">
        <f t="shared" si="3"/>
        <v>835190.66789579997</v>
      </c>
      <c r="J9" s="48">
        <f t="shared" si="4"/>
        <v>3638383.8985059997</v>
      </c>
      <c r="K9" s="1">
        <v>758672.74</v>
      </c>
      <c r="M9" s="50">
        <f t="shared" si="5"/>
        <v>-1376320.1713918</v>
      </c>
      <c r="N9" s="52">
        <f t="shared" si="6"/>
        <v>2134992.9113918003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0.13200000000000001</v>
      </c>
      <c r="C10" s="24">
        <v>2.3460000000000002E-2</v>
      </c>
      <c r="D10" s="24">
        <v>0.1022</v>
      </c>
      <c r="E10" s="24">
        <f t="shared" si="0"/>
        <v>0.12565999999999999</v>
      </c>
      <c r="F10" s="25">
        <f t="shared" si="1"/>
        <v>6.3400000000000123E-3</v>
      </c>
      <c r="G10" s="7">
        <v>10122054.82</v>
      </c>
      <c r="H10" s="48">
        <f t="shared" si="2"/>
        <v>1336111.23624</v>
      </c>
      <c r="I10" s="48">
        <f t="shared" si="3"/>
        <v>237463.40607720002</v>
      </c>
      <c r="J10" s="48">
        <f t="shared" si="4"/>
        <v>1034474.002604</v>
      </c>
      <c r="K10" s="1">
        <v>671200.11</v>
      </c>
      <c r="M10" s="50">
        <f t="shared" si="5"/>
        <v>64173.82755879988</v>
      </c>
      <c r="N10" s="52">
        <f t="shared" si="6"/>
        <v>607026.28244120011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0.18</v>
      </c>
      <c r="C11" s="37">
        <v>2.3460000000000002E-2</v>
      </c>
      <c r="D11" s="37">
        <v>0.1022</v>
      </c>
      <c r="E11" s="37">
        <f t="shared" si="0"/>
        <v>0.12565999999999999</v>
      </c>
      <c r="F11" s="38">
        <f t="shared" si="1"/>
        <v>5.4339999999999999E-2</v>
      </c>
      <c r="G11" s="7">
        <v>10758553.380000001</v>
      </c>
      <c r="H11" s="48">
        <f t="shared" si="2"/>
        <v>1936539.6084</v>
      </c>
      <c r="I11" s="48">
        <f t="shared" si="3"/>
        <v>252395.66229480004</v>
      </c>
      <c r="J11" s="48">
        <f t="shared" si="4"/>
        <v>1099524.1554360001</v>
      </c>
      <c r="K11" s="1">
        <v>1229817.31</v>
      </c>
      <c r="M11" s="66">
        <f t="shared" si="5"/>
        <v>584619.79066919978</v>
      </c>
      <c r="N11" s="67">
        <f t="shared" si="6"/>
        <v>645197.51933080028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64335897.939999998</v>
      </c>
      <c r="H12" s="8">
        <f t="shared" ref="H12:J12" si="7">SUM(H7:H11)</f>
        <v>7242775.3825599998</v>
      </c>
      <c r="I12" s="8">
        <f t="shared" si="7"/>
        <v>1528249.9071415002</v>
      </c>
      <c r="J12" s="8">
        <f t="shared" si="7"/>
        <v>6575128.7694680002</v>
      </c>
      <c r="K12" s="39">
        <f>SUM(K7:K11)</f>
        <v>2997701.63</v>
      </c>
      <c r="L12" s="80"/>
      <c r="M12" s="71">
        <f>SUM(M7:M11)</f>
        <v>-860603.29404950049</v>
      </c>
      <c r="N12" s="68">
        <f>SUM(N7:N11)</f>
        <v>3858304.9240495004</v>
      </c>
      <c r="O12" s="3" t="s">
        <v>66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0.10299999999999999</v>
      </c>
      <c r="C18" s="32">
        <v>9.6600000000000002E-3</v>
      </c>
      <c r="D18" s="60">
        <v>0.10778</v>
      </c>
      <c r="E18" s="32">
        <f>+C18+D18</f>
        <v>0.11744</v>
      </c>
      <c r="F18" s="33">
        <f>+B18-E18</f>
        <v>-1.4440000000000008E-2</v>
      </c>
      <c r="G18" s="7">
        <v>3717931.94</v>
      </c>
      <c r="H18" s="1">
        <f>+G18*B18</f>
        <v>382946.98981999996</v>
      </c>
      <c r="I18" s="1">
        <f>+G18*C18</f>
        <v>35915.222540399998</v>
      </c>
      <c r="J18" s="1">
        <f>+G18*D18</f>
        <v>400718.7044932</v>
      </c>
      <c r="K18" s="1">
        <f>+H18-I18-J18</f>
        <v>-53686.937213600031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0.121</v>
      </c>
      <c r="C19" s="24">
        <v>9.6600000000000002E-3</v>
      </c>
      <c r="D19" s="61">
        <v>0.10778</v>
      </c>
      <c r="E19" s="24">
        <f t="shared" ref="E19:E22" si="8">+C19+D19</f>
        <v>0.11744</v>
      </c>
      <c r="F19" s="25">
        <f t="shared" ref="F19:F22" si="9">+B19-E19</f>
        <v>3.5599999999999937E-3</v>
      </c>
      <c r="G19" s="7">
        <v>2519587.0099999998</v>
      </c>
      <c r="H19" s="1">
        <f t="shared" ref="H19:H22" si="10">+G19*B19</f>
        <v>304870.02820999996</v>
      </c>
      <c r="I19" s="1">
        <f t="shared" ref="I19:I22" si="11">+G19*C19</f>
        <v>24339.2105166</v>
      </c>
      <c r="J19" s="1">
        <f t="shared" ref="J19:J22" si="12">+G19*D19</f>
        <v>271561.08793779998</v>
      </c>
      <c r="K19" s="1">
        <f t="shared" ref="K19:K22" si="13">+H19-I19-J19</f>
        <v>8969.729755599983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8.6999999999999994E-2</v>
      </c>
      <c r="C20" s="24">
        <v>9.6600000000000002E-3</v>
      </c>
      <c r="D20" s="61">
        <v>0.10778</v>
      </c>
      <c r="E20" s="24">
        <f t="shared" si="8"/>
        <v>0.11744</v>
      </c>
      <c r="F20" s="25">
        <f>+B20-E20</f>
        <v>-3.0440000000000009E-2</v>
      </c>
      <c r="G20" s="7">
        <v>26549427.510000002</v>
      </c>
      <c r="H20" s="1">
        <f t="shared" si="10"/>
        <v>2309800.19337</v>
      </c>
      <c r="I20" s="1">
        <f t="shared" si="11"/>
        <v>256467.46974660002</v>
      </c>
      <c r="J20" s="1">
        <f t="shared" si="12"/>
        <v>2861497.2970278002</v>
      </c>
      <c r="K20" s="1">
        <f t="shared" si="13"/>
        <v>-808164.57340440014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0.13200000000000001</v>
      </c>
      <c r="C21" s="24">
        <v>9.6600000000000002E-3</v>
      </c>
      <c r="D21" s="61">
        <v>0.10778</v>
      </c>
      <c r="E21" s="24">
        <f t="shared" si="8"/>
        <v>0.11744</v>
      </c>
      <c r="F21" s="25">
        <f t="shared" si="9"/>
        <v>1.4560000000000003E-2</v>
      </c>
      <c r="G21" s="7">
        <v>6604791.2199999997</v>
      </c>
      <c r="H21" s="1">
        <f t="shared" si="10"/>
        <v>871832.44104000006</v>
      </c>
      <c r="I21" s="1">
        <f t="shared" si="11"/>
        <v>63802.283185200002</v>
      </c>
      <c r="J21" s="1">
        <f t="shared" si="12"/>
        <v>711864.39769160002</v>
      </c>
      <c r="K21" s="1">
        <f t="shared" si="13"/>
        <v>96165.760163200088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0.18</v>
      </c>
      <c r="C22" s="37">
        <v>9.6600000000000002E-3</v>
      </c>
      <c r="D22" s="62">
        <v>0.10778</v>
      </c>
      <c r="E22" s="37">
        <f t="shared" si="8"/>
        <v>0.11744</v>
      </c>
      <c r="F22" s="38">
        <f t="shared" si="9"/>
        <v>6.2559999999999991E-2</v>
      </c>
      <c r="G22" s="7">
        <v>6853514.9699999997</v>
      </c>
      <c r="H22" s="1">
        <f t="shared" si="10"/>
        <v>1233632.6945999998</v>
      </c>
      <c r="I22" s="1">
        <f t="shared" si="11"/>
        <v>66204.954610200002</v>
      </c>
      <c r="J22" s="1">
        <f t="shared" si="12"/>
        <v>738671.84346659994</v>
      </c>
      <c r="K22" s="1">
        <f t="shared" si="13"/>
        <v>428755.89652319998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46245252.649999999</v>
      </c>
      <c r="H23" s="39">
        <f t="shared" ref="H23:J23" si="14">SUM(H18:H22)</f>
        <v>5103082.3470399994</v>
      </c>
      <c r="I23" s="8">
        <f t="shared" si="14"/>
        <v>446729.14059900003</v>
      </c>
      <c r="J23" s="8">
        <f t="shared" si="14"/>
        <v>4984313.3306169994</v>
      </c>
      <c r="K23" s="8">
        <f>SUM(K18:K22)</f>
        <v>-327960.12417600013</v>
      </c>
      <c r="L23" s="80"/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G24" t="s">
        <v>81</v>
      </c>
      <c r="H24" s="85">
        <f>H23/G23</f>
        <v>0.11034824235174763</v>
      </c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>
        <f t="shared" ref="D28:F32" si="15">+D7-D18</f>
        <v>-5.5800000000000016E-3</v>
      </c>
      <c r="E28" s="32">
        <f t="shared" si="15"/>
        <v>1.0629999999999987E-2</v>
      </c>
      <c r="F28" s="33">
        <f>+F7-F18</f>
        <v>-1.0629999999999987E-2</v>
      </c>
      <c r="G28" s="7">
        <f t="shared" ref="G28:G32" si="16">+G7-G18</f>
        <v>590082.65999999968</v>
      </c>
      <c r="H28" s="1"/>
      <c r="I28" s="1"/>
      <c r="J28" s="1"/>
      <c r="K28" s="1">
        <f>K18-K7</f>
        <v>-204060.76721360002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>
        <f t="shared" si="15"/>
        <v>-5.5800000000000016E-3</v>
      </c>
      <c r="E29" s="24">
        <f t="shared" si="15"/>
        <v>1.0629999999999987E-2</v>
      </c>
      <c r="F29" s="25">
        <f t="shared" si="15"/>
        <v>-1.0629999999999987E-2</v>
      </c>
      <c r="G29" s="7">
        <f t="shared" si="16"/>
        <v>1027062.9000000004</v>
      </c>
      <c r="H29" s="1"/>
      <c r="I29" s="1"/>
      <c r="J29" s="1"/>
      <c r="K29" s="1">
        <f t="shared" ref="K29:K32" si="17">K19-K8</f>
        <v>-178667.91024440003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>
        <f t="shared" si="15"/>
        <v>-5.5800000000000016E-3</v>
      </c>
      <c r="E30" s="24">
        <f>+E9-E20</f>
        <v>8.2199999999999912E-3</v>
      </c>
      <c r="F30" s="25">
        <f t="shared" si="15"/>
        <v>-8.2199999999999912E-3</v>
      </c>
      <c r="G30" s="7">
        <f t="shared" si="16"/>
        <v>9051197.7199999951</v>
      </c>
      <c r="H30" s="1"/>
      <c r="I30" s="1"/>
      <c r="J30" s="1"/>
      <c r="K30" s="1">
        <f t="shared" si="17"/>
        <v>-1566837.3134044001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>
        <f t="shared" si="15"/>
        <v>-5.5800000000000016E-3</v>
      </c>
      <c r="E31" s="24">
        <f t="shared" si="15"/>
        <v>8.2199999999999912E-3</v>
      </c>
      <c r="F31" s="25">
        <f t="shared" si="15"/>
        <v>-8.2199999999999912E-3</v>
      </c>
      <c r="G31" s="7">
        <f t="shared" si="16"/>
        <v>3517263.6000000006</v>
      </c>
      <c r="H31" s="1"/>
      <c r="I31" s="1"/>
      <c r="J31" s="1"/>
      <c r="K31" s="1">
        <f t="shared" si="17"/>
        <v>-575034.3498367999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>
        <f t="shared" si="15"/>
        <v>-5.5800000000000016E-3</v>
      </c>
      <c r="E32" s="37">
        <f t="shared" si="15"/>
        <v>8.2199999999999912E-3</v>
      </c>
      <c r="F32" s="38">
        <f t="shared" si="15"/>
        <v>-8.2199999999999912E-3</v>
      </c>
      <c r="G32" s="7">
        <f t="shared" si="16"/>
        <v>3905038.4100000011</v>
      </c>
      <c r="H32" s="1"/>
      <c r="I32" s="1"/>
      <c r="J32" s="1"/>
      <c r="K32" s="1">
        <f t="shared" si="17"/>
        <v>-801061.41347680008</v>
      </c>
      <c r="M32" s="2"/>
      <c r="N32" s="21"/>
    </row>
    <row r="33" spans="7:12" ht="15" thickBot="1">
      <c r="G33" s="6">
        <f>SUM(G28:G32)</f>
        <v>18090645.289999995</v>
      </c>
      <c r="H33" s="8">
        <f t="shared" ref="H33:J33" si="18">SUM(H28:H32)</f>
        <v>0</v>
      </c>
      <c r="I33" s="8">
        <f t="shared" si="18"/>
        <v>0</v>
      </c>
      <c r="J33" s="8">
        <f t="shared" si="18"/>
        <v>0</v>
      </c>
      <c r="K33" s="63">
        <f>SUM(K28:K32)</f>
        <v>-3325661.7541760001</v>
      </c>
      <c r="L33" s="4" t="s">
        <v>62</v>
      </c>
    </row>
    <row r="34" spans="7:12" ht="15" thickTop="1"/>
    <row r="36" spans="7:12">
      <c r="K36" s="2"/>
    </row>
  </sheetData>
  <mergeCells count="1">
    <mergeCell ref="E1:E3"/>
  </mergeCells>
  <pageMargins left="0.7" right="0.7" top="0.75" bottom="0.75" header="0.3" footer="0.3"/>
  <pageSetup scale="6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80" zoomScaleNormal="80" workbookViewId="0">
      <selection activeCell="G24" sqref="G24:H24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4.6640625" customWidth="1"/>
    <col min="13" max="13" width="23" customWidth="1"/>
    <col min="14" max="14" width="11.88671875" bestFit="1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45</v>
      </c>
      <c r="N6" s="49" t="s">
        <v>46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9.0999999999999998E-2</v>
      </c>
      <c r="C7" s="32">
        <v>1.1769999999999999E-2</v>
      </c>
      <c r="D7" s="32">
        <v>0.1278</v>
      </c>
      <c r="E7" s="32">
        <f>+C7+D7</f>
        <v>0.13957</v>
      </c>
      <c r="F7" s="33">
        <f>+B7-E7</f>
        <v>-4.8570000000000002E-2</v>
      </c>
      <c r="G7" s="7">
        <v>2994535.91</v>
      </c>
      <c r="H7" s="48">
        <f>G7*B7</f>
        <v>272502.76780999999</v>
      </c>
      <c r="I7" s="48">
        <f>G7*C7</f>
        <v>35245.687660700001</v>
      </c>
      <c r="J7" s="48">
        <f>D7*G7</f>
        <v>382701.68929800001</v>
      </c>
      <c r="K7" s="1">
        <v>-217292.04</v>
      </c>
      <c r="M7" s="16">
        <f>H7-I7-J7</f>
        <v>-145444.60914870002</v>
      </c>
      <c r="N7" s="16">
        <f>K7-M7</f>
        <v>-71847.430851299985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0.106</v>
      </c>
      <c r="C8" s="24">
        <v>1.1769999999999999E-2</v>
      </c>
      <c r="D8" s="24">
        <v>0.1278</v>
      </c>
      <c r="E8" s="24">
        <f t="shared" ref="E8:E11" si="0">+C8+D8</f>
        <v>0.13957</v>
      </c>
      <c r="F8" s="25">
        <f t="shared" ref="F8:F11" si="1">+B8-E8</f>
        <v>-3.3570000000000003E-2</v>
      </c>
      <c r="G8" s="7">
        <v>2385681.9700000002</v>
      </c>
      <c r="H8" s="48">
        <f t="shared" ref="H8:H11" si="2">G8*B8</f>
        <v>252882.28882000002</v>
      </c>
      <c r="I8" s="48">
        <f t="shared" ref="I8:I11" si="3">G8*C8</f>
        <v>28079.476786899999</v>
      </c>
      <c r="J8" s="48">
        <f t="shared" ref="J8:J11" si="4">D8*G8</f>
        <v>304890.15576600004</v>
      </c>
      <c r="K8" s="1">
        <v>-130436.29</v>
      </c>
      <c r="M8" s="16">
        <f t="shared" ref="M8:M11" si="5">H8-I8-J8</f>
        <v>-80087.343732900015</v>
      </c>
      <c r="N8" s="16">
        <f t="shared" ref="N8:N11" si="6">K8-M8</f>
        <v>-50348.946267099978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7.6999999999999999E-2</v>
      </c>
      <c r="C9" s="24">
        <v>1.601E-2</v>
      </c>
      <c r="D9" s="24">
        <v>0.1278</v>
      </c>
      <c r="E9" s="24">
        <f t="shared" si="0"/>
        <v>0.14380999999999999</v>
      </c>
      <c r="F9" s="25">
        <f t="shared" si="1"/>
        <v>-6.6809999999999994E-2</v>
      </c>
      <c r="G9" s="7">
        <v>31111940.440000001</v>
      </c>
      <c r="H9" s="48">
        <f t="shared" si="2"/>
        <v>2395619.4138799999</v>
      </c>
      <c r="I9" s="48">
        <f t="shared" si="3"/>
        <v>498102.16644440003</v>
      </c>
      <c r="J9" s="48">
        <f t="shared" si="4"/>
        <v>3976105.9882320003</v>
      </c>
      <c r="K9" s="1">
        <v>-2909455.72</v>
      </c>
      <c r="M9" s="16">
        <f t="shared" si="5"/>
        <v>-2078588.7407964005</v>
      </c>
      <c r="N9" s="16">
        <f t="shared" si="6"/>
        <v>-830866.97920359974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0.113</v>
      </c>
      <c r="C10" s="24">
        <v>1.601E-2</v>
      </c>
      <c r="D10" s="24">
        <v>0.1278</v>
      </c>
      <c r="E10" s="24">
        <f t="shared" si="0"/>
        <v>0.14380999999999999</v>
      </c>
      <c r="F10" s="25">
        <f t="shared" si="1"/>
        <v>-3.080999999999999E-2</v>
      </c>
      <c r="G10" s="7">
        <v>8757636.3100000005</v>
      </c>
      <c r="H10" s="48">
        <f t="shared" si="2"/>
        <v>989612.90303000004</v>
      </c>
      <c r="I10" s="48">
        <f t="shared" si="3"/>
        <v>140209.7573231</v>
      </c>
      <c r="J10" s="48">
        <f t="shared" si="4"/>
        <v>1119225.9204180001</v>
      </c>
      <c r="K10" s="1">
        <v>-437000.39</v>
      </c>
      <c r="M10" s="16">
        <f t="shared" si="5"/>
        <v>-269822.77471110004</v>
      </c>
      <c r="N10" s="16">
        <f t="shared" si="6"/>
        <v>-167177.61528889998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0.157</v>
      </c>
      <c r="C11" s="37">
        <v>1.601E-2</v>
      </c>
      <c r="D11" s="37">
        <v>0.1278</v>
      </c>
      <c r="E11" s="37">
        <f t="shared" si="0"/>
        <v>0.14380999999999999</v>
      </c>
      <c r="F11" s="38">
        <f t="shared" si="1"/>
        <v>1.3190000000000007E-2</v>
      </c>
      <c r="G11" s="7">
        <v>8986027.3499999996</v>
      </c>
      <c r="H11" s="48">
        <f t="shared" si="2"/>
        <v>1410806.2939499998</v>
      </c>
      <c r="I11" s="48">
        <f t="shared" si="3"/>
        <v>143866.29787350001</v>
      </c>
      <c r="J11" s="48">
        <f t="shared" si="4"/>
        <v>1148414.2953299999</v>
      </c>
      <c r="K11" s="1">
        <v>-19492.3</v>
      </c>
      <c r="M11" s="64">
        <f t="shared" si="5"/>
        <v>118525.70074649993</v>
      </c>
      <c r="N11" s="64">
        <f t="shared" si="6"/>
        <v>-138018.00074649992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54235821.980000004</v>
      </c>
      <c r="H12" s="8">
        <f t="shared" ref="H12:J12" si="7">SUM(H7:H11)</f>
        <v>5321423.6674899999</v>
      </c>
      <c r="I12" s="8">
        <f t="shared" si="7"/>
        <v>845503.38608860003</v>
      </c>
      <c r="J12" s="8">
        <f t="shared" si="7"/>
        <v>6931338.049044</v>
      </c>
      <c r="K12" s="39">
        <f>SUM(K7:K11)</f>
        <v>-3713676.74</v>
      </c>
      <c r="M12" s="70">
        <f>SUM(M7:M11)</f>
        <v>-2455417.7676426005</v>
      </c>
      <c r="N12" s="68">
        <f>SUM(N7:N11)</f>
        <v>-1258258.9723573995</v>
      </c>
      <c r="O12" s="3" t="s">
        <v>66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9.0999999999999998E-2</v>
      </c>
      <c r="C18" s="32">
        <v>2.5600000000000002E-3</v>
      </c>
      <c r="D18" s="60">
        <v>0.12307</v>
      </c>
      <c r="E18" s="32">
        <f>+C18+D18</f>
        <v>0.12562999999999999</v>
      </c>
      <c r="F18" s="33">
        <f>+B18-E18</f>
        <v>-3.4629999999999994E-2</v>
      </c>
      <c r="G18" s="7">
        <v>3312761.34</v>
      </c>
      <c r="H18" s="1">
        <f>+G18*B18</f>
        <v>301461.28193999996</v>
      </c>
      <c r="I18" s="1">
        <f>+G18*C18</f>
        <v>8480.6690304000003</v>
      </c>
      <c r="J18" s="1">
        <f>+G18*D18</f>
        <v>407701.53811379999</v>
      </c>
      <c r="K18" s="1">
        <f>+H18-I18-J18</f>
        <v>-114720.92520420003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0.106</v>
      </c>
      <c r="C19" s="24">
        <v>2.5600000000000002E-3</v>
      </c>
      <c r="D19" s="61">
        <v>0.12307</v>
      </c>
      <c r="E19" s="24">
        <f t="shared" ref="E19:E22" si="8">+C19+D19</f>
        <v>0.12562999999999999</v>
      </c>
      <c r="F19" s="25">
        <f t="shared" ref="F19:F22" si="9">+B19-E19</f>
        <v>-1.9629999999999995E-2</v>
      </c>
      <c r="G19" s="7">
        <v>2944830.68</v>
      </c>
      <c r="H19" s="1">
        <f t="shared" ref="H19:H22" si="10">+G19*B19</f>
        <v>312152.05207999999</v>
      </c>
      <c r="I19" s="1">
        <f t="shared" ref="I19:I22" si="11">+G19*C19</f>
        <v>7538.7665408000012</v>
      </c>
      <c r="J19" s="1">
        <f t="shared" ref="J19:J22" si="12">+G19*D19</f>
        <v>362420.31178759999</v>
      </c>
      <c r="K19" s="1">
        <f t="shared" ref="K19:K22" si="13">+H19-I19-J19</f>
        <v>-57807.026248399983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7.6999999999999999E-2</v>
      </c>
      <c r="C20" s="24">
        <v>2.5600000000000002E-3</v>
      </c>
      <c r="D20" s="61">
        <v>0.12307</v>
      </c>
      <c r="E20" s="24">
        <f t="shared" si="8"/>
        <v>0.12562999999999999</v>
      </c>
      <c r="F20" s="25">
        <f t="shared" si="9"/>
        <v>-4.8629999999999993E-2</v>
      </c>
      <c r="G20" s="7">
        <v>24923681.68</v>
      </c>
      <c r="H20" s="1">
        <f t="shared" si="10"/>
        <v>1919123.48936</v>
      </c>
      <c r="I20" s="1">
        <f t="shared" si="11"/>
        <v>63804.625100800004</v>
      </c>
      <c r="J20" s="1">
        <f t="shared" si="12"/>
        <v>3067357.5043576001</v>
      </c>
      <c r="K20" s="1">
        <f t="shared" si="13"/>
        <v>-1212038.6400984002</v>
      </c>
      <c r="M20" s="3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0.113</v>
      </c>
      <c r="C21" s="24">
        <v>2.5600000000000002E-3</v>
      </c>
      <c r="D21" s="61">
        <v>0.12307</v>
      </c>
      <c r="E21" s="24">
        <f t="shared" si="8"/>
        <v>0.12562999999999999</v>
      </c>
      <c r="F21" s="25">
        <f t="shared" si="9"/>
        <v>-1.2629999999999988E-2</v>
      </c>
      <c r="G21" s="7">
        <v>7777400.4800000004</v>
      </c>
      <c r="H21" s="1">
        <f t="shared" si="10"/>
        <v>878846.25424000004</v>
      </c>
      <c r="I21" s="1">
        <f t="shared" si="11"/>
        <v>19910.145228800004</v>
      </c>
      <c r="J21" s="1">
        <f t="shared" si="12"/>
        <v>957164.6770736</v>
      </c>
      <c r="K21" s="1">
        <f t="shared" si="13"/>
        <v>-98228.56806239998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0.157</v>
      </c>
      <c r="C22" s="37">
        <v>2.5600000000000002E-3</v>
      </c>
      <c r="D22" s="62">
        <v>0.12307</v>
      </c>
      <c r="E22" s="37">
        <f t="shared" si="8"/>
        <v>0.12562999999999999</v>
      </c>
      <c r="F22" s="38">
        <f t="shared" si="9"/>
        <v>3.1370000000000009E-2</v>
      </c>
      <c r="G22" s="7">
        <v>7575794.3899999997</v>
      </c>
      <c r="H22" s="1">
        <f t="shared" si="10"/>
        <v>1189399.7192299999</v>
      </c>
      <c r="I22" s="1">
        <f t="shared" si="11"/>
        <v>19394.0336384</v>
      </c>
      <c r="J22" s="1">
        <f t="shared" si="12"/>
        <v>932353.01557729999</v>
      </c>
      <c r="K22" s="1">
        <f t="shared" si="13"/>
        <v>237652.67001429992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46534468.57</v>
      </c>
      <c r="H23" s="39">
        <f t="shared" ref="H23:J23" si="14">SUM(H18:H22)</f>
        <v>4600982.7968499996</v>
      </c>
      <c r="I23" s="8">
        <f t="shared" si="14"/>
        <v>119128.2395392</v>
      </c>
      <c r="J23" s="8">
        <f t="shared" si="14"/>
        <v>5726997.0469099004</v>
      </c>
      <c r="K23" s="8">
        <f>SUM(K18:K22)</f>
        <v>-1245142.4895991003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G24" t="s">
        <v>81</v>
      </c>
      <c r="H24" s="85">
        <f>H23/G23</f>
        <v>9.8872576355501285E-2</v>
      </c>
      <c r="M24" s="81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>
        <f t="shared" ref="D28:D32" si="15">+D7-D18</f>
        <v>4.7299999999999981E-3</v>
      </c>
      <c r="E28" s="32">
        <f t="shared" ref="E28:E32" si="16">+E7-E18</f>
        <v>1.3940000000000008E-2</v>
      </c>
      <c r="F28" s="33">
        <f>+F7-F18</f>
        <v>-1.3940000000000008E-2</v>
      </c>
      <c r="G28" s="7">
        <f t="shared" ref="G28:G32" si="17">+G7-G18</f>
        <v>-318225.4299999997</v>
      </c>
      <c r="H28" s="1"/>
      <c r="I28" s="1"/>
      <c r="J28" s="1"/>
      <c r="K28" s="1">
        <f>K18-K7</f>
        <v>102571.11479579998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>
        <f t="shared" si="15"/>
        <v>4.7299999999999981E-3</v>
      </c>
      <c r="E29" s="24">
        <f t="shared" si="16"/>
        <v>1.3940000000000008E-2</v>
      </c>
      <c r="F29" s="25">
        <f t="shared" ref="F29:F30" si="18">+F8-F19</f>
        <v>-1.3940000000000008E-2</v>
      </c>
      <c r="G29" s="7">
        <f t="shared" si="17"/>
        <v>-559148.71</v>
      </c>
      <c r="H29" s="1"/>
      <c r="I29" s="1"/>
      <c r="J29" s="1"/>
      <c r="K29" s="1">
        <f t="shared" ref="K29:K32" si="19">K19-K8</f>
        <v>72629.26375160001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>
        <f t="shared" si="15"/>
        <v>4.7299999999999981E-3</v>
      </c>
      <c r="E30" s="24">
        <f>+E9-E20</f>
        <v>1.8180000000000002E-2</v>
      </c>
      <c r="F30" s="25">
        <f t="shared" si="18"/>
        <v>-1.8180000000000002E-2</v>
      </c>
      <c r="G30" s="7">
        <f t="shared" si="17"/>
        <v>6188258.7600000016</v>
      </c>
      <c r="H30" s="1"/>
      <c r="I30" s="1"/>
      <c r="J30" s="1"/>
      <c r="K30" s="1">
        <f t="shared" si="19"/>
        <v>1697417.0799016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>
        <f t="shared" si="15"/>
        <v>4.7299999999999981E-3</v>
      </c>
      <c r="E31" s="24">
        <f t="shared" si="16"/>
        <v>1.8180000000000002E-2</v>
      </c>
      <c r="F31" s="25">
        <f>+F10-F21</f>
        <v>-1.8180000000000002E-2</v>
      </c>
      <c r="G31" s="7">
        <f t="shared" si="17"/>
        <v>980235.83000000007</v>
      </c>
      <c r="H31" s="1"/>
      <c r="I31" s="1"/>
      <c r="J31" s="1"/>
      <c r="K31" s="1">
        <f t="shared" si="19"/>
        <v>338771.82193760003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>
        <f t="shared" si="15"/>
        <v>4.7299999999999981E-3</v>
      </c>
      <c r="E32" s="37">
        <f t="shared" si="16"/>
        <v>1.8180000000000002E-2</v>
      </c>
      <c r="F32" s="38">
        <f>+F11-F22</f>
        <v>-1.8180000000000002E-2</v>
      </c>
      <c r="G32" s="7">
        <f t="shared" si="17"/>
        <v>1410232.96</v>
      </c>
      <c r="H32" s="1"/>
      <c r="I32" s="1"/>
      <c r="J32" s="1"/>
      <c r="K32" s="1">
        <f t="shared" si="19"/>
        <v>257144.97001429991</v>
      </c>
      <c r="M32" s="2"/>
      <c r="N32" s="21"/>
    </row>
    <row r="33" spans="7:12" ht="15" thickBot="1">
      <c r="G33" s="6">
        <f>SUM(G28:G32)</f>
        <v>7701353.410000002</v>
      </c>
      <c r="H33" s="8">
        <f t="shared" ref="H33:J33" si="20">SUM(H28:H32)</f>
        <v>0</v>
      </c>
      <c r="I33" s="8">
        <f t="shared" si="20"/>
        <v>0</v>
      </c>
      <c r="J33" s="8">
        <f t="shared" si="20"/>
        <v>0</v>
      </c>
      <c r="K33" s="65">
        <f>SUM(K28:K32)</f>
        <v>2468534.2504008999</v>
      </c>
      <c r="L33" s="4" t="s">
        <v>63</v>
      </c>
    </row>
    <row r="34" spans="7:12" ht="15" thickTop="1"/>
    <row r="36" spans="7:12">
      <c r="K36" s="2"/>
    </row>
  </sheetData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G24" sqref="G24:H24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3.44140625" customWidth="1"/>
    <col min="13" max="13" width="20.6640625" customWidth="1"/>
    <col min="14" max="14" width="15" bestFit="1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45</v>
      </c>
      <c r="N6" s="49" t="s">
        <v>46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9.0999999999999998E-2</v>
      </c>
      <c r="C7" s="32">
        <v>3.8700000000000002E-3</v>
      </c>
      <c r="D7" s="32">
        <v>0.12559999999999999</v>
      </c>
      <c r="E7" s="32">
        <f>+C7+D7</f>
        <v>0.12947</v>
      </c>
      <c r="F7" s="33">
        <f>+B7-E7</f>
        <v>-3.8470000000000004E-2</v>
      </c>
      <c r="G7" s="7">
        <v>3480431.65</v>
      </c>
      <c r="H7" s="48">
        <f>B7*G7</f>
        <v>316719.28015000001</v>
      </c>
      <c r="I7" s="48">
        <f>C7*G7</f>
        <v>13469.270485500001</v>
      </c>
      <c r="J7" s="48">
        <f>D7*G7</f>
        <v>437142.21523999993</v>
      </c>
      <c r="K7" s="1">
        <v>-244200.44</v>
      </c>
      <c r="M7" s="16">
        <f>H7-I7-J7</f>
        <v>-133892.20557549992</v>
      </c>
      <c r="N7" s="16">
        <f>K7-M7</f>
        <v>-110308.23442450009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0.106</v>
      </c>
      <c r="C8" s="24">
        <v>3.8700000000000002E-3</v>
      </c>
      <c r="D8" s="24">
        <v>0.12559999999999999</v>
      </c>
      <c r="E8" s="24">
        <f t="shared" ref="E8:E11" si="0">+C8+D8</f>
        <v>0.12947</v>
      </c>
      <c r="F8" s="25">
        <f t="shared" ref="F8:F11" si="1">+B8-E8</f>
        <v>-2.3470000000000005E-2</v>
      </c>
      <c r="G8" s="7">
        <v>3024644.95</v>
      </c>
      <c r="H8" s="48">
        <f t="shared" ref="H8:H11" si="2">B8*G8</f>
        <v>320612.36470000003</v>
      </c>
      <c r="I8" s="48">
        <f t="shared" ref="I8:I11" si="3">C8*G8</f>
        <v>11705.375956500002</v>
      </c>
      <c r="J8" s="48">
        <f t="shared" ref="J8:J11" si="4">D8*G8</f>
        <v>379895.40571999998</v>
      </c>
      <c r="K8" s="1">
        <v>-170005.39</v>
      </c>
      <c r="M8" s="16">
        <f t="shared" ref="M8:M11" si="5">H8-I8-J8</f>
        <v>-70988.416976499953</v>
      </c>
      <c r="N8" s="16">
        <f t="shared" ref="N8:N11" si="6">K8-M8</f>
        <v>-99016.973023500061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7.6999999999999999E-2</v>
      </c>
      <c r="C9" s="24">
        <v>3.3600000000000001E-3</v>
      </c>
      <c r="D9" s="24">
        <v>0.12559999999999999</v>
      </c>
      <c r="E9" s="24">
        <f t="shared" si="0"/>
        <v>0.12895999999999999</v>
      </c>
      <c r="F9" s="25">
        <f t="shared" si="1"/>
        <v>-5.1959999999999992E-2</v>
      </c>
      <c r="G9" s="7">
        <v>25422168.859999999</v>
      </c>
      <c r="H9" s="48">
        <f t="shared" si="2"/>
        <v>1957507.0022199999</v>
      </c>
      <c r="I9" s="48">
        <f t="shared" si="3"/>
        <v>85418.4873696</v>
      </c>
      <c r="J9" s="48">
        <f t="shared" si="4"/>
        <v>3193024.4088159995</v>
      </c>
      <c r="K9" s="1">
        <v>-2134705.39</v>
      </c>
      <c r="M9" s="16">
        <f t="shared" si="5"/>
        <v>-1320935.8939655996</v>
      </c>
      <c r="N9" s="16">
        <f t="shared" si="6"/>
        <v>-813769.49603440054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0.113</v>
      </c>
      <c r="C10" s="24">
        <v>3.3600000000000001E-3</v>
      </c>
      <c r="D10" s="24">
        <v>0.12559999999999999</v>
      </c>
      <c r="E10" s="24">
        <f t="shared" si="0"/>
        <v>0.12895999999999999</v>
      </c>
      <c r="F10" s="25">
        <f t="shared" si="1"/>
        <v>-1.5959999999999988E-2</v>
      </c>
      <c r="G10" s="7">
        <v>7449815.9100000001</v>
      </c>
      <c r="H10" s="48">
        <f t="shared" si="2"/>
        <v>841829.19783000008</v>
      </c>
      <c r="I10" s="48">
        <f t="shared" si="3"/>
        <v>25031.3814576</v>
      </c>
      <c r="J10" s="48">
        <f t="shared" si="4"/>
        <v>935696.87829599995</v>
      </c>
      <c r="K10" s="1">
        <v>-352957.44</v>
      </c>
      <c r="M10" s="16">
        <f t="shared" si="5"/>
        <v>-118899.06192359992</v>
      </c>
      <c r="N10" s="16">
        <f t="shared" si="6"/>
        <v>-234058.37807640008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0.157</v>
      </c>
      <c r="C11" s="37">
        <v>3.3600000000000001E-3</v>
      </c>
      <c r="D11" s="37">
        <v>0.12559999999999999</v>
      </c>
      <c r="E11" s="37">
        <f t="shared" si="0"/>
        <v>0.12895999999999999</v>
      </c>
      <c r="F11" s="38">
        <f t="shared" si="1"/>
        <v>2.8040000000000009E-2</v>
      </c>
      <c r="G11" s="7">
        <v>7349890.0899999999</v>
      </c>
      <c r="H11" s="48">
        <f t="shared" si="2"/>
        <v>1153932.74413</v>
      </c>
      <c r="I11" s="48">
        <f t="shared" si="3"/>
        <v>24695.630702400002</v>
      </c>
      <c r="J11" s="48">
        <f t="shared" si="4"/>
        <v>923146.19530399994</v>
      </c>
      <c r="K11" s="1">
        <v>-21018</v>
      </c>
      <c r="M11" s="64">
        <f t="shared" si="5"/>
        <v>206090.91812359996</v>
      </c>
      <c r="N11" s="64">
        <f t="shared" si="6"/>
        <v>-227108.91812359996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46726951.460000008</v>
      </c>
      <c r="H12" s="8">
        <f t="shared" ref="H12:J12" si="7">SUM(H7:H11)</f>
        <v>4590600.5890299994</v>
      </c>
      <c r="I12" s="8">
        <f t="shared" si="7"/>
        <v>160320.14597160002</v>
      </c>
      <c r="J12" s="8">
        <f t="shared" si="7"/>
        <v>5868905.1033759993</v>
      </c>
      <c r="K12" s="39">
        <f>SUM(K7:K11)</f>
        <v>-2922886.66</v>
      </c>
      <c r="M12" s="70">
        <f>SUM(M7:M11)</f>
        <v>-1438624.6603175993</v>
      </c>
      <c r="N12" s="68">
        <f>SUM(N7:N11)</f>
        <v>-1484261.9996824008</v>
      </c>
      <c r="O12" s="3" t="s">
        <v>66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9.0999999999999998E-2</v>
      </c>
      <c r="C18" s="32">
        <v>4.7299999999999998E-3</v>
      </c>
      <c r="D18" s="60">
        <v>0.11848</v>
      </c>
      <c r="E18" s="32">
        <f>+C18+D18</f>
        <v>0.12321</v>
      </c>
      <c r="F18" s="33">
        <f>+B18-E18</f>
        <v>-3.2210000000000003E-2</v>
      </c>
      <c r="G18" s="7">
        <v>3470392.69</v>
      </c>
      <c r="H18" s="1">
        <f>+G18*B18</f>
        <v>315805.73478999996</v>
      </c>
      <c r="I18" s="1">
        <f>+G18*C18</f>
        <v>16414.957423699998</v>
      </c>
      <c r="J18" s="1">
        <f>+G18*D18</f>
        <v>411172.12591120001</v>
      </c>
      <c r="K18" s="1">
        <f>+H18-I18-J18</f>
        <v>-111781.34854490007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0.106</v>
      </c>
      <c r="C19" s="24">
        <v>4.7299999999999998E-3</v>
      </c>
      <c r="D19" s="61">
        <v>0.11848</v>
      </c>
      <c r="E19" s="24">
        <f t="shared" ref="E19:E22" si="8">+C19+D19</f>
        <v>0.12321</v>
      </c>
      <c r="F19" s="25">
        <f t="shared" ref="F19:F22" si="9">+B19-E19</f>
        <v>-1.7210000000000003E-2</v>
      </c>
      <c r="G19" s="7">
        <v>3206823.82</v>
      </c>
      <c r="H19" s="1">
        <f t="shared" ref="H19:H22" si="10">+G19*B19</f>
        <v>339923.32491999998</v>
      </c>
      <c r="I19" s="1">
        <f t="shared" ref="I19:I22" si="11">+G19*C19</f>
        <v>15168.2766686</v>
      </c>
      <c r="J19" s="1">
        <f t="shared" ref="J19:J22" si="12">+G19*D19</f>
        <v>379944.48619359999</v>
      </c>
      <c r="K19" s="1">
        <f t="shared" ref="K19:K22" si="13">+H19-I19-J19</f>
        <v>-55189.437942199991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7.6999999999999999E-2</v>
      </c>
      <c r="C20" s="24">
        <v>4.7299999999999998E-3</v>
      </c>
      <c r="D20" s="61">
        <v>0.11848</v>
      </c>
      <c r="E20" s="24">
        <f t="shared" si="8"/>
        <v>0.12321</v>
      </c>
      <c r="F20" s="25">
        <f t="shared" si="9"/>
        <v>-4.6210000000000001E-2</v>
      </c>
      <c r="G20" s="7">
        <v>27178158.359999999</v>
      </c>
      <c r="H20" s="1">
        <f t="shared" si="10"/>
        <v>2092718.1937199999</v>
      </c>
      <c r="I20" s="1">
        <f t="shared" si="11"/>
        <v>128552.68904279999</v>
      </c>
      <c r="J20" s="1">
        <f t="shared" si="12"/>
        <v>3220068.2024928001</v>
      </c>
      <c r="K20" s="1">
        <f t="shared" si="13"/>
        <v>-1255902.6978156003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0.113</v>
      </c>
      <c r="C21" s="24">
        <v>4.7299999999999998E-3</v>
      </c>
      <c r="D21" s="61">
        <v>0.11848</v>
      </c>
      <c r="E21" s="24">
        <f t="shared" si="8"/>
        <v>0.12321</v>
      </c>
      <c r="F21" s="25">
        <f t="shared" si="9"/>
        <v>-1.0209999999999997E-2</v>
      </c>
      <c r="G21" s="7">
        <v>8504483.0700000003</v>
      </c>
      <c r="H21" s="1">
        <f t="shared" si="10"/>
        <v>961006.58691000007</v>
      </c>
      <c r="I21" s="1">
        <f t="shared" si="11"/>
        <v>40226.204921099998</v>
      </c>
      <c r="J21" s="1">
        <f t="shared" si="12"/>
        <v>1007611.1541336001</v>
      </c>
      <c r="K21" s="1">
        <f t="shared" si="13"/>
        <v>-86830.772144700051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0.157</v>
      </c>
      <c r="C22" s="37">
        <v>4.7299999999999998E-3</v>
      </c>
      <c r="D22" s="62">
        <v>0.11848</v>
      </c>
      <c r="E22" s="37">
        <f t="shared" si="8"/>
        <v>0.12321</v>
      </c>
      <c r="F22" s="38">
        <f t="shared" si="9"/>
        <v>3.3790000000000001E-2</v>
      </c>
      <c r="G22" s="7">
        <v>8670863.1999999993</v>
      </c>
      <c r="H22" s="1">
        <f t="shared" si="10"/>
        <v>1361325.5223999999</v>
      </c>
      <c r="I22" s="1">
        <f t="shared" si="11"/>
        <v>41013.182935999997</v>
      </c>
      <c r="J22" s="1">
        <f t="shared" si="12"/>
        <v>1027323.871936</v>
      </c>
      <c r="K22" s="1">
        <f t="shared" si="13"/>
        <v>292988.46752800001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51030721.140000001</v>
      </c>
      <c r="H23" s="39">
        <f t="shared" ref="H23:J23" si="14">SUM(H18:H22)</f>
        <v>5070779.3627399998</v>
      </c>
      <c r="I23" s="8">
        <f t="shared" si="14"/>
        <v>241375.31099219999</v>
      </c>
      <c r="J23" s="8">
        <f t="shared" si="14"/>
        <v>6046119.8406672003</v>
      </c>
      <c r="K23" s="8">
        <f>SUM(K18:K22)</f>
        <v>-1216715.7889194004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G24" t="s">
        <v>81</v>
      </c>
      <c r="H24" s="85">
        <f>H23/G23</f>
        <v>9.9367189987940654E-2</v>
      </c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>
        <f t="shared" ref="D28:F32" si="15">+D7-D18</f>
        <v>7.1199999999999875E-3</v>
      </c>
      <c r="E28" s="32">
        <f t="shared" si="15"/>
        <v>6.2600000000000017E-3</v>
      </c>
      <c r="F28" s="33">
        <f>+F7-F18</f>
        <v>-6.2600000000000017E-3</v>
      </c>
      <c r="G28" s="7">
        <f t="shared" ref="G28:G32" si="16">+G7-G18</f>
        <v>10038.959999999963</v>
      </c>
      <c r="H28" s="1"/>
      <c r="I28" s="1"/>
      <c r="J28" s="1"/>
      <c r="K28" s="1">
        <f>K18-K7</f>
        <v>132419.09145509993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>
        <f t="shared" si="15"/>
        <v>7.1199999999999875E-3</v>
      </c>
      <c r="E29" s="24">
        <f t="shared" si="15"/>
        <v>6.2600000000000017E-3</v>
      </c>
      <c r="F29" s="25">
        <f t="shared" si="15"/>
        <v>-6.2600000000000017E-3</v>
      </c>
      <c r="G29" s="7">
        <f t="shared" si="16"/>
        <v>-182178.86999999965</v>
      </c>
      <c r="H29" s="1"/>
      <c r="I29" s="1"/>
      <c r="J29" s="1"/>
      <c r="K29" s="1">
        <f t="shared" ref="K29:K32" si="17">K19-K8</f>
        <v>114815.95205780002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>
        <f t="shared" si="15"/>
        <v>7.1199999999999875E-3</v>
      </c>
      <c r="E30" s="24">
        <f>+E9-E20</f>
        <v>5.7499999999999912E-3</v>
      </c>
      <c r="F30" s="25">
        <f t="shared" si="15"/>
        <v>-5.7499999999999912E-3</v>
      </c>
      <c r="G30" s="7">
        <f t="shared" si="16"/>
        <v>-1755989.5</v>
      </c>
      <c r="H30" s="1"/>
      <c r="I30" s="1"/>
      <c r="J30" s="1"/>
      <c r="K30" s="1">
        <f t="shared" si="17"/>
        <v>878802.69218439981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>
        <f t="shared" si="15"/>
        <v>7.1199999999999875E-3</v>
      </c>
      <c r="E31" s="24">
        <f t="shared" si="15"/>
        <v>5.7499999999999912E-3</v>
      </c>
      <c r="F31" s="25">
        <f t="shared" si="15"/>
        <v>-5.7499999999999912E-3</v>
      </c>
      <c r="G31" s="7">
        <f t="shared" si="16"/>
        <v>-1054667.1600000001</v>
      </c>
      <c r="H31" s="1"/>
      <c r="I31" s="1"/>
      <c r="J31" s="1"/>
      <c r="K31" s="1">
        <f t="shared" si="17"/>
        <v>266126.66785529995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>
        <f t="shared" si="15"/>
        <v>7.1199999999999875E-3</v>
      </c>
      <c r="E32" s="37">
        <f t="shared" si="15"/>
        <v>5.7499999999999912E-3</v>
      </c>
      <c r="F32" s="38">
        <f t="shared" si="15"/>
        <v>-5.7499999999999912E-3</v>
      </c>
      <c r="G32" s="7">
        <f t="shared" si="16"/>
        <v>-1320973.1099999994</v>
      </c>
      <c r="H32" s="1"/>
      <c r="I32" s="1"/>
      <c r="J32" s="1"/>
      <c r="K32" s="1">
        <f t="shared" si="17"/>
        <v>314006.46752800001</v>
      </c>
      <c r="M32" s="2"/>
      <c r="N32" s="21"/>
    </row>
    <row r="33" spans="7:12" ht="15" thickBot="1">
      <c r="G33" s="6">
        <f>SUM(G28:G32)</f>
        <v>-4303769.68</v>
      </c>
      <c r="H33" s="8">
        <f t="shared" ref="H33:J33" si="18">SUM(H28:H32)</f>
        <v>0</v>
      </c>
      <c r="I33" s="8">
        <f t="shared" si="18"/>
        <v>0</v>
      </c>
      <c r="J33" s="8">
        <f t="shared" si="18"/>
        <v>0</v>
      </c>
      <c r="K33" s="65">
        <f>SUM(K28:K32)</f>
        <v>1706170.8710805997</v>
      </c>
      <c r="L33" s="4" t="s">
        <v>64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opLeftCell="B2" zoomScale="80" zoomScaleNormal="80" workbookViewId="0">
      <selection activeCell="G24" sqref="G24:H24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2.4414062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45</v>
      </c>
      <c r="N6" s="49" t="s">
        <v>46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32">
        <v>6.43E-3</v>
      </c>
      <c r="D7" s="32">
        <v>0.10199999999999999</v>
      </c>
      <c r="E7" s="32">
        <f>+C7+D7</f>
        <v>0.10843</v>
      </c>
      <c r="F7" s="33">
        <f>+B7-E7</f>
        <v>-3.143E-2</v>
      </c>
      <c r="G7" s="7">
        <v>3649609.03</v>
      </c>
      <c r="H7" s="48">
        <f>B7*G7</f>
        <v>281019.89530999999</v>
      </c>
      <c r="I7" s="48">
        <f>C7*G7</f>
        <v>23466.9860629</v>
      </c>
      <c r="J7" s="48">
        <f>D7*G7</f>
        <v>372260.12105999998</v>
      </c>
      <c r="K7" s="1">
        <v>-109828.36</v>
      </c>
      <c r="M7" s="16">
        <f>H7-I7-J7</f>
        <v>-114707.21181289997</v>
      </c>
      <c r="N7" s="16">
        <f>K7-M7</f>
        <v>4878.8518128999713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6.43E-3</v>
      </c>
      <c r="D8" s="24">
        <v>0.10199999999999999</v>
      </c>
      <c r="E8" s="24">
        <f t="shared" ref="E8:E11" si="0">+C8+D8</f>
        <v>0.10843</v>
      </c>
      <c r="F8" s="25">
        <f t="shared" ref="F8:F11" si="1">+B8-E8</f>
        <v>-1.8430000000000002E-2</v>
      </c>
      <c r="G8" s="7">
        <v>3252498.78</v>
      </c>
      <c r="H8" s="48">
        <f t="shared" ref="H8:H11" si="2">B8*G8</f>
        <v>292724.89019999997</v>
      </c>
      <c r="I8" s="48">
        <f t="shared" ref="I8:I11" si="3">C8*G8</f>
        <v>20913.5671554</v>
      </c>
      <c r="J8" s="48">
        <f t="shared" ref="J8:J11" si="4">D8*G8</f>
        <v>331754.87555999996</v>
      </c>
      <c r="K8" s="1">
        <v>-53083.02</v>
      </c>
      <c r="M8" s="16">
        <f t="shared" ref="M8:M11" si="5">H8-I8-J8</f>
        <v>-59943.552515399992</v>
      </c>
      <c r="N8" s="16">
        <f t="shared" ref="N8:N11" si="6">K8-M8</f>
        <v>6860.5325153999947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6.8599999999999998E-3</v>
      </c>
      <c r="D9" s="24">
        <v>0.10199999999999999</v>
      </c>
      <c r="E9" s="24">
        <f t="shared" si="0"/>
        <v>0.10886</v>
      </c>
      <c r="F9" s="25">
        <f t="shared" si="1"/>
        <v>-4.3859999999999996E-2</v>
      </c>
      <c r="G9" s="7">
        <v>28165794.91</v>
      </c>
      <c r="H9" s="48">
        <f t="shared" si="2"/>
        <v>1830776.66915</v>
      </c>
      <c r="I9" s="48">
        <f t="shared" si="3"/>
        <v>193217.35308259999</v>
      </c>
      <c r="J9" s="48">
        <f t="shared" si="4"/>
        <v>2872911.0808199998</v>
      </c>
      <c r="K9" s="1">
        <v>-1315168.27</v>
      </c>
      <c r="M9" s="16">
        <f t="shared" si="5"/>
        <v>-1235351.7647525999</v>
      </c>
      <c r="N9" s="16">
        <f t="shared" si="6"/>
        <v>-79816.505247400142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6.8599999999999998E-3</v>
      </c>
      <c r="D10" s="24">
        <v>0.10199999999999999</v>
      </c>
      <c r="E10" s="24">
        <f t="shared" si="0"/>
        <v>0.10886</v>
      </c>
      <c r="F10" s="25">
        <f t="shared" si="1"/>
        <v>-1.3859999999999997E-2</v>
      </c>
      <c r="G10" s="7">
        <v>8146714.1699999999</v>
      </c>
      <c r="H10" s="48">
        <f t="shared" si="2"/>
        <v>773937.84615</v>
      </c>
      <c r="I10" s="48">
        <f t="shared" si="3"/>
        <v>55886.459206200001</v>
      </c>
      <c r="J10" s="48">
        <f t="shared" si="4"/>
        <v>830964.84533999988</v>
      </c>
      <c r="K10" s="1">
        <v>-88349.42</v>
      </c>
      <c r="M10" s="16">
        <f t="shared" si="5"/>
        <v>-112913.45839619986</v>
      </c>
      <c r="N10" s="16">
        <f t="shared" si="6"/>
        <v>24564.03839619986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6.8599999999999998E-3</v>
      </c>
      <c r="D11" s="37">
        <v>0.10199999999999999</v>
      </c>
      <c r="E11" s="37">
        <f t="shared" si="0"/>
        <v>0.10886</v>
      </c>
      <c r="F11" s="38">
        <f t="shared" si="1"/>
        <v>2.3140000000000008E-2</v>
      </c>
      <c r="G11" s="7">
        <v>8364267.46</v>
      </c>
      <c r="H11" s="48">
        <f t="shared" si="2"/>
        <v>1104083.3047200001</v>
      </c>
      <c r="I11" s="48">
        <f t="shared" si="3"/>
        <v>57378.874775600001</v>
      </c>
      <c r="J11" s="48">
        <f t="shared" si="4"/>
        <v>853155.28091999993</v>
      </c>
      <c r="K11" s="1">
        <v>268678.81</v>
      </c>
      <c r="M11" s="64">
        <f t="shared" si="5"/>
        <v>193549.14902440016</v>
      </c>
      <c r="N11" s="64">
        <f t="shared" si="6"/>
        <v>75129.660975599836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51578884.350000001</v>
      </c>
      <c r="H12" s="8">
        <f t="shared" ref="H12:J12" si="7">SUM(H7:H11)</f>
        <v>4282542.6055300003</v>
      </c>
      <c r="I12" s="8">
        <f t="shared" si="7"/>
        <v>350863.24028269999</v>
      </c>
      <c r="J12" s="8">
        <f t="shared" si="7"/>
        <v>5261046.2036999995</v>
      </c>
      <c r="K12" s="39">
        <f>SUM(K7:K11)</f>
        <v>-1297750.2599999998</v>
      </c>
      <c r="M12" s="70">
        <f>SUM(M7:M11)</f>
        <v>-1329366.8384526996</v>
      </c>
      <c r="N12" s="69">
        <f>SUM(N7:N11)</f>
        <v>31616.578452699512</v>
      </c>
      <c r="O12" s="3" t="s">
        <v>67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1.166E-2</v>
      </c>
      <c r="D18" s="60">
        <v>0.1128</v>
      </c>
      <c r="E18" s="32">
        <f>+C18+D18</f>
        <v>0.12446</v>
      </c>
      <c r="F18" s="33">
        <f>+B18-E18</f>
        <v>-4.7460000000000002E-2</v>
      </c>
      <c r="G18" s="7">
        <v>3715043.39</v>
      </c>
      <c r="H18" s="1">
        <f>+G18*B18</f>
        <v>286058.34103000001</v>
      </c>
      <c r="I18" s="1">
        <f>+G18*C18</f>
        <v>43317.405927400003</v>
      </c>
      <c r="J18" s="1">
        <f>+G18*D18</f>
        <v>419056.89439199999</v>
      </c>
      <c r="K18" s="1">
        <f>+H18-I18-J18</f>
        <v>-176315.95928939997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1.166E-2</v>
      </c>
      <c r="D19" s="61">
        <v>0.1128</v>
      </c>
      <c r="E19" s="24">
        <f t="shared" ref="E19:E22" si="8">+C19+D19</f>
        <v>0.12446</v>
      </c>
      <c r="F19" s="25">
        <f t="shared" ref="F19:F22" si="9">+B19-E19</f>
        <v>-3.4460000000000005E-2</v>
      </c>
      <c r="G19" s="7">
        <v>3507835.44</v>
      </c>
      <c r="H19" s="1">
        <f t="shared" ref="H19:H22" si="10">+G19*B19</f>
        <v>315705.18959999998</v>
      </c>
      <c r="I19" s="1">
        <f t="shared" ref="I19:I22" si="11">+G19*C19</f>
        <v>40901.361230399998</v>
      </c>
      <c r="J19" s="1">
        <f t="shared" ref="J19:J22" si="12">+G19*D19</f>
        <v>395683.83763199998</v>
      </c>
      <c r="K19" s="1">
        <f t="shared" ref="K19:K22" si="13">+H19-I19-J19</f>
        <v>-120880.00926239998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1.166E-2</v>
      </c>
      <c r="D20" s="61">
        <v>0.1128</v>
      </c>
      <c r="E20" s="24">
        <f t="shared" si="8"/>
        <v>0.12446</v>
      </c>
      <c r="F20" s="25">
        <f t="shared" si="9"/>
        <v>-5.9459999999999999E-2</v>
      </c>
      <c r="G20" s="7">
        <v>31652352.48</v>
      </c>
      <c r="H20" s="1">
        <f t="shared" si="10"/>
        <v>2057402.9112000002</v>
      </c>
      <c r="I20" s="1">
        <f t="shared" si="11"/>
        <v>369066.4299168</v>
      </c>
      <c r="J20" s="1">
        <f t="shared" si="12"/>
        <v>3570385.3597439998</v>
      </c>
      <c r="K20" s="1">
        <f t="shared" si="13"/>
        <v>-1882048.8784607996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1.166E-2</v>
      </c>
      <c r="D21" s="61">
        <v>0.1128</v>
      </c>
      <c r="E21" s="24">
        <f t="shared" si="8"/>
        <v>0.12446</v>
      </c>
      <c r="F21" s="25">
        <f t="shared" si="9"/>
        <v>-2.946E-2</v>
      </c>
      <c r="G21" s="7">
        <v>8591295.0700000003</v>
      </c>
      <c r="H21" s="1">
        <f t="shared" si="10"/>
        <v>816173.03165000002</v>
      </c>
      <c r="I21" s="1">
        <f t="shared" si="11"/>
        <v>100174.5005162</v>
      </c>
      <c r="J21" s="1">
        <f t="shared" si="12"/>
        <v>969098.08389600005</v>
      </c>
      <c r="K21" s="1">
        <f t="shared" si="13"/>
        <v>-253099.55276220001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1.166E-2</v>
      </c>
      <c r="D22" s="62">
        <v>0.1128</v>
      </c>
      <c r="E22" s="37">
        <f t="shared" si="8"/>
        <v>0.12446</v>
      </c>
      <c r="F22" s="38">
        <f t="shared" si="9"/>
        <v>7.540000000000005E-3</v>
      </c>
      <c r="G22" s="7">
        <v>9227688.5700000003</v>
      </c>
      <c r="H22" s="1">
        <f t="shared" si="10"/>
        <v>1218054.89124</v>
      </c>
      <c r="I22" s="1">
        <f t="shared" si="11"/>
        <v>107594.84872620001</v>
      </c>
      <c r="J22" s="1">
        <f t="shared" si="12"/>
        <v>1040883.270696</v>
      </c>
      <c r="K22" s="1">
        <f t="shared" si="13"/>
        <v>69576.771817800123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56694214.950000003</v>
      </c>
      <c r="H23" s="39">
        <f t="shared" ref="H23:J23" si="14">SUM(H18:H22)</f>
        <v>4693394.36472</v>
      </c>
      <c r="I23" s="8">
        <f t="shared" si="14"/>
        <v>661054.54631700006</v>
      </c>
      <c r="J23" s="8">
        <f t="shared" si="14"/>
        <v>6395107.4463600004</v>
      </c>
      <c r="K23" s="8">
        <f>SUM(K18:K22)</f>
        <v>-2362767.6279569995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G24" t="s">
        <v>81</v>
      </c>
      <c r="H24" s="85">
        <f>H23/G23</f>
        <v>8.2784361135597659E-2</v>
      </c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>
        <f t="shared" ref="D28:F32" si="15">+D7-D18</f>
        <v>-1.0800000000000004E-2</v>
      </c>
      <c r="E28" s="32">
        <f t="shared" si="15"/>
        <v>-1.6030000000000003E-2</v>
      </c>
      <c r="F28" s="33">
        <f>+F7-F18</f>
        <v>1.6030000000000003E-2</v>
      </c>
      <c r="G28" s="7">
        <f t="shared" ref="G28:G32" si="16">+G7-G18</f>
        <v>-65434.360000000335</v>
      </c>
      <c r="H28" s="1"/>
      <c r="I28" s="1"/>
      <c r="J28" s="1"/>
      <c r="K28" s="1">
        <f>K18-K7</f>
        <v>-66487.599289399965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>
        <f t="shared" si="15"/>
        <v>-1.0800000000000004E-2</v>
      </c>
      <c r="E29" s="24">
        <f t="shared" si="15"/>
        <v>-1.6030000000000003E-2</v>
      </c>
      <c r="F29" s="25">
        <f t="shared" si="15"/>
        <v>1.6030000000000003E-2</v>
      </c>
      <c r="G29" s="7">
        <f t="shared" si="16"/>
        <v>-255336.66000000015</v>
      </c>
      <c r="H29" s="1"/>
      <c r="I29" s="1"/>
      <c r="J29" s="1"/>
      <c r="K29" s="1">
        <f t="shared" ref="K29:K32" si="17">K19-K8</f>
        <v>-67796.989262399991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>
        <f t="shared" si="15"/>
        <v>-1.0800000000000004E-2</v>
      </c>
      <c r="E30" s="24">
        <f>+E9-E20</f>
        <v>-1.5600000000000003E-2</v>
      </c>
      <c r="F30" s="25">
        <f t="shared" si="15"/>
        <v>1.5600000000000003E-2</v>
      </c>
      <c r="G30" s="7">
        <f t="shared" si="16"/>
        <v>-3486557.5700000003</v>
      </c>
      <c r="H30" s="1"/>
      <c r="I30" s="1"/>
      <c r="J30" s="1"/>
      <c r="K30" s="1">
        <f t="shared" si="17"/>
        <v>-566880.60846079956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>
        <f t="shared" si="15"/>
        <v>-1.0800000000000004E-2</v>
      </c>
      <c r="E31" s="24">
        <f t="shared" si="15"/>
        <v>-1.5600000000000003E-2</v>
      </c>
      <c r="F31" s="25">
        <f t="shared" si="15"/>
        <v>1.5600000000000003E-2</v>
      </c>
      <c r="G31" s="7">
        <f t="shared" si="16"/>
        <v>-444580.90000000037</v>
      </c>
      <c r="H31" s="1"/>
      <c r="I31" s="1"/>
      <c r="J31" s="1"/>
      <c r="K31" s="1">
        <f t="shared" si="17"/>
        <v>-164750.13276220002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>
        <f t="shared" si="15"/>
        <v>-1.0800000000000004E-2</v>
      </c>
      <c r="E32" s="37">
        <f t="shared" si="15"/>
        <v>-1.5600000000000003E-2</v>
      </c>
      <c r="F32" s="38">
        <f t="shared" si="15"/>
        <v>1.5600000000000003E-2</v>
      </c>
      <c r="G32" s="7">
        <f t="shared" si="16"/>
        <v>-863421.11000000034</v>
      </c>
      <c r="H32" s="1"/>
      <c r="I32" s="1"/>
      <c r="J32" s="1"/>
      <c r="K32" s="1">
        <f t="shared" si="17"/>
        <v>-199102.03818219987</v>
      </c>
      <c r="M32" s="2"/>
      <c r="N32" s="21"/>
    </row>
    <row r="33" spans="7:12" ht="15" thickBot="1">
      <c r="G33" s="6">
        <f>SUM(G28:G32)</f>
        <v>-5115330.6000000015</v>
      </c>
      <c r="H33" s="8">
        <f t="shared" ref="H33:J33" si="18">SUM(H28:H32)</f>
        <v>0</v>
      </c>
      <c r="I33" s="8">
        <f t="shared" si="18"/>
        <v>0</v>
      </c>
      <c r="J33" s="8">
        <f t="shared" si="18"/>
        <v>0</v>
      </c>
      <c r="K33" s="65">
        <f>SUM(K28:K32)</f>
        <v>-1065017.3679569995</v>
      </c>
      <c r="L33" s="4" t="s">
        <v>62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G24" sqref="G24:H24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1.44140625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45</v>
      </c>
      <c r="N6" s="49" t="s">
        <v>46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32">
        <v>1.5049999999999999E-2</v>
      </c>
      <c r="D7" s="32">
        <v>0.1048</v>
      </c>
      <c r="E7" s="32">
        <f>+C7+D7</f>
        <v>0.11985</v>
      </c>
      <c r="F7" s="33">
        <f>+B7-E7</f>
        <v>-4.2849999999999999E-2</v>
      </c>
      <c r="G7" s="7">
        <v>3200926</v>
      </c>
      <c r="H7" s="48">
        <f>B7*G7</f>
        <v>246471.302</v>
      </c>
      <c r="I7" s="48">
        <f>C7*G7</f>
        <v>48173.936299999994</v>
      </c>
      <c r="J7" s="48">
        <f>D7*G7</f>
        <v>335457.04480000003</v>
      </c>
      <c r="K7" s="1">
        <v>-64652.24</v>
      </c>
      <c r="M7" s="16">
        <f>H7-I7-J7</f>
        <v>-137159.67910000004</v>
      </c>
      <c r="N7" s="16">
        <f>K7-M7</f>
        <v>72507.439100000047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1.5049999999999999E-2</v>
      </c>
      <c r="D8" s="24">
        <v>0.1048</v>
      </c>
      <c r="E8" s="24">
        <f t="shared" ref="E8:E11" si="0">+C8+D8</f>
        <v>0.11985</v>
      </c>
      <c r="F8" s="25">
        <f t="shared" ref="F8:F11" si="1">+B8-E8</f>
        <v>-2.9850000000000002E-2</v>
      </c>
      <c r="G8" s="7">
        <v>3236783.61</v>
      </c>
      <c r="H8" s="48">
        <f t="shared" ref="H8:H11" si="2">B8*G8</f>
        <v>291310.52489999996</v>
      </c>
      <c r="I8" s="48">
        <f t="shared" ref="I8:I11" si="3">C8*G8</f>
        <v>48713.593330499993</v>
      </c>
      <c r="J8" s="48">
        <f t="shared" ref="J8:J11" si="4">D8*G8</f>
        <v>339214.92232800002</v>
      </c>
      <c r="K8" s="1">
        <v>-26012.93</v>
      </c>
      <c r="M8" s="16">
        <f t="shared" ref="M8:M11" si="5">H8-I8-J8</f>
        <v>-96617.990758500062</v>
      </c>
      <c r="N8" s="16">
        <f t="shared" ref="N8:N11" si="6">K8-M8</f>
        <v>70605.060758500069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1.473E-2</v>
      </c>
      <c r="D9" s="24">
        <v>0.1048</v>
      </c>
      <c r="E9" s="24">
        <f t="shared" si="0"/>
        <v>0.11953</v>
      </c>
      <c r="F9" s="25">
        <f t="shared" si="1"/>
        <v>-5.4529999999999995E-2</v>
      </c>
      <c r="G9" s="7">
        <v>30663478.420000002</v>
      </c>
      <c r="H9" s="48">
        <f t="shared" si="2"/>
        <v>1993126.0973000003</v>
      </c>
      <c r="I9" s="48">
        <f t="shared" si="3"/>
        <v>451673.03712660004</v>
      </c>
      <c r="J9" s="48">
        <f t="shared" si="4"/>
        <v>3213532.5384160005</v>
      </c>
      <c r="K9" s="1">
        <v>-965342.59</v>
      </c>
      <c r="M9" s="16">
        <f t="shared" si="5"/>
        <v>-1672079.4782426003</v>
      </c>
      <c r="N9" s="16">
        <f t="shared" si="6"/>
        <v>706736.88824260037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1.473E-2</v>
      </c>
      <c r="D10" s="24">
        <v>0.1048</v>
      </c>
      <c r="E10" s="24">
        <f t="shared" si="0"/>
        <v>0.11953</v>
      </c>
      <c r="F10" s="25">
        <f t="shared" si="1"/>
        <v>-2.4529999999999996E-2</v>
      </c>
      <c r="G10" s="7">
        <v>9145326.7200000007</v>
      </c>
      <c r="H10" s="48">
        <f t="shared" si="2"/>
        <v>868806.03840000008</v>
      </c>
      <c r="I10" s="48">
        <f t="shared" si="3"/>
        <v>134710.66258560002</v>
      </c>
      <c r="J10" s="48">
        <f t="shared" si="4"/>
        <v>958430.24025600008</v>
      </c>
      <c r="K10" s="1">
        <v>-2226.77</v>
      </c>
      <c r="M10" s="16">
        <f t="shared" si="5"/>
        <v>-224334.86444160005</v>
      </c>
      <c r="N10" s="16">
        <f t="shared" si="6"/>
        <v>222108.09444160006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1.473E-2</v>
      </c>
      <c r="D11" s="37">
        <v>0.1048</v>
      </c>
      <c r="E11" s="37">
        <f t="shared" si="0"/>
        <v>0.11953</v>
      </c>
      <c r="F11" s="38">
        <f t="shared" si="1"/>
        <v>1.2470000000000009E-2</v>
      </c>
      <c r="G11" s="7">
        <v>9809814.6600000001</v>
      </c>
      <c r="H11" s="48">
        <f t="shared" si="2"/>
        <v>1294895.5351200001</v>
      </c>
      <c r="I11" s="48">
        <f t="shared" si="3"/>
        <v>144498.5699418</v>
      </c>
      <c r="J11" s="48">
        <f t="shared" si="4"/>
        <v>1028068.576368</v>
      </c>
      <c r="K11" s="1">
        <v>368635.39</v>
      </c>
      <c r="M11" s="64">
        <f t="shared" si="5"/>
        <v>122328.38881020003</v>
      </c>
      <c r="N11" s="64">
        <f t="shared" si="6"/>
        <v>246307.00118979998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56056329.409999996</v>
      </c>
      <c r="H12" s="8">
        <f t="shared" ref="H12:J12" si="7">SUM(H7:H11)</f>
        <v>4694609.4977200003</v>
      </c>
      <c r="I12" s="8">
        <f t="shared" si="7"/>
        <v>827769.79928450007</v>
      </c>
      <c r="J12" s="8">
        <f t="shared" si="7"/>
        <v>5874703.322168001</v>
      </c>
      <c r="K12" s="39">
        <f>SUM(K7:K11)</f>
        <v>-689599.14</v>
      </c>
      <c r="M12" s="70">
        <f>SUM(M7:M11)</f>
        <v>-2007863.6237325002</v>
      </c>
      <c r="N12" s="68">
        <f>SUM(N7:N11)</f>
        <v>1318264.4837325006</v>
      </c>
      <c r="O12" s="3" t="s">
        <v>66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1.5709999999999998E-2</v>
      </c>
      <c r="D18" s="60">
        <v>0.10109</v>
      </c>
      <c r="E18" s="32">
        <f>+C18+D18</f>
        <v>0.1168</v>
      </c>
      <c r="F18" s="33">
        <f>+B18-E18</f>
        <v>-3.9800000000000002E-2</v>
      </c>
      <c r="G18" s="7">
        <v>3477709.28</v>
      </c>
      <c r="H18" s="1">
        <f>+G18*B18</f>
        <v>267783.61455999996</v>
      </c>
      <c r="I18" s="1">
        <f>+G18*C18</f>
        <v>54634.812788799987</v>
      </c>
      <c r="J18" s="1">
        <f>+G18*D18</f>
        <v>351561.6311152</v>
      </c>
      <c r="K18" s="1">
        <f>+H18-I18-J18</f>
        <v>-138412.82934400003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1.5709999999999998E-2</v>
      </c>
      <c r="D19" s="61">
        <v>0.10109</v>
      </c>
      <c r="E19" s="24">
        <f t="shared" ref="E19:E22" si="8">+C19+D19</f>
        <v>0.1168</v>
      </c>
      <c r="F19" s="25">
        <f t="shared" ref="F19:F22" si="9">+B19-E19</f>
        <v>-2.6800000000000004E-2</v>
      </c>
      <c r="G19" s="7">
        <v>3275990.48</v>
      </c>
      <c r="H19" s="1">
        <f t="shared" ref="H19:H22" si="10">+G19*B19</f>
        <v>294839.14319999999</v>
      </c>
      <c r="I19" s="1">
        <f t="shared" ref="I19:I22" si="11">+G19*C19</f>
        <v>51465.810440799993</v>
      </c>
      <c r="J19" s="1">
        <f t="shared" ref="J19:J22" si="12">+G19*D19</f>
        <v>331169.87762320001</v>
      </c>
      <c r="K19" s="1">
        <f t="shared" ref="K19:K22" si="13">+H19-I19-J19</f>
        <v>-87796.544863999996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1.5709999999999998E-2</v>
      </c>
      <c r="D20" s="61">
        <v>0.10109</v>
      </c>
      <c r="E20" s="24">
        <f t="shared" si="8"/>
        <v>0.1168</v>
      </c>
      <c r="F20" s="25">
        <f t="shared" si="9"/>
        <v>-5.1799999999999999E-2</v>
      </c>
      <c r="G20" s="7">
        <v>27442290.550000001</v>
      </c>
      <c r="H20" s="1">
        <f t="shared" si="10"/>
        <v>1783748.8857500001</v>
      </c>
      <c r="I20" s="1">
        <f t="shared" si="11"/>
        <v>431118.38454049994</v>
      </c>
      <c r="J20" s="1">
        <f t="shared" si="12"/>
        <v>2774141.1516995002</v>
      </c>
      <c r="K20" s="1">
        <f t="shared" si="13"/>
        <v>-1421510.6504899999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1.5709999999999998E-2</v>
      </c>
      <c r="D21" s="61">
        <v>0.10109</v>
      </c>
      <c r="E21" s="24">
        <f t="shared" si="8"/>
        <v>0.1168</v>
      </c>
      <c r="F21" s="25">
        <f t="shared" si="9"/>
        <v>-2.18E-2</v>
      </c>
      <c r="G21" s="7">
        <v>8867231.3300000001</v>
      </c>
      <c r="H21" s="1">
        <f t="shared" si="10"/>
        <v>842386.97635000001</v>
      </c>
      <c r="I21" s="1">
        <f t="shared" si="11"/>
        <v>139304.20419429999</v>
      </c>
      <c r="J21" s="1">
        <f t="shared" si="12"/>
        <v>896388.41514970001</v>
      </c>
      <c r="K21" s="1">
        <f t="shared" si="13"/>
        <v>-193305.64299399999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1.5709999999999998E-2</v>
      </c>
      <c r="D22" s="62">
        <v>0.10109</v>
      </c>
      <c r="E22" s="37">
        <f t="shared" si="8"/>
        <v>0.1168</v>
      </c>
      <c r="F22" s="38">
        <f t="shared" si="9"/>
        <v>1.5200000000000005E-2</v>
      </c>
      <c r="G22" s="7">
        <v>9634871.8399999999</v>
      </c>
      <c r="H22" s="1">
        <f t="shared" si="10"/>
        <v>1271803.0828800001</v>
      </c>
      <c r="I22" s="1">
        <f t="shared" si="11"/>
        <v>151363.83660639997</v>
      </c>
      <c r="J22" s="1">
        <f t="shared" si="12"/>
        <v>973989.19430560002</v>
      </c>
      <c r="K22" s="1">
        <f t="shared" si="13"/>
        <v>146450.05196800001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52698093.480000004</v>
      </c>
      <c r="H23" s="39">
        <f t="shared" ref="H23:J23" si="14">SUM(H18:H22)</f>
        <v>4460561.7027400006</v>
      </c>
      <c r="I23" s="8">
        <f t="shared" si="14"/>
        <v>827887.04857079987</v>
      </c>
      <c r="J23" s="8">
        <f t="shared" si="14"/>
        <v>5327250.2698932001</v>
      </c>
      <c r="K23" s="8">
        <f>SUM(K18:K22)</f>
        <v>-1694575.6157240001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G24" t="s">
        <v>81</v>
      </c>
      <c r="H24" s="85">
        <f>H23/G23</f>
        <v>8.4643701663189658E-2</v>
      </c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>
        <f t="shared" ref="D28:F32" si="15">+D7-D18</f>
        <v>3.710000000000005E-3</v>
      </c>
      <c r="E28" s="32">
        <f t="shared" si="15"/>
        <v>3.0499999999999972E-3</v>
      </c>
      <c r="F28" s="33">
        <f>+F7-F18</f>
        <v>-3.0499999999999972E-3</v>
      </c>
      <c r="G28" s="7">
        <f t="shared" ref="G28:G32" si="16">+G7-G18</f>
        <v>-276783.2799999998</v>
      </c>
      <c r="H28" s="1"/>
      <c r="I28" s="1"/>
      <c r="J28" s="1"/>
      <c r="K28" s="1">
        <f>K18-K7</f>
        <v>-73760.589344000036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>
        <f t="shared" si="15"/>
        <v>3.710000000000005E-3</v>
      </c>
      <c r="E29" s="24">
        <f t="shared" si="15"/>
        <v>3.0499999999999972E-3</v>
      </c>
      <c r="F29" s="25">
        <f t="shared" si="15"/>
        <v>-3.0499999999999972E-3</v>
      </c>
      <c r="G29" s="7">
        <f t="shared" si="16"/>
        <v>-39206.870000000112</v>
      </c>
      <c r="H29" s="1"/>
      <c r="I29" s="1"/>
      <c r="J29" s="1"/>
      <c r="K29" s="1">
        <f t="shared" ref="K29:K32" si="17">K19-K8</f>
        <v>-61783.614863999996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>
        <f t="shared" si="15"/>
        <v>3.710000000000005E-3</v>
      </c>
      <c r="E30" s="24">
        <f>+E9-E20</f>
        <v>2.7299999999999963E-3</v>
      </c>
      <c r="F30" s="25">
        <f t="shared" si="15"/>
        <v>-2.7299999999999963E-3</v>
      </c>
      <c r="G30" s="7">
        <f t="shared" si="16"/>
        <v>3221187.870000001</v>
      </c>
      <c r="H30" s="1"/>
      <c r="I30" s="1"/>
      <c r="J30" s="1"/>
      <c r="K30" s="1">
        <f t="shared" si="17"/>
        <v>-456168.06048999995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>
        <f t="shared" si="15"/>
        <v>3.710000000000005E-3</v>
      </c>
      <c r="E31" s="24">
        <f t="shared" si="15"/>
        <v>2.7299999999999963E-3</v>
      </c>
      <c r="F31" s="25">
        <f t="shared" si="15"/>
        <v>-2.7299999999999963E-3</v>
      </c>
      <c r="G31" s="7">
        <f t="shared" si="16"/>
        <v>278095.3900000006</v>
      </c>
      <c r="H31" s="1"/>
      <c r="I31" s="1"/>
      <c r="J31" s="1"/>
      <c r="K31" s="1">
        <f t="shared" si="17"/>
        <v>-191078.872994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>
        <f t="shared" si="15"/>
        <v>3.710000000000005E-3</v>
      </c>
      <c r="E32" s="37">
        <f t="shared" si="15"/>
        <v>2.7299999999999963E-3</v>
      </c>
      <c r="F32" s="38">
        <f t="shared" si="15"/>
        <v>-2.7299999999999963E-3</v>
      </c>
      <c r="G32" s="7">
        <f t="shared" si="16"/>
        <v>174942.8200000003</v>
      </c>
      <c r="H32" s="1"/>
      <c r="I32" s="1"/>
      <c r="J32" s="1"/>
      <c r="K32" s="1">
        <f t="shared" si="17"/>
        <v>-222185.338032</v>
      </c>
      <c r="M32" s="2"/>
      <c r="N32" s="21"/>
    </row>
    <row r="33" spans="7:12" ht="15" thickBot="1">
      <c r="G33" s="6">
        <f>SUM(G28:G32)</f>
        <v>3358235.930000002</v>
      </c>
      <c r="H33" s="8">
        <f t="shared" ref="H33:J33" si="18">SUM(H28:H32)</f>
        <v>0</v>
      </c>
      <c r="I33" s="8">
        <f t="shared" si="18"/>
        <v>0</v>
      </c>
      <c r="J33" s="8">
        <f t="shared" si="18"/>
        <v>0</v>
      </c>
      <c r="K33" s="65">
        <f>SUM(K28:K32)</f>
        <v>-1004976.4757239999</v>
      </c>
      <c r="L33" s="4" t="s">
        <v>64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opLeftCell="A2" zoomScale="80" zoomScaleNormal="80" workbookViewId="0">
      <selection activeCell="G24" sqref="G24:H24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21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45</v>
      </c>
      <c r="N6" s="49" t="s">
        <v>46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32">
        <v>1.695E-2</v>
      </c>
      <c r="D7" s="32">
        <v>9.9000000000000005E-2</v>
      </c>
      <c r="E7" s="32">
        <f>+C7+D7</f>
        <v>0.11595</v>
      </c>
      <c r="F7" s="33">
        <f>+B7-E7</f>
        <v>-3.8949999999999999E-2</v>
      </c>
      <c r="G7" s="7">
        <v>3838749.37</v>
      </c>
      <c r="H7" s="48">
        <f>B7*G7</f>
        <v>295583.70149000001</v>
      </c>
      <c r="I7" s="48">
        <f>C7*G7</f>
        <v>65066.801821499997</v>
      </c>
      <c r="J7" s="48">
        <f>D7*G7</f>
        <v>380036.18763</v>
      </c>
      <c r="K7" s="1">
        <v>-148375.21</v>
      </c>
      <c r="M7" s="16">
        <f>H7-I7-J7</f>
        <v>-149519.2879615</v>
      </c>
      <c r="N7" s="16">
        <f>K7-M7</f>
        <v>1144.0779615000065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1.695E-2</v>
      </c>
      <c r="D8" s="24">
        <v>9.9000000000000005E-2</v>
      </c>
      <c r="E8" s="24">
        <f t="shared" ref="E8:E11" si="0">+C8+D8</f>
        <v>0.11595</v>
      </c>
      <c r="F8" s="25">
        <f t="shared" ref="F8:F11" si="1">+B8-E8</f>
        <v>-2.5950000000000001E-2</v>
      </c>
      <c r="G8" s="7">
        <v>3280639.05</v>
      </c>
      <c r="H8" s="48">
        <f t="shared" ref="H8:H11" si="2">B8*G8</f>
        <v>295257.51449999999</v>
      </c>
      <c r="I8" s="48">
        <f t="shared" ref="I8:I11" si="3">C8*G8</f>
        <v>55606.831897499993</v>
      </c>
      <c r="J8" s="48">
        <f t="shared" ref="J8:J11" si="4">D8*G8</f>
        <v>324783.26594999997</v>
      </c>
      <c r="K8" s="1">
        <v>-85104.48</v>
      </c>
      <c r="M8" s="16">
        <f t="shared" ref="M8:M11" si="5">H8-I8-J8</f>
        <v>-85132.583347499982</v>
      </c>
      <c r="N8" s="16">
        <f t="shared" ref="N8:N11" si="6">K8-M8</f>
        <v>28.10334749998583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1.6789999999999999E-2</v>
      </c>
      <c r="D9" s="24">
        <v>9.9000000000000005E-2</v>
      </c>
      <c r="E9" s="24">
        <f t="shared" si="0"/>
        <v>0.11579</v>
      </c>
      <c r="F9" s="25">
        <f t="shared" si="1"/>
        <v>-5.0790000000000002E-2</v>
      </c>
      <c r="G9" s="7">
        <v>27042969.399999999</v>
      </c>
      <c r="H9" s="48">
        <f t="shared" si="2"/>
        <v>1757793.0109999999</v>
      </c>
      <c r="I9" s="48">
        <f t="shared" si="3"/>
        <v>454051.45622599998</v>
      </c>
      <c r="J9" s="48">
        <f t="shared" si="4"/>
        <v>2677253.9706000001</v>
      </c>
      <c r="K9" s="1">
        <v>-1372331.72</v>
      </c>
      <c r="M9" s="16">
        <f t="shared" si="5"/>
        <v>-1373512.4158260003</v>
      </c>
      <c r="N9" s="16">
        <f t="shared" si="6"/>
        <v>1180.6958260003012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1.6789999999999999E-2</v>
      </c>
      <c r="D10" s="24">
        <v>9.9000000000000005E-2</v>
      </c>
      <c r="E10" s="24">
        <f t="shared" si="0"/>
        <v>0.11579</v>
      </c>
      <c r="F10" s="25">
        <f t="shared" si="1"/>
        <v>-2.0790000000000003E-2</v>
      </c>
      <c r="G10" s="7">
        <v>8119166.7000000002</v>
      </c>
      <c r="H10" s="48">
        <f t="shared" si="2"/>
        <v>771320.83649999998</v>
      </c>
      <c r="I10" s="48">
        <f t="shared" si="3"/>
        <v>136320.80889300001</v>
      </c>
      <c r="J10" s="48">
        <f t="shared" si="4"/>
        <v>803797.5033000001</v>
      </c>
      <c r="K10" s="1">
        <v>-168309.01</v>
      </c>
      <c r="M10" s="16">
        <f t="shared" si="5"/>
        <v>-168797.47569300013</v>
      </c>
      <c r="N10" s="16">
        <f t="shared" si="6"/>
        <v>488.46569300012197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1.6789999999999999E-2</v>
      </c>
      <c r="D11" s="37">
        <v>9.9000000000000005E-2</v>
      </c>
      <c r="E11" s="37">
        <f t="shared" si="0"/>
        <v>0.11579</v>
      </c>
      <c r="F11" s="38">
        <f t="shared" si="1"/>
        <v>1.6210000000000002E-2</v>
      </c>
      <c r="G11" s="7">
        <v>8724465.1099999994</v>
      </c>
      <c r="H11" s="48">
        <f t="shared" si="2"/>
        <v>1151629.3945200001</v>
      </c>
      <c r="I11" s="48">
        <f t="shared" si="3"/>
        <v>146483.76919689999</v>
      </c>
      <c r="J11" s="48">
        <f t="shared" si="4"/>
        <v>863722.04588999995</v>
      </c>
      <c r="K11" s="1">
        <v>142151.28</v>
      </c>
      <c r="M11" s="64">
        <f t="shared" si="5"/>
        <v>141423.57943310018</v>
      </c>
      <c r="N11" s="64">
        <f t="shared" si="6"/>
        <v>727.7005668998172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51005989.630000003</v>
      </c>
      <c r="H12" s="8">
        <f t="shared" ref="H12:J12" si="7">SUM(H7:H11)</f>
        <v>4271584.4580099992</v>
      </c>
      <c r="I12" s="8">
        <f t="shared" si="7"/>
        <v>857529.66803489998</v>
      </c>
      <c r="J12" s="8">
        <f t="shared" si="7"/>
        <v>5049592.9733699998</v>
      </c>
      <c r="K12" s="39">
        <f>SUM(K7:K11)</f>
        <v>-1631969.14</v>
      </c>
      <c r="M12" s="70">
        <f>SUM(M7:M11)</f>
        <v>-1635538.1833949001</v>
      </c>
      <c r="N12" s="69">
        <f>SUM(N7:N11)</f>
        <v>3569.0433949002327</v>
      </c>
      <c r="O12" s="3" t="s">
        <v>65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2.035E-2</v>
      </c>
      <c r="D18" s="32">
        <v>8.8639999999999997E-2</v>
      </c>
      <c r="E18" s="32">
        <f>+C18+D18</f>
        <v>0.10899</v>
      </c>
      <c r="F18" s="33">
        <f>+B18-E18</f>
        <v>-3.1990000000000005E-2</v>
      </c>
      <c r="G18" s="7">
        <v>3716393.89</v>
      </c>
      <c r="H18" s="1">
        <f>+G18*B18</f>
        <v>286162.32952999999</v>
      </c>
      <c r="I18" s="1">
        <f>+G18*C18</f>
        <v>75628.615661500007</v>
      </c>
      <c r="J18" s="1">
        <f>+G18*D18</f>
        <v>329421.15440960001</v>
      </c>
      <c r="K18" s="1">
        <f>+H18-I18-J18</f>
        <v>-118887.44054110005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2.035E-2</v>
      </c>
      <c r="D19" s="24">
        <v>8.8639999999999997E-2</v>
      </c>
      <c r="E19" s="24">
        <f t="shared" ref="E19:E22" si="8">+C19+D19</f>
        <v>0.10899</v>
      </c>
      <c r="F19" s="25">
        <f t="shared" ref="F19:F22" si="9">+B19-E19</f>
        <v>-1.8990000000000007E-2</v>
      </c>
      <c r="G19" s="7">
        <v>3266067.11</v>
      </c>
      <c r="H19" s="1">
        <f t="shared" ref="H19:H22" si="10">+G19*B19</f>
        <v>293946.03989999997</v>
      </c>
      <c r="I19" s="1">
        <f t="shared" ref="I19:I22" si="11">+G19*C19</f>
        <v>66464.4656885</v>
      </c>
      <c r="J19" s="1">
        <f t="shared" ref="J19:J22" si="12">+G19*D19</f>
        <v>289504.18863039999</v>
      </c>
      <c r="K19" s="1">
        <f t="shared" ref="K19:K22" si="13">+H19-I19-J19</f>
        <v>-62022.614418900019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2.035E-2</v>
      </c>
      <c r="D20" s="24">
        <v>8.8639999999999997E-2</v>
      </c>
      <c r="E20" s="24">
        <f t="shared" si="8"/>
        <v>0.10899</v>
      </c>
      <c r="F20" s="25">
        <f t="shared" si="9"/>
        <v>-4.3990000000000001E-2</v>
      </c>
      <c r="G20" s="7">
        <v>28485468.48</v>
      </c>
      <c r="H20" s="1">
        <f t="shared" si="10"/>
        <v>1851555.4512</v>
      </c>
      <c r="I20" s="1">
        <f t="shared" si="11"/>
        <v>579679.28356799996</v>
      </c>
      <c r="J20" s="1">
        <f t="shared" si="12"/>
        <v>2524951.9260672</v>
      </c>
      <c r="K20" s="1">
        <f t="shared" si="13"/>
        <v>-1253075.7584352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2.035E-2</v>
      </c>
      <c r="D21" s="24">
        <v>8.8639999999999997E-2</v>
      </c>
      <c r="E21" s="24">
        <f t="shared" si="8"/>
        <v>0.10899</v>
      </c>
      <c r="F21" s="25">
        <f t="shared" si="9"/>
        <v>-1.3990000000000002E-2</v>
      </c>
      <c r="G21" s="7">
        <v>8006793.4299999997</v>
      </c>
      <c r="H21" s="1">
        <f t="shared" si="10"/>
        <v>760645.37584999995</v>
      </c>
      <c r="I21" s="1">
        <f t="shared" si="11"/>
        <v>162938.2463005</v>
      </c>
      <c r="J21" s="1">
        <f t="shared" si="12"/>
        <v>709722.16963519994</v>
      </c>
      <c r="K21" s="1">
        <f t="shared" si="13"/>
        <v>-112015.04008569999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2.035E-2</v>
      </c>
      <c r="D22" s="37">
        <v>8.8639999999999997E-2</v>
      </c>
      <c r="E22" s="37">
        <f t="shared" si="8"/>
        <v>0.10899</v>
      </c>
      <c r="F22" s="38">
        <f t="shared" si="9"/>
        <v>2.3010000000000003E-2</v>
      </c>
      <c r="G22" s="7">
        <v>8444217.3699999992</v>
      </c>
      <c r="H22" s="1">
        <f t="shared" si="10"/>
        <v>1114636.6928399999</v>
      </c>
      <c r="I22" s="1">
        <f t="shared" si="11"/>
        <v>171839.82347949999</v>
      </c>
      <c r="J22" s="1">
        <f t="shared" si="12"/>
        <v>748495.42767679994</v>
      </c>
      <c r="K22" s="1">
        <f t="shared" si="13"/>
        <v>194301.44168369996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51918940.280000001</v>
      </c>
      <c r="H23" s="39">
        <f t="shared" ref="H23:J23" si="14">SUM(H18:H22)</f>
        <v>4306945.8893200001</v>
      </c>
      <c r="I23" s="8">
        <f t="shared" si="14"/>
        <v>1056550.4346979999</v>
      </c>
      <c r="J23" s="8">
        <f t="shared" si="14"/>
        <v>4602094.8664191999</v>
      </c>
      <c r="K23" s="8">
        <f>SUM(K18:K22)</f>
        <v>-1351699.4117972003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G24" t="s">
        <v>81</v>
      </c>
      <c r="H24" s="85">
        <f>H23/G23</f>
        <v>8.295519642913636E-2</v>
      </c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>
        <f t="shared" ref="D28:F32" si="15">+D7-D18</f>
        <v>1.0360000000000008E-2</v>
      </c>
      <c r="E28" s="32">
        <f t="shared" si="15"/>
        <v>6.959999999999994E-3</v>
      </c>
      <c r="F28" s="33">
        <f>+F7-F18</f>
        <v>-6.959999999999994E-3</v>
      </c>
      <c r="G28" s="7">
        <f t="shared" ref="G28:G32" si="16">+G7-G18</f>
        <v>122355.47999999998</v>
      </c>
      <c r="H28" s="1"/>
      <c r="I28" s="1"/>
      <c r="J28" s="1"/>
      <c r="K28" s="1">
        <f>K18-K7</f>
        <v>29487.769458899944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>
        <f t="shared" si="15"/>
        <v>1.0360000000000008E-2</v>
      </c>
      <c r="E29" s="24">
        <f t="shared" si="15"/>
        <v>6.959999999999994E-3</v>
      </c>
      <c r="F29" s="25">
        <f t="shared" si="15"/>
        <v>-6.959999999999994E-3</v>
      </c>
      <c r="G29" s="7">
        <f t="shared" si="16"/>
        <v>14571.939999999944</v>
      </c>
      <c r="H29" s="1"/>
      <c r="I29" s="1"/>
      <c r="J29" s="1"/>
      <c r="K29" s="1">
        <f t="shared" ref="K29:K32" si="17">K19-K8</f>
        <v>23081.865581099977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>
        <f t="shared" si="15"/>
        <v>1.0360000000000008E-2</v>
      </c>
      <c r="E30" s="24">
        <f>+E9-E20</f>
        <v>6.8000000000000005E-3</v>
      </c>
      <c r="F30" s="25">
        <f t="shared" si="15"/>
        <v>-6.8000000000000005E-3</v>
      </c>
      <c r="G30" s="7">
        <f t="shared" si="16"/>
        <v>-1442499.0800000019</v>
      </c>
      <c r="H30" s="1"/>
      <c r="I30" s="1"/>
      <c r="J30" s="1"/>
      <c r="K30" s="1">
        <f t="shared" si="17"/>
        <v>119255.9615648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>
        <f t="shared" si="15"/>
        <v>1.0360000000000008E-2</v>
      </c>
      <c r="E31" s="24">
        <f t="shared" si="15"/>
        <v>6.8000000000000005E-3</v>
      </c>
      <c r="F31" s="25">
        <f t="shared" si="15"/>
        <v>-6.8000000000000005E-3</v>
      </c>
      <c r="G31" s="7">
        <f t="shared" si="16"/>
        <v>112373.27000000048</v>
      </c>
      <c r="H31" s="1"/>
      <c r="I31" s="1"/>
      <c r="J31" s="1"/>
      <c r="K31" s="1">
        <f t="shared" si="17"/>
        <v>56293.969914300018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>
        <f t="shared" si="15"/>
        <v>1.0360000000000008E-2</v>
      </c>
      <c r="E32" s="37">
        <f t="shared" si="15"/>
        <v>6.8000000000000005E-3</v>
      </c>
      <c r="F32" s="38">
        <f t="shared" si="15"/>
        <v>-6.8000000000000005E-3</v>
      </c>
      <c r="G32" s="7">
        <f t="shared" si="16"/>
        <v>280247.74000000022</v>
      </c>
      <c r="H32" s="1"/>
      <c r="I32" s="1"/>
      <c r="J32" s="1"/>
      <c r="K32" s="1">
        <f t="shared" si="17"/>
        <v>52150.16168369996</v>
      </c>
      <c r="M32" s="2"/>
      <c r="N32" s="21"/>
    </row>
    <row r="33" spans="7:12" ht="15" thickBot="1">
      <c r="G33" s="6">
        <f>SUM(G28:G32)</f>
        <v>-912950.6500000013</v>
      </c>
      <c r="H33" s="8">
        <f t="shared" ref="H33:J33" si="18">SUM(H28:H32)</f>
        <v>0</v>
      </c>
      <c r="I33" s="8">
        <f t="shared" si="18"/>
        <v>0</v>
      </c>
      <c r="J33" s="8">
        <f t="shared" si="18"/>
        <v>0</v>
      </c>
      <c r="K33" s="65">
        <f>SUM(K28:K32)</f>
        <v>280269.72820279992</v>
      </c>
      <c r="L33" s="4" t="s">
        <v>64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opLeftCell="A4" zoomScale="80" zoomScaleNormal="80" workbookViewId="0">
      <selection activeCell="G24" sqref="G24:H24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16" customWidth="1"/>
    <col min="14" max="14" width="11.33203125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45</v>
      </c>
      <c r="N6" s="49" t="s">
        <v>46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32">
        <v>2.4459999999999999E-2</v>
      </c>
      <c r="D7" s="32">
        <v>0.1197</v>
      </c>
      <c r="E7" s="32">
        <f>+C7+D7</f>
        <v>0.14416000000000001</v>
      </c>
      <c r="F7" s="33">
        <f>+B7-E7</f>
        <v>-6.7160000000000011E-2</v>
      </c>
      <c r="G7" s="7">
        <v>3624807</v>
      </c>
      <c r="H7" s="48">
        <f>B7*G7</f>
        <v>279110.13900000002</v>
      </c>
      <c r="I7" s="48">
        <f>C7*G7</f>
        <v>88662.779219999997</v>
      </c>
      <c r="J7" s="48">
        <f>D7*G7</f>
        <v>433889.39789999998</v>
      </c>
      <c r="K7" s="1">
        <v>-61116.44</v>
      </c>
      <c r="M7" s="16">
        <f>H7-I7-J7</f>
        <v>-243442.03811999995</v>
      </c>
      <c r="N7" s="16">
        <f>K7-M7</f>
        <v>182325.59811999995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2.4459999999999999E-2</v>
      </c>
      <c r="D8" s="24">
        <v>0.1197</v>
      </c>
      <c r="E8" s="24">
        <f t="shared" ref="E8:E11" si="0">+C8+D8</f>
        <v>0.14416000000000001</v>
      </c>
      <c r="F8" s="25">
        <f t="shared" ref="F8:F11" si="1">+B8-E8</f>
        <v>-5.4160000000000014E-2</v>
      </c>
      <c r="G8" s="7">
        <v>3057002.41</v>
      </c>
      <c r="H8" s="48">
        <f t="shared" ref="H8:H11" si="2">B8*G8</f>
        <v>275130.2169</v>
      </c>
      <c r="I8" s="48">
        <f t="shared" ref="I8:I11" si="3">C8*G8</f>
        <v>74774.278948599997</v>
      </c>
      <c r="J8" s="48">
        <f t="shared" ref="J8:J11" si="4">D8*G8</f>
        <v>365923.18847700005</v>
      </c>
      <c r="K8" s="1">
        <v>-12630.61</v>
      </c>
      <c r="M8" s="16">
        <f t="shared" ref="M8:M11" si="5">H8-I8-J8</f>
        <v>-165567.25052560004</v>
      </c>
      <c r="N8" s="16">
        <f t="shared" ref="N8:N11" si="6">K8-M8</f>
        <v>152936.64052560006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2.2069999999999999E-2</v>
      </c>
      <c r="D9" s="24">
        <v>0.1197</v>
      </c>
      <c r="E9" s="24">
        <f t="shared" si="0"/>
        <v>0.14177000000000001</v>
      </c>
      <c r="F9" s="25">
        <f t="shared" si="1"/>
        <v>-7.6770000000000005E-2</v>
      </c>
      <c r="G9" s="7">
        <v>27948372.969999999</v>
      </c>
      <c r="H9" s="48">
        <f t="shared" si="2"/>
        <v>1816644.2430499999</v>
      </c>
      <c r="I9" s="48">
        <f t="shared" si="3"/>
        <v>616820.59144789993</v>
      </c>
      <c r="J9" s="48">
        <f t="shared" si="4"/>
        <v>3345420.2445089999</v>
      </c>
      <c r="K9" s="1">
        <v>-750991.4</v>
      </c>
      <c r="M9" s="16">
        <f t="shared" si="5"/>
        <v>-2145596.5929068998</v>
      </c>
      <c r="N9" s="16">
        <f t="shared" si="6"/>
        <v>1394605.1929068998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2.2069999999999999E-2</v>
      </c>
      <c r="D10" s="24">
        <v>0.1197</v>
      </c>
      <c r="E10" s="24">
        <f t="shared" si="0"/>
        <v>0.14177000000000001</v>
      </c>
      <c r="F10" s="25">
        <f t="shared" si="1"/>
        <v>-4.6770000000000006E-2</v>
      </c>
      <c r="G10" s="7">
        <v>8145684.2999999998</v>
      </c>
      <c r="H10" s="48">
        <f t="shared" si="2"/>
        <v>773840.0085</v>
      </c>
      <c r="I10" s="48">
        <f t="shared" si="3"/>
        <v>179775.25250099998</v>
      </c>
      <c r="J10" s="48">
        <f t="shared" si="4"/>
        <v>975038.41070999997</v>
      </c>
      <c r="K10" s="1">
        <v>25609.200000000001</v>
      </c>
      <c r="M10" s="16">
        <f t="shared" si="5"/>
        <v>-380973.65471099992</v>
      </c>
      <c r="N10" s="16">
        <f t="shared" si="6"/>
        <v>406582.85471099993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2.2069999999999999E-2</v>
      </c>
      <c r="D11" s="37">
        <v>0.1197</v>
      </c>
      <c r="E11" s="37">
        <f t="shared" si="0"/>
        <v>0.14177000000000001</v>
      </c>
      <c r="F11" s="38">
        <f t="shared" si="1"/>
        <v>-9.7700000000000009E-3</v>
      </c>
      <c r="G11" s="7">
        <v>8508775.0199999996</v>
      </c>
      <c r="H11" s="48">
        <f t="shared" si="2"/>
        <v>1123158.3026399999</v>
      </c>
      <c r="I11" s="48">
        <f t="shared" si="3"/>
        <v>187788.66469139999</v>
      </c>
      <c r="J11" s="48">
        <f t="shared" si="4"/>
        <v>1018500.369894</v>
      </c>
      <c r="K11" s="1">
        <v>341627.61</v>
      </c>
      <c r="M11" s="64">
        <f t="shared" si="5"/>
        <v>-83130.731945400126</v>
      </c>
      <c r="N11" s="64">
        <f t="shared" si="6"/>
        <v>424758.34194540011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51284641.699999988</v>
      </c>
      <c r="H12" s="8">
        <f t="shared" ref="H12:J12" si="7">SUM(H7:H11)</f>
        <v>4267882.9100899994</v>
      </c>
      <c r="I12" s="8">
        <f t="shared" si="7"/>
        <v>1147821.5668088999</v>
      </c>
      <c r="J12" s="8">
        <f t="shared" si="7"/>
        <v>6138771.61149</v>
      </c>
      <c r="K12" s="39">
        <f>SUM(K7:K11)</f>
        <v>-457501.64000000013</v>
      </c>
      <c r="M12" s="70">
        <f>SUM(M7:M11)</f>
        <v>-3018710.2682088995</v>
      </c>
      <c r="N12" s="68">
        <f>SUM(N7:N11)</f>
        <v>2561208.6282088999</v>
      </c>
      <c r="O12" s="3" t="s">
        <v>66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7.9500000000000005E-3</v>
      </c>
      <c r="D18" s="60">
        <v>0.12562999999999999</v>
      </c>
      <c r="E18" s="32">
        <f>+C18+D18</f>
        <v>0.13358</v>
      </c>
      <c r="F18" s="33">
        <f>+B18-E18</f>
        <v>-5.6580000000000005E-2</v>
      </c>
      <c r="G18" s="7">
        <v>3770284.33</v>
      </c>
      <c r="H18" s="1">
        <f>+G18*B18</f>
        <v>290311.89341000002</v>
      </c>
      <c r="I18" s="1">
        <f>+G18*C18</f>
        <v>29973.760423500004</v>
      </c>
      <c r="J18" s="1">
        <f>+G18*D18</f>
        <v>473660.82037789997</v>
      </c>
      <c r="K18" s="1">
        <f>+H18-I18-J18</f>
        <v>-213322.68739139996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7.9500000000000005E-3</v>
      </c>
      <c r="D19" s="61">
        <v>0.12562999999999999</v>
      </c>
      <c r="E19" s="24">
        <f t="shared" ref="E19:E22" si="8">+C19+D19</f>
        <v>0.13358</v>
      </c>
      <c r="F19" s="25">
        <f t="shared" ref="F19:F22" si="9">+B19-E19</f>
        <v>-4.3580000000000008E-2</v>
      </c>
      <c r="G19" s="7">
        <v>3252865.71</v>
      </c>
      <c r="H19" s="1">
        <f t="shared" ref="H19:H22" si="10">+G19*B19</f>
        <v>292757.91389999999</v>
      </c>
      <c r="I19" s="1">
        <f t="shared" ref="I19:I22" si="11">+G19*C19</f>
        <v>25860.282394500002</v>
      </c>
      <c r="J19" s="1">
        <f t="shared" ref="J19:J22" si="12">+G19*D19</f>
        <v>408657.51914729999</v>
      </c>
      <c r="K19" s="1">
        <f t="shared" ref="K19:K22" si="13">+H19-I19-J19</f>
        <v>-141759.88764179999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7.9500000000000005E-3</v>
      </c>
      <c r="D20" s="61">
        <v>0.12562999999999999</v>
      </c>
      <c r="E20" s="24">
        <f t="shared" si="8"/>
        <v>0.13358</v>
      </c>
      <c r="F20" s="25">
        <f t="shared" si="9"/>
        <v>-6.8580000000000002E-2</v>
      </c>
      <c r="G20" s="7">
        <v>26691640.699999999</v>
      </c>
      <c r="H20" s="1">
        <f t="shared" si="10"/>
        <v>1734956.6455000001</v>
      </c>
      <c r="I20" s="1">
        <f t="shared" si="11"/>
        <v>212198.543565</v>
      </c>
      <c r="J20" s="1">
        <f t="shared" si="12"/>
        <v>3353270.8211409999</v>
      </c>
      <c r="K20" s="1">
        <f t="shared" si="13"/>
        <v>-1830512.7192059997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7.9500000000000005E-3</v>
      </c>
      <c r="D21" s="61">
        <v>0.12562999999999999</v>
      </c>
      <c r="E21" s="24">
        <f t="shared" si="8"/>
        <v>0.13358</v>
      </c>
      <c r="F21" s="25">
        <f t="shared" si="9"/>
        <v>-3.8580000000000003E-2</v>
      </c>
      <c r="G21" s="7">
        <v>7729488.9500000002</v>
      </c>
      <c r="H21" s="1">
        <f t="shared" si="10"/>
        <v>734301.45024999999</v>
      </c>
      <c r="I21" s="1">
        <f t="shared" si="11"/>
        <v>61449.437152500002</v>
      </c>
      <c r="J21" s="1">
        <f t="shared" si="12"/>
        <v>971055.69678849995</v>
      </c>
      <c r="K21" s="1">
        <f t="shared" si="13"/>
        <v>-298203.68369099998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7.9500000000000005E-3</v>
      </c>
      <c r="D22" s="62">
        <v>0.12562999999999999</v>
      </c>
      <c r="E22" s="37">
        <f t="shared" si="8"/>
        <v>0.13358</v>
      </c>
      <c r="F22" s="38">
        <f t="shared" si="9"/>
        <v>-1.5799999999999981E-3</v>
      </c>
      <c r="G22" s="7">
        <v>7335312.4199999999</v>
      </c>
      <c r="H22" s="1">
        <f t="shared" si="10"/>
        <v>968261.23944000003</v>
      </c>
      <c r="I22" s="1">
        <f t="shared" si="11"/>
        <v>58315.733739000003</v>
      </c>
      <c r="J22" s="1">
        <f t="shared" si="12"/>
        <v>921535.29932459991</v>
      </c>
      <c r="K22" s="1">
        <f t="shared" si="13"/>
        <v>-11589.793623599922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48779592.110000007</v>
      </c>
      <c r="H23" s="39">
        <f t="shared" ref="H23:J23" si="14">SUM(H18:H22)</f>
        <v>4020589.1425000005</v>
      </c>
      <c r="I23" s="8">
        <f t="shared" si="14"/>
        <v>387797.75727450004</v>
      </c>
      <c r="J23" s="8">
        <f t="shared" si="14"/>
        <v>6128180.1567792995</v>
      </c>
      <c r="K23" s="8">
        <f>SUM(K18:K22)</f>
        <v>-2495388.7715537995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G24" t="s">
        <v>81</v>
      </c>
      <c r="H24" s="85">
        <f>H23/G23</f>
        <v>8.2423590862207394E-2</v>
      </c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>
        <f t="shared" ref="D28:F32" si="15">+D7-D18</f>
        <v>-5.9299999999999908E-3</v>
      </c>
      <c r="E28" s="32">
        <f t="shared" si="15"/>
        <v>1.0580000000000006E-2</v>
      </c>
      <c r="F28" s="33">
        <f>+F7-F18</f>
        <v>-1.0580000000000006E-2</v>
      </c>
      <c r="G28" s="7">
        <f t="shared" ref="G28:G32" si="16">+G7-G18</f>
        <v>-145477.33000000007</v>
      </c>
      <c r="H28" s="1"/>
      <c r="I28" s="1"/>
      <c r="J28" s="1"/>
      <c r="K28" s="1">
        <f>K18-K7</f>
        <v>-152206.24739139996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>
        <f t="shared" si="15"/>
        <v>-5.9299999999999908E-3</v>
      </c>
      <c r="E29" s="24">
        <f t="shared" si="15"/>
        <v>1.0580000000000006E-2</v>
      </c>
      <c r="F29" s="25">
        <f t="shared" si="15"/>
        <v>-1.0580000000000006E-2</v>
      </c>
      <c r="G29" s="7">
        <f t="shared" si="16"/>
        <v>-195863.29999999981</v>
      </c>
      <c r="H29" s="1"/>
      <c r="I29" s="1"/>
      <c r="J29" s="1"/>
      <c r="K29" s="1">
        <f t="shared" ref="K29:K32" si="17">K19-K8</f>
        <v>-129129.27764179998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>
        <f t="shared" si="15"/>
        <v>-5.9299999999999908E-3</v>
      </c>
      <c r="E30" s="24">
        <f>+E9-E20</f>
        <v>8.1900000000000028E-3</v>
      </c>
      <c r="F30" s="25">
        <f t="shared" si="15"/>
        <v>-8.1900000000000028E-3</v>
      </c>
      <c r="G30" s="7">
        <f t="shared" si="16"/>
        <v>1256732.2699999996</v>
      </c>
      <c r="H30" s="1"/>
      <c r="I30" s="1"/>
      <c r="J30" s="1"/>
      <c r="K30" s="1">
        <f t="shared" si="17"/>
        <v>-1079521.3192059998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>
        <f t="shared" si="15"/>
        <v>-5.9299999999999908E-3</v>
      </c>
      <c r="E31" s="24">
        <f t="shared" si="15"/>
        <v>8.1900000000000028E-3</v>
      </c>
      <c r="F31" s="25">
        <f t="shared" si="15"/>
        <v>-8.1900000000000028E-3</v>
      </c>
      <c r="G31" s="7">
        <f t="shared" si="16"/>
        <v>416195.34999999963</v>
      </c>
      <c r="H31" s="1"/>
      <c r="I31" s="1"/>
      <c r="J31" s="1"/>
      <c r="K31" s="1">
        <f t="shared" si="17"/>
        <v>-323812.883691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>
        <f t="shared" si="15"/>
        <v>-5.9299999999999908E-3</v>
      </c>
      <c r="E32" s="37">
        <f t="shared" si="15"/>
        <v>8.1900000000000028E-3</v>
      </c>
      <c r="F32" s="38">
        <f t="shared" si="15"/>
        <v>-8.1900000000000028E-3</v>
      </c>
      <c r="G32" s="7">
        <f t="shared" si="16"/>
        <v>1173462.5999999996</v>
      </c>
      <c r="H32" s="1"/>
      <c r="I32" s="1"/>
      <c r="J32" s="1"/>
      <c r="K32" s="1">
        <f t="shared" si="17"/>
        <v>-353217.40362359991</v>
      </c>
      <c r="M32" s="2"/>
      <c r="N32" s="21"/>
    </row>
    <row r="33" spans="7:12" ht="15" thickBot="1">
      <c r="G33" s="6">
        <f>SUM(G28:G32)</f>
        <v>2505049.5899999989</v>
      </c>
      <c r="H33" s="8">
        <f t="shared" ref="H33:J33" si="18">SUM(H28:H32)</f>
        <v>0</v>
      </c>
      <c r="I33" s="8">
        <f t="shared" si="18"/>
        <v>0</v>
      </c>
      <c r="J33" s="8">
        <f t="shared" si="18"/>
        <v>0</v>
      </c>
      <c r="K33" s="65">
        <f>SUM(K28:K32)</f>
        <v>-2037887.1315537998</v>
      </c>
      <c r="L33" s="4" t="s">
        <v>64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G24" sqref="G24:H24"/>
    </sheetView>
  </sheetViews>
  <sheetFormatPr defaultRowHeight="14.4"/>
  <cols>
    <col min="1" max="1" width="43.5546875" customWidth="1"/>
    <col min="2" max="2" width="11.33203125" customWidth="1"/>
    <col min="3" max="3" width="15.6640625" customWidth="1"/>
    <col min="4" max="4" width="16.33203125" bestFit="1" customWidth="1"/>
    <col min="5" max="5" width="15" customWidth="1"/>
    <col min="6" max="6" width="12.6640625" customWidth="1"/>
    <col min="7" max="7" width="15.6640625" bestFit="1" customWidth="1"/>
    <col min="8" max="8" width="13.33203125" bestFit="1" customWidth="1"/>
    <col min="9" max="11" width="13.33203125" customWidth="1"/>
    <col min="12" max="12" width="6.33203125" customWidth="1"/>
    <col min="13" max="13" width="19.33203125" customWidth="1"/>
    <col min="14" max="14" width="12.109375" bestFit="1" customWidth="1"/>
    <col min="15" max="15" width="15.6640625" customWidth="1"/>
    <col min="16" max="20" width="14.88671875" customWidth="1"/>
    <col min="22" max="22" width="43.5546875" customWidth="1"/>
    <col min="23" max="23" width="11.33203125" customWidth="1"/>
    <col min="24" max="24" width="15.6640625" customWidth="1"/>
    <col min="25" max="29" width="14.88671875" customWidth="1"/>
    <col min="30" max="30" width="12.33203125" bestFit="1" customWidth="1"/>
  </cols>
  <sheetData>
    <row r="1" spans="1:32" ht="25.8">
      <c r="A1" s="41" t="s">
        <v>28</v>
      </c>
    </row>
    <row r="3" spans="1:32" ht="18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4" t="s">
        <v>40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8.8">
      <c r="A6" s="27" t="s">
        <v>17</v>
      </c>
      <c r="B6" s="28" t="s">
        <v>7</v>
      </c>
      <c r="C6" s="29" t="s">
        <v>20</v>
      </c>
      <c r="D6" s="47" t="s">
        <v>43</v>
      </c>
      <c r="E6" s="29" t="s">
        <v>11</v>
      </c>
      <c r="F6" s="28" t="s">
        <v>5</v>
      </c>
      <c r="G6" s="29" t="s">
        <v>30</v>
      </c>
      <c r="H6" s="29" t="s">
        <v>8</v>
      </c>
      <c r="I6" s="29" t="s">
        <v>20</v>
      </c>
      <c r="J6" s="29" t="s">
        <v>18</v>
      </c>
      <c r="K6" s="29" t="s">
        <v>13</v>
      </c>
      <c r="M6" s="51" t="s">
        <v>45</v>
      </c>
      <c r="N6" s="49" t="s">
        <v>46</v>
      </c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>
      <c r="A7" s="30" t="s">
        <v>0</v>
      </c>
      <c r="B7" s="32">
        <v>7.6999999999999999E-2</v>
      </c>
      <c r="C7" s="32">
        <v>1.0489999999999999E-2</v>
      </c>
      <c r="D7" s="32">
        <v>9.6699999999999994E-2</v>
      </c>
      <c r="E7" s="32">
        <f>+C7+D7</f>
        <v>0.10718999999999999</v>
      </c>
      <c r="F7" s="33">
        <f>+B7-E7</f>
        <v>-3.0189999999999995E-2</v>
      </c>
      <c r="G7" s="7">
        <v>4215321.07</v>
      </c>
      <c r="H7" s="48">
        <f>B7*G7</f>
        <v>324579.72239000001</v>
      </c>
      <c r="I7" s="48">
        <f>C7*G7</f>
        <v>44218.718024300004</v>
      </c>
      <c r="J7" s="48">
        <f>D7*G7</f>
        <v>407621.54746899998</v>
      </c>
      <c r="K7" s="1">
        <v>-439276.77</v>
      </c>
      <c r="M7" s="16">
        <f>H7-I7-J7</f>
        <v>-127260.54310329998</v>
      </c>
      <c r="N7" s="16">
        <f>K7-M7</f>
        <v>-312016.22689670004</v>
      </c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>
      <c r="A8" s="34" t="s">
        <v>1</v>
      </c>
      <c r="B8" s="24">
        <v>0.09</v>
      </c>
      <c r="C8" s="24">
        <v>1.0489999999999999E-2</v>
      </c>
      <c r="D8" s="24">
        <v>9.6699999999999994E-2</v>
      </c>
      <c r="E8" s="24">
        <f t="shared" ref="E8:E11" si="0">+C8+D8</f>
        <v>0.10718999999999999</v>
      </c>
      <c r="F8" s="25">
        <f t="shared" ref="F8:F11" si="1">+B8-E8</f>
        <v>-1.7189999999999997E-2</v>
      </c>
      <c r="G8" s="7">
        <v>3323548.45</v>
      </c>
      <c r="H8" s="48">
        <f t="shared" ref="H8:H11" si="2">B8*G8</f>
        <v>299119.36050000001</v>
      </c>
      <c r="I8" s="48">
        <f t="shared" ref="I8:I11" si="3">C8*G8</f>
        <v>34864.023240499999</v>
      </c>
      <c r="J8" s="48">
        <f t="shared" ref="J8:J11" si="4">D8*G8</f>
        <v>321387.13511500001</v>
      </c>
      <c r="K8" s="1">
        <v>-303139.43</v>
      </c>
      <c r="M8" s="16">
        <f t="shared" ref="M8:M11" si="5">H8-I8-J8</f>
        <v>-57131.797855500015</v>
      </c>
      <c r="N8" s="16">
        <f t="shared" ref="N8:N11" si="6">K8-M8</f>
        <v>-246007.63214449998</v>
      </c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>
      <c r="A9" s="34" t="s">
        <v>2</v>
      </c>
      <c r="B9" s="24">
        <v>6.5000000000000002E-2</v>
      </c>
      <c r="C9" s="24">
        <v>1.332E-2</v>
      </c>
      <c r="D9" s="24">
        <v>9.6699999999999994E-2</v>
      </c>
      <c r="E9" s="24">
        <f t="shared" si="0"/>
        <v>0.11001999999999999</v>
      </c>
      <c r="F9" s="25">
        <f t="shared" si="1"/>
        <v>-4.5019999999999991E-2</v>
      </c>
      <c r="G9" s="7">
        <v>27652286.010000002</v>
      </c>
      <c r="H9" s="48">
        <f t="shared" si="2"/>
        <v>1797398.5906500001</v>
      </c>
      <c r="I9" s="48">
        <f t="shared" si="3"/>
        <v>368328.44965320005</v>
      </c>
      <c r="J9" s="48">
        <f t="shared" si="4"/>
        <v>2673976.0571670001</v>
      </c>
      <c r="K9" s="1">
        <v>-3291342.21</v>
      </c>
      <c r="M9" s="16">
        <f t="shared" si="5"/>
        <v>-1244905.9161702001</v>
      </c>
      <c r="N9" s="16">
        <f t="shared" si="6"/>
        <v>-2046436.2938297999</v>
      </c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>
      <c r="A10" s="34" t="s">
        <v>4</v>
      </c>
      <c r="B10" s="24">
        <v>9.5000000000000001E-2</v>
      </c>
      <c r="C10" s="24">
        <v>1.332E-2</v>
      </c>
      <c r="D10" s="24">
        <v>9.6699999999999994E-2</v>
      </c>
      <c r="E10" s="24">
        <f t="shared" si="0"/>
        <v>0.11001999999999999</v>
      </c>
      <c r="F10" s="25">
        <f t="shared" si="1"/>
        <v>-1.5019999999999992E-2</v>
      </c>
      <c r="G10" s="7">
        <v>8168560.5800000001</v>
      </c>
      <c r="H10" s="48">
        <f t="shared" si="2"/>
        <v>776013.25510000007</v>
      </c>
      <c r="I10" s="48">
        <f t="shared" si="3"/>
        <v>108805.2269256</v>
      </c>
      <c r="J10" s="48">
        <f t="shared" si="4"/>
        <v>789899.80808599992</v>
      </c>
      <c r="K10" s="1">
        <v>-727171.06</v>
      </c>
      <c r="M10" s="16">
        <f t="shared" si="5"/>
        <v>-122691.77991159982</v>
      </c>
      <c r="N10" s="16">
        <f t="shared" si="6"/>
        <v>-604479.28008840024</v>
      </c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>
      <c r="A11" s="35" t="s">
        <v>3</v>
      </c>
      <c r="B11" s="37">
        <v>0.13200000000000001</v>
      </c>
      <c r="C11" s="37">
        <v>1.332E-2</v>
      </c>
      <c r="D11" s="37">
        <v>9.6699999999999994E-2</v>
      </c>
      <c r="E11" s="37">
        <f t="shared" si="0"/>
        <v>0.11001999999999999</v>
      </c>
      <c r="F11" s="38">
        <f t="shared" si="1"/>
        <v>2.1980000000000013E-2</v>
      </c>
      <c r="G11" s="7">
        <v>8113046.7300000004</v>
      </c>
      <c r="H11" s="48">
        <f t="shared" si="2"/>
        <v>1070922.16836</v>
      </c>
      <c r="I11" s="48">
        <f t="shared" si="3"/>
        <v>108065.78244360001</v>
      </c>
      <c r="J11" s="48">
        <f t="shared" si="4"/>
        <v>784531.61879099999</v>
      </c>
      <c r="K11" s="1">
        <v>-421981.31</v>
      </c>
      <c r="M11" s="64">
        <f t="shared" si="5"/>
        <v>178324.76712540002</v>
      </c>
      <c r="N11" s="64">
        <f t="shared" si="6"/>
        <v>-600306.07712540007</v>
      </c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>
      <c r="G12" s="6">
        <f>SUM(G7:G11)</f>
        <v>51472762.840000004</v>
      </c>
      <c r="H12" s="8">
        <f t="shared" ref="H12:J12" si="7">SUM(H7:H11)</f>
        <v>4268033.0970000001</v>
      </c>
      <c r="I12" s="8">
        <f t="shared" si="7"/>
        <v>664282.20028720004</v>
      </c>
      <c r="J12" s="8">
        <f t="shared" si="7"/>
        <v>4977416.1666279994</v>
      </c>
      <c r="K12" s="39">
        <f>SUM(K7:K11)</f>
        <v>-5182910.78</v>
      </c>
      <c r="M12" s="70">
        <f>SUM(M7:M11)</f>
        <v>-1373665.2699151998</v>
      </c>
      <c r="N12" s="68">
        <f>SUM(N7:N11)</f>
        <v>-3809245.5100848004</v>
      </c>
      <c r="O12" s="3" t="s">
        <v>66</v>
      </c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">
      <c r="A14" s="9" t="s">
        <v>24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>
      <c r="A16" s="4" t="s">
        <v>41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8.8">
      <c r="A17" s="27" t="s">
        <v>17</v>
      </c>
      <c r="B17" s="28" t="s">
        <v>7</v>
      </c>
      <c r="C17" s="29" t="s">
        <v>21</v>
      </c>
      <c r="D17" s="28" t="s">
        <v>12</v>
      </c>
      <c r="E17" s="29" t="s">
        <v>11</v>
      </c>
      <c r="F17" s="28" t="s">
        <v>5</v>
      </c>
      <c r="G17" s="29" t="s">
        <v>31</v>
      </c>
      <c r="H17" s="29" t="s">
        <v>10</v>
      </c>
      <c r="I17" s="29" t="s">
        <v>21</v>
      </c>
      <c r="J17" s="29" t="s">
        <v>19</v>
      </c>
      <c r="K17" s="29" t="s">
        <v>14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>
      <c r="A18" s="30" t="s">
        <v>0</v>
      </c>
      <c r="B18" s="32">
        <v>7.6999999999999999E-2</v>
      </c>
      <c r="C18" s="32">
        <v>1.299E-2</v>
      </c>
      <c r="D18" s="60">
        <v>9.7040000000000001E-2</v>
      </c>
      <c r="E18" s="32">
        <f>+C18+D18</f>
        <v>0.11003</v>
      </c>
      <c r="F18" s="33">
        <f>+B18-E18</f>
        <v>-3.3030000000000004E-2</v>
      </c>
      <c r="G18" s="7">
        <v>4300770.0199999996</v>
      </c>
      <c r="H18" s="1">
        <f>+G18*B18</f>
        <v>331159.29153999995</v>
      </c>
      <c r="I18" s="1">
        <f>+G18*C18</f>
        <v>55867.002559799992</v>
      </c>
      <c r="J18" s="1">
        <f>+G18*D18</f>
        <v>417346.72274079995</v>
      </c>
      <c r="K18" s="1">
        <f>+H18-I18-J18</f>
        <v>-142054.43376059999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>
      <c r="A19" s="34" t="s">
        <v>1</v>
      </c>
      <c r="B19" s="24">
        <v>0.09</v>
      </c>
      <c r="C19" s="24">
        <v>1.299E-2</v>
      </c>
      <c r="D19" s="61">
        <v>9.7040000000000001E-2</v>
      </c>
      <c r="E19" s="24">
        <f t="shared" ref="E19:E22" si="8">+C19+D19</f>
        <v>0.11003</v>
      </c>
      <c r="F19" s="25">
        <f t="shared" ref="F19:F22" si="9">+B19-E19</f>
        <v>-2.0030000000000006E-2</v>
      </c>
      <c r="G19" s="7">
        <v>3084637.21</v>
      </c>
      <c r="H19" s="1">
        <f t="shared" ref="H19:H22" si="10">+G19*B19</f>
        <v>277617.34889999998</v>
      </c>
      <c r="I19" s="1">
        <f t="shared" ref="I19:I22" si="11">+G19*C19</f>
        <v>40069.437357900002</v>
      </c>
      <c r="J19" s="1">
        <f t="shared" ref="J19:J22" si="12">+G19*D19</f>
        <v>299333.19485839998</v>
      </c>
      <c r="K19" s="1">
        <f t="shared" ref="K19:K22" si="13">+H19-I19-J19</f>
        <v>-61785.283316299989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>
      <c r="A20" s="34" t="s">
        <v>2</v>
      </c>
      <c r="B20" s="24">
        <v>6.5000000000000002E-2</v>
      </c>
      <c r="C20" s="24">
        <v>1.299E-2</v>
      </c>
      <c r="D20" s="61">
        <v>9.7040000000000001E-2</v>
      </c>
      <c r="E20" s="24">
        <f t="shared" si="8"/>
        <v>0.11003</v>
      </c>
      <c r="F20" s="25">
        <f t="shared" si="9"/>
        <v>-4.5030000000000001E-2</v>
      </c>
      <c r="G20" s="7">
        <v>28407758.920000002</v>
      </c>
      <c r="H20" s="1">
        <f t="shared" si="10"/>
        <v>1846504.3298000002</v>
      </c>
      <c r="I20" s="1">
        <f t="shared" si="11"/>
        <v>369016.78837080003</v>
      </c>
      <c r="J20" s="1">
        <f t="shared" si="12"/>
        <v>2756688.9255968002</v>
      </c>
      <c r="K20" s="1">
        <f>+H20-I20-J20</f>
        <v>-1279201.3841676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>
      <c r="A21" s="34" t="s">
        <v>4</v>
      </c>
      <c r="B21" s="24">
        <v>9.5000000000000001E-2</v>
      </c>
      <c r="C21" s="24">
        <v>1.299E-2</v>
      </c>
      <c r="D21" s="61">
        <v>9.7040000000000001E-2</v>
      </c>
      <c r="E21" s="24">
        <f t="shared" si="8"/>
        <v>0.11003</v>
      </c>
      <c r="F21" s="25">
        <f t="shared" si="9"/>
        <v>-1.5030000000000002E-2</v>
      </c>
      <c r="G21" s="7">
        <v>8553578.3200000003</v>
      </c>
      <c r="H21" s="1">
        <f t="shared" si="10"/>
        <v>812589.94040000008</v>
      </c>
      <c r="I21" s="1">
        <f t="shared" si="11"/>
        <v>111110.98237680001</v>
      </c>
      <c r="J21" s="1">
        <f t="shared" si="12"/>
        <v>830039.24017280003</v>
      </c>
      <c r="K21" s="1">
        <f t="shared" si="13"/>
        <v>-128560.28214959998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>
      <c r="A22" s="35" t="s">
        <v>3</v>
      </c>
      <c r="B22" s="37">
        <v>0.13200000000000001</v>
      </c>
      <c r="C22" s="37">
        <v>1.299E-2</v>
      </c>
      <c r="D22" s="62">
        <v>9.7040000000000001E-2</v>
      </c>
      <c r="E22" s="37">
        <f t="shared" si="8"/>
        <v>0.11003</v>
      </c>
      <c r="F22" s="38">
        <f t="shared" si="9"/>
        <v>2.1970000000000003E-2</v>
      </c>
      <c r="G22" s="7">
        <v>9370350.1999999993</v>
      </c>
      <c r="H22" s="1">
        <f t="shared" si="10"/>
        <v>1236886.2264</v>
      </c>
      <c r="I22" s="1">
        <f t="shared" si="11"/>
        <v>121720.84909799999</v>
      </c>
      <c r="J22" s="1">
        <f t="shared" si="12"/>
        <v>909298.7834079999</v>
      </c>
      <c r="K22" s="1">
        <f t="shared" si="13"/>
        <v>205866.59389400017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>
      <c r="G23" s="6">
        <f>SUM(G18:G22)</f>
        <v>53717094.670000002</v>
      </c>
      <c r="H23" s="39">
        <f t="shared" ref="H23:J23" si="14">SUM(H18:H22)</f>
        <v>4504757.1370400004</v>
      </c>
      <c r="I23" s="8">
        <f t="shared" si="14"/>
        <v>697785.0597633</v>
      </c>
      <c r="J23" s="8">
        <f t="shared" si="14"/>
        <v>5212706.8667767998</v>
      </c>
      <c r="K23" s="8">
        <f>SUM(K18:K22)</f>
        <v>-1405734.7895000996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>
      <c r="A24" s="3"/>
      <c r="B24" s="3"/>
      <c r="C24" s="3"/>
      <c r="D24" s="3"/>
      <c r="E24" s="3"/>
      <c r="G24" t="s">
        <v>81</v>
      </c>
      <c r="H24" s="85">
        <f>H23/G23</f>
        <v>8.3860774018290743E-2</v>
      </c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">
      <c r="A25" s="9" t="s">
        <v>25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>
      <c r="A26" s="4" t="s">
        <v>42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2">
      <c r="A27" s="40" t="s">
        <v>27</v>
      </c>
      <c r="B27" s="28" t="s">
        <v>7</v>
      </c>
      <c r="C27" s="29" t="s">
        <v>29</v>
      </c>
      <c r="D27" s="29" t="s">
        <v>26</v>
      </c>
      <c r="E27" s="29" t="s">
        <v>44</v>
      </c>
      <c r="F27" s="28" t="s">
        <v>5</v>
      </c>
      <c r="G27" s="28" t="s">
        <v>6</v>
      </c>
      <c r="H27" s="29" t="s">
        <v>16</v>
      </c>
      <c r="I27" s="29" t="s">
        <v>22</v>
      </c>
      <c r="J27" s="29" t="s">
        <v>23</v>
      </c>
      <c r="K27" s="29" t="s">
        <v>15</v>
      </c>
    </row>
    <row r="28" spans="1:27">
      <c r="A28" s="30" t="s">
        <v>0</v>
      </c>
      <c r="B28" s="31">
        <f>+B7-B18</f>
        <v>0</v>
      </c>
      <c r="C28" s="32"/>
      <c r="D28" s="32">
        <f t="shared" ref="D28:F32" si="15">+D7-D18</f>
        <v>-3.4000000000000696E-4</v>
      </c>
      <c r="E28" s="32">
        <f t="shared" si="15"/>
        <v>-2.8400000000000092E-3</v>
      </c>
      <c r="F28" s="33">
        <f>+F7-F18</f>
        <v>2.8400000000000092E-3</v>
      </c>
      <c r="G28" s="7">
        <f t="shared" ref="G28:G32" si="16">+G7-G18</f>
        <v>-85448.949999999255</v>
      </c>
      <c r="H28" s="1"/>
      <c r="I28" s="1"/>
      <c r="J28" s="1"/>
      <c r="K28" s="1">
        <f>K18-K7</f>
        <v>297222.33623940003</v>
      </c>
      <c r="M28" s="2"/>
      <c r="N28" s="21"/>
    </row>
    <row r="29" spans="1:27">
      <c r="A29" s="34" t="s">
        <v>1</v>
      </c>
      <c r="B29" s="19">
        <f>+B8-B19</f>
        <v>0</v>
      </c>
      <c r="C29" s="24"/>
      <c r="D29" s="24">
        <f t="shared" si="15"/>
        <v>-3.4000000000000696E-4</v>
      </c>
      <c r="E29" s="24">
        <f t="shared" si="15"/>
        <v>-2.8400000000000092E-3</v>
      </c>
      <c r="F29" s="25">
        <f t="shared" si="15"/>
        <v>2.8400000000000092E-3</v>
      </c>
      <c r="G29" s="7">
        <f t="shared" si="16"/>
        <v>238911.24000000022</v>
      </c>
      <c r="H29" s="1"/>
      <c r="I29" s="1"/>
      <c r="J29" s="1"/>
      <c r="K29" s="1">
        <f t="shared" ref="K29:K32" si="17">K19-K8</f>
        <v>241354.1466837</v>
      </c>
      <c r="M29" s="2"/>
      <c r="N29" s="21"/>
    </row>
    <row r="30" spans="1:27">
      <c r="A30" s="34" t="s">
        <v>2</v>
      </c>
      <c r="B30" s="19">
        <f>+B9-B20</f>
        <v>0</v>
      </c>
      <c r="C30" s="24"/>
      <c r="D30" s="24">
        <f t="shared" si="15"/>
        <v>-3.4000000000000696E-4</v>
      </c>
      <c r="E30" s="24">
        <f>+E9-E20</f>
        <v>-1.0000000000010001E-5</v>
      </c>
      <c r="F30" s="25">
        <f t="shared" si="15"/>
        <v>1.0000000000010001E-5</v>
      </c>
      <c r="G30" s="7">
        <f t="shared" si="16"/>
        <v>-755472.91000000015</v>
      </c>
      <c r="H30" s="1"/>
      <c r="I30" s="1"/>
      <c r="J30" s="1"/>
      <c r="K30" s="1">
        <f>K20-K9</f>
        <v>2012140.8258324</v>
      </c>
      <c r="M30" s="2"/>
      <c r="N30" s="21"/>
    </row>
    <row r="31" spans="1:27">
      <c r="A31" s="34" t="s">
        <v>4</v>
      </c>
      <c r="B31" s="19">
        <f>+B10-B21</f>
        <v>0</v>
      </c>
      <c r="C31" s="24"/>
      <c r="D31" s="24">
        <f t="shared" si="15"/>
        <v>-3.4000000000000696E-4</v>
      </c>
      <c r="E31" s="24">
        <f t="shared" si="15"/>
        <v>-1.0000000000010001E-5</v>
      </c>
      <c r="F31" s="25">
        <f t="shared" si="15"/>
        <v>1.0000000000010001E-5</v>
      </c>
      <c r="G31" s="7">
        <f t="shared" si="16"/>
        <v>-385017.74000000022</v>
      </c>
      <c r="H31" s="1"/>
      <c r="I31" s="1"/>
      <c r="J31" s="1"/>
      <c r="K31" s="1">
        <f t="shared" si="17"/>
        <v>598610.77785040007</v>
      </c>
      <c r="M31" s="2"/>
      <c r="N31" s="21"/>
    </row>
    <row r="32" spans="1:27">
      <c r="A32" s="35" t="s">
        <v>3</v>
      </c>
      <c r="B32" s="36">
        <f>+B11-B22</f>
        <v>0</v>
      </c>
      <c r="C32" s="37"/>
      <c r="D32" s="37">
        <f t="shared" si="15"/>
        <v>-3.4000000000000696E-4</v>
      </c>
      <c r="E32" s="37">
        <f t="shared" si="15"/>
        <v>-1.0000000000010001E-5</v>
      </c>
      <c r="F32" s="38">
        <f t="shared" si="15"/>
        <v>1.0000000000010001E-5</v>
      </c>
      <c r="G32" s="7">
        <f t="shared" si="16"/>
        <v>-1257303.4699999988</v>
      </c>
      <c r="H32" s="1"/>
      <c r="I32" s="1"/>
      <c r="J32" s="1"/>
      <c r="K32" s="1">
        <f t="shared" si="17"/>
        <v>627847.90389400022</v>
      </c>
      <c r="M32" s="2"/>
      <c r="N32" s="21"/>
    </row>
    <row r="33" spans="7:12" ht="15" thickBot="1">
      <c r="G33" s="6">
        <f>SUM(G28:G32)</f>
        <v>-2244331.8299999982</v>
      </c>
      <c r="H33" s="8">
        <f t="shared" ref="H33:J33" si="18">SUM(H28:H32)</f>
        <v>0</v>
      </c>
      <c r="I33" s="8">
        <f t="shared" si="18"/>
        <v>0</v>
      </c>
      <c r="J33" s="8">
        <f t="shared" si="18"/>
        <v>0</v>
      </c>
      <c r="K33" s="65">
        <f>SUM(K28:K32)</f>
        <v>3777175.9904999007</v>
      </c>
      <c r="L33" s="4" t="s">
        <v>62</v>
      </c>
    </row>
    <row r="34" spans="7:12" ht="15" thickTop="1"/>
    <row r="36" spans="7:12">
      <c r="K36" s="2"/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 of Diff</vt:lpstr>
      <vt:lpstr>April 17</vt:lpstr>
      <vt:lpstr>May 17</vt:lpstr>
      <vt:lpstr>June 17</vt:lpstr>
      <vt:lpstr>July 17</vt:lpstr>
      <vt:lpstr>Aug 17</vt:lpstr>
      <vt:lpstr>Sept 17</vt:lpstr>
      <vt:lpstr>Oct 17</vt:lpstr>
      <vt:lpstr>Nov 17</vt:lpstr>
      <vt:lpstr>Dec 17</vt:lpstr>
      <vt:lpstr>Total True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Driver</dc:creator>
  <cp:lastModifiedBy>Tina Li</cp:lastModifiedBy>
  <cp:lastPrinted>2019-01-07T16:30:38Z</cp:lastPrinted>
  <dcterms:created xsi:type="dcterms:W3CDTF">2018-10-12T16:56:48Z</dcterms:created>
  <dcterms:modified xsi:type="dcterms:W3CDTF">2019-10-18T13:46:13Z</dcterms:modified>
</cp:coreProperties>
</file>