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fs1.powerstream.ca\vdi_storage\XD_FolderRedirect\nyeates\Documents\Desktop_new\2020 EDR IRs\Capitalization Policy\Supplementary IRs\Sent to Indy\"/>
    </mc:Choice>
  </mc:AlternateContent>
  <xr:revisionPtr revIDLastSave="0" documentId="13_ncr:1_{709BA0C1-C18E-4810-A7EB-0117A6ABAADF}" xr6:coauthVersionLast="41" xr6:coauthVersionMax="41" xr10:uidLastSave="{00000000-0000-0000-0000-000000000000}"/>
  <bookViews>
    <workbookView xWindow="28740" yWindow="135" windowWidth="25320" windowHeight="15270" activeTab="1" xr2:uid="{00000000-000D-0000-FFFF-FFFF00000000}"/>
  </bookViews>
  <sheets>
    <sheet name="HRZ-Staff-12 a" sheetId="3" r:id="rId1"/>
    <sheet name="HRZ-Staff-12 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6" i="3" l="1"/>
  <c r="E56" i="3"/>
  <c r="D56" i="3"/>
  <c r="D66" i="3" s="1"/>
  <c r="D68" i="3" s="1"/>
  <c r="C56" i="3"/>
  <c r="C66" i="3" s="1"/>
  <c r="F31" i="3"/>
  <c r="F40" i="3" s="1"/>
  <c r="F42" i="3" s="1"/>
  <c r="E31" i="3"/>
  <c r="E32" i="3" s="1"/>
  <c r="D31" i="3"/>
  <c r="D32" i="3" s="1"/>
  <c r="C31" i="3"/>
  <c r="C40" i="3" s="1"/>
  <c r="G8" i="3"/>
  <c r="G7" i="3"/>
  <c r="F32" i="3" l="1"/>
  <c r="F34" i="3" s="1"/>
  <c r="D57" i="3"/>
  <c r="D59" i="3" s="1"/>
  <c r="D60" i="3" s="1"/>
  <c r="E57" i="3"/>
  <c r="E59" i="3" s="1"/>
  <c r="H8" i="3"/>
  <c r="I8" i="3" s="1"/>
  <c r="C32" i="3"/>
  <c r="C57" i="3" s="1"/>
  <c r="E66" i="3"/>
  <c r="E68" i="3" s="1"/>
  <c r="C42" i="3"/>
  <c r="F21" i="3"/>
  <c r="F66" i="3"/>
  <c r="F68" i="3" s="1"/>
  <c r="F57" i="3"/>
  <c r="D34" i="3"/>
  <c r="D40" i="3"/>
  <c r="D42" i="3" s="1"/>
  <c r="C68" i="3"/>
  <c r="G9" i="3"/>
  <c r="H9" i="3" s="1"/>
  <c r="I9" i="3" s="1"/>
  <c r="G10" i="3"/>
  <c r="G19" i="3"/>
  <c r="F59" i="3"/>
  <c r="G11" i="3"/>
  <c r="H11" i="3" s="1"/>
  <c r="I11" i="3" s="1"/>
  <c r="E34" i="3"/>
  <c r="E40" i="3"/>
  <c r="E42" i="3" s="1"/>
  <c r="G56" i="3"/>
  <c r="G15" i="3"/>
  <c r="G31" i="3"/>
  <c r="C34" i="3"/>
  <c r="G68" i="3" l="1"/>
  <c r="G57" i="3"/>
  <c r="C59" i="3"/>
  <c r="G59" i="3" s="1"/>
  <c r="G60" i="3" s="1"/>
  <c r="G32" i="3"/>
  <c r="G40" i="3"/>
  <c r="H10" i="3"/>
  <c r="I10" i="3" s="1"/>
  <c r="G34" i="3"/>
  <c r="C35" i="3"/>
  <c r="G66" i="3"/>
  <c r="E61" i="3"/>
  <c r="E70" i="3" s="1"/>
  <c r="E35" i="3"/>
  <c r="E44" i="3" s="1"/>
  <c r="E60" i="3"/>
  <c r="F60" i="3"/>
  <c r="F61" i="3" s="1"/>
  <c r="F70" i="3" s="1"/>
  <c r="E21" i="3"/>
  <c r="F17" i="3"/>
  <c r="F35" i="3"/>
  <c r="F44" i="3" s="1"/>
  <c r="E17" i="3"/>
  <c r="D61" i="3"/>
  <c r="D70" i="3" s="1"/>
  <c r="D35" i="3"/>
  <c r="D44" i="3" s="1"/>
  <c r="G42" i="3"/>
  <c r="T25" i="2"/>
  <c r="S25" i="2"/>
  <c r="M25" i="2"/>
  <c r="L25" i="2"/>
  <c r="L27" i="2" s="1"/>
  <c r="K25" i="2"/>
  <c r="K27" i="2" s="1"/>
  <c r="K33" i="2" s="1"/>
  <c r="J25" i="2"/>
  <c r="J27" i="2" s="1"/>
  <c r="J33" i="2" s="1"/>
  <c r="I25" i="2"/>
  <c r="O25" i="2" s="1"/>
  <c r="G25" i="2"/>
  <c r="F25" i="2"/>
  <c r="F27" i="2" s="1"/>
  <c r="F33" i="2" s="1"/>
  <c r="E25" i="2"/>
  <c r="E27" i="2" s="1"/>
  <c r="D25" i="2"/>
  <c r="D27" i="2" s="1"/>
  <c r="D33" i="2" s="1"/>
  <c r="C25" i="2"/>
  <c r="C27" i="2" s="1"/>
  <c r="T8" i="2"/>
  <c r="S8" i="2"/>
  <c r="M8" i="2"/>
  <c r="L8" i="2"/>
  <c r="K8" i="2"/>
  <c r="J8" i="2"/>
  <c r="J10" i="2" s="1"/>
  <c r="I8" i="2"/>
  <c r="G8" i="2"/>
  <c r="F8" i="2"/>
  <c r="F10" i="2" s="1"/>
  <c r="F16" i="2" s="1"/>
  <c r="E8" i="2"/>
  <c r="E10" i="2" s="1"/>
  <c r="E16" i="2" s="1"/>
  <c r="D8" i="2"/>
  <c r="P8" i="2" s="1"/>
  <c r="C8" i="2"/>
  <c r="C10" i="2" s="1"/>
  <c r="C60" i="3" l="1"/>
  <c r="C61" i="3" s="1"/>
  <c r="D10" i="2"/>
  <c r="D16" i="2" s="1"/>
  <c r="P10" i="2"/>
  <c r="P16" i="2" s="1"/>
  <c r="Q8" i="2"/>
  <c r="C70" i="3"/>
  <c r="G61" i="3"/>
  <c r="G70" i="3" s="1"/>
  <c r="C44" i="3"/>
  <c r="G35" i="3"/>
  <c r="G44" i="3" s="1"/>
  <c r="D17" i="3"/>
  <c r="D21" i="3"/>
  <c r="R8" i="2"/>
  <c r="K10" i="2"/>
  <c r="Q10" i="2" s="1"/>
  <c r="Q16" i="2" s="1"/>
  <c r="P25" i="2"/>
  <c r="I27" i="2"/>
  <c r="O27" i="2" s="1"/>
  <c r="O33" i="2" s="1"/>
  <c r="O8" i="2"/>
  <c r="Q25" i="2"/>
  <c r="R25" i="2"/>
  <c r="E33" i="2"/>
  <c r="Q27" i="2"/>
  <c r="Q33" i="2" s="1"/>
  <c r="G27" i="2"/>
  <c r="C33" i="2"/>
  <c r="R27" i="2"/>
  <c r="R33" i="2" s="1"/>
  <c r="P27" i="2"/>
  <c r="P33" i="2" s="1"/>
  <c r="L33" i="2"/>
  <c r="I33" i="2"/>
  <c r="G10" i="2"/>
  <c r="C16" i="2"/>
  <c r="G16" i="2" s="1"/>
  <c r="L10" i="2"/>
  <c r="J16" i="2"/>
  <c r="I10" i="2"/>
  <c r="K16" i="2"/>
  <c r="M27" i="2"/>
  <c r="M10" i="2" l="1"/>
  <c r="G16" i="3"/>
  <c r="G17" i="3" s="1"/>
  <c r="C17" i="3"/>
  <c r="G12" i="3"/>
  <c r="H12" i="3" s="1"/>
  <c r="I12" i="3" s="1"/>
  <c r="G33" i="2"/>
  <c r="S27" i="2"/>
  <c r="T27" i="2" s="1"/>
  <c r="S33" i="2"/>
  <c r="M33" i="2"/>
  <c r="R10" i="2"/>
  <c r="R16" i="2" s="1"/>
  <c r="L16" i="2"/>
  <c r="O10" i="2"/>
  <c r="I16" i="2"/>
  <c r="M16" i="2" l="1"/>
  <c r="T33" i="2"/>
  <c r="O16" i="2"/>
  <c r="S16" i="2" s="1"/>
  <c r="T16" i="2" s="1"/>
  <c r="S10" i="2"/>
  <c r="T10" i="2" s="1"/>
  <c r="G13" i="3" l="1"/>
  <c r="H13" i="3" s="1"/>
  <c r="I13" i="3" s="1"/>
  <c r="G20" i="3"/>
  <c r="G21" i="3" s="1"/>
  <c r="C21" i="3"/>
</calcChain>
</file>

<file path=xl/sharedStrings.xml><?xml version="1.0" encoding="utf-8"?>
<sst xmlns="http://schemas.openxmlformats.org/spreadsheetml/2006/main" count="141" uniqueCount="57">
  <si>
    <t>Rate Base</t>
  </si>
  <si>
    <t>Change</t>
  </si>
  <si>
    <t>Year</t>
  </si>
  <si>
    <t>HRZ</t>
  </si>
  <si>
    <t>BRZ</t>
  </si>
  <si>
    <t>ERZ</t>
  </si>
  <si>
    <t>PRZ</t>
  </si>
  <si>
    <t>Alectra</t>
  </si>
  <si>
    <t>$</t>
  </si>
  <si>
    <t>%</t>
  </si>
  <si>
    <t>2017 - Adjusted</t>
  </si>
  <si>
    <t>2018 - Adjusted</t>
  </si>
  <si>
    <t xml:space="preserve"> </t>
  </si>
  <si>
    <t>2017 Rate Base Adj</t>
  </si>
  <si>
    <t>2018 Rate Base Adj</t>
  </si>
  <si>
    <t xml:space="preserve">Capitalization Policy Adjustments </t>
  </si>
  <si>
    <t>2017 Adjustments to Rate Base for Capitalization Policy Change</t>
  </si>
  <si>
    <t>2017 Adjustments to Average Net Fixed Assets:</t>
  </si>
  <si>
    <t>Remove capitalized OM&amp;A</t>
  </si>
  <si>
    <t>Total Adjustment to Closing Net Fixed Assets</t>
  </si>
  <si>
    <t xml:space="preserve">Change in Average Net Fixed Assets </t>
  </si>
  <si>
    <t>2017 Adjustments to Working Capital Allowance:</t>
  </si>
  <si>
    <t>Adjustments to Working Capital Base controllable expenses:</t>
  </si>
  <si>
    <t>Add capitalized OM&amp;A</t>
  </si>
  <si>
    <t>Working Capital Rate</t>
  </si>
  <si>
    <t>Adjustment to Working Capital Allowance</t>
  </si>
  <si>
    <t>Effects of Accounting Changes on Rate Base</t>
  </si>
  <si>
    <t>2018 Adjustments to Rate Base for Capitalization Policy Change</t>
  </si>
  <si>
    <t>2018 Adjustments to Average Net Fixed Assets:</t>
  </si>
  <si>
    <t>2018 Total Adjustment to Closing Net Fixed Assets</t>
  </si>
  <si>
    <t>2018 Closing NFA</t>
  </si>
  <si>
    <t>2018 Adjustments to Working Capital Allowance:</t>
  </si>
  <si>
    <t>HRZ-Staff-12 a.</t>
  </si>
  <si>
    <t>2016 Rate Base</t>
  </si>
  <si>
    <t>2017 Rate Base</t>
  </si>
  <si>
    <t>2017 vs. 2016  Rate Base $ Variance</t>
  </si>
  <si>
    <t>Alectra %</t>
  </si>
  <si>
    <t>Cost of Power</t>
  </si>
  <si>
    <t>OM&amp;A</t>
  </si>
  <si>
    <t>Total Cost of Power &amp; OM&amp;A</t>
  </si>
  <si>
    <t>Working Capital Allowance %</t>
  </si>
  <si>
    <t>Total Working Capital Allowance</t>
  </si>
  <si>
    <t>PPE</t>
  </si>
  <si>
    <t>Average regulated PP&amp;E</t>
  </si>
  <si>
    <t>Capitalization Policy Change</t>
  </si>
  <si>
    <t>Total Rate Base</t>
  </si>
  <si>
    <t>2018 Rate Base</t>
  </si>
  <si>
    <t>Table 2 – Rate Base Variance Analysis ($millions)</t>
  </si>
  <si>
    <t>HRZ-Staff-12 b.</t>
  </si>
  <si>
    <t>Table 1 – 2012-2018 Rate Base ($MM)</t>
  </si>
  <si>
    <r>
      <t>Add depreciation difference</t>
    </r>
    <r>
      <rPr>
        <vertAlign val="superscript"/>
        <sz val="11"/>
        <color theme="1"/>
        <rFont val="Arial"/>
        <family val="2"/>
      </rPr>
      <t>1</t>
    </r>
  </si>
  <si>
    <r>
      <t>Change in Average Net Fixed Assets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</si>
  <si>
    <t>2. First year of policy change (NFA opening = 0)</t>
  </si>
  <si>
    <t>1. Assumes 40 year assets and half year rule</t>
  </si>
  <si>
    <t>N/A</t>
  </si>
  <si>
    <t>2016 vs 2017 Variance</t>
  </si>
  <si>
    <t>2017 vs 2018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</si>
</sst>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8" formatCode="_(&quot;$&quot;* #,##0_);_(&quot;$&quot;* \(#,##0\);_(&quot;$&quot;* &quot;-&quot;??_);_(@_)"/>
    <numFmt numFmtId="169" formatCode="#,##0.0"/>
    <numFmt numFmtId="170" formatCode="_-* #,##0.0_-;\-* #,##0.0_-;_-* &quot;-&quot;??_-;_-@_-"/>
    <numFmt numFmtId="171" formatCode="_(* #,##0.0_);_(* \(#,##0.0\);_(* &quot;-&quot;??_);_(@_)"/>
    <numFmt numFmtId="172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/>
    <xf numFmtId="0" fontId="2" fillId="2" borderId="13" xfId="0" applyFont="1" applyFill="1" applyBorder="1" applyAlignment="1">
      <alignment horizontal="left"/>
    </xf>
    <xf numFmtId="0" fontId="4" fillId="0" borderId="10" xfId="0" applyFont="1" applyBorder="1"/>
    <xf numFmtId="0" fontId="4" fillId="0" borderId="12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23" xfId="0" applyFont="1" applyBorder="1"/>
    <xf numFmtId="0" fontId="3" fillId="2" borderId="17" xfId="0" applyFont="1" applyFill="1" applyBorder="1" applyAlignment="1">
      <alignment horizontal="center"/>
    </xf>
    <xf numFmtId="0" fontId="4" fillId="0" borderId="24" xfId="0" applyFont="1" applyBorder="1"/>
    <xf numFmtId="0" fontId="4" fillId="0" borderId="24" xfId="0" applyFont="1" applyBorder="1" applyAlignment="1">
      <alignment horizontal="left"/>
    </xf>
    <xf numFmtId="0" fontId="6" fillId="0" borderId="24" xfId="0" applyFont="1" applyBorder="1"/>
    <xf numFmtId="0" fontId="5" fillId="0" borderId="0" xfId="0" applyFont="1"/>
    <xf numFmtId="0" fontId="5" fillId="0" borderId="19" xfId="0" applyFont="1" applyBorder="1"/>
    <xf numFmtId="169" fontId="5" fillId="0" borderId="19" xfId="0" applyNumberFormat="1" applyFont="1" applyBorder="1"/>
    <xf numFmtId="169" fontId="5" fillId="0" borderId="20" xfId="0" applyNumberFormat="1" applyFont="1" applyBorder="1"/>
    <xf numFmtId="169" fontId="5" fillId="0" borderId="22" xfId="0" applyNumberFormat="1" applyFont="1" applyBorder="1"/>
    <xf numFmtId="0" fontId="7" fillId="0" borderId="0" xfId="0" applyFont="1" applyAlignment="1">
      <alignment horizontal="left"/>
    </xf>
    <xf numFmtId="0" fontId="5" fillId="0" borderId="14" xfId="0" applyFont="1" applyBorder="1"/>
    <xf numFmtId="0" fontId="4" fillId="0" borderId="1" xfId="0" applyFont="1" applyBorder="1"/>
    <xf numFmtId="168" fontId="4" fillId="0" borderId="7" xfId="2" applyNumberFormat="1" applyFont="1" applyBorder="1"/>
    <xf numFmtId="168" fontId="4" fillId="0" borderId="15" xfId="2" applyNumberFormat="1" applyFont="1" applyBorder="1"/>
    <xf numFmtId="0" fontId="4" fillId="0" borderId="16" xfId="0" applyFont="1" applyBorder="1"/>
    <xf numFmtId="0" fontId="6" fillId="0" borderId="4" xfId="0" applyFont="1" applyBorder="1"/>
    <xf numFmtId="168" fontId="4" fillId="0" borderId="9" xfId="2" applyNumberFormat="1" applyFont="1" applyBorder="1"/>
    <xf numFmtId="168" fontId="4" fillId="0" borderId="0" xfId="2" applyNumberFormat="1" applyFont="1" applyBorder="1"/>
    <xf numFmtId="0" fontId="4" fillId="0" borderId="4" xfId="0" applyFont="1" applyBorder="1"/>
    <xf numFmtId="168" fontId="4" fillId="0" borderId="10" xfId="2" applyNumberFormat="1" applyFont="1" applyBorder="1"/>
    <xf numFmtId="168" fontId="4" fillId="0" borderId="11" xfId="2" applyNumberFormat="1" applyFont="1" applyBorder="1"/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left" indent="1"/>
    </xf>
    <xf numFmtId="166" fontId="4" fillId="0" borderId="10" xfId="3" applyNumberFormat="1" applyFont="1" applyBorder="1"/>
    <xf numFmtId="166" fontId="4" fillId="0" borderId="11" xfId="3" applyNumberFormat="1" applyFont="1" applyBorder="1"/>
    <xf numFmtId="0" fontId="4" fillId="0" borderId="13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3" fontId="4" fillId="0" borderId="0" xfId="0" applyNumberFormat="1" applyFont="1"/>
    <xf numFmtId="169" fontId="4" fillId="0" borderId="14" xfId="0" applyNumberFormat="1" applyFont="1" applyBorder="1"/>
    <xf numFmtId="0" fontId="4" fillId="0" borderId="14" xfId="0" applyFont="1" applyBorder="1"/>
    <xf numFmtId="166" fontId="4" fillId="0" borderId="14" xfId="3" applyNumberFormat="1" applyFont="1" applyBorder="1"/>
    <xf numFmtId="169" fontId="4" fillId="0" borderId="14" xfId="0" applyNumberFormat="1" applyFont="1" applyFill="1" applyBorder="1"/>
    <xf numFmtId="166" fontId="4" fillId="0" borderId="14" xfId="3" applyNumberFormat="1" applyFont="1" applyFill="1" applyBorder="1"/>
    <xf numFmtId="169" fontId="5" fillId="0" borderId="14" xfId="0" applyNumberFormat="1" applyFont="1" applyBorder="1"/>
    <xf numFmtId="170" fontId="4" fillId="0" borderId="14" xfId="1" applyNumberFormat="1" applyFont="1" applyBorder="1"/>
    <xf numFmtId="171" fontId="4" fillId="0" borderId="14" xfId="1" applyNumberFormat="1" applyFont="1" applyBorder="1"/>
    <xf numFmtId="171" fontId="5" fillId="0" borderId="10" xfId="0" applyNumberFormat="1" applyFont="1" applyBorder="1"/>
    <xf numFmtId="165" fontId="4" fillId="0" borderId="9" xfId="2" applyNumberFormat="1" applyFont="1" applyBorder="1"/>
    <xf numFmtId="171" fontId="4" fillId="0" borderId="9" xfId="0" applyNumberFormat="1" applyFont="1" applyBorder="1"/>
    <xf numFmtId="165" fontId="4" fillId="0" borderId="10" xfId="0" applyNumberFormat="1" applyFont="1" applyBorder="1"/>
    <xf numFmtId="165" fontId="4" fillId="0" borderId="10" xfId="2" applyNumberFormat="1" applyFont="1" applyBorder="1"/>
    <xf numFmtId="0" fontId="5" fillId="0" borderId="26" xfId="0" applyFont="1" applyBorder="1"/>
    <xf numFmtId="0" fontId="3" fillId="2" borderId="7" xfId="0" applyFont="1" applyFill="1" applyBorder="1" applyAlignment="1">
      <alignment horizontal="center"/>
    </xf>
    <xf numFmtId="165" fontId="4" fillId="0" borderId="4" xfId="1" applyNumberFormat="1" applyFont="1" applyBorder="1"/>
    <xf numFmtId="171" fontId="4" fillId="0" borderId="4" xfId="0" applyNumberFormat="1" applyFont="1" applyBorder="1"/>
    <xf numFmtId="0" fontId="4" fillId="0" borderId="4" xfId="0" applyFont="1" applyBorder="1" applyAlignment="1">
      <alignment horizontal="center"/>
    </xf>
    <xf numFmtId="165" fontId="5" fillId="0" borderId="13" xfId="2" applyNumberFormat="1" applyFont="1" applyBorder="1"/>
    <xf numFmtId="168" fontId="4" fillId="0" borderId="1" xfId="2" applyNumberFormat="1" applyFont="1" applyBorder="1"/>
    <xf numFmtId="168" fontId="4" fillId="0" borderId="4" xfId="2" applyNumberFormat="1" applyFont="1" applyBorder="1"/>
    <xf numFmtId="171" fontId="4" fillId="0" borderId="4" xfId="2" applyNumberFormat="1" applyFont="1" applyBorder="1"/>
    <xf numFmtId="165" fontId="4" fillId="0" borderId="13" xfId="1" applyNumberFormat="1" applyFont="1" applyBorder="1"/>
    <xf numFmtId="172" fontId="4" fillId="0" borderId="13" xfId="1" applyNumberFormat="1" applyFont="1" applyBorder="1"/>
    <xf numFmtId="171" fontId="4" fillId="0" borderId="10" xfId="2" applyNumberFormat="1" applyFont="1" applyBorder="1"/>
    <xf numFmtId="165" fontId="4" fillId="0" borderId="9" xfId="1" applyNumberFormat="1" applyFont="1" applyBorder="1"/>
    <xf numFmtId="165" fontId="5" fillId="0" borderId="10" xfId="2" applyNumberFormat="1" applyFont="1" applyBorder="1"/>
    <xf numFmtId="166" fontId="4" fillId="0" borderId="13" xfId="3" applyNumberFormat="1" applyFont="1" applyBorder="1"/>
    <xf numFmtId="165" fontId="4" fillId="0" borderId="13" xfId="0" applyNumberFormat="1" applyFont="1" applyBorder="1"/>
    <xf numFmtId="165" fontId="4" fillId="0" borderId="13" xfId="2" applyNumberFormat="1" applyFont="1" applyBorder="1"/>
    <xf numFmtId="165" fontId="4" fillId="0" borderId="10" xfId="1" applyNumberFormat="1" applyFont="1" applyBorder="1"/>
    <xf numFmtId="0" fontId="9" fillId="0" borderId="0" xfId="0" applyFont="1" applyAlignment="1">
      <alignment horizontal="left"/>
    </xf>
    <xf numFmtId="166" fontId="4" fillId="0" borderId="14" xfId="0" applyNumberFormat="1" applyFont="1" applyBorder="1" applyAlignment="1"/>
    <xf numFmtId="169" fontId="4" fillId="0" borderId="14" xfId="0" applyNumberFormat="1" applyFont="1" applyBorder="1" applyAlignment="1">
      <alignment horizontal="right"/>
    </xf>
    <xf numFmtId="171" fontId="4" fillId="0" borderId="14" xfId="0" applyNumberFormat="1" applyFont="1" applyBorder="1"/>
    <xf numFmtId="169" fontId="4" fillId="0" borderId="7" xfId="0" applyNumberFormat="1" applyFont="1" applyBorder="1"/>
    <xf numFmtId="169" fontId="5" fillId="0" borderId="29" xfId="0" applyNumberFormat="1" applyFont="1" applyBorder="1"/>
    <xf numFmtId="171" fontId="5" fillId="0" borderId="14" xfId="0" applyNumberFormat="1" applyFont="1" applyBorder="1"/>
    <xf numFmtId="169" fontId="4" fillId="0" borderId="26" xfId="0" applyNumberFormat="1" applyFont="1" applyBorder="1"/>
    <xf numFmtId="169" fontId="5" fillId="0" borderId="26" xfId="0" applyNumberFormat="1" applyFont="1" applyBorder="1"/>
    <xf numFmtId="3" fontId="4" fillId="0" borderId="26" xfId="0" applyNumberFormat="1" applyFont="1" applyBorder="1"/>
    <xf numFmtId="171" fontId="4" fillId="0" borderId="26" xfId="0" applyNumberFormat="1" applyFont="1" applyBorder="1"/>
    <xf numFmtId="169" fontId="4" fillId="0" borderId="1" xfId="0" applyNumberFormat="1" applyFont="1" applyBorder="1"/>
    <xf numFmtId="166" fontId="4" fillId="0" borderId="30" xfId="3" applyNumberFormat="1" applyFont="1" applyBorder="1"/>
    <xf numFmtId="169" fontId="5" fillId="0" borderId="31" xfId="0" applyNumberFormat="1" applyFont="1" applyBorder="1"/>
    <xf numFmtId="171" fontId="5" fillId="0" borderId="29" xfId="0" applyNumberFormat="1" applyFont="1" applyBorder="1"/>
    <xf numFmtId="0" fontId="3" fillId="2" borderId="33" xfId="0" applyFont="1" applyFill="1" applyBorder="1" applyAlignment="1">
      <alignment horizontal="center"/>
    </xf>
    <xf numFmtId="169" fontId="4" fillId="0" borderId="33" xfId="0" applyNumberFormat="1" applyFont="1" applyBorder="1"/>
    <xf numFmtId="169" fontId="5" fillId="0" borderId="33" xfId="0" applyNumberFormat="1" applyFont="1" applyBorder="1"/>
    <xf numFmtId="3" fontId="4" fillId="0" borderId="33" xfId="0" applyNumberFormat="1" applyFont="1" applyBorder="1"/>
    <xf numFmtId="169" fontId="4" fillId="0" borderId="33" xfId="0" applyNumberFormat="1" applyFont="1" applyBorder="1" applyAlignment="1">
      <alignment horizontal="right"/>
    </xf>
    <xf numFmtId="169" fontId="4" fillId="0" borderId="34" xfId="0" applyNumberFormat="1" applyFont="1" applyBorder="1"/>
    <xf numFmtId="169" fontId="5" fillId="0" borderId="32" xfId="0" applyNumberFormat="1" applyFont="1" applyBorder="1"/>
    <xf numFmtId="0" fontId="3" fillId="2" borderId="35" xfId="0" applyFont="1" applyFill="1" applyBorder="1" applyAlignment="1">
      <alignment horizontal="center"/>
    </xf>
    <xf numFmtId="169" fontId="4" fillId="0" borderId="35" xfId="0" applyNumberFormat="1" applyFont="1" applyBorder="1"/>
    <xf numFmtId="169" fontId="5" fillId="0" borderId="35" xfId="0" applyNumberFormat="1" applyFont="1" applyBorder="1"/>
    <xf numFmtId="166" fontId="4" fillId="0" borderId="35" xfId="0" applyNumberFormat="1" applyFont="1" applyBorder="1" applyAlignment="1"/>
    <xf numFmtId="171" fontId="4" fillId="0" borderId="35" xfId="0" applyNumberFormat="1" applyFont="1" applyBorder="1"/>
    <xf numFmtId="171" fontId="4" fillId="0" borderId="33" xfId="0" applyNumberFormat="1" applyFont="1" applyBorder="1"/>
    <xf numFmtId="169" fontId="4" fillId="0" borderId="36" xfId="0" applyNumberFormat="1" applyFont="1" applyBorder="1"/>
    <xf numFmtId="171" fontId="5" fillId="0" borderId="37" xfId="0" applyNumberFormat="1" applyFont="1" applyBorder="1"/>
    <xf numFmtId="166" fontId="4" fillId="0" borderId="33" xfId="3" applyNumberFormat="1" applyFont="1" applyBorder="1"/>
    <xf numFmtId="171" fontId="5" fillId="0" borderId="35" xfId="0" applyNumberFormat="1" applyFont="1" applyBorder="1"/>
    <xf numFmtId="171" fontId="5" fillId="0" borderId="26" xfId="0" applyNumberFormat="1" applyFont="1" applyBorder="1"/>
    <xf numFmtId="0" fontId="4" fillId="0" borderId="25" xfId="0" applyFont="1" applyBorder="1"/>
    <xf numFmtId="0" fontId="4" fillId="0" borderId="25" xfId="0" applyFont="1" applyBorder="1" applyAlignment="1">
      <alignment horizontal="left"/>
    </xf>
    <xf numFmtId="0" fontId="6" fillId="0" borderId="25" xfId="0" applyFont="1" applyBorder="1"/>
    <xf numFmtId="0" fontId="5" fillId="0" borderId="22" xfId="0" applyFont="1" applyBorder="1"/>
    <xf numFmtId="0" fontId="5" fillId="0" borderId="17" xfId="0" applyFont="1" applyBorder="1"/>
    <xf numFmtId="166" fontId="4" fillId="0" borderId="34" xfId="3" applyNumberFormat="1" applyFont="1" applyBorder="1"/>
    <xf numFmtId="166" fontId="5" fillId="0" borderId="32" xfId="3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C523-C82C-4E2C-8755-43B5845EA39D}">
  <sheetPr>
    <pageSetUpPr fitToPage="1"/>
  </sheetPr>
  <dimension ref="B1:I72"/>
  <sheetViews>
    <sheetView showGridLines="0" workbookViewId="0">
      <selection activeCell="E76" sqref="E76"/>
    </sheetView>
  </sheetViews>
  <sheetFormatPr defaultRowHeight="13.8" x14ac:dyDescent="0.25"/>
  <cols>
    <col min="1" max="1" width="2.88671875" style="13" customWidth="1"/>
    <col min="2" max="2" width="64" style="12" bestFit="1" customWidth="1"/>
    <col min="3" max="9" width="10.5546875" style="13" customWidth="1"/>
    <col min="10" max="16384" width="8.88671875" style="13"/>
  </cols>
  <sheetData>
    <row r="1" spans="2:9" ht="25.5" customHeight="1" x14ac:dyDescent="0.25">
      <c r="B1" s="24" t="s">
        <v>32</v>
      </c>
    </row>
    <row r="2" spans="2:9" x14ac:dyDescent="0.25">
      <c r="B2" s="19" t="s">
        <v>49</v>
      </c>
    </row>
    <row r="3" spans="2:9" x14ac:dyDescent="0.25">
      <c r="B3" s="19"/>
    </row>
    <row r="4" spans="2:9" x14ac:dyDescent="0.25">
      <c r="B4" s="1"/>
      <c r="C4" s="115" t="s">
        <v>0</v>
      </c>
      <c r="D4" s="115"/>
      <c r="E4" s="115"/>
      <c r="F4" s="115"/>
      <c r="G4" s="115"/>
      <c r="H4" s="115" t="s">
        <v>1</v>
      </c>
      <c r="I4" s="116"/>
    </row>
    <row r="5" spans="2:9" x14ac:dyDescent="0.25">
      <c r="B5" s="2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4" t="s">
        <v>9</v>
      </c>
    </row>
    <row r="6" spans="2:9" x14ac:dyDescent="0.25">
      <c r="B6" s="2"/>
      <c r="C6" s="5"/>
      <c r="D6" s="6"/>
      <c r="E6" s="5"/>
      <c r="F6" s="6"/>
      <c r="G6" s="5"/>
      <c r="H6" s="5"/>
      <c r="I6" s="7"/>
    </row>
    <row r="7" spans="2:9" x14ac:dyDescent="0.25">
      <c r="B7" s="2">
        <v>2012</v>
      </c>
      <c r="C7" s="44">
        <v>412.11787199999998</v>
      </c>
      <c r="D7" s="44">
        <v>341.76003855600004</v>
      </c>
      <c r="E7" s="44">
        <v>575.04668000000004</v>
      </c>
      <c r="F7" s="44">
        <v>795.56666525150001</v>
      </c>
      <c r="G7" s="49">
        <f>SUM(C7:F7)</f>
        <v>2124.4912558075002</v>
      </c>
      <c r="H7" s="44"/>
      <c r="I7" s="45"/>
    </row>
    <row r="8" spans="2:9" x14ac:dyDescent="0.25">
      <c r="B8" s="2">
        <v>2013</v>
      </c>
      <c r="C8" s="44">
        <v>451.352754</v>
      </c>
      <c r="D8" s="44">
        <v>367.19406817400005</v>
      </c>
      <c r="E8" s="44">
        <v>629.432635</v>
      </c>
      <c r="F8" s="44">
        <v>836.2946776458823</v>
      </c>
      <c r="G8" s="49">
        <f t="shared" ref="G8:G13" si="0">SUM(C8:F8)</f>
        <v>2284.2741348198824</v>
      </c>
      <c r="H8" s="44">
        <f t="shared" ref="H8:H13" si="1">G8-G7</f>
        <v>159.78287901238218</v>
      </c>
      <c r="I8" s="46">
        <f>H8/G7</f>
        <v>7.5209949005720964E-2</v>
      </c>
    </row>
    <row r="9" spans="2:9" x14ac:dyDescent="0.25">
      <c r="B9" s="2">
        <v>2014</v>
      </c>
      <c r="C9" s="44">
        <v>472.74197600000002</v>
      </c>
      <c r="D9" s="44">
        <v>388.30379702799996</v>
      </c>
      <c r="E9" s="44">
        <v>645.200467</v>
      </c>
      <c r="F9" s="44">
        <v>893.00134672000002</v>
      </c>
      <c r="G9" s="49">
        <f t="shared" si="0"/>
        <v>2399.2475867480002</v>
      </c>
      <c r="H9" s="44">
        <f t="shared" si="1"/>
        <v>114.97345192811781</v>
      </c>
      <c r="I9" s="46">
        <f t="shared" ref="I9:I13" si="2">H9/G8</f>
        <v>5.0332598078112717E-2</v>
      </c>
    </row>
    <row r="10" spans="2:9" x14ac:dyDescent="0.25">
      <c r="B10" s="2">
        <v>2015</v>
      </c>
      <c r="C10" s="44">
        <v>477.30128000000002</v>
      </c>
      <c r="D10" s="44">
        <v>402.04320318190003</v>
      </c>
      <c r="E10" s="44">
        <v>706.2458792283112</v>
      </c>
      <c r="F10" s="44">
        <v>980.54668300000003</v>
      </c>
      <c r="G10" s="49">
        <f t="shared" si="0"/>
        <v>2566.1370454102112</v>
      </c>
      <c r="H10" s="44">
        <f t="shared" si="1"/>
        <v>166.88945866221093</v>
      </c>
      <c r="I10" s="46">
        <f t="shared" si="2"/>
        <v>6.9559081598751155E-2</v>
      </c>
    </row>
    <row r="11" spans="2:9" x14ac:dyDescent="0.25">
      <c r="B11" s="2">
        <v>2016</v>
      </c>
      <c r="C11" s="44">
        <v>506.46555000000001</v>
      </c>
      <c r="D11" s="44">
        <v>421.74447077570011</v>
      </c>
      <c r="E11" s="44">
        <v>777.69067185000006</v>
      </c>
      <c r="F11" s="44">
        <v>1064.9416779999999</v>
      </c>
      <c r="G11" s="49">
        <f t="shared" si="0"/>
        <v>2770.8423706256999</v>
      </c>
      <c r="H11" s="44">
        <f t="shared" si="1"/>
        <v>204.70532521548876</v>
      </c>
      <c r="I11" s="46">
        <f t="shared" si="2"/>
        <v>7.977178209621516E-2</v>
      </c>
    </row>
    <row r="12" spans="2:9" x14ac:dyDescent="0.25">
      <c r="B12" s="2" t="s">
        <v>10</v>
      </c>
      <c r="C12" s="44">
        <v>515.58830378624998</v>
      </c>
      <c r="D12" s="44">
        <v>421.99026401499998</v>
      </c>
      <c r="E12" s="44">
        <v>791.08016379125002</v>
      </c>
      <c r="F12" s="44">
        <v>1038.0588705</v>
      </c>
      <c r="G12" s="49">
        <f t="shared" si="0"/>
        <v>2766.7176020924999</v>
      </c>
      <c r="H12" s="47">
        <f t="shared" si="1"/>
        <v>-4.1247685332000401</v>
      </c>
      <c r="I12" s="48">
        <f t="shared" si="2"/>
        <v>-1.4886334123252931E-3</v>
      </c>
    </row>
    <row r="13" spans="2:9" x14ac:dyDescent="0.25">
      <c r="B13" s="2" t="s">
        <v>11</v>
      </c>
      <c r="C13" s="44">
        <v>530.07793427125</v>
      </c>
      <c r="D13" s="44">
        <v>434.56252343749998</v>
      </c>
      <c r="E13" s="44">
        <v>827.79996394249997</v>
      </c>
      <c r="F13" s="44">
        <v>1090.412634775</v>
      </c>
      <c r="G13" s="49">
        <f t="shared" si="0"/>
        <v>2882.8530564262501</v>
      </c>
      <c r="H13" s="44">
        <f t="shared" si="1"/>
        <v>116.1354543337502</v>
      </c>
      <c r="I13" s="46">
        <f t="shared" si="2"/>
        <v>4.1975897448267088E-2</v>
      </c>
    </row>
    <row r="14" spans="2:9" x14ac:dyDescent="0.25">
      <c r="B14" s="2"/>
      <c r="C14" s="8"/>
      <c r="D14" s="6"/>
      <c r="E14" s="8"/>
      <c r="F14" s="6"/>
      <c r="G14" s="8"/>
      <c r="H14" s="8"/>
      <c r="I14" s="7"/>
    </row>
    <row r="15" spans="2:9" x14ac:dyDescent="0.25">
      <c r="B15" s="2">
        <v>2017</v>
      </c>
      <c r="C15" s="50">
        <v>517.60600399999998</v>
      </c>
      <c r="D15" s="50">
        <v>421.32440800000001</v>
      </c>
      <c r="E15" s="50">
        <v>791.74960599999997</v>
      </c>
      <c r="F15" s="50">
        <v>1038.1401080000001</v>
      </c>
      <c r="G15" s="44">
        <f t="shared" ref="G15:G16" si="3">SUM(C15:F15)</f>
        <v>2768.8201260000001</v>
      </c>
      <c r="H15" s="8"/>
      <c r="I15" s="7"/>
    </row>
    <row r="16" spans="2:9" x14ac:dyDescent="0.25">
      <c r="B16" s="2" t="s">
        <v>13</v>
      </c>
      <c r="C16" s="51">
        <v>-2.01770021375</v>
      </c>
      <c r="D16" s="51">
        <v>0.66585601500000002</v>
      </c>
      <c r="E16" s="51">
        <v>-0.66944220875000005</v>
      </c>
      <c r="F16" s="51">
        <v>-8.1237500000000004E-2</v>
      </c>
      <c r="G16" s="51">
        <f t="shared" si="3"/>
        <v>-2.1025239074999997</v>
      </c>
      <c r="H16" s="8"/>
      <c r="I16" s="7"/>
    </row>
    <row r="17" spans="2:9" x14ac:dyDescent="0.25">
      <c r="B17" s="2" t="s">
        <v>10</v>
      </c>
      <c r="C17" s="52">
        <f>SUM(C15:C16)</f>
        <v>515.58830378624998</v>
      </c>
      <c r="D17" s="52">
        <f t="shared" ref="D17:G17" si="4">SUM(D15:D16)</f>
        <v>421.99026401499998</v>
      </c>
      <c r="E17" s="52">
        <f t="shared" si="4"/>
        <v>791.08016379125002</v>
      </c>
      <c r="F17" s="52">
        <f t="shared" si="4"/>
        <v>1038.0588705</v>
      </c>
      <c r="G17" s="52">
        <f t="shared" si="4"/>
        <v>2766.7176020924999</v>
      </c>
      <c r="H17" s="8"/>
      <c r="I17" s="7"/>
    </row>
    <row r="18" spans="2:9" x14ac:dyDescent="0.25">
      <c r="B18" s="2"/>
      <c r="C18" s="8"/>
      <c r="D18" s="6"/>
      <c r="E18" s="8"/>
      <c r="F18" s="6"/>
      <c r="G18" s="8"/>
      <c r="H18" s="8"/>
      <c r="I18" s="7"/>
    </row>
    <row r="19" spans="2:9" x14ac:dyDescent="0.25">
      <c r="B19" s="2">
        <v>2018</v>
      </c>
      <c r="C19" s="50">
        <v>537.300973</v>
      </c>
      <c r="D19" s="50">
        <v>432.19223</v>
      </c>
      <c r="E19" s="50">
        <v>830.23336099999995</v>
      </c>
      <c r="F19" s="50">
        <v>1090.7733499999999</v>
      </c>
      <c r="G19" s="44">
        <f t="shared" ref="G19:G20" si="5">SUM(C19:F19)</f>
        <v>2890.499914</v>
      </c>
      <c r="H19" s="8"/>
      <c r="I19" s="7"/>
    </row>
    <row r="20" spans="2:9" x14ac:dyDescent="0.25">
      <c r="B20" s="2" t="s">
        <v>14</v>
      </c>
      <c r="C20" s="51">
        <v>-7.2230387287499997</v>
      </c>
      <c r="D20" s="51">
        <v>2.3702934375</v>
      </c>
      <c r="E20" s="51">
        <v>-2.4333970574999997</v>
      </c>
      <c r="F20" s="51">
        <v>-0.36071522500000003</v>
      </c>
      <c r="G20" s="51">
        <f t="shared" si="5"/>
        <v>-7.6468575737499993</v>
      </c>
      <c r="H20" s="8"/>
      <c r="I20" s="7"/>
    </row>
    <row r="21" spans="2:9" x14ac:dyDescent="0.25">
      <c r="B21" s="9" t="s">
        <v>11</v>
      </c>
      <c r="C21" s="52">
        <f>SUM(C19:C20)</f>
        <v>530.07793427125</v>
      </c>
      <c r="D21" s="52">
        <f t="shared" ref="D21:G21" si="6">SUM(D19:D20)</f>
        <v>434.56252343749998</v>
      </c>
      <c r="E21" s="52">
        <f t="shared" si="6"/>
        <v>827.79996394249997</v>
      </c>
      <c r="F21" s="52">
        <f t="shared" si="6"/>
        <v>1090.412634775</v>
      </c>
      <c r="G21" s="52">
        <f t="shared" si="6"/>
        <v>2882.8530564262501</v>
      </c>
      <c r="H21" s="10"/>
      <c r="I21" s="11"/>
    </row>
    <row r="25" spans="2:9" x14ac:dyDescent="0.25">
      <c r="B25" s="24" t="s">
        <v>15</v>
      </c>
    </row>
    <row r="27" spans="2:9" x14ac:dyDescent="0.25">
      <c r="B27" s="41" t="s">
        <v>16</v>
      </c>
      <c r="C27" s="58" t="s">
        <v>3</v>
      </c>
      <c r="D27" s="58" t="s">
        <v>4</v>
      </c>
      <c r="E27" s="58" t="s">
        <v>5</v>
      </c>
      <c r="F27" s="58" t="s">
        <v>6</v>
      </c>
      <c r="G27" s="58" t="s">
        <v>7</v>
      </c>
    </row>
    <row r="28" spans="2:9" x14ac:dyDescent="0.25">
      <c r="B28" s="26"/>
      <c r="C28" s="26"/>
      <c r="D28" s="63"/>
      <c r="E28" s="63"/>
      <c r="F28" s="26"/>
      <c r="G28" s="5"/>
    </row>
    <row r="29" spans="2:9" x14ac:dyDescent="0.25">
      <c r="B29" s="30" t="s">
        <v>17</v>
      </c>
      <c r="C29" s="33"/>
      <c r="D29" s="64"/>
      <c r="E29" s="64"/>
      <c r="F29" s="33"/>
      <c r="G29" s="8"/>
    </row>
    <row r="30" spans="2:9" x14ac:dyDescent="0.25">
      <c r="B30" s="33"/>
      <c r="C30" s="33"/>
      <c r="D30" s="64"/>
      <c r="E30" s="64"/>
      <c r="F30" s="33"/>
      <c r="G30" s="8"/>
    </row>
    <row r="31" spans="2:9" x14ac:dyDescent="0.25">
      <c r="B31" s="33" t="s">
        <v>18</v>
      </c>
      <c r="C31" s="59">
        <f>-5398529/1000000</f>
        <v>-5.3985289999999999</v>
      </c>
      <c r="D31" s="59">
        <f>1830532/1000000</f>
        <v>1.830532</v>
      </c>
      <c r="E31" s="59">
        <f>-1866041/1000000</f>
        <v>-1.8660410000000001</v>
      </c>
      <c r="F31" s="59">
        <f>-194000/1000000</f>
        <v>-0.19400000000000001</v>
      </c>
      <c r="G31" s="53">
        <f>SUM(C31:F31)</f>
        <v>-5.6280380000000001</v>
      </c>
    </row>
    <row r="32" spans="2:9" ht="16.2" x14ac:dyDescent="0.25">
      <c r="B32" s="33" t="s">
        <v>50</v>
      </c>
      <c r="C32" s="66">
        <f>-C31/40*0.5</f>
        <v>6.7481612499999996E-2</v>
      </c>
      <c r="D32" s="66">
        <f>-D31/40*0.5</f>
        <v>-2.288165E-2</v>
      </c>
      <c r="E32" s="66">
        <f>-E31/40*0.5</f>
        <v>2.3325512499999999E-2</v>
      </c>
      <c r="F32" s="67">
        <f>-F31/40*0.5</f>
        <v>2.4250000000000001E-3</v>
      </c>
      <c r="G32" s="68">
        <f>SUM(C32:F32)</f>
        <v>7.0350474999999982E-2</v>
      </c>
    </row>
    <row r="33" spans="2:7" x14ac:dyDescent="0.25">
      <c r="B33" s="33"/>
      <c r="C33" s="60"/>
      <c r="D33" s="65"/>
      <c r="E33" s="65"/>
      <c r="F33" s="60"/>
      <c r="G33" s="54"/>
    </row>
    <row r="34" spans="2:7" x14ac:dyDescent="0.25">
      <c r="B34" s="33" t="s">
        <v>19</v>
      </c>
      <c r="C34" s="66">
        <f>C31+C32</f>
        <v>-5.3310473875</v>
      </c>
      <c r="D34" s="66">
        <f t="shared" ref="D34:F34" si="7">D31+D32</f>
        <v>1.8076503500000001</v>
      </c>
      <c r="E34" s="66">
        <f t="shared" si="7"/>
        <v>-1.8427154875</v>
      </c>
      <c r="F34" s="66">
        <f t="shared" si="7"/>
        <v>-0.191575</v>
      </c>
      <c r="G34" s="56">
        <f>SUM(C34:F34)</f>
        <v>-5.5576875250000004</v>
      </c>
    </row>
    <row r="35" spans="2:7" ht="16.2" x14ac:dyDescent="0.25">
      <c r="B35" s="33" t="s">
        <v>51</v>
      </c>
      <c r="C35" s="59">
        <f>+C34/2</f>
        <v>-2.66552369375</v>
      </c>
      <c r="D35" s="59">
        <f t="shared" ref="D35:F35" si="8">+D34/2</f>
        <v>0.90382517500000004</v>
      </c>
      <c r="E35" s="59">
        <f t="shared" si="8"/>
        <v>-0.92135774375000001</v>
      </c>
      <c r="F35" s="59">
        <f t="shared" si="8"/>
        <v>-9.5787499999999998E-2</v>
      </c>
      <c r="G35" s="53">
        <f>SUM(C35:F35)</f>
        <v>-2.7788437625000002</v>
      </c>
    </row>
    <row r="36" spans="2:7" x14ac:dyDescent="0.25">
      <c r="B36" s="33"/>
      <c r="C36" s="61"/>
      <c r="D36" s="64"/>
      <c r="E36" s="64"/>
      <c r="F36" s="33"/>
      <c r="G36" s="8"/>
    </row>
    <row r="37" spans="2:7" x14ac:dyDescent="0.25">
      <c r="B37" s="30" t="s">
        <v>21</v>
      </c>
      <c r="C37" s="61"/>
      <c r="D37" s="64"/>
      <c r="E37" s="64"/>
      <c r="F37" s="33"/>
      <c r="G37" s="8"/>
    </row>
    <row r="38" spans="2:7" x14ac:dyDescent="0.25">
      <c r="B38" s="33"/>
      <c r="C38" s="61"/>
      <c r="D38" s="64"/>
      <c r="E38" s="64"/>
      <c r="F38" s="33"/>
      <c r="G38" s="8"/>
    </row>
    <row r="39" spans="2:7" x14ac:dyDescent="0.25">
      <c r="B39" s="33" t="s">
        <v>22</v>
      </c>
      <c r="C39" s="61"/>
      <c r="D39" s="64"/>
      <c r="E39" s="64"/>
      <c r="F39" s="33"/>
      <c r="G39" s="8"/>
    </row>
    <row r="40" spans="2:7" x14ac:dyDescent="0.25">
      <c r="B40" s="37" t="s">
        <v>23</v>
      </c>
      <c r="C40" s="59">
        <f>-C31</f>
        <v>5.3985289999999999</v>
      </c>
      <c r="D40" s="59">
        <f t="shared" ref="D40:F40" si="9">-D31</f>
        <v>-1.830532</v>
      </c>
      <c r="E40" s="59">
        <f t="shared" si="9"/>
        <v>1.8660410000000001</v>
      </c>
      <c r="F40" s="59">
        <f t="shared" si="9"/>
        <v>0.19400000000000001</v>
      </c>
      <c r="G40" s="53">
        <f>SUM(C40:F40)</f>
        <v>5.6280380000000001</v>
      </c>
    </row>
    <row r="41" spans="2:7" x14ac:dyDescent="0.25">
      <c r="B41" s="37" t="s">
        <v>24</v>
      </c>
      <c r="C41" s="71">
        <v>0.12</v>
      </c>
      <c r="D41" s="71">
        <v>0.13</v>
      </c>
      <c r="E41" s="71">
        <v>0.13500000000000001</v>
      </c>
      <c r="F41" s="71">
        <v>7.4999999999999997E-2</v>
      </c>
      <c r="G41" s="10"/>
    </row>
    <row r="42" spans="2:7" x14ac:dyDescent="0.25">
      <c r="B42" s="37" t="s">
        <v>25</v>
      </c>
      <c r="C42" s="59">
        <f>+C40*C41</f>
        <v>0.64782348000000001</v>
      </c>
      <c r="D42" s="59">
        <f t="shared" ref="D42:F42" si="10">+D40*D41</f>
        <v>-0.23796916000000001</v>
      </c>
      <c r="E42" s="59">
        <f t="shared" si="10"/>
        <v>0.25191553500000002</v>
      </c>
      <c r="F42" s="59">
        <f t="shared" si="10"/>
        <v>1.455E-2</v>
      </c>
      <c r="G42" s="69">
        <f>SUM(C42:F42)</f>
        <v>0.67631985499999991</v>
      </c>
    </row>
    <row r="43" spans="2:7" x14ac:dyDescent="0.25">
      <c r="B43" s="40"/>
      <c r="C43" s="72"/>
      <c r="D43" s="73"/>
      <c r="E43" s="73"/>
      <c r="F43" s="72"/>
      <c r="G43" s="55"/>
    </row>
    <row r="44" spans="2:7" x14ac:dyDescent="0.25">
      <c r="B44" s="57" t="s">
        <v>26</v>
      </c>
      <c r="C44" s="62">
        <f>C35+C42</f>
        <v>-2.01770021375</v>
      </c>
      <c r="D44" s="62">
        <f t="shared" ref="D44:G44" si="11">D35+D42</f>
        <v>0.66585601500000002</v>
      </c>
      <c r="E44" s="62">
        <f t="shared" si="11"/>
        <v>-0.66944220875000005</v>
      </c>
      <c r="F44" s="62">
        <f t="shared" si="11"/>
        <v>-8.123749999999999E-2</v>
      </c>
      <c r="G44" s="70">
        <f t="shared" si="11"/>
        <v>-2.1025239075000002</v>
      </c>
    </row>
    <row r="46" spans="2:7" x14ac:dyDescent="0.25">
      <c r="B46" s="75" t="s">
        <v>53</v>
      </c>
    </row>
    <row r="47" spans="2:7" x14ac:dyDescent="0.25">
      <c r="B47" s="75" t="s">
        <v>52</v>
      </c>
    </row>
    <row r="52" spans="2:8" x14ac:dyDescent="0.25">
      <c r="B52" s="41" t="s">
        <v>27</v>
      </c>
      <c r="C52" s="42" t="s">
        <v>3</v>
      </c>
      <c r="D52" s="42" t="s">
        <v>4</v>
      </c>
      <c r="E52" s="42" t="s">
        <v>5</v>
      </c>
      <c r="F52" s="42" t="s">
        <v>6</v>
      </c>
      <c r="G52" s="42" t="s">
        <v>7</v>
      </c>
    </row>
    <row r="53" spans="2:8" x14ac:dyDescent="0.25">
      <c r="B53" s="26"/>
      <c r="C53" s="5"/>
      <c r="D53" s="27"/>
      <c r="E53" s="28"/>
      <c r="F53" s="5"/>
      <c r="G53" s="29"/>
    </row>
    <row r="54" spans="2:8" x14ac:dyDescent="0.25">
      <c r="B54" s="30" t="s">
        <v>28</v>
      </c>
      <c r="C54" s="8" t="s">
        <v>12</v>
      </c>
      <c r="D54" s="31"/>
      <c r="E54" s="32"/>
      <c r="F54" s="8"/>
      <c r="G54" s="7"/>
    </row>
    <row r="55" spans="2:8" x14ac:dyDescent="0.25">
      <c r="B55" s="33"/>
      <c r="C55" s="8" t="s">
        <v>12</v>
      </c>
      <c r="D55" s="31"/>
      <c r="E55" s="32"/>
      <c r="F55" s="8"/>
      <c r="G55" s="7"/>
    </row>
    <row r="56" spans="2:8" x14ac:dyDescent="0.25">
      <c r="B56" s="33" t="s">
        <v>18</v>
      </c>
      <c r="C56" s="59">
        <f>-5242737/1000000</f>
        <v>-5.242737</v>
      </c>
      <c r="D56" s="59">
        <f>1609690/1000000</f>
        <v>1.6096900000000001</v>
      </c>
      <c r="E56" s="59">
        <f>-1711518/1000000</f>
        <v>-1.7115180000000001</v>
      </c>
      <c r="F56" s="59">
        <f>-409708/1000000</f>
        <v>-0.40970800000000002</v>
      </c>
      <c r="G56" s="53">
        <f>+SUM(C56:F56)</f>
        <v>-5.7542730000000004</v>
      </c>
    </row>
    <row r="57" spans="2:8" ht="16.2" x14ac:dyDescent="0.25">
      <c r="B57" s="33" t="s">
        <v>50</v>
      </c>
      <c r="C57" s="66">
        <f>-(C56/40*0.5)+(C32*2)</f>
        <v>0.20049743749999999</v>
      </c>
      <c r="D57" s="66">
        <f t="shared" ref="D57:F57" si="12">-(D56/40*0.5)+(D32*2)</f>
        <v>-6.5884424999999996E-2</v>
      </c>
      <c r="E57" s="66">
        <f t="shared" si="12"/>
        <v>6.8044999999999994E-2</v>
      </c>
      <c r="F57" s="67">
        <f t="shared" si="12"/>
        <v>9.9713500000000004E-3</v>
      </c>
      <c r="G57" s="68">
        <f>+SUM(C57:F57)</f>
        <v>0.21262936249999997</v>
      </c>
    </row>
    <row r="58" spans="2:8" x14ac:dyDescent="0.25">
      <c r="B58" s="33"/>
      <c r="C58" s="8"/>
      <c r="D58" s="31"/>
      <c r="E58" s="32"/>
      <c r="F58" s="8"/>
      <c r="G58" s="7"/>
    </row>
    <row r="59" spans="2:8" x14ac:dyDescent="0.25">
      <c r="B59" s="33" t="s">
        <v>29</v>
      </c>
      <c r="C59" s="66">
        <f>+C56+C57</f>
        <v>-5.0422395624999998</v>
      </c>
      <c r="D59" s="66">
        <f t="shared" ref="D59:F59" si="13">+D56+D57</f>
        <v>1.5438055750000002</v>
      </c>
      <c r="E59" s="66">
        <f t="shared" si="13"/>
        <v>-1.6434730000000002</v>
      </c>
      <c r="F59" s="66">
        <f t="shared" si="13"/>
        <v>-0.39973665000000003</v>
      </c>
      <c r="G59" s="74">
        <f>+SUM(C59:F59)</f>
        <v>-5.5416436375</v>
      </c>
    </row>
    <row r="60" spans="2:8" x14ac:dyDescent="0.25">
      <c r="B60" s="33" t="s">
        <v>30</v>
      </c>
      <c r="C60" s="66">
        <f>+C59+C34</f>
        <v>-10.373286950000001</v>
      </c>
      <c r="D60" s="66">
        <f t="shared" ref="D60:G60" si="14">+D59+D34</f>
        <v>3.3514559250000002</v>
      </c>
      <c r="E60" s="66">
        <f t="shared" si="14"/>
        <v>-3.4861884875000002</v>
      </c>
      <c r="F60" s="66">
        <f t="shared" si="14"/>
        <v>-0.59131164999999997</v>
      </c>
      <c r="G60" s="74">
        <f t="shared" si="14"/>
        <v>-11.0993311625</v>
      </c>
    </row>
    <row r="61" spans="2:8" x14ac:dyDescent="0.25">
      <c r="B61" s="33" t="s">
        <v>20</v>
      </c>
      <c r="C61" s="66">
        <f>+(C34+C60)/2</f>
        <v>-7.8521671687500003</v>
      </c>
      <c r="D61" s="66">
        <f t="shared" ref="D61:F61" si="15">+(D34+D60)/2</f>
        <v>2.5795531375</v>
      </c>
      <c r="E61" s="66">
        <f t="shared" si="15"/>
        <v>-2.6644519875000001</v>
      </c>
      <c r="F61" s="66">
        <f t="shared" si="15"/>
        <v>-0.39144332500000001</v>
      </c>
      <c r="G61" s="74">
        <f>+SUM(C61:F61)</f>
        <v>-8.3285093437499995</v>
      </c>
      <c r="H61" s="13" t="s">
        <v>12</v>
      </c>
    </row>
    <row r="62" spans="2:8" x14ac:dyDescent="0.25">
      <c r="B62" s="33"/>
      <c r="C62" s="36"/>
      <c r="D62" s="31"/>
      <c r="E62" s="32"/>
      <c r="F62" s="8"/>
      <c r="G62" s="7"/>
    </row>
    <row r="63" spans="2:8" x14ac:dyDescent="0.25">
      <c r="B63" s="30" t="s">
        <v>31</v>
      </c>
      <c r="C63" s="36"/>
      <c r="D63" s="31"/>
      <c r="E63" s="32"/>
      <c r="F63" s="8"/>
      <c r="G63" s="7"/>
    </row>
    <row r="64" spans="2:8" x14ac:dyDescent="0.25">
      <c r="B64" s="33"/>
      <c r="C64" s="36"/>
      <c r="D64" s="31"/>
      <c r="E64" s="32"/>
      <c r="F64" s="8"/>
      <c r="G64" s="7"/>
    </row>
    <row r="65" spans="2:7" x14ac:dyDescent="0.25">
      <c r="B65" s="33" t="s">
        <v>22</v>
      </c>
      <c r="C65" s="36"/>
      <c r="D65" s="31"/>
      <c r="E65" s="32"/>
      <c r="F65" s="8"/>
      <c r="G65" s="7"/>
    </row>
    <row r="66" spans="2:7" x14ac:dyDescent="0.25">
      <c r="B66" s="37" t="s">
        <v>23</v>
      </c>
      <c r="C66" s="59">
        <f>-C56</f>
        <v>5.242737</v>
      </c>
      <c r="D66" s="59">
        <f>-D56</f>
        <v>-1.6096900000000001</v>
      </c>
      <c r="E66" s="59">
        <f>-E56</f>
        <v>1.7115180000000001</v>
      </c>
      <c r="F66" s="59">
        <f>-F56</f>
        <v>0.40970800000000002</v>
      </c>
      <c r="G66" s="69">
        <f>+SUM(C66:F66)</f>
        <v>5.7542730000000004</v>
      </c>
    </row>
    <row r="67" spans="2:7" x14ac:dyDescent="0.25">
      <c r="B67" s="37" t="s">
        <v>24</v>
      </c>
      <c r="C67" s="38">
        <v>0.12</v>
      </c>
      <c r="D67" s="38">
        <v>0.13</v>
      </c>
      <c r="E67" s="39">
        <v>0.13500000000000001</v>
      </c>
      <c r="F67" s="38">
        <v>7.4999999999999997E-2</v>
      </c>
      <c r="G67" s="11"/>
    </row>
    <row r="68" spans="2:7" x14ac:dyDescent="0.25">
      <c r="B68" s="37" t="s">
        <v>25</v>
      </c>
      <c r="C68" s="59">
        <f>+C66*C67</f>
        <v>0.62912844000000001</v>
      </c>
      <c r="D68" s="59">
        <f>+D66*D67</f>
        <v>-0.20925970000000002</v>
      </c>
      <c r="E68" s="59">
        <f t="shared" ref="E68:F68" si="16">+E66*E67</f>
        <v>0.23105493000000002</v>
      </c>
      <c r="F68" s="59">
        <f t="shared" si="16"/>
        <v>3.0728100000000001E-2</v>
      </c>
      <c r="G68" s="69">
        <f>+SUM(C68:F68)</f>
        <v>0.68165176999999999</v>
      </c>
    </row>
    <row r="69" spans="2:7" x14ac:dyDescent="0.25">
      <c r="B69" s="40"/>
      <c r="C69" s="10"/>
      <c r="D69" s="34"/>
      <c r="E69" s="35"/>
      <c r="F69" s="10"/>
      <c r="G69" s="11"/>
    </row>
    <row r="70" spans="2:7" x14ac:dyDescent="0.25">
      <c r="B70" s="25" t="s">
        <v>26</v>
      </c>
      <c r="C70" s="62">
        <f>+C61+C68</f>
        <v>-7.2230387287500006</v>
      </c>
      <c r="D70" s="62">
        <f t="shared" ref="D70:F70" si="17">+D61+D68</f>
        <v>2.3702934375</v>
      </c>
      <c r="E70" s="62">
        <f t="shared" si="17"/>
        <v>-2.4333970575000001</v>
      </c>
      <c r="F70" s="62">
        <f t="shared" si="17"/>
        <v>-0.36071522500000003</v>
      </c>
      <c r="G70" s="70">
        <f>+G61+G68</f>
        <v>-7.6468575737499993</v>
      </c>
    </row>
    <row r="72" spans="2:7" x14ac:dyDescent="0.25">
      <c r="B72" s="75" t="s">
        <v>53</v>
      </c>
    </row>
  </sheetData>
  <mergeCells count="2">
    <mergeCell ref="C4:G4"/>
    <mergeCell ref="H4:I4"/>
  </mergeCells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G7:G11 G15:G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3"/>
  <sheetViews>
    <sheetView showGridLines="0" tabSelected="1" workbookViewId="0">
      <selection activeCell="D7" sqref="D7"/>
    </sheetView>
  </sheetViews>
  <sheetFormatPr defaultRowHeight="13.8" x14ac:dyDescent="0.25"/>
  <cols>
    <col min="1" max="1" width="8.88671875" style="13"/>
    <col min="2" max="2" width="31" style="13" customWidth="1"/>
    <col min="3" max="7" width="8.88671875" style="13" customWidth="1"/>
    <col min="8" max="8" width="1.21875" style="13" customWidth="1"/>
    <col min="9" max="13" width="8.88671875" style="13" customWidth="1"/>
    <col min="14" max="14" width="1.6640625" style="13" customWidth="1"/>
    <col min="15" max="19" width="8.88671875" style="13" customWidth="1"/>
    <col min="20" max="20" width="10.44140625" style="13" bestFit="1" customWidth="1"/>
    <col min="21" max="16384" width="8.88671875" style="13"/>
  </cols>
  <sheetData>
    <row r="1" spans="1:20" x14ac:dyDescent="0.25">
      <c r="A1" s="24" t="s">
        <v>48</v>
      </c>
    </row>
    <row r="2" spans="1:20" x14ac:dyDescent="0.25">
      <c r="A2" s="19" t="s">
        <v>47</v>
      </c>
    </row>
    <row r="3" spans="1:20" ht="14.4" thickBot="1" x14ac:dyDescent="0.3"/>
    <row r="4" spans="1:20" ht="15" customHeight="1" thickBot="1" x14ac:dyDescent="0.3">
      <c r="B4" s="112" t="s">
        <v>55</v>
      </c>
      <c r="C4" s="117" t="s">
        <v>33</v>
      </c>
      <c r="D4" s="118"/>
      <c r="E4" s="118"/>
      <c r="F4" s="118"/>
      <c r="G4" s="119"/>
      <c r="I4" s="120" t="s">
        <v>34</v>
      </c>
      <c r="J4" s="121"/>
      <c r="K4" s="121"/>
      <c r="L4" s="121"/>
      <c r="M4" s="122"/>
      <c r="O4" s="120" t="s">
        <v>35</v>
      </c>
      <c r="P4" s="121"/>
      <c r="Q4" s="121"/>
      <c r="R4" s="121"/>
      <c r="S4" s="121"/>
      <c r="T4" s="122"/>
    </row>
    <row r="5" spans="1:20" ht="14.4" thickBot="1" x14ac:dyDescent="0.3">
      <c r="B5" s="14"/>
      <c r="C5" s="42" t="s">
        <v>3</v>
      </c>
      <c r="D5" s="42" t="s">
        <v>4</v>
      </c>
      <c r="E5" s="42" t="s">
        <v>5</v>
      </c>
      <c r="F5" s="42" t="s">
        <v>6</v>
      </c>
      <c r="G5" s="90" t="s">
        <v>7</v>
      </c>
      <c r="I5" s="97" t="s">
        <v>3</v>
      </c>
      <c r="J5" s="42" t="s">
        <v>4</v>
      </c>
      <c r="K5" s="42" t="s">
        <v>5</v>
      </c>
      <c r="L5" s="42" t="s">
        <v>6</v>
      </c>
      <c r="M5" s="90" t="s">
        <v>7</v>
      </c>
      <c r="O5" s="97" t="s">
        <v>3</v>
      </c>
      <c r="P5" s="42" t="s">
        <v>4</v>
      </c>
      <c r="Q5" s="42" t="s">
        <v>5</v>
      </c>
      <c r="R5" s="42" t="s">
        <v>6</v>
      </c>
      <c r="S5" s="42" t="s">
        <v>7</v>
      </c>
      <c r="T5" s="15" t="s">
        <v>36</v>
      </c>
    </row>
    <row r="6" spans="1:20" x14ac:dyDescent="0.25">
      <c r="B6" s="108" t="s">
        <v>37</v>
      </c>
      <c r="C6" s="44">
        <v>610.88233300000002</v>
      </c>
      <c r="D6" s="44">
        <v>519.67638952000004</v>
      </c>
      <c r="E6" s="44">
        <v>897.27059443435473</v>
      </c>
      <c r="F6" s="44">
        <v>1127.3623769999999</v>
      </c>
      <c r="G6" s="91">
        <v>3155.1916939543548</v>
      </c>
      <c r="I6" s="98">
        <v>510.17798800000003</v>
      </c>
      <c r="J6" s="44">
        <v>468.67884099999998</v>
      </c>
      <c r="K6" s="44">
        <v>791.26594</v>
      </c>
      <c r="L6" s="44">
        <v>1006.655557</v>
      </c>
      <c r="M6" s="91">
        <v>2776.7783260000001</v>
      </c>
      <c r="O6" s="101">
        <v>-100.704345</v>
      </c>
      <c r="P6" s="44">
        <v>-50.997548520000038</v>
      </c>
      <c r="Q6" s="78">
        <v>-106.00465443435478</v>
      </c>
      <c r="R6" s="78">
        <v>-120.70681999999999</v>
      </c>
      <c r="S6" s="85">
        <v>-378.41336795435484</v>
      </c>
      <c r="T6" s="105">
        <v>-0.11993355861053723</v>
      </c>
    </row>
    <row r="7" spans="1:20" x14ac:dyDescent="0.25">
      <c r="B7" s="108" t="s">
        <v>38</v>
      </c>
      <c r="C7" s="44">
        <v>59.299937999999997</v>
      </c>
      <c r="D7" s="44">
        <v>30.006692369999996</v>
      </c>
      <c r="E7" s="44">
        <v>60.426546697107007</v>
      </c>
      <c r="F7" s="44">
        <v>86.645595999999998</v>
      </c>
      <c r="G7" s="91">
        <v>236.37877306710703</v>
      </c>
      <c r="I7" s="98">
        <v>60.972051</v>
      </c>
      <c r="J7" s="44">
        <v>35.147409000000003</v>
      </c>
      <c r="K7" s="44">
        <v>61.911611000000001</v>
      </c>
      <c r="L7" s="44">
        <v>99.858737000000005</v>
      </c>
      <c r="M7" s="91">
        <v>257.88980800000002</v>
      </c>
      <c r="O7" s="101">
        <v>1.672113</v>
      </c>
      <c r="P7" s="44">
        <v>5.1407166300000027</v>
      </c>
      <c r="Q7" s="78">
        <v>1.4850643028929904</v>
      </c>
      <c r="R7" s="78">
        <v>13.213141</v>
      </c>
      <c r="S7" s="85">
        <v>21.511034932892994</v>
      </c>
      <c r="T7" s="105">
        <v>9.100239693175026E-2</v>
      </c>
    </row>
    <row r="8" spans="1:20" x14ac:dyDescent="0.25">
      <c r="B8" s="108" t="s">
        <v>39</v>
      </c>
      <c r="C8" s="49">
        <f t="shared" ref="C8:M8" si="0">+C6+C7</f>
        <v>670.18227100000001</v>
      </c>
      <c r="D8" s="49">
        <f t="shared" si="0"/>
        <v>549.68308189000004</v>
      </c>
      <c r="E8" s="49">
        <f t="shared" si="0"/>
        <v>957.69714113146176</v>
      </c>
      <c r="F8" s="49">
        <f t="shared" si="0"/>
        <v>1214.007973</v>
      </c>
      <c r="G8" s="92">
        <f t="shared" si="0"/>
        <v>3391.5704670214618</v>
      </c>
      <c r="I8" s="99">
        <f t="shared" si="0"/>
        <v>571.15003899999999</v>
      </c>
      <c r="J8" s="49">
        <f t="shared" si="0"/>
        <v>503.82624999999996</v>
      </c>
      <c r="K8" s="49">
        <f t="shared" si="0"/>
        <v>853.17755099999999</v>
      </c>
      <c r="L8" s="49">
        <f t="shared" si="0"/>
        <v>1106.5142940000001</v>
      </c>
      <c r="M8" s="92">
        <f t="shared" si="0"/>
        <v>3034.668134</v>
      </c>
      <c r="O8" s="106">
        <f>+I8-C8</f>
        <v>-99.032232000000022</v>
      </c>
      <c r="P8" s="81">
        <f>+J8-D8</f>
        <v>-45.85683189000008</v>
      </c>
      <c r="Q8" s="81">
        <f>+K8-E8</f>
        <v>-104.51959013146177</v>
      </c>
      <c r="R8" s="81">
        <f>+L8-F8</f>
        <v>-107.49367899999993</v>
      </c>
      <c r="S8" s="107">
        <f>+S6+S7</f>
        <v>-356.90233302146186</v>
      </c>
      <c r="T8" s="105">
        <f>+T6+T7</f>
        <v>-2.8931161678786968E-2</v>
      </c>
    </row>
    <row r="9" spans="1:20" x14ac:dyDescent="0.25">
      <c r="B9" s="109" t="s">
        <v>40</v>
      </c>
      <c r="C9" s="76">
        <v>0.12</v>
      </c>
      <c r="D9" s="76">
        <v>0.13</v>
      </c>
      <c r="E9" s="76">
        <v>0.13500000000000001</v>
      </c>
      <c r="F9" s="76">
        <v>0.13</v>
      </c>
      <c r="G9" s="93"/>
      <c r="I9" s="100">
        <v>0.12</v>
      </c>
      <c r="J9" s="76">
        <v>0.13</v>
      </c>
      <c r="K9" s="76">
        <v>0.13500000000000001</v>
      </c>
      <c r="L9" s="76">
        <v>7.4999999999999997E-2</v>
      </c>
      <c r="M9" s="93"/>
      <c r="O9" s="100" t="s">
        <v>12</v>
      </c>
      <c r="P9" s="76" t="s">
        <v>12</v>
      </c>
      <c r="Q9" s="76" t="s">
        <v>12</v>
      </c>
      <c r="R9" s="76" t="s">
        <v>12</v>
      </c>
      <c r="S9" s="84"/>
      <c r="T9" s="87"/>
    </row>
    <row r="10" spans="1:20" x14ac:dyDescent="0.25">
      <c r="B10" s="109" t="s">
        <v>41</v>
      </c>
      <c r="C10" s="49">
        <f>C8*C9</f>
        <v>80.421872519999994</v>
      </c>
      <c r="D10" s="49">
        <f t="shared" ref="D10:F10" si="1">D8*D9</f>
        <v>71.458800645700009</v>
      </c>
      <c r="E10" s="49">
        <f t="shared" si="1"/>
        <v>129.28911405274735</v>
      </c>
      <c r="F10" s="49">
        <f t="shared" si="1"/>
        <v>157.82103649000001</v>
      </c>
      <c r="G10" s="92">
        <f t="shared" ref="G10" si="2">SUM(C10:F10)</f>
        <v>438.99082370844735</v>
      </c>
      <c r="I10" s="99">
        <f>I8*I9</f>
        <v>68.53800468</v>
      </c>
      <c r="J10" s="49">
        <f t="shared" ref="J10:L10" si="3">J8*J9</f>
        <v>65.497412499999996</v>
      </c>
      <c r="K10" s="49">
        <f t="shared" si="3"/>
        <v>115.178969385</v>
      </c>
      <c r="L10" s="49">
        <f t="shared" si="3"/>
        <v>82.988572050000002</v>
      </c>
      <c r="M10" s="92">
        <f t="shared" ref="M10" si="4">SUM(I10:L10)</f>
        <v>332.202958615</v>
      </c>
      <c r="O10" s="106">
        <f>+I10-C10</f>
        <v>-11.883867839999994</v>
      </c>
      <c r="P10" s="49">
        <f>+J10-D10</f>
        <v>-5.9613881457000133</v>
      </c>
      <c r="Q10" s="81">
        <f>+K10-E10</f>
        <v>-14.110144667747349</v>
      </c>
      <c r="R10" s="81">
        <f>+L10-F10</f>
        <v>-74.83246444000001</v>
      </c>
      <c r="S10" s="107">
        <f t="shared" ref="S10" si="5">SUM(O10:R10)</f>
        <v>-106.78786509344737</v>
      </c>
      <c r="T10" s="105">
        <f>+S10/G10</f>
        <v>-0.24325762482080895</v>
      </c>
    </row>
    <row r="11" spans="1:20" x14ac:dyDescent="0.25">
      <c r="B11" s="109"/>
      <c r="C11" s="44"/>
      <c r="D11" s="44"/>
      <c r="E11" s="44"/>
      <c r="F11" s="44"/>
      <c r="G11" s="91"/>
      <c r="I11" s="98"/>
      <c r="J11" s="44"/>
      <c r="K11" s="44"/>
      <c r="L11" s="44"/>
      <c r="M11" s="91"/>
      <c r="O11" s="98"/>
      <c r="P11" s="44"/>
      <c r="Q11" s="44"/>
      <c r="R11" s="44"/>
      <c r="S11" s="82"/>
      <c r="T11" s="105"/>
    </row>
    <row r="12" spans="1:20" x14ac:dyDescent="0.25">
      <c r="B12" s="110" t="s">
        <v>42</v>
      </c>
      <c r="C12" s="44"/>
      <c r="D12" s="44"/>
      <c r="E12" s="44"/>
      <c r="F12" s="44"/>
      <c r="G12" s="91" t="s">
        <v>12</v>
      </c>
      <c r="I12" s="98"/>
      <c r="J12" s="44"/>
      <c r="K12" s="44"/>
      <c r="L12" s="44"/>
      <c r="M12" s="91" t="s">
        <v>12</v>
      </c>
      <c r="O12" s="98"/>
      <c r="P12" s="44"/>
      <c r="Q12" s="44"/>
      <c r="R12" s="44"/>
      <c r="S12" s="82" t="s">
        <v>12</v>
      </c>
      <c r="T12" s="105" t="s">
        <v>12</v>
      </c>
    </row>
    <row r="13" spans="1:20" x14ac:dyDescent="0.25">
      <c r="B13" s="108" t="s">
        <v>43</v>
      </c>
      <c r="C13" s="49">
        <v>426.043677</v>
      </c>
      <c r="D13" s="49">
        <v>350.28567013000009</v>
      </c>
      <c r="E13" s="49">
        <v>648.40155779500026</v>
      </c>
      <c r="F13" s="49">
        <v>907.12064149999992</v>
      </c>
      <c r="G13" s="92">
        <v>2331.8515464250004</v>
      </c>
      <c r="I13" s="99">
        <v>449.06799899999999</v>
      </c>
      <c r="J13" s="49">
        <v>355.82699600000001</v>
      </c>
      <c r="K13" s="49">
        <v>676.57063649999998</v>
      </c>
      <c r="L13" s="49">
        <v>955.15153600000008</v>
      </c>
      <c r="M13" s="92">
        <v>2436.6171675000001</v>
      </c>
      <c r="O13" s="99">
        <v>23.024321999999984</v>
      </c>
      <c r="P13" s="49">
        <v>5.5413258699999233</v>
      </c>
      <c r="Q13" s="49">
        <v>28.16907870499972</v>
      </c>
      <c r="R13" s="49">
        <v>48.030894500000159</v>
      </c>
      <c r="S13" s="83">
        <v>104.76562107499979</v>
      </c>
      <c r="T13" s="105">
        <v>4.492808353757239E-2</v>
      </c>
    </row>
    <row r="14" spans="1:20" x14ac:dyDescent="0.25">
      <c r="B14" s="108" t="s">
        <v>44</v>
      </c>
      <c r="C14" s="77" t="s">
        <v>54</v>
      </c>
      <c r="D14" s="77" t="s">
        <v>54</v>
      </c>
      <c r="E14" s="77" t="s">
        <v>54</v>
      </c>
      <c r="F14" s="77" t="s">
        <v>54</v>
      </c>
      <c r="G14" s="94" t="s">
        <v>54</v>
      </c>
      <c r="I14" s="101">
        <v>-2.01770021375</v>
      </c>
      <c r="J14" s="44">
        <v>0.66585601500000002</v>
      </c>
      <c r="K14" s="78">
        <v>-0.66944220875000005</v>
      </c>
      <c r="L14" s="78">
        <v>-8.1237500000000004E-2</v>
      </c>
      <c r="M14" s="102">
        <v>-2.1025239074999997</v>
      </c>
      <c r="O14" s="101">
        <v>-2.01770021375</v>
      </c>
      <c r="P14" s="44">
        <v>0.66585601500000002</v>
      </c>
      <c r="Q14" s="78">
        <v>-0.66944220875000005</v>
      </c>
      <c r="R14" s="78">
        <v>-8.1237500000000004E-2</v>
      </c>
      <c r="S14" s="85">
        <v>-2.1025239074999997</v>
      </c>
      <c r="T14" s="105">
        <v>0</v>
      </c>
    </row>
    <row r="15" spans="1:20" ht="14.4" thickBot="1" x14ac:dyDescent="0.3">
      <c r="B15" s="108"/>
      <c r="C15" s="79"/>
      <c r="D15" s="79"/>
      <c r="E15" s="79"/>
      <c r="F15" s="79"/>
      <c r="G15" s="95"/>
      <c r="I15" s="103"/>
      <c r="J15" s="79"/>
      <c r="K15" s="79"/>
      <c r="L15" s="79"/>
      <c r="M15" s="95"/>
      <c r="O15" s="103"/>
      <c r="P15" s="79"/>
      <c r="Q15" s="79"/>
      <c r="R15" s="79"/>
      <c r="S15" s="86"/>
      <c r="T15" s="113"/>
    </row>
    <row r="16" spans="1:20" ht="14.4" thickBot="1" x14ac:dyDescent="0.3">
      <c r="B16" s="111" t="s">
        <v>45</v>
      </c>
      <c r="C16" s="80">
        <f>C10+C13</f>
        <v>506.46554951999997</v>
      </c>
      <c r="D16" s="80">
        <f>D10+D13</f>
        <v>421.74447077570011</v>
      </c>
      <c r="E16" s="80">
        <f>E10+E13</f>
        <v>777.69067184774758</v>
      </c>
      <c r="F16" s="80">
        <f>F10+F13</f>
        <v>1064.94167799</v>
      </c>
      <c r="G16" s="96">
        <f t="shared" ref="G16" si="6">SUM(C16:F16)</f>
        <v>2770.8423701334477</v>
      </c>
      <c r="I16" s="21">
        <f>I10+I13+I14</f>
        <v>515.58830346624995</v>
      </c>
      <c r="J16" s="22">
        <f>J10+J13+J14</f>
        <v>421.99026451499998</v>
      </c>
      <c r="K16" s="22">
        <f>K10+K13+K14</f>
        <v>791.08016367624998</v>
      </c>
      <c r="L16" s="22">
        <f>L10+L13+L14</f>
        <v>1038.0588705499999</v>
      </c>
      <c r="M16" s="23">
        <f t="shared" ref="M16" si="7">SUM(I16:L16)</f>
        <v>2766.7176022075</v>
      </c>
      <c r="O16" s="88">
        <f>O10+O13+O14</f>
        <v>9.1227539462499898</v>
      </c>
      <c r="P16" s="80">
        <f>P10+P13+P14</f>
        <v>0.24579373929991</v>
      </c>
      <c r="Q16" s="80">
        <f>Q10+Q13+Q14</f>
        <v>13.38949182850237</v>
      </c>
      <c r="R16" s="89">
        <f>R10+R13+R14</f>
        <v>-26.882807439999851</v>
      </c>
      <c r="S16" s="104">
        <f t="shared" ref="S16" si="8">SUM(O16:R16)</f>
        <v>-4.1247679259475802</v>
      </c>
      <c r="T16" s="114">
        <f>+S16/G16</f>
        <v>-1.4886331934316876E-3</v>
      </c>
    </row>
    <row r="17" spans="2:20" x14ac:dyDescent="0.25">
      <c r="I17" s="43"/>
      <c r="J17" s="43"/>
      <c r="K17" s="43"/>
      <c r="L17" s="43"/>
      <c r="M17" s="43"/>
    </row>
    <row r="18" spans="2:20" hidden="1" x14ac:dyDescent="0.25">
      <c r="C18" s="43"/>
      <c r="D18" s="43"/>
      <c r="E18" s="43"/>
      <c r="F18" s="43"/>
    </row>
    <row r="19" spans="2:20" hidden="1" x14ac:dyDescent="0.25"/>
    <row r="20" spans="2:20" ht="14.4" thickBot="1" x14ac:dyDescent="0.3"/>
    <row r="21" spans="2:20" ht="14.4" thickBot="1" x14ac:dyDescent="0.3">
      <c r="B21" s="112" t="s">
        <v>56</v>
      </c>
      <c r="C21" s="121" t="s">
        <v>34</v>
      </c>
      <c r="D21" s="121"/>
      <c r="E21" s="121"/>
      <c r="F21" s="121"/>
      <c r="G21" s="122"/>
      <c r="I21" s="120" t="s">
        <v>46</v>
      </c>
      <c r="J21" s="121"/>
      <c r="K21" s="121"/>
      <c r="L21" s="121"/>
      <c r="M21" s="122"/>
      <c r="O21" s="120" t="s">
        <v>35</v>
      </c>
      <c r="P21" s="121"/>
      <c r="Q21" s="121"/>
      <c r="R21" s="121"/>
      <c r="S21" s="121"/>
      <c r="T21" s="122"/>
    </row>
    <row r="22" spans="2:20" ht="14.4" thickBot="1" x14ac:dyDescent="0.3">
      <c r="B22" s="14"/>
      <c r="C22" s="97" t="s">
        <v>3</v>
      </c>
      <c r="D22" s="42" t="s">
        <v>4</v>
      </c>
      <c r="E22" s="42" t="s">
        <v>5</v>
      </c>
      <c r="F22" s="42" t="s">
        <v>6</v>
      </c>
      <c r="G22" s="90" t="s">
        <v>7</v>
      </c>
      <c r="I22" s="97" t="s">
        <v>3</v>
      </c>
      <c r="J22" s="42" t="s">
        <v>4</v>
      </c>
      <c r="K22" s="42" t="s">
        <v>5</v>
      </c>
      <c r="L22" s="42" t="s">
        <v>6</v>
      </c>
      <c r="M22" s="90" t="s">
        <v>7</v>
      </c>
      <c r="O22" s="97" t="s">
        <v>3</v>
      </c>
      <c r="P22" s="42" t="s">
        <v>4</v>
      </c>
      <c r="Q22" s="42" t="s">
        <v>5</v>
      </c>
      <c r="R22" s="42" t="s">
        <v>6</v>
      </c>
      <c r="S22" s="90" t="s">
        <v>7</v>
      </c>
      <c r="T22" s="15" t="s">
        <v>36</v>
      </c>
    </row>
    <row r="23" spans="2:20" x14ac:dyDescent="0.25">
      <c r="B23" s="16" t="s">
        <v>37</v>
      </c>
      <c r="C23" s="98">
        <v>510.17798800000003</v>
      </c>
      <c r="D23" s="44">
        <v>468.67884099999998</v>
      </c>
      <c r="E23" s="44">
        <v>791.26594</v>
      </c>
      <c r="F23" s="44">
        <v>1006.655557</v>
      </c>
      <c r="G23" s="91">
        <v>2776.7783260000001</v>
      </c>
      <c r="I23" s="98">
        <v>494.86631899999998</v>
      </c>
      <c r="J23" s="44">
        <v>443.29823699999997</v>
      </c>
      <c r="K23" s="44">
        <v>755.91562599999997</v>
      </c>
      <c r="L23" s="44">
        <v>920.88472200000001</v>
      </c>
      <c r="M23" s="91">
        <v>2614.9649039999999</v>
      </c>
      <c r="O23" s="101">
        <v>-15.311669</v>
      </c>
      <c r="P23" s="44">
        <v>-25.380604000000002</v>
      </c>
      <c r="Q23" s="78">
        <v>-35.350313999999997</v>
      </c>
      <c r="R23" s="78">
        <v>-85.770835000000005</v>
      </c>
      <c r="S23" s="85">
        <v>-161.813422</v>
      </c>
      <c r="T23" s="105">
        <v>-5.827379898671825E-2</v>
      </c>
    </row>
    <row r="24" spans="2:20" x14ac:dyDescent="0.25">
      <c r="B24" s="16" t="s">
        <v>38</v>
      </c>
      <c r="C24" s="98">
        <v>60.972051</v>
      </c>
      <c r="D24" s="44">
        <v>35.147409000000003</v>
      </c>
      <c r="E24" s="44">
        <v>61.911611000000001</v>
      </c>
      <c r="F24" s="44">
        <v>99.858737000000005</v>
      </c>
      <c r="G24" s="91">
        <v>257.88980800000002</v>
      </c>
      <c r="I24" s="98">
        <v>62.836129</v>
      </c>
      <c r="J24" s="44">
        <v>34.170926000000001</v>
      </c>
      <c r="K24" s="44">
        <v>61.628748999999999</v>
      </c>
      <c r="L24" s="44">
        <v>97.442308999999995</v>
      </c>
      <c r="M24" s="91">
        <v>256.07811299999997</v>
      </c>
      <c r="O24" s="101">
        <v>1.8640779999999999</v>
      </c>
      <c r="P24" s="44">
        <v>-0.97648299999999999</v>
      </c>
      <c r="Q24" s="78">
        <v>-0.282862</v>
      </c>
      <c r="R24" s="78">
        <v>-2.4164279999999998</v>
      </c>
      <c r="S24" s="85">
        <v>-1.8116950000000001</v>
      </c>
      <c r="T24" s="105">
        <v>-7.0250740579868125E-3</v>
      </c>
    </row>
    <row r="25" spans="2:20" x14ac:dyDescent="0.25">
      <c r="B25" s="16" t="s">
        <v>39</v>
      </c>
      <c r="C25" s="99">
        <f t="shared" ref="C25:M25" si="9">+C23+C24</f>
        <v>571.15003899999999</v>
      </c>
      <c r="D25" s="49">
        <f t="shared" si="9"/>
        <v>503.82624999999996</v>
      </c>
      <c r="E25" s="49">
        <f t="shared" si="9"/>
        <v>853.17755099999999</v>
      </c>
      <c r="F25" s="49">
        <f t="shared" si="9"/>
        <v>1106.5142940000001</v>
      </c>
      <c r="G25" s="92">
        <f t="shared" si="9"/>
        <v>3034.668134</v>
      </c>
      <c r="I25" s="99">
        <f t="shared" si="9"/>
        <v>557.702448</v>
      </c>
      <c r="J25" s="49">
        <f t="shared" si="9"/>
        <v>477.46916299999998</v>
      </c>
      <c r="K25" s="49">
        <f t="shared" si="9"/>
        <v>817.54437499999995</v>
      </c>
      <c r="L25" s="49">
        <f t="shared" si="9"/>
        <v>1018.327031</v>
      </c>
      <c r="M25" s="92">
        <f t="shared" si="9"/>
        <v>2871.043017</v>
      </c>
      <c r="O25" s="106">
        <f>+I25-C25</f>
        <v>-13.447590999999989</v>
      </c>
      <c r="P25" s="49">
        <f>+J25-D25</f>
        <v>-26.357086999999979</v>
      </c>
      <c r="Q25" s="81">
        <f>+K25-E25</f>
        <v>-35.633176000000049</v>
      </c>
      <c r="R25" s="81">
        <f>+L25-F25</f>
        <v>-88.18726300000003</v>
      </c>
      <c r="S25" s="107">
        <f>+S23+S24</f>
        <v>-163.62511699999999</v>
      </c>
      <c r="T25" s="105">
        <f>+T23+T24</f>
        <v>-6.5298873044705066E-2</v>
      </c>
    </row>
    <row r="26" spans="2:20" x14ac:dyDescent="0.25">
      <c r="B26" s="17" t="s">
        <v>40</v>
      </c>
      <c r="C26" s="100">
        <v>0.12</v>
      </c>
      <c r="D26" s="76">
        <v>0.13</v>
      </c>
      <c r="E26" s="76">
        <v>0.13500000000000001</v>
      </c>
      <c r="F26" s="76">
        <v>7.4999999999999997E-2</v>
      </c>
      <c r="G26" s="93"/>
      <c r="I26" s="100">
        <v>0.12</v>
      </c>
      <c r="J26" s="76">
        <v>0.13</v>
      </c>
      <c r="K26" s="76">
        <v>0.13500000000000001</v>
      </c>
      <c r="L26" s="76">
        <v>7.4999999999999997E-2</v>
      </c>
      <c r="M26" s="93"/>
      <c r="O26" s="100" t="s">
        <v>12</v>
      </c>
      <c r="P26" s="76" t="s">
        <v>12</v>
      </c>
      <c r="Q26" s="76" t="s">
        <v>12</v>
      </c>
      <c r="R26" s="76" t="s">
        <v>12</v>
      </c>
      <c r="S26" s="84"/>
      <c r="T26" s="105"/>
    </row>
    <row r="27" spans="2:20" x14ac:dyDescent="0.25">
      <c r="B27" s="17" t="s">
        <v>41</v>
      </c>
      <c r="C27" s="99">
        <f>C25*C26</f>
        <v>68.53800468</v>
      </c>
      <c r="D27" s="49">
        <f t="shared" ref="D27:F27" si="10">D25*D26</f>
        <v>65.497412499999996</v>
      </c>
      <c r="E27" s="49">
        <f t="shared" si="10"/>
        <v>115.178969385</v>
      </c>
      <c r="F27" s="49">
        <f t="shared" si="10"/>
        <v>82.988572050000002</v>
      </c>
      <c r="G27" s="92">
        <f t="shared" ref="G27" si="11">SUM(C27:F27)</f>
        <v>332.202958615</v>
      </c>
      <c r="I27" s="99">
        <f>I25*I26</f>
        <v>66.924293759999998</v>
      </c>
      <c r="J27" s="49">
        <f t="shared" ref="J27:L27" si="12">J25*J26</f>
        <v>62.070991190000001</v>
      </c>
      <c r="K27" s="49">
        <f t="shared" si="12"/>
        <v>110.36849062500001</v>
      </c>
      <c r="L27" s="49">
        <f t="shared" si="12"/>
        <v>76.374527325000003</v>
      </c>
      <c r="M27" s="92">
        <f t="shared" ref="M27" si="13">SUM(I27:L27)</f>
        <v>315.73830290000001</v>
      </c>
      <c r="O27" s="106">
        <f>+I27-C27</f>
        <v>-1.6137109200000026</v>
      </c>
      <c r="P27" s="49">
        <f>+J27-D27</f>
        <v>-3.4264213099999949</v>
      </c>
      <c r="Q27" s="81">
        <f>+K27-E27</f>
        <v>-4.8104787599999952</v>
      </c>
      <c r="R27" s="81">
        <f>+L27-F27</f>
        <v>-6.6140447249999994</v>
      </c>
      <c r="S27" s="107">
        <f t="shared" ref="S27" si="14">SUM(O27:R27)</f>
        <v>-16.464655714999992</v>
      </c>
      <c r="T27" s="105">
        <f>+S27/G27</f>
        <v>-4.9562038169808649E-2</v>
      </c>
    </row>
    <row r="28" spans="2:20" x14ac:dyDescent="0.25">
      <c r="B28" s="17"/>
      <c r="C28" s="98"/>
      <c r="D28" s="44"/>
      <c r="E28" s="44"/>
      <c r="F28" s="44"/>
      <c r="G28" s="91"/>
      <c r="I28" s="98"/>
      <c r="J28" s="44"/>
      <c r="K28" s="44"/>
      <c r="L28" s="44"/>
      <c r="M28" s="91"/>
      <c r="O28" s="98"/>
      <c r="P28" s="44"/>
      <c r="Q28" s="44"/>
      <c r="R28" s="44"/>
      <c r="S28" s="82"/>
      <c r="T28" s="105"/>
    </row>
    <row r="29" spans="2:20" x14ac:dyDescent="0.25">
      <c r="B29" s="18" t="s">
        <v>42</v>
      </c>
      <c r="C29" s="98"/>
      <c r="D29" s="44"/>
      <c r="E29" s="44"/>
      <c r="F29" s="44"/>
      <c r="G29" s="91" t="s">
        <v>12</v>
      </c>
      <c r="I29" s="98"/>
      <c r="J29" s="44"/>
      <c r="K29" s="44"/>
      <c r="L29" s="44"/>
      <c r="M29" s="91" t="s">
        <v>12</v>
      </c>
      <c r="O29" s="98"/>
      <c r="P29" s="44"/>
      <c r="Q29" s="44"/>
      <c r="R29" s="44"/>
      <c r="S29" s="82" t="s">
        <v>12</v>
      </c>
      <c r="T29" s="105" t="s">
        <v>12</v>
      </c>
    </row>
    <row r="30" spans="2:20" x14ac:dyDescent="0.25">
      <c r="B30" s="16" t="s">
        <v>43</v>
      </c>
      <c r="C30" s="99">
        <v>449.06799899999999</v>
      </c>
      <c r="D30" s="49">
        <v>355.82699600000001</v>
      </c>
      <c r="E30" s="49">
        <v>676.57063649999998</v>
      </c>
      <c r="F30" s="49">
        <v>955.15153600000008</v>
      </c>
      <c r="G30" s="92">
        <v>2436.6171675000001</v>
      </c>
      <c r="I30" s="99">
        <v>470.37667950000002</v>
      </c>
      <c r="J30" s="49">
        <v>370.121239</v>
      </c>
      <c r="K30" s="49">
        <v>719.86487099999999</v>
      </c>
      <c r="L30" s="49">
        <v>1014.3988220000001</v>
      </c>
      <c r="M30" s="92">
        <v>2574.7616115000001</v>
      </c>
      <c r="O30" s="99">
        <v>21.308680500000037</v>
      </c>
      <c r="P30" s="49">
        <v>14.294242999999994</v>
      </c>
      <c r="Q30" s="49">
        <v>43.294234500000016</v>
      </c>
      <c r="R30" s="49">
        <v>59.247286000000031</v>
      </c>
      <c r="S30" s="83">
        <v>138.14444400000008</v>
      </c>
      <c r="T30" s="105">
        <v>5.669517798798817E-2</v>
      </c>
    </row>
    <row r="31" spans="2:20" x14ac:dyDescent="0.25">
      <c r="B31" s="16" t="s">
        <v>44</v>
      </c>
      <c r="C31" s="101">
        <v>-2.01770021375</v>
      </c>
      <c r="D31" s="44">
        <v>0.66585601500000002</v>
      </c>
      <c r="E31" s="78">
        <v>-0.66944220875000005</v>
      </c>
      <c r="F31" s="78">
        <v>-8.1237500000000004E-2</v>
      </c>
      <c r="G31" s="102">
        <v>-2.1025239074999997</v>
      </c>
      <c r="I31" s="101">
        <v>-7.2230387287499997</v>
      </c>
      <c r="J31" s="44">
        <v>2.3702934375</v>
      </c>
      <c r="K31" s="78">
        <v>-2.4333970574999997</v>
      </c>
      <c r="L31" s="78">
        <v>-0.36071522500000003</v>
      </c>
      <c r="M31" s="102">
        <v>-7.6468575737499984</v>
      </c>
      <c r="O31" s="101">
        <v>-5.2053385149999993</v>
      </c>
      <c r="P31" s="44">
        <v>1.7044374224999999</v>
      </c>
      <c r="Q31" s="78">
        <v>-1.7639548487499996</v>
      </c>
      <c r="R31" s="78">
        <v>-0.27947772500000001</v>
      </c>
      <c r="S31" s="85">
        <v>-5.5443336662499991</v>
      </c>
      <c r="T31" s="105">
        <v>0</v>
      </c>
    </row>
    <row r="32" spans="2:20" ht="14.4" thickBot="1" x14ac:dyDescent="0.3">
      <c r="B32" s="16"/>
      <c r="C32" s="103"/>
      <c r="D32" s="79"/>
      <c r="E32" s="79"/>
      <c r="F32" s="79"/>
      <c r="G32" s="95"/>
      <c r="I32" s="103"/>
      <c r="J32" s="79"/>
      <c r="K32" s="79"/>
      <c r="L32" s="79"/>
      <c r="M32" s="95"/>
      <c r="O32" s="103"/>
      <c r="P32" s="79"/>
      <c r="Q32" s="79"/>
      <c r="R32" s="79"/>
      <c r="S32" s="86"/>
      <c r="T32" s="113"/>
    </row>
    <row r="33" spans="2:20" ht="14.4" thickBot="1" x14ac:dyDescent="0.3">
      <c r="B33" s="20" t="s">
        <v>45</v>
      </c>
      <c r="C33" s="21">
        <f>C27+C30+C31</f>
        <v>515.58830346624995</v>
      </c>
      <c r="D33" s="22">
        <f>+D31+D30+D27</f>
        <v>421.99026451499998</v>
      </c>
      <c r="E33" s="22">
        <f t="shared" ref="E33:F33" si="15">+E31+E30+E27</f>
        <v>791.08016367624998</v>
      </c>
      <c r="F33" s="22">
        <f t="shared" si="15"/>
        <v>1038.0588705499999</v>
      </c>
      <c r="G33" s="23">
        <f t="shared" ref="G33" si="16">SUM(C33:F33)</f>
        <v>2766.7176022075</v>
      </c>
      <c r="I33" s="21">
        <f>I27+I30+I31</f>
        <v>530.07793453124998</v>
      </c>
      <c r="J33" s="22">
        <f>J27+J30+J31</f>
        <v>434.56252362750001</v>
      </c>
      <c r="K33" s="22">
        <f>K27+K30+K31</f>
        <v>827.79996456750007</v>
      </c>
      <c r="L33" s="22">
        <f>L27+L30+L31</f>
        <v>1090.4126341000001</v>
      </c>
      <c r="M33" s="23">
        <f t="shared" ref="M33" si="17">SUM(I33:L33)</f>
        <v>2882.8530568262504</v>
      </c>
      <c r="O33" s="21">
        <f>O27+O30+O31</f>
        <v>14.489631065000035</v>
      </c>
      <c r="P33" s="22">
        <f>P27+P30+P31</f>
        <v>12.572259112499999</v>
      </c>
      <c r="Q33" s="22">
        <f>Q27+Q30+Q31</f>
        <v>36.719800891250024</v>
      </c>
      <c r="R33" s="22">
        <f>R27+R30+R31</f>
        <v>52.353763550000032</v>
      </c>
      <c r="S33" s="21">
        <f t="shared" ref="S33" si="18">SUM(O33:R33)</f>
        <v>116.13545461875009</v>
      </c>
      <c r="T33" s="114">
        <f>+S33/G33</f>
        <v>4.1975897549532445E-2</v>
      </c>
    </row>
  </sheetData>
  <mergeCells count="6">
    <mergeCell ref="C4:G4"/>
    <mergeCell ref="I4:M4"/>
    <mergeCell ref="C21:G21"/>
    <mergeCell ref="I21:M21"/>
    <mergeCell ref="O4:T4"/>
    <mergeCell ref="O21:T21"/>
  </mergeCells>
  <pageMargins left="0.70866141732283472" right="0.70866141732283472" top="0.74803149606299213" bottom="0.74803149606299213" header="0.31496062992125984" footer="0.31496062992125984"/>
  <pageSetup scale="65" orientation="landscape" r:id="rId1"/>
  <ignoredErrors>
    <ignoredError sqref="G10 M16 G27 M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HRZ-Staff-12 a</vt:lpstr>
      <vt:lpstr>HRZ-Staff-12 b</vt:lpstr>
    </vt:vector>
  </TitlesOfParts>
  <Company>Alectra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Bonadie</dc:creator>
  <cp:lastModifiedBy>Natalie Yeates</cp:lastModifiedBy>
  <cp:lastPrinted>2019-10-31T17:28:35Z</cp:lastPrinted>
  <dcterms:created xsi:type="dcterms:W3CDTF">2019-10-29T15:34:53Z</dcterms:created>
  <dcterms:modified xsi:type="dcterms:W3CDTF">2019-10-31T17:28:37Z</dcterms:modified>
</cp:coreProperties>
</file>