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133" windowWidth="17307" windowHeight="10347"/>
  </bookViews>
  <sheets>
    <sheet name="Cost of Power" sheetId="1" r:id="rId1"/>
  </sheets>
  <externalReferences>
    <externalReference r:id="rId2"/>
    <externalReference r:id="rId3"/>
    <externalReference r:id="rId4"/>
  </externalReferences>
  <calcPr calcId="145621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6" i="1" l="1"/>
  <c r="K66" i="1" s="1"/>
  <c r="O66" i="1" s="1"/>
  <c r="C67" i="1"/>
  <c r="O41" i="1"/>
  <c r="P41" i="1"/>
  <c r="O52" i="1"/>
  <c r="P52" i="1"/>
  <c r="P77" i="1"/>
  <c r="P76" i="1"/>
  <c r="P75" i="1"/>
  <c r="P74" i="1"/>
  <c r="P68" i="1"/>
  <c r="P59" i="1"/>
  <c r="P58" i="1"/>
  <c r="P57" i="1"/>
  <c r="P56" i="1"/>
  <c r="P55" i="1"/>
  <c r="P54" i="1"/>
  <c r="P53" i="1"/>
  <c r="P48" i="1"/>
  <c r="P47" i="1"/>
  <c r="P46" i="1"/>
  <c r="P45" i="1"/>
  <c r="P44" i="1"/>
  <c r="P43" i="1"/>
  <c r="P42" i="1"/>
  <c r="P35" i="1"/>
  <c r="P24" i="1"/>
  <c r="P9" i="1"/>
  <c r="P10" i="1"/>
  <c r="P11" i="1"/>
  <c r="P12" i="1"/>
  <c r="P13" i="1"/>
  <c r="P14" i="1"/>
  <c r="P15" i="1"/>
  <c r="P8" i="1"/>
  <c r="C77" i="1"/>
  <c r="O77" i="1"/>
  <c r="O75" i="1"/>
  <c r="O74" i="1"/>
  <c r="K21" i="1"/>
  <c r="C41" i="1"/>
  <c r="D69" i="1"/>
  <c r="D67" i="1"/>
  <c r="D66" i="1"/>
  <c r="D65" i="1"/>
  <c r="D64" i="1"/>
  <c r="D63" i="1"/>
  <c r="D36" i="1"/>
  <c r="D34" i="1"/>
  <c r="D33" i="1"/>
  <c r="D32" i="1"/>
  <c r="D31" i="1"/>
  <c r="D30" i="1"/>
  <c r="D25" i="1"/>
  <c r="D23" i="1"/>
  <c r="D22" i="1"/>
  <c r="D21" i="1"/>
  <c r="D20" i="1"/>
  <c r="D19" i="1"/>
  <c r="L34" i="1"/>
  <c r="L35" i="1"/>
  <c r="H36" i="1"/>
  <c r="L36" i="1" s="1"/>
  <c r="H34" i="1"/>
  <c r="H33" i="1"/>
  <c r="L33" i="1" s="1"/>
  <c r="H32" i="1"/>
  <c r="L32" i="1" s="1"/>
  <c r="H31" i="1"/>
  <c r="L31" i="1" s="1"/>
  <c r="H30" i="1"/>
  <c r="L30" i="1" s="1"/>
  <c r="H25" i="1"/>
  <c r="H23" i="1"/>
  <c r="H22" i="1"/>
  <c r="H21" i="1"/>
  <c r="H20" i="1"/>
  <c r="H19" i="1"/>
  <c r="H90" i="1"/>
  <c r="O15" i="1"/>
  <c r="K15" i="1"/>
  <c r="O64" i="1"/>
  <c r="O68" i="1"/>
  <c r="O69" i="1"/>
  <c r="L67" i="1"/>
  <c r="L68" i="1"/>
  <c r="H69" i="1"/>
  <c r="L69" i="1" s="1"/>
  <c r="H67" i="1"/>
  <c r="H66" i="1"/>
  <c r="L66" i="1" s="1"/>
  <c r="H64" i="1"/>
  <c r="L64" i="1" s="1"/>
  <c r="H65" i="1"/>
  <c r="L65" i="1" s="1"/>
  <c r="H63" i="1"/>
  <c r="L63" i="1" s="1"/>
  <c r="K67" i="1"/>
  <c r="O67" i="1" s="1"/>
  <c r="K64" i="1"/>
  <c r="C65" i="1"/>
  <c r="K69" i="1"/>
  <c r="G64" i="1"/>
  <c r="K59" i="1"/>
  <c r="O59" i="1"/>
  <c r="O53" i="1"/>
  <c r="O54" i="1"/>
  <c r="O55" i="1"/>
  <c r="O56" i="1"/>
  <c r="O57" i="1"/>
  <c r="O58" i="1"/>
  <c r="K48" i="1"/>
  <c r="O42" i="1"/>
  <c r="O43" i="1"/>
  <c r="O44" i="1"/>
  <c r="O45" i="1"/>
  <c r="O48" i="1" s="1"/>
  <c r="O46" i="1"/>
  <c r="O47" i="1"/>
  <c r="G58" i="1"/>
  <c r="G57" i="1"/>
  <c r="G53" i="1"/>
  <c r="G54" i="1"/>
  <c r="G55" i="1"/>
  <c r="G56" i="1"/>
  <c r="G52" i="1"/>
  <c r="K58" i="1"/>
  <c r="K57" i="1"/>
  <c r="K56" i="1"/>
  <c r="K55" i="1"/>
  <c r="K54" i="1"/>
  <c r="K53" i="1"/>
  <c r="K52" i="1"/>
  <c r="D58" i="1"/>
  <c r="D56" i="1"/>
  <c r="D55" i="1"/>
  <c r="D54" i="1"/>
  <c r="D53" i="1"/>
  <c r="C58" i="1" l="1"/>
  <c r="C56" i="1"/>
  <c r="C55" i="1"/>
  <c r="C54" i="1"/>
  <c r="C53" i="1"/>
  <c r="C52" i="1"/>
  <c r="K47" i="1"/>
  <c r="K45" i="1"/>
  <c r="K44" i="1"/>
  <c r="K43" i="1"/>
  <c r="K42" i="1"/>
  <c r="K41" i="1"/>
  <c r="G43" i="1"/>
  <c r="G42" i="1"/>
  <c r="G41" i="1"/>
  <c r="C47" i="1"/>
  <c r="C45" i="1"/>
  <c r="C44" i="1"/>
  <c r="C43" i="1"/>
  <c r="C42" i="1"/>
  <c r="E24" i="1"/>
  <c r="K36" i="1"/>
  <c r="K35" i="1"/>
  <c r="K34" i="1"/>
  <c r="K33" i="1"/>
  <c r="K32" i="1"/>
  <c r="G36" i="1"/>
  <c r="G35" i="1"/>
  <c r="G34" i="1"/>
  <c r="G33" i="1"/>
  <c r="C36" i="1"/>
  <c r="C35" i="1"/>
  <c r="C34" i="1"/>
  <c r="C33" i="1"/>
  <c r="C32" i="1"/>
  <c r="C31" i="1"/>
  <c r="C30" i="1"/>
  <c r="O22" i="1"/>
  <c r="O23" i="1"/>
  <c r="O24" i="1"/>
  <c r="O25" i="1"/>
  <c r="G21" i="1"/>
  <c r="G65" i="1" s="1"/>
  <c r="K20" i="1"/>
  <c r="K31" i="1" s="1"/>
  <c r="G20" i="1"/>
  <c r="G31" i="1" s="1"/>
  <c r="K19" i="1"/>
  <c r="K26" i="1" s="1"/>
  <c r="G19" i="1"/>
  <c r="G63" i="1" l="1"/>
  <c r="O19" i="1"/>
  <c r="O20" i="1"/>
  <c r="G30" i="1"/>
  <c r="O30" i="1" s="1"/>
  <c r="K63" i="1"/>
  <c r="K30" i="1"/>
  <c r="K65" i="1"/>
  <c r="G32" i="1"/>
  <c r="O21" i="1"/>
  <c r="O63" i="1" l="1"/>
  <c r="K70" i="1"/>
  <c r="O65" i="1"/>
  <c r="O70" i="1" s="1"/>
  <c r="O9" i="1" l="1"/>
  <c r="O10" i="1"/>
  <c r="O11" i="1"/>
  <c r="O12" i="1"/>
  <c r="O13" i="1"/>
  <c r="O14" i="1"/>
  <c r="O8" i="1"/>
  <c r="O36" i="1"/>
  <c r="O33" i="1"/>
  <c r="O32" i="1"/>
  <c r="O31" i="1"/>
  <c r="O34" i="1"/>
  <c r="O35" i="1"/>
  <c r="K37" i="1" l="1"/>
  <c r="L20" i="1" l="1"/>
  <c r="L21" i="1"/>
  <c r="L22" i="1"/>
  <c r="L23" i="1"/>
  <c r="L25" i="1"/>
  <c r="L19" i="1"/>
  <c r="K14" i="1"/>
  <c r="C59" i="1" l="1"/>
  <c r="C48" i="1"/>
  <c r="E25" i="1"/>
  <c r="E12" i="1" l="1"/>
  <c r="E13" i="1"/>
  <c r="E14" i="1"/>
  <c r="M75" i="1"/>
  <c r="M74" i="1"/>
  <c r="I75" i="1"/>
  <c r="I74" i="1"/>
  <c r="E75" i="1"/>
  <c r="E76" i="1"/>
  <c r="E74" i="1"/>
  <c r="E77" i="1" s="1"/>
  <c r="M64" i="1" l="1"/>
  <c r="M65" i="1"/>
  <c r="M66" i="1"/>
  <c r="M67" i="1"/>
  <c r="M68" i="1"/>
  <c r="M69" i="1"/>
  <c r="M63" i="1"/>
  <c r="M53" i="1"/>
  <c r="M54" i="1"/>
  <c r="M55" i="1"/>
  <c r="M56" i="1"/>
  <c r="M57" i="1"/>
  <c r="M58" i="1"/>
  <c r="M52" i="1"/>
  <c r="M42" i="1"/>
  <c r="M43" i="1"/>
  <c r="M44" i="1"/>
  <c r="M45" i="1"/>
  <c r="M46" i="1"/>
  <c r="M47" i="1"/>
  <c r="M41" i="1"/>
  <c r="M31" i="1"/>
  <c r="M32" i="1"/>
  <c r="M33" i="1"/>
  <c r="M34" i="1"/>
  <c r="M35" i="1"/>
  <c r="M36" i="1"/>
  <c r="M30" i="1"/>
  <c r="M21" i="1"/>
  <c r="M22" i="1"/>
  <c r="M23" i="1"/>
  <c r="M24" i="1"/>
  <c r="M25" i="1"/>
  <c r="M19" i="1"/>
  <c r="I8" i="1"/>
  <c r="I9" i="1"/>
  <c r="G15" i="1" l="1"/>
  <c r="C15" i="1"/>
  <c r="E69" i="1"/>
  <c r="E68" i="1"/>
  <c r="E67" i="1"/>
  <c r="E66" i="1"/>
  <c r="E65" i="1"/>
  <c r="E64" i="1"/>
  <c r="E63" i="1"/>
  <c r="E58" i="1"/>
  <c r="E57" i="1"/>
  <c r="E56" i="1"/>
  <c r="E55" i="1"/>
  <c r="E54" i="1"/>
  <c r="E53" i="1"/>
  <c r="E52" i="1"/>
  <c r="E47" i="1"/>
  <c r="E46" i="1"/>
  <c r="E45" i="1"/>
  <c r="E44" i="1"/>
  <c r="E43" i="1"/>
  <c r="E42" i="1"/>
  <c r="E41" i="1"/>
  <c r="E36" i="1"/>
  <c r="E35" i="1"/>
  <c r="E34" i="1"/>
  <c r="E33" i="1"/>
  <c r="E32" i="1"/>
  <c r="E31" i="1"/>
  <c r="E30" i="1"/>
  <c r="E23" i="1"/>
  <c r="E22" i="1"/>
  <c r="E21" i="1"/>
  <c r="E20" i="1"/>
  <c r="E19" i="1"/>
  <c r="E11" i="1"/>
  <c r="E10" i="1"/>
  <c r="E9" i="1"/>
  <c r="E8" i="1"/>
  <c r="C70" i="1"/>
  <c r="C37" i="1"/>
  <c r="C26" i="1"/>
  <c r="G37" i="1"/>
  <c r="G48" i="1"/>
  <c r="G59" i="1"/>
  <c r="G70" i="1"/>
  <c r="I68" i="1"/>
  <c r="I64" i="1"/>
  <c r="P64" i="1" s="1"/>
  <c r="I47" i="1"/>
  <c r="I45" i="1"/>
  <c r="I43" i="1"/>
  <c r="I35" i="1"/>
  <c r="I31" i="1"/>
  <c r="P31" i="1" s="1"/>
  <c r="M77" i="1"/>
  <c r="I77" i="1"/>
  <c r="I65" i="1"/>
  <c r="P65" i="1" s="1"/>
  <c r="I66" i="1"/>
  <c r="P66" i="1" s="1"/>
  <c r="I67" i="1"/>
  <c r="P67" i="1" s="1"/>
  <c r="I69" i="1"/>
  <c r="P69" i="1" s="1"/>
  <c r="I63" i="1"/>
  <c r="P63" i="1" s="1"/>
  <c r="I53" i="1"/>
  <c r="I54" i="1"/>
  <c r="I55" i="1"/>
  <c r="I56" i="1"/>
  <c r="I57" i="1"/>
  <c r="I58" i="1"/>
  <c r="I52" i="1"/>
  <c r="I42" i="1"/>
  <c r="I44" i="1"/>
  <c r="I46" i="1"/>
  <c r="I41" i="1"/>
  <c r="I32" i="1"/>
  <c r="P32" i="1" s="1"/>
  <c r="I33" i="1"/>
  <c r="P33" i="1" s="1"/>
  <c r="I34" i="1"/>
  <c r="P34" i="1" s="1"/>
  <c r="I36" i="1"/>
  <c r="P36" i="1" s="1"/>
  <c r="I30" i="1"/>
  <c r="P30" i="1" s="1"/>
  <c r="I21" i="1"/>
  <c r="P21" i="1" s="1"/>
  <c r="I22" i="1"/>
  <c r="P22" i="1" s="1"/>
  <c r="I23" i="1"/>
  <c r="P23" i="1" s="1"/>
  <c r="I24" i="1"/>
  <c r="I25" i="1"/>
  <c r="P25" i="1" s="1"/>
  <c r="I19" i="1"/>
  <c r="P19" i="1" s="1"/>
  <c r="O37" i="1" l="1"/>
  <c r="E15" i="1"/>
  <c r="E26" i="1"/>
  <c r="E59" i="1"/>
  <c r="E48" i="1"/>
  <c r="E37" i="1"/>
  <c r="E70" i="1"/>
  <c r="I48" i="1"/>
  <c r="H86" i="1" s="1"/>
  <c r="I37" i="1"/>
  <c r="I70" i="1"/>
  <c r="I59" i="1"/>
  <c r="M59" i="1"/>
  <c r="I11" i="1"/>
  <c r="I14" i="1"/>
  <c r="I10" i="1"/>
  <c r="M15" i="1"/>
  <c r="I13" i="1"/>
  <c r="I12" i="1"/>
  <c r="E79" i="1" l="1"/>
  <c r="E81" i="1" s="1"/>
  <c r="M37" i="1"/>
  <c r="H88" i="1" s="1"/>
  <c r="M48" i="1"/>
  <c r="M70" i="1"/>
  <c r="I15" i="1"/>
  <c r="H84" i="1" s="1"/>
  <c r="I20" i="1"/>
  <c r="M20" i="1"/>
  <c r="M26" i="1" s="1"/>
  <c r="G26" i="1"/>
  <c r="P20" i="1" l="1"/>
  <c r="M79" i="1"/>
  <c r="P37" i="1"/>
  <c r="I26" i="1"/>
  <c r="P70" i="1"/>
  <c r="O26" i="1"/>
  <c r="H89" i="1"/>
  <c r="H87" i="1"/>
  <c r="H91" i="1" s="1"/>
  <c r="P26" i="1" l="1"/>
  <c r="P79" i="1" s="1"/>
  <c r="P81" i="1" s="1"/>
  <c r="I79" i="1"/>
  <c r="I80" i="1" s="1"/>
  <c r="M81" i="1" s="1"/>
</calcChain>
</file>

<file path=xl/comments1.xml><?xml version="1.0" encoding="utf-8"?>
<comments xmlns="http://schemas.openxmlformats.org/spreadsheetml/2006/main">
  <authors>
    <author>Gibson,Sherry</author>
  </authors>
  <commentList>
    <comment ref="A76" authorId="0">
      <text>
        <r>
          <rPr>
            <b/>
            <sz val="9"/>
            <color indexed="81"/>
            <rFont val="Tahoma"/>
            <charset val="1"/>
          </rPr>
          <t>KH: Removed Large Use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<sst xmlns="http://schemas.openxmlformats.org/spreadsheetml/2006/main" count="210" uniqueCount="53">
  <si>
    <t>Cost of Power Calculation</t>
  </si>
  <si>
    <t>Residential</t>
  </si>
  <si>
    <t>GS&lt;50</t>
  </si>
  <si>
    <t>GS&gt;50</t>
  </si>
  <si>
    <t>Streetlight</t>
  </si>
  <si>
    <t>Sentinel</t>
  </si>
  <si>
    <t>USL</t>
  </si>
  <si>
    <t>LU</t>
  </si>
  <si>
    <t>RPP</t>
  </si>
  <si>
    <t>non-RPP</t>
  </si>
  <si>
    <t>Transmission - Network</t>
  </si>
  <si>
    <t>kWh</t>
  </si>
  <si>
    <t>kW</t>
  </si>
  <si>
    <t>Rate</t>
  </si>
  <si>
    <t xml:space="preserve">$ </t>
  </si>
  <si>
    <t>Transmission - Connection</t>
  </si>
  <si>
    <t>Wholesale Market Service</t>
  </si>
  <si>
    <t>RRRP</t>
  </si>
  <si>
    <t>Smart Meter Entity Charge</t>
  </si>
  <si>
    <t>Customers</t>
  </si>
  <si>
    <t>TOTAL</t>
  </si>
  <si>
    <t>Volume</t>
  </si>
  <si>
    <t xml:space="preserve"> Volume</t>
  </si>
  <si>
    <t>*Volume should be loss adjusted</t>
  </si>
  <si>
    <t>2020 Test Year</t>
  </si>
  <si>
    <t>SUB-TOTAL</t>
  </si>
  <si>
    <t>ORECA CREDIT</t>
  </si>
  <si>
    <t>TOTAL (RPP &amp; NON-RPP)</t>
  </si>
  <si>
    <t>4705 -Power Purchased</t>
  </si>
  <si>
    <t>4707- Global Adjustment</t>
  </si>
  <si>
    <t>4708-Charges-WMS</t>
  </si>
  <si>
    <t>4714-Charges-NW</t>
  </si>
  <si>
    <t>4716-Charges-CN</t>
  </si>
  <si>
    <t>4750-Charges-LV</t>
  </si>
  <si>
    <t>4751-IESO SME</t>
  </si>
  <si>
    <t>2020 Test Year - CoP</t>
  </si>
  <si>
    <t>Electricity Commodity</t>
  </si>
  <si>
    <t>Class per Load Forecast</t>
  </si>
  <si>
    <t xml:space="preserve">Class per Load Forecast </t>
  </si>
  <si>
    <t>Original</t>
  </si>
  <si>
    <t>Low Voltage *** No TLF for kWh</t>
  </si>
  <si>
    <t>***kWh</t>
  </si>
  <si>
    <t>Volumes 
(RPP + Non-RPP)</t>
  </si>
  <si>
    <t>2020 COP Update Totals</t>
  </si>
  <si>
    <t>$
(RPP + Non-RPP)</t>
  </si>
  <si>
    <t>Customers
(RPP + Non-RPP)</t>
  </si>
  <si>
    <t>*** No loss adjustment for kWh</t>
  </si>
  <si>
    <t>EB-2019-0048</t>
  </si>
  <si>
    <t>2019-Nov-04</t>
  </si>
  <si>
    <t>2020 Settlement</t>
  </si>
  <si>
    <t>kWh**</t>
  </si>
  <si>
    <t>** Volume loss adjusted less WMP</t>
  </si>
  <si>
    <t>Kingston Hydro Corporation - 2020 CIR Year 5 Update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</si>
</sst>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0000"/>
    <numFmt numFmtId="166" formatCode="_(* #,##0.0000_);_(* \(#,##0.0000\);_(* &quot;-&quot;??_);_(@_)"/>
    <numFmt numFmtId="167" formatCode="_(&quot;$&quot;* #,##0.0000_);_(&quot;$&quot;* \(#,##0.0000\);_(&quot;$&quot;* &quot;-&quot;??_);_(@_)"/>
    <numFmt numFmtId="168" formatCode="_-* #,##0.00_-;\-* #,##0.00_-;_-* \-??_-;_-@_-"/>
    <numFmt numFmtId="169" formatCode="0.00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0"/>
      <name val="Arial"/>
      <family val="2"/>
    </font>
    <font>
      <sz val="10"/>
      <name val="Mangal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168" fontId="7" fillId="0" borderId="0" applyFill="0" applyBorder="0" applyAlignment="0" applyProtection="0"/>
  </cellStyleXfs>
  <cellXfs count="78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wrapText="1"/>
    </xf>
    <xf numFmtId="0" fontId="2" fillId="0" borderId="1" xfId="0" applyFont="1" applyBorder="1"/>
    <xf numFmtId="0" fontId="1" fillId="0" borderId="1" xfId="0" applyFont="1" applyBorder="1"/>
    <xf numFmtId="0" fontId="0" fillId="0" borderId="0" xfId="0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Border="1" applyAlignment="1">
      <alignment wrapText="1"/>
    </xf>
    <xf numFmtId="0" fontId="0" fillId="0" borderId="0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2" borderId="1" xfId="0" applyFill="1" applyBorder="1"/>
    <xf numFmtId="0" fontId="0" fillId="0" borderId="1" xfId="0" applyFill="1" applyBorder="1"/>
    <xf numFmtId="0" fontId="0" fillId="0" borderId="5" xfId="0" applyBorder="1"/>
    <xf numFmtId="0" fontId="0" fillId="0" borderId="4" xfId="0" applyBorder="1"/>
    <xf numFmtId="0" fontId="0" fillId="0" borderId="4" xfId="0" applyFill="1" applyBorder="1"/>
    <xf numFmtId="0" fontId="0" fillId="2" borderId="4" xfId="0" applyFill="1" applyBorder="1"/>
    <xf numFmtId="0" fontId="0" fillId="0" borderId="10" xfId="0" applyBorder="1"/>
    <xf numFmtId="0" fontId="1" fillId="0" borderId="1" xfId="0" applyFont="1" applyFill="1" applyBorder="1"/>
    <xf numFmtId="0" fontId="0" fillId="0" borderId="9" xfId="0" applyBorder="1" applyAlignment="1">
      <alignment horizontal="center"/>
    </xf>
    <xf numFmtId="0" fontId="0" fillId="0" borderId="2" xfId="0" applyBorder="1"/>
    <xf numFmtId="0" fontId="0" fillId="0" borderId="2" xfId="0" applyFill="1" applyBorder="1"/>
    <xf numFmtId="0" fontId="1" fillId="0" borderId="1" xfId="0" applyFont="1" applyBorder="1" applyAlignment="1">
      <alignment horizontal="center"/>
    </xf>
    <xf numFmtId="0" fontId="1" fillId="0" borderId="0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0" xfId="0" applyFont="1" applyBorder="1" applyAlignment="1"/>
    <xf numFmtId="10" fontId="0" fillId="0" borderId="1" xfId="0" applyNumberFormat="1" applyBorder="1"/>
    <xf numFmtId="37" fontId="0" fillId="2" borderId="1" xfId="0" applyNumberFormat="1" applyFill="1" applyBorder="1"/>
    <xf numFmtId="164" fontId="0" fillId="0" borderId="1" xfId="1" applyNumberFormat="1" applyFont="1" applyBorder="1"/>
    <xf numFmtId="164" fontId="0" fillId="0" borderId="4" xfId="1" applyNumberFormat="1" applyFont="1" applyBorder="1"/>
    <xf numFmtId="164" fontId="0" fillId="2" borderId="1" xfId="1" applyNumberFormat="1" applyFont="1" applyFill="1" applyBorder="1"/>
    <xf numFmtId="0" fontId="0" fillId="4" borderId="1" xfId="0" applyFill="1" applyBorder="1"/>
    <xf numFmtId="0" fontId="0" fillId="4" borderId="4" xfId="0" applyFill="1" applyBorder="1"/>
    <xf numFmtId="165" fontId="0" fillId="2" borderId="1" xfId="0" applyNumberFormat="1" applyFill="1" applyBorder="1"/>
    <xf numFmtId="0" fontId="0" fillId="0" borderId="0" xfId="0" applyFill="1"/>
    <xf numFmtId="164" fontId="0" fillId="0" borderId="0" xfId="0" applyNumberFormat="1"/>
    <xf numFmtId="164" fontId="0" fillId="0" borderId="1" xfId="1" applyNumberFormat="1" applyFont="1" applyFill="1" applyBorder="1"/>
    <xf numFmtId="164" fontId="0" fillId="0" borderId="0" xfId="1" applyNumberFormat="1" applyFont="1"/>
    <xf numFmtId="164" fontId="0" fillId="2" borderId="1" xfId="0" applyNumberFormat="1" applyFill="1" applyBorder="1"/>
    <xf numFmtId="166" fontId="0" fillId="2" borderId="1" xfId="1" applyNumberFormat="1" applyFont="1" applyFill="1" applyBorder="1"/>
    <xf numFmtId="166" fontId="0" fillId="2" borderId="4" xfId="1" applyNumberFormat="1" applyFont="1" applyFill="1" applyBorder="1"/>
    <xf numFmtId="166" fontId="0" fillId="2" borderId="1" xfId="0" applyNumberFormat="1" applyFill="1" applyBorder="1"/>
    <xf numFmtId="0" fontId="1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37" fontId="0" fillId="0" borderId="1" xfId="0" applyNumberFormat="1" applyBorder="1"/>
    <xf numFmtId="167" fontId="6" fillId="0" borderId="0" xfId="2" applyNumberFormat="1" applyFont="1" applyFill="1" applyBorder="1" applyAlignment="1">
      <alignment vertical="center"/>
    </xf>
    <xf numFmtId="0" fontId="1" fillId="0" borderId="1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169" fontId="0" fillId="2" borderId="1" xfId="0" applyNumberFormat="1" applyFill="1" applyBorder="1"/>
    <xf numFmtId="164" fontId="0" fillId="0" borderId="1" xfId="0" applyNumberFormat="1" applyBorder="1"/>
    <xf numFmtId="164" fontId="0" fillId="2" borderId="4" xfId="1" applyNumberFormat="1" applyFont="1" applyFill="1" applyBorder="1"/>
    <xf numFmtId="164" fontId="1" fillId="0" borderId="1" xfId="0" applyNumberFormat="1" applyFont="1" applyBorder="1"/>
    <xf numFmtId="164" fontId="1" fillId="0" borderId="1" xfId="1" applyNumberFormat="1" applyFont="1" applyBorder="1"/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 wrapText="1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64" fontId="0" fillId="0" borderId="6" xfId="0" applyNumberFormat="1" applyBorder="1" applyAlignment="1">
      <alignment horizontal="center"/>
    </xf>
    <xf numFmtId="164" fontId="0" fillId="0" borderId="8" xfId="0" applyNumberFormat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0" borderId="1" xfId="0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0" xfId="0" applyAlignment="1">
      <alignment horizontal="right"/>
    </xf>
  </cellXfs>
  <cellStyles count="4">
    <cellStyle name="Comma" xfId="1" builtinId="3"/>
    <cellStyle name="Comma 6" xf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ingston%20Hydro/Kingston%20Hydro%202020%20Yr5%20Custom%20IR%20EB-2019-0048/2016%20FINAL%20RATES%20_Rate%20Maker%20Model/Kingston_2016_RateMkr%20_Settlement_RCs%20in_20151020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TO%20FILE/Kingston_Commodity%20Price_RPP%20update%20_2019110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Kingston%20Hydro/Kingston%20Hydro%202020%20Yr5%20Custom%20IR%20EB-2019-0048/2016%20FINAL%20RATES%20_Rate%20Maker%20Model/Kingston_2016_RateMkr%20_Settlement_Update%20YR%205%20COP_NOV%20RPP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view"/>
      <sheetName val="A1.Admin"/>
      <sheetName val="A2.HistoricalBalances"/>
      <sheetName val="A3.CustomerClasses"/>
      <sheetName val="A4.DistRates"/>
      <sheetName val="A5.RateRiders"/>
      <sheetName val="B1.GrossCapital"/>
      <sheetName val="B2.CapitalAmortization"/>
      <sheetName val="B3.ContGrossCapital"/>
      <sheetName val="B4.ContCapitalAmort"/>
      <sheetName val="B5.NetCapital"/>
      <sheetName val="B6.OMA"/>
      <sheetName val="C1.LossFactors"/>
      <sheetName val="C2.LoadForecast"/>
      <sheetName val="C2 -B. WMP and TDA Forecast"/>
      <sheetName val="C2. -C. SETTLMENT LF Tables"/>
      <sheetName val="C3.DistRevenue"/>
      <sheetName val="C3-1.DistRev at 2015 Rates"/>
      <sheetName val="C4.CommodityPrice"/>
      <sheetName val="C5.PassthruRates"/>
      <sheetName val="C6.LowVoltage"/>
      <sheetName val="C6.1 Low Voltage Worksheet"/>
      <sheetName val="C7.ServiceRevenues"/>
      <sheetName val="C8.RevenueOffsets"/>
      <sheetName val="D1.RateBase"/>
      <sheetName val="D2.Debt"/>
      <sheetName val="D3.CapitalStructure"/>
      <sheetName val="E1.BridgeYrPL"/>
      <sheetName val="E2.TestYrPL"/>
      <sheetName val="E3.CapitalInfo"/>
      <sheetName val="E4.PILsResults"/>
      <sheetName val="F1.RevRequirement"/>
      <sheetName val="F1.1 Rev Req"/>
      <sheetName val="F2.CostAllocation"/>
      <sheetName val="F3.RevenueAllocation"/>
      <sheetName val="F4.RateDesign"/>
      <sheetName val="F5.FixedVarRevenue"/>
      <sheetName val="H1.RatesCheck"/>
      <sheetName val="H2.FinalRates"/>
      <sheetName val="SGH5. Distribution Bill Impacts"/>
      <sheetName val="H3.FinalRateRiders"/>
      <sheetName val="H4.ImpactSummary"/>
      <sheetName val="BlankImpact"/>
      <sheetName val="H5.BillImpacts"/>
      <sheetName val="S1.BridgeYrProForma"/>
      <sheetName val="S2.TestYrProForma"/>
      <sheetName val="S3.TestYrNewRates"/>
      <sheetName val="S4.VarBS"/>
      <sheetName val="S5.VarPL"/>
      <sheetName val="S6.VarRateBase"/>
      <sheetName val="S7.VarSuffDef"/>
      <sheetName val="X11.PLtrend"/>
      <sheetName val="X12.PLvariances"/>
      <sheetName val="X13.BStrend"/>
      <sheetName val="X14.BSvariances"/>
      <sheetName val="X21.CapitalCont"/>
      <sheetName val="X22.RBtrend"/>
      <sheetName val="X23.RBvariances"/>
      <sheetName val="X31.RevSuffDef"/>
      <sheetName val="X32.RevenueReq"/>
      <sheetName val="X91.RatesSched"/>
      <sheetName val="Y1.PrescribedRates"/>
      <sheetName val="Y2.ChartOfAccts"/>
      <sheetName val="Y3.AmortAccts"/>
      <sheetName val="Y4.PassthruAccts"/>
      <sheetName val="Y5.DistRateAccts"/>
      <sheetName val="Y6.ServiceRevAccts"/>
      <sheetName val="Y7.RPPrates"/>
      <sheetName val="Y8.VarianceThresholds"/>
      <sheetName val="Z1.ModelVariables"/>
      <sheetName val="Z2.ModelTables"/>
      <sheetName val="Z0.Disclaimer"/>
      <sheetName val="Accounts adde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35">
          <cell r="W35">
            <v>7.1000000000000004E-3</v>
          </cell>
        </row>
        <row r="36">
          <cell r="W36">
            <v>6.3E-3</v>
          </cell>
        </row>
        <row r="37">
          <cell r="W37">
            <v>2.7797000000000001</v>
          </cell>
        </row>
        <row r="38">
          <cell r="W38">
            <v>3.3492000000000002</v>
          </cell>
        </row>
        <row r="39">
          <cell r="W39">
            <v>7.1000000000000004E-3</v>
          </cell>
        </row>
        <row r="40">
          <cell r="W40">
            <v>2.0078</v>
          </cell>
        </row>
        <row r="58">
          <cell r="W58">
            <v>5.5999999999999999E-3</v>
          </cell>
        </row>
        <row r="59">
          <cell r="W59">
            <v>5.1000000000000004E-3</v>
          </cell>
        </row>
        <row r="60">
          <cell r="W60">
            <v>2.2225250000000001</v>
          </cell>
        </row>
        <row r="61">
          <cell r="W61">
            <v>2.6779999999999999</v>
          </cell>
        </row>
        <row r="62">
          <cell r="W62">
            <v>5.5999999999999999E-3</v>
          </cell>
        </row>
        <row r="63">
          <cell r="W63">
            <v>1.6052999999999999</v>
          </cell>
        </row>
        <row r="150">
          <cell r="W150">
            <v>1.1999999999999999E-3</v>
          </cell>
        </row>
        <row r="151">
          <cell r="W151">
            <v>1.1000000000000001E-3</v>
          </cell>
        </row>
        <row r="152">
          <cell r="W152">
            <v>0.46629999999999999</v>
          </cell>
        </row>
        <row r="153">
          <cell r="W153">
            <v>0.56189999999999996</v>
          </cell>
        </row>
        <row r="154">
          <cell r="W154">
            <v>1.1999999999999999E-3</v>
          </cell>
        </row>
        <row r="155">
          <cell r="W155">
            <v>0.33679999999999999</v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0 Commodity Expense Forecast"/>
    </sheetNames>
    <sheetDataSet>
      <sheetData sheetId="0">
        <row r="18">
          <cell r="I18">
            <v>3543828</v>
          </cell>
          <cell r="J18">
            <v>187978391.34715238</v>
          </cell>
        </row>
        <row r="19">
          <cell r="I19">
            <v>11816177</v>
          </cell>
          <cell r="J19">
            <v>67153035.132375151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view"/>
      <sheetName val="A1.Admin"/>
      <sheetName val="A2.HistoricalBalances"/>
      <sheetName val="A3.CustomerClasses"/>
      <sheetName val="A4.DistRates"/>
      <sheetName val="A5.RateRiders"/>
      <sheetName val="B1.GrossCapital"/>
      <sheetName val="B2.CapitalAmortization"/>
      <sheetName val="B3.ContGrossCapital"/>
      <sheetName val="B4.ContCapitalAmort"/>
      <sheetName val="B5.NetCapital"/>
      <sheetName val="B6.OMA"/>
      <sheetName val="C1.LossFactors"/>
      <sheetName val="C2.LoadForecast"/>
      <sheetName val="C2 -B. WMP and TDA Forecast"/>
      <sheetName val="C2. -C. SETTLMENT LF Tables"/>
      <sheetName val="C3.DistRevenue"/>
      <sheetName val="C3-1.DistRev at 2015 Rates"/>
      <sheetName val="C4.CommodityPrice"/>
      <sheetName val="C5.PassthruRates"/>
      <sheetName val="C6.LowVoltage"/>
      <sheetName val="C6.1 Low Voltage Worksheet"/>
      <sheetName val="C7.ServiceRevenues"/>
      <sheetName val="C8.RevenueOffsets"/>
      <sheetName val="D1.RateBase"/>
      <sheetName val="D2.Debt"/>
      <sheetName val="D3.CapitalStructure"/>
      <sheetName val="E1.BridgeYrPL"/>
      <sheetName val="E2.TestYrPL"/>
      <sheetName val="E3.CapitalInfo"/>
      <sheetName val="E4.PILsResults"/>
      <sheetName val="F1.RevRequirement"/>
      <sheetName val="F1.1 Rev Req"/>
      <sheetName val="F2.CostAllocation"/>
      <sheetName val="F3.RevenueAllocation"/>
      <sheetName val="F4.RateDesign"/>
      <sheetName val="F5.FixedVarRevenue"/>
      <sheetName val="H1.RatesCheck"/>
      <sheetName val="H2.FinalRates"/>
      <sheetName val="SGH5. Distribution Bill Impacts"/>
      <sheetName val="H3.FinalRateRiders"/>
      <sheetName val="H4.ImpactSummary"/>
      <sheetName val="BlankImpact"/>
      <sheetName val="H5.BillImpacts"/>
      <sheetName val="S1.BridgeYrProForma"/>
      <sheetName val="S2.TestYrProForma"/>
      <sheetName val="S3.TestYrNewRates"/>
      <sheetName val="S4.VarBS"/>
      <sheetName val="S5.VarPL"/>
      <sheetName val="S6.VarRateBase"/>
      <sheetName val="S7.VarSuffDef"/>
      <sheetName val="X11.PLtrend"/>
      <sheetName val="X12.PLvariances"/>
      <sheetName val="X13.BStrend"/>
      <sheetName val="X14.BSvariances"/>
      <sheetName val="X21.CapitalCont"/>
      <sheetName val="X22.RBtrend"/>
      <sheetName val="X23.RBvariances"/>
      <sheetName val="X31.RevSuffDef"/>
      <sheetName val="X32.RevenueReq"/>
      <sheetName val="X91.RatesSched"/>
      <sheetName val="Y1.PrescribedRates"/>
      <sheetName val="Y2.ChartOfAccts"/>
      <sheetName val="Y3.AmortAccts"/>
      <sheetName val="Y4.PassthruAccts"/>
      <sheetName val="Y5.DistRateAccts"/>
      <sheetName val="Y6.ServiceRevAccts"/>
      <sheetName val="Y7.RPPrates"/>
      <sheetName val="Y8.VarianceThresholds"/>
      <sheetName val="Z1.ModelVariables"/>
      <sheetName val="Z2.ModelTables"/>
      <sheetName val="Z0.Disclaimer"/>
      <sheetName val="Accounts adde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85">
          <cell r="P85">
            <v>289050859.3266452</v>
          </cell>
        </row>
      </sheetData>
      <sheetData sheetId="14"/>
      <sheetData sheetId="15"/>
      <sheetData sheetId="16"/>
      <sheetData sheetId="17"/>
      <sheetData sheetId="18"/>
      <sheetData sheetId="19">
        <row r="35">
          <cell r="W35">
            <v>7.2165483608048909E-3</v>
          </cell>
        </row>
        <row r="36">
          <cell r="W36">
            <v>6.3675426001718353E-3</v>
          </cell>
        </row>
        <row r="37">
          <cell r="W37">
            <v>2.8330258622943685</v>
          </cell>
        </row>
        <row r="38">
          <cell r="W38">
            <v>3.4134273949891396</v>
          </cell>
        </row>
        <row r="39">
          <cell r="W39">
            <v>7.2165473977780338E-3</v>
          </cell>
        </row>
        <row r="40">
          <cell r="W40">
            <v>2.0463170769768961</v>
          </cell>
        </row>
        <row r="58">
          <cell r="W58">
            <v>6.4213823035103494E-3</v>
          </cell>
        </row>
        <row r="59">
          <cell r="W59">
            <v>5.7897709602105817E-3</v>
          </cell>
        </row>
        <row r="60">
          <cell r="W60">
            <v>2.538656667266928</v>
          </cell>
        </row>
        <row r="61">
          <cell r="W61">
            <v>3.0587886442538057</v>
          </cell>
        </row>
        <row r="62">
          <cell r="W62">
            <v>6.4213802376691612E-3</v>
          </cell>
        </row>
        <row r="63">
          <cell r="W63">
            <v>1.8335661935309535</v>
          </cell>
        </row>
        <row r="150">
          <cell r="W150">
            <v>2.7705705440835707E-3</v>
          </cell>
        </row>
        <row r="151">
          <cell r="W151">
            <v>2.498055421895819E-3</v>
          </cell>
        </row>
        <row r="152">
          <cell r="W152">
            <v>1.0539238986709478</v>
          </cell>
        </row>
        <row r="153">
          <cell r="W153">
            <v>1.269856808417108</v>
          </cell>
        </row>
        <row r="154">
          <cell r="W154">
            <v>2.7705687277496636E-3</v>
          </cell>
        </row>
        <row r="155">
          <cell r="W155">
            <v>0.76120542650527889</v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91"/>
  <sheetViews>
    <sheetView tabSelected="1" topLeftCell="E1" zoomScale="80" zoomScaleNormal="80" workbookViewId="0">
      <selection activeCell="R11" sqref="R11"/>
    </sheetView>
  </sheetViews>
  <sheetFormatPr defaultRowHeight="15.35" x14ac:dyDescent="0.3"/>
  <cols>
    <col min="1" max="1" width="26" bestFit="1" customWidth="1"/>
    <col min="2" max="2" width="7.109375" bestFit="1" customWidth="1"/>
    <col min="3" max="3" width="19" customWidth="1"/>
    <col min="4" max="4" width="12.44140625" customWidth="1"/>
    <col min="5" max="5" width="13.5546875" bestFit="1" customWidth="1"/>
    <col min="6" max="6" width="1.5546875" customWidth="1"/>
    <col min="7" max="7" width="23.109375" bestFit="1" customWidth="1"/>
    <col min="8" max="8" width="14.33203125" customWidth="1"/>
    <col min="9" max="9" width="14.88671875" bestFit="1" customWidth="1"/>
    <col min="10" max="10" width="2.109375" customWidth="1"/>
    <col min="11" max="11" width="19.33203125" customWidth="1"/>
    <col min="12" max="12" width="11.33203125" customWidth="1"/>
    <col min="13" max="13" width="16" bestFit="1" customWidth="1"/>
    <col min="14" max="14" width="2.109375" customWidth="1"/>
    <col min="15" max="15" width="13.33203125" bestFit="1" customWidth="1"/>
    <col min="16" max="16" width="14.5546875" bestFit="1" customWidth="1"/>
    <col min="18" max="18" width="14.5546875" bestFit="1" customWidth="1"/>
  </cols>
  <sheetData>
    <row r="1" spans="1:18" x14ac:dyDescent="0.3">
      <c r="A1" s="64" t="s">
        <v>0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44"/>
    </row>
    <row r="2" spans="1:18" x14ac:dyDescent="0.3">
      <c r="A2" t="s">
        <v>23</v>
      </c>
      <c r="P2" s="77" t="s">
        <v>52</v>
      </c>
    </row>
    <row r="3" spans="1:18" x14ac:dyDescent="0.3">
      <c r="A3" s="6" t="s">
        <v>51</v>
      </c>
      <c r="P3" s="77" t="s">
        <v>47</v>
      </c>
    </row>
    <row r="4" spans="1:18" x14ac:dyDescent="0.3">
      <c r="A4" t="s">
        <v>46</v>
      </c>
      <c r="H4" s="65"/>
      <c r="I4" s="65"/>
      <c r="J4" s="10"/>
      <c r="K4" s="12"/>
      <c r="L4" s="65"/>
      <c r="M4" s="65"/>
      <c r="N4" s="45"/>
      <c r="P4" s="77" t="s">
        <v>48</v>
      </c>
    </row>
    <row r="5" spans="1:18" x14ac:dyDescent="0.3">
      <c r="B5" s="9"/>
      <c r="C5" s="48" t="s">
        <v>49</v>
      </c>
      <c r="D5" s="67" t="s">
        <v>39</v>
      </c>
      <c r="E5" s="67"/>
      <c r="F5" s="25"/>
      <c r="G5" s="24" t="s">
        <v>24</v>
      </c>
      <c r="H5" s="66" t="s">
        <v>8</v>
      </c>
      <c r="I5" s="66"/>
      <c r="J5" s="27"/>
      <c r="K5" s="26" t="s">
        <v>24</v>
      </c>
      <c r="L5" s="66" t="s">
        <v>9</v>
      </c>
      <c r="M5" s="66"/>
      <c r="N5" s="27"/>
      <c r="O5" s="75" t="s">
        <v>43</v>
      </c>
      <c r="P5" s="76"/>
    </row>
    <row r="6" spans="1:18" x14ac:dyDescent="0.3">
      <c r="A6" s="4" t="s">
        <v>36</v>
      </c>
      <c r="B6" s="3"/>
      <c r="C6" s="57" t="s">
        <v>21</v>
      </c>
      <c r="D6" s="55" t="s">
        <v>13</v>
      </c>
      <c r="E6" s="60" t="s">
        <v>14</v>
      </c>
      <c r="F6" s="7"/>
      <c r="G6" s="57" t="s">
        <v>21</v>
      </c>
      <c r="H6" s="55" t="s">
        <v>13</v>
      </c>
      <c r="I6" s="60" t="s">
        <v>14</v>
      </c>
      <c r="J6" s="10"/>
      <c r="K6" s="57" t="s">
        <v>21</v>
      </c>
      <c r="L6" s="55" t="s">
        <v>13</v>
      </c>
      <c r="M6" s="60" t="s">
        <v>14</v>
      </c>
      <c r="N6" s="45"/>
      <c r="O6" s="73" t="s">
        <v>42</v>
      </c>
      <c r="P6" s="74" t="s">
        <v>44</v>
      </c>
    </row>
    <row r="7" spans="1:18" x14ac:dyDescent="0.3">
      <c r="A7" s="5" t="s">
        <v>37</v>
      </c>
      <c r="B7" s="14"/>
      <c r="C7" s="58"/>
      <c r="D7" s="56"/>
      <c r="E7" s="61"/>
      <c r="F7" s="2"/>
      <c r="G7" s="58"/>
      <c r="H7" s="56"/>
      <c r="I7" s="61"/>
      <c r="J7" s="6"/>
      <c r="K7" s="58"/>
      <c r="L7" s="56"/>
      <c r="M7" s="61"/>
      <c r="N7" s="6"/>
      <c r="O7" s="73"/>
      <c r="P7" s="59"/>
    </row>
    <row r="8" spans="1:18" x14ac:dyDescent="0.3">
      <c r="A8" s="2" t="s">
        <v>1</v>
      </c>
      <c r="B8" s="14" t="s">
        <v>11</v>
      </c>
      <c r="C8" s="32">
        <v>191522219.34715238</v>
      </c>
      <c r="D8" s="35">
        <v>0.10755366908970455</v>
      </c>
      <c r="E8" s="30">
        <f t="shared" ref="E8:E12" si="0">C8*D8</f>
        <v>20598917.40298944</v>
      </c>
      <c r="F8" s="2"/>
      <c r="G8" s="32">
        <v>187978391.34715238</v>
      </c>
      <c r="H8" s="13">
        <v>0.12803</v>
      </c>
      <c r="I8" s="30">
        <f t="shared" ref="I8:I14" si="1">G8*H8</f>
        <v>24066873.444175921</v>
      </c>
      <c r="J8" s="6"/>
      <c r="K8" s="29">
        <v>3543828</v>
      </c>
      <c r="L8" s="33"/>
      <c r="M8" s="32">
        <v>450172.47084000002</v>
      </c>
      <c r="N8" s="6"/>
      <c r="O8" s="51">
        <f>G8+K8</f>
        <v>191522219.34715238</v>
      </c>
      <c r="P8" s="51">
        <f>I8+M8</f>
        <v>24517045.915015921</v>
      </c>
      <c r="R8" s="39"/>
    </row>
    <row r="9" spans="1:18" x14ac:dyDescent="0.3">
      <c r="A9" s="2" t="s">
        <v>2</v>
      </c>
      <c r="B9" s="14" t="s">
        <v>11</v>
      </c>
      <c r="C9" s="32">
        <v>78969212.132375151</v>
      </c>
      <c r="D9" s="35">
        <v>0.10755366908970455</v>
      </c>
      <c r="E9" s="30">
        <f t="shared" si="0"/>
        <v>8493428.5099601597</v>
      </c>
      <c r="F9" s="2"/>
      <c r="G9" s="32">
        <v>67153035.132375151</v>
      </c>
      <c r="H9" s="13">
        <v>0.12803</v>
      </c>
      <c r="I9" s="30">
        <f t="shared" si="1"/>
        <v>8597603.0879979916</v>
      </c>
      <c r="J9" s="6"/>
      <c r="K9" s="29">
        <v>11816177</v>
      </c>
      <c r="L9" s="33"/>
      <c r="M9" s="32">
        <v>1501008.96431</v>
      </c>
      <c r="N9" s="6"/>
      <c r="O9" s="51">
        <f t="shared" ref="O9:O14" si="2">G9+K9</f>
        <v>78969212.132375151</v>
      </c>
      <c r="P9" s="51">
        <f t="shared" ref="P9:P15" si="3">I9+M9</f>
        <v>10098612.052307991</v>
      </c>
      <c r="R9" s="39"/>
    </row>
    <row r="10" spans="1:18" x14ac:dyDescent="0.3">
      <c r="A10" s="2" t="s">
        <v>3</v>
      </c>
      <c r="B10" s="14" t="s">
        <v>50</v>
      </c>
      <c r="C10" s="32">
        <v>284341761.09226388</v>
      </c>
      <c r="D10" s="35">
        <v>0.10755366908970455</v>
      </c>
      <c r="E10" s="30">
        <f t="shared" si="0"/>
        <v>30581999.680901177</v>
      </c>
      <c r="F10" s="2"/>
      <c r="G10" s="32">
        <v>21225050.873614758</v>
      </c>
      <c r="H10" s="13">
        <v>0.12803</v>
      </c>
      <c r="I10" s="30">
        <f t="shared" si="1"/>
        <v>2717443.2633488975</v>
      </c>
      <c r="J10" s="6"/>
      <c r="K10" s="29">
        <v>263116710.21864912</v>
      </c>
      <c r="L10" s="33"/>
      <c r="M10" s="32">
        <v>32203757.692850389</v>
      </c>
      <c r="N10" s="6"/>
      <c r="O10" s="51">
        <f t="shared" si="2"/>
        <v>284341761.09226388</v>
      </c>
      <c r="P10" s="51">
        <f t="shared" si="3"/>
        <v>34921200.956199288</v>
      </c>
      <c r="R10" s="39"/>
    </row>
    <row r="11" spans="1:18" x14ac:dyDescent="0.3">
      <c r="A11" s="2" t="s">
        <v>7</v>
      </c>
      <c r="B11" s="14" t="s">
        <v>11</v>
      </c>
      <c r="C11" s="32">
        <v>152451415.55258805</v>
      </c>
      <c r="D11" s="35">
        <v>0.10755366908970455</v>
      </c>
      <c r="E11" s="30">
        <f t="shared" si="0"/>
        <v>16396709.100600094</v>
      </c>
      <c r="F11" s="2"/>
      <c r="G11" s="32"/>
      <c r="H11" s="13"/>
      <c r="I11" s="30">
        <f t="shared" si="1"/>
        <v>0</v>
      </c>
      <c r="J11" s="6"/>
      <c r="K11" s="29">
        <v>152451415.55258805</v>
      </c>
      <c r="L11" s="33"/>
      <c r="M11" s="32">
        <v>11479435.250670493</v>
      </c>
      <c r="N11" s="6"/>
      <c r="O11" s="51">
        <f t="shared" si="2"/>
        <v>152451415.55258805</v>
      </c>
      <c r="P11" s="51">
        <f t="shared" si="3"/>
        <v>11479435.250670493</v>
      </c>
      <c r="R11" s="39"/>
    </row>
    <row r="12" spans="1:18" x14ac:dyDescent="0.3">
      <c r="A12" s="2" t="s">
        <v>4</v>
      </c>
      <c r="B12" s="14" t="s">
        <v>11</v>
      </c>
      <c r="C12" s="32">
        <v>1904476.3875408515</v>
      </c>
      <c r="D12" s="35">
        <v>0.10755366908970455</v>
      </c>
      <c r="E12" s="30">
        <f t="shared" si="0"/>
        <v>204833.42317472468</v>
      </c>
      <c r="F12" s="2"/>
      <c r="G12" s="32"/>
      <c r="H12" s="13"/>
      <c r="I12" s="30">
        <f t="shared" si="1"/>
        <v>0</v>
      </c>
      <c r="J12" s="6"/>
      <c r="K12" s="29">
        <v>1904476</v>
      </c>
      <c r="L12" s="33"/>
      <c r="M12" s="32">
        <v>241925.58628000002</v>
      </c>
      <c r="N12" s="6"/>
      <c r="O12" s="51">
        <f t="shared" si="2"/>
        <v>1904476</v>
      </c>
      <c r="P12" s="51">
        <f t="shared" si="3"/>
        <v>241925.58628000002</v>
      </c>
      <c r="R12" s="39"/>
    </row>
    <row r="13" spans="1:18" x14ac:dyDescent="0.3">
      <c r="A13" s="2" t="s">
        <v>5</v>
      </c>
      <c r="B13" s="14" t="s">
        <v>11</v>
      </c>
      <c r="C13" s="32"/>
      <c r="D13" s="35">
        <v>0.10755366908970455</v>
      </c>
      <c r="E13" s="30">
        <f t="shared" ref="E13:E14" si="4">C13*D13</f>
        <v>0</v>
      </c>
      <c r="F13" s="2"/>
      <c r="G13" s="32"/>
      <c r="H13" s="13"/>
      <c r="I13" s="30">
        <f t="shared" si="1"/>
        <v>0</v>
      </c>
      <c r="J13" s="6"/>
      <c r="K13" s="29"/>
      <c r="L13" s="33"/>
      <c r="M13" s="32">
        <v>0</v>
      </c>
      <c r="N13" s="6"/>
      <c r="O13" s="51">
        <f t="shared" si="2"/>
        <v>0</v>
      </c>
      <c r="P13" s="51">
        <f t="shared" si="3"/>
        <v>0</v>
      </c>
      <c r="R13" s="39"/>
    </row>
    <row r="14" spans="1:18" x14ac:dyDescent="0.3">
      <c r="A14" s="16" t="s">
        <v>6</v>
      </c>
      <c r="B14" s="17" t="s">
        <v>11</v>
      </c>
      <c r="C14" s="32">
        <v>1143743.0342980449</v>
      </c>
      <c r="D14" s="35">
        <v>0.10755366908970455</v>
      </c>
      <c r="E14" s="31">
        <f t="shared" si="4"/>
        <v>123013.75983454652</v>
      </c>
      <c r="F14" s="16"/>
      <c r="G14" s="32"/>
      <c r="H14" s="13"/>
      <c r="I14" s="31">
        <f t="shared" si="1"/>
        <v>0</v>
      </c>
      <c r="J14" s="6"/>
      <c r="K14" s="29">
        <f>C14</f>
        <v>1143743.0342980449</v>
      </c>
      <c r="L14" s="34"/>
      <c r="M14" s="32">
        <v>145289.67329000001</v>
      </c>
      <c r="N14" s="6"/>
      <c r="O14" s="51">
        <f t="shared" si="2"/>
        <v>1143743.0342980449</v>
      </c>
      <c r="P14" s="51">
        <f t="shared" si="3"/>
        <v>145289.67329000001</v>
      </c>
      <c r="Q14" s="6"/>
      <c r="R14" s="37"/>
    </row>
    <row r="15" spans="1:18" x14ac:dyDescent="0.3">
      <c r="A15" s="5" t="s">
        <v>25</v>
      </c>
      <c r="B15" s="14"/>
      <c r="C15" s="38">
        <f>SUM(C7:C14)</f>
        <v>710332827.54621828</v>
      </c>
      <c r="D15" s="14"/>
      <c r="E15" s="30">
        <f>SUM(E7:E14)</f>
        <v>76398901.877460137</v>
      </c>
      <c r="F15" s="2"/>
      <c r="G15" s="38">
        <f>SUM(G7:G14)</f>
        <v>276356477.35314226</v>
      </c>
      <c r="H15" s="14"/>
      <c r="I15" s="30">
        <f>SUM(I7:I14)</f>
        <v>35381919.795522809</v>
      </c>
      <c r="J15" s="2"/>
      <c r="K15" s="46">
        <f>SUM(K8:K14)</f>
        <v>433976349.80553526</v>
      </c>
      <c r="L15" s="14"/>
      <c r="M15" s="30">
        <f>SUM(M7:M14)</f>
        <v>46021589.638240881</v>
      </c>
      <c r="N15" s="22"/>
      <c r="O15" s="51">
        <f>SUM(O8:O14)</f>
        <v>710332827.15867746</v>
      </c>
      <c r="P15" s="51">
        <f t="shared" si="3"/>
        <v>81403509.433763683</v>
      </c>
      <c r="Q15" s="6"/>
      <c r="R15" s="37"/>
    </row>
    <row r="16" spans="1:18" ht="7.5" customHeight="1" x14ac:dyDescent="0.3">
      <c r="C16" s="19"/>
      <c r="G16" s="19"/>
      <c r="J16" s="6"/>
      <c r="K16" s="6"/>
      <c r="L16" s="68"/>
      <c r="M16" s="69"/>
      <c r="N16" s="6"/>
      <c r="O16" s="6"/>
      <c r="Q16" s="6"/>
    </row>
    <row r="17" spans="1:18" x14ac:dyDescent="0.3">
      <c r="A17" s="4" t="s">
        <v>10</v>
      </c>
      <c r="B17" s="55"/>
      <c r="C17" s="57" t="s">
        <v>21</v>
      </c>
      <c r="D17" s="55" t="s">
        <v>13</v>
      </c>
      <c r="E17" s="60" t="s">
        <v>14</v>
      </c>
      <c r="F17" s="21"/>
      <c r="G17" s="57" t="s">
        <v>21</v>
      </c>
      <c r="H17" s="55" t="s">
        <v>13</v>
      </c>
      <c r="I17" s="60" t="s">
        <v>14</v>
      </c>
      <c r="J17" s="10"/>
      <c r="K17" s="62" t="s">
        <v>21</v>
      </c>
      <c r="L17" s="55" t="s">
        <v>13</v>
      </c>
      <c r="M17" s="60" t="s">
        <v>14</v>
      </c>
      <c r="N17" s="45"/>
      <c r="O17" s="73" t="s">
        <v>42</v>
      </c>
      <c r="P17" s="74" t="s">
        <v>44</v>
      </c>
    </row>
    <row r="18" spans="1:18" x14ac:dyDescent="0.3">
      <c r="A18" s="5" t="s">
        <v>38</v>
      </c>
      <c r="B18" s="56"/>
      <c r="C18" s="58"/>
      <c r="D18" s="56"/>
      <c r="E18" s="61"/>
      <c r="F18" s="11"/>
      <c r="G18" s="58"/>
      <c r="H18" s="56"/>
      <c r="I18" s="61"/>
      <c r="J18" s="1"/>
      <c r="K18" s="63"/>
      <c r="L18" s="56"/>
      <c r="M18" s="61"/>
      <c r="N18" s="1"/>
      <c r="O18" s="73"/>
      <c r="P18" s="59"/>
    </row>
    <row r="19" spans="1:18" x14ac:dyDescent="0.3">
      <c r="A19" s="2" t="s">
        <v>1</v>
      </c>
      <c r="B19" s="8" t="s">
        <v>11</v>
      </c>
      <c r="C19" s="32">
        <v>191522219.34715238</v>
      </c>
      <c r="D19" s="13">
        <f>[1]C5.PassthruRates!$W$35</f>
        <v>7.1000000000000004E-3</v>
      </c>
      <c r="E19" s="30">
        <f>C19*D19</f>
        <v>1359807.757364782</v>
      </c>
      <c r="F19" s="22"/>
      <c r="G19" s="40">
        <f>'[2]2020 Commodity Expense Forecast'!$J$18</f>
        <v>187978391.34715238</v>
      </c>
      <c r="H19" s="41">
        <f>[3]C5.PassthruRates!$W$35</f>
        <v>7.2165483608048909E-3</v>
      </c>
      <c r="I19" s="30">
        <f>G19*H19</f>
        <v>1356555.1519430329</v>
      </c>
      <c r="K19" s="29">
        <f>'[2]2020 Commodity Expense Forecast'!$I$18</f>
        <v>3543828</v>
      </c>
      <c r="L19" s="43">
        <f>H19</f>
        <v>7.2165483608048909E-3</v>
      </c>
      <c r="M19" s="30">
        <f>K19*L19</f>
        <v>25574.206144374475</v>
      </c>
      <c r="O19" s="51">
        <f t="shared" ref="O19" si="5">G19+K19</f>
        <v>191522219.34715238</v>
      </c>
      <c r="P19" s="51">
        <f t="shared" ref="P19" si="6">I19+M19</f>
        <v>1382129.3580874074</v>
      </c>
    </row>
    <row r="20" spans="1:18" x14ac:dyDescent="0.3">
      <c r="A20" s="2" t="s">
        <v>2</v>
      </c>
      <c r="B20" s="8" t="s">
        <v>11</v>
      </c>
      <c r="C20" s="32">
        <v>78969212.132375151</v>
      </c>
      <c r="D20" s="13">
        <f>[1]C5.PassthruRates!$W$36</f>
        <v>6.3E-3</v>
      </c>
      <c r="E20" s="30">
        <f t="shared" ref="E20:E24" si="7">C20*D20</f>
        <v>497506.03643396345</v>
      </c>
      <c r="F20" s="22"/>
      <c r="G20" s="40">
        <f>'[2]2020 Commodity Expense Forecast'!$J$19</f>
        <v>67153035.132375151</v>
      </c>
      <c r="H20" s="41">
        <f>[3]C5.PassthruRates!$W$36</f>
        <v>6.3675426001718353E-3</v>
      </c>
      <c r="I20" s="30">
        <f t="shared" ref="I20:I25" si="8">G20*H20</f>
        <v>427599.81193623465</v>
      </c>
      <c r="K20" s="29">
        <f>'[2]2020 Commodity Expense Forecast'!$I$19</f>
        <v>11816177</v>
      </c>
      <c r="L20" s="43">
        <f t="shared" ref="L20:L25" si="9">H20</f>
        <v>6.3675426001718353E-3</v>
      </c>
      <c r="M20" s="30">
        <f t="shared" ref="M20:M25" si="10">K20*L20</f>
        <v>75240.01041867063</v>
      </c>
      <c r="O20" s="51">
        <f t="shared" ref="O20:O25" si="11">G20+K20</f>
        <v>78969212.132375151</v>
      </c>
      <c r="P20" s="51">
        <f t="shared" ref="P20:P26" si="12">I20+M20</f>
        <v>502839.82235490531</v>
      </c>
      <c r="R20" s="6"/>
    </row>
    <row r="21" spans="1:18" x14ac:dyDescent="0.3">
      <c r="A21" s="2" t="s">
        <v>3</v>
      </c>
      <c r="B21" s="49" t="s">
        <v>12</v>
      </c>
      <c r="C21" s="32">
        <v>759264.01580720255</v>
      </c>
      <c r="D21" s="13">
        <f>[1]C5.PassthruRates!$W$37</f>
        <v>2.7797000000000001</v>
      </c>
      <c r="E21" s="30">
        <f t="shared" si="7"/>
        <v>2110526.184739281</v>
      </c>
      <c r="F21" s="22"/>
      <c r="G21" s="40">
        <f>C21-K21</f>
        <v>68122.496657337411</v>
      </c>
      <c r="H21" s="41">
        <f>[3]C5.PassthruRates!$W$37</f>
        <v>2.8330258622943685</v>
      </c>
      <c r="I21" s="30">
        <f t="shared" si="8"/>
        <v>192992.79483429855</v>
      </c>
      <c r="K21" s="29">
        <f>K10/[3]C2.LoadForecast!$P$85*C21</f>
        <v>691141.51914986514</v>
      </c>
      <c r="L21" s="43">
        <f t="shared" si="9"/>
        <v>2.8330258622943685</v>
      </c>
      <c r="M21" s="30">
        <f t="shared" si="10"/>
        <v>1958021.7982569865</v>
      </c>
      <c r="O21" s="51">
        <f t="shared" si="11"/>
        <v>759264.01580720255</v>
      </c>
      <c r="P21" s="51">
        <f t="shared" si="12"/>
        <v>2151014.5930912849</v>
      </c>
      <c r="Q21" s="6"/>
    </row>
    <row r="22" spans="1:18" x14ac:dyDescent="0.3">
      <c r="A22" s="2" t="s">
        <v>7</v>
      </c>
      <c r="B22" s="49" t="s">
        <v>12</v>
      </c>
      <c r="C22" s="32">
        <v>282895.8202849814</v>
      </c>
      <c r="D22" s="13">
        <f>[1]C5.PassthruRates!$W$38</f>
        <v>3.3492000000000002</v>
      </c>
      <c r="E22" s="30">
        <f t="shared" si="7"/>
        <v>947474.68129845976</v>
      </c>
      <c r="F22" s="22"/>
      <c r="G22" s="40">
        <v>0</v>
      </c>
      <c r="H22" s="41">
        <f>[3]C5.PassthruRates!$W$38</f>
        <v>3.4134273949891396</v>
      </c>
      <c r="I22" s="30">
        <f t="shared" si="8"/>
        <v>0</v>
      </c>
      <c r="K22" s="29">
        <v>282895.8202849814</v>
      </c>
      <c r="L22" s="43">
        <f t="shared" si="9"/>
        <v>3.4134273949891396</v>
      </c>
      <c r="M22" s="30">
        <f t="shared" si="10"/>
        <v>965644.34288867982</v>
      </c>
      <c r="O22" s="51">
        <f t="shared" si="11"/>
        <v>282895.8202849814</v>
      </c>
      <c r="P22" s="51">
        <f t="shared" si="12"/>
        <v>965644.34288867982</v>
      </c>
    </row>
    <row r="23" spans="1:18" x14ac:dyDescent="0.3">
      <c r="A23" s="2" t="s">
        <v>4</v>
      </c>
      <c r="B23" s="49" t="s">
        <v>12</v>
      </c>
      <c r="C23" s="32">
        <v>4789.1099999999979</v>
      </c>
      <c r="D23" s="13">
        <f>[1]C5.PassthruRates!$W$40</f>
        <v>2.0078</v>
      </c>
      <c r="E23" s="30">
        <f t="shared" si="7"/>
        <v>9615.5750579999967</v>
      </c>
      <c r="F23" s="22"/>
      <c r="G23" s="40">
        <v>0</v>
      </c>
      <c r="H23" s="41">
        <f>[3]C5.PassthruRates!$W$40</f>
        <v>2.0463170769768961</v>
      </c>
      <c r="I23" s="30">
        <f t="shared" si="8"/>
        <v>0</v>
      </c>
      <c r="K23" s="29">
        <v>4789.1099999999979</v>
      </c>
      <c r="L23" s="43">
        <f t="shared" si="9"/>
        <v>2.0463170769768961</v>
      </c>
      <c r="M23" s="30">
        <f t="shared" si="10"/>
        <v>9800.0375765208191</v>
      </c>
      <c r="O23" s="51">
        <f t="shared" si="11"/>
        <v>4789.1099999999979</v>
      </c>
      <c r="P23" s="51">
        <f t="shared" si="12"/>
        <v>9800.0375765208191</v>
      </c>
      <c r="Q23" s="1"/>
    </row>
    <row r="24" spans="1:18" x14ac:dyDescent="0.3">
      <c r="A24" s="2" t="s">
        <v>5</v>
      </c>
      <c r="B24" s="8" t="s">
        <v>11</v>
      </c>
      <c r="C24" s="32">
        <v>0</v>
      </c>
      <c r="D24" s="43">
        <v>0</v>
      </c>
      <c r="E24" s="30">
        <f t="shared" si="7"/>
        <v>0</v>
      </c>
      <c r="F24" s="22"/>
      <c r="G24" s="40">
        <v>0</v>
      </c>
      <c r="H24" s="41"/>
      <c r="I24" s="30">
        <f t="shared" si="8"/>
        <v>0</v>
      </c>
      <c r="K24" s="40">
        <v>0</v>
      </c>
      <c r="L24" s="43">
        <v>0</v>
      </c>
      <c r="M24" s="30">
        <f t="shared" si="10"/>
        <v>0</v>
      </c>
      <c r="O24" s="51">
        <f t="shared" si="11"/>
        <v>0</v>
      </c>
      <c r="P24" s="51">
        <f t="shared" si="12"/>
        <v>0</v>
      </c>
    </row>
    <row r="25" spans="1:18" x14ac:dyDescent="0.3">
      <c r="A25" s="16" t="s">
        <v>6</v>
      </c>
      <c r="B25" s="8" t="s">
        <v>11</v>
      </c>
      <c r="C25" s="32">
        <v>1143743.0342980449</v>
      </c>
      <c r="D25" s="13">
        <f>[1]C5.PassthruRates!$W$39</f>
        <v>7.1000000000000004E-3</v>
      </c>
      <c r="E25" s="30">
        <f t="shared" ref="E25" si="13">C25*D25</f>
        <v>8120.5755435161191</v>
      </c>
      <c r="F25" s="15"/>
      <c r="G25" s="40">
        <v>0</v>
      </c>
      <c r="H25" s="42">
        <f>[3]C5.PassthruRates!$W$39</f>
        <v>7.2165473977780338E-3</v>
      </c>
      <c r="I25" s="31">
        <f t="shared" si="8"/>
        <v>0</v>
      </c>
      <c r="K25" s="29">
        <v>1143743.0342980449</v>
      </c>
      <c r="L25" s="43">
        <f t="shared" si="9"/>
        <v>7.2165473977780338E-3</v>
      </c>
      <c r="M25" s="30">
        <f t="shared" si="10"/>
        <v>8253.8758178903081</v>
      </c>
      <c r="O25" s="51">
        <f t="shared" si="11"/>
        <v>1143743.0342980449</v>
      </c>
      <c r="P25" s="51">
        <f t="shared" si="12"/>
        <v>8253.8758178903081</v>
      </c>
    </row>
    <row r="26" spans="1:18" x14ac:dyDescent="0.3">
      <c r="A26" s="5" t="s">
        <v>25</v>
      </c>
      <c r="B26" s="8"/>
      <c r="C26" s="38">
        <f>SUM(C19:C25)</f>
        <v>272682123.45991778</v>
      </c>
      <c r="D26" s="14"/>
      <c r="E26" s="38">
        <f>SUM(E19:E25)</f>
        <v>4933050.8104380025</v>
      </c>
      <c r="F26" s="23"/>
      <c r="G26" s="38">
        <f>SUM(G19:G25)</f>
        <v>255199548.97618487</v>
      </c>
      <c r="H26" s="14"/>
      <c r="I26" s="38">
        <f>SUM(I19:I25)</f>
        <v>1977147.758713566</v>
      </c>
      <c r="J26" s="14"/>
      <c r="K26" s="46">
        <f>SUM(K19:K25)</f>
        <v>17482574.48373289</v>
      </c>
      <c r="L26" s="14"/>
      <c r="M26" s="38">
        <f>SUM(M19:M25)</f>
        <v>3042534.2711031223</v>
      </c>
      <c r="N26" s="14"/>
      <c r="O26" s="51">
        <f>IF(SUM(O18:O25)=G26+K26,SUM(O18:O25),"check")</f>
        <v>272682123.45991778</v>
      </c>
      <c r="P26" s="51">
        <f t="shared" si="12"/>
        <v>5019682.029816688</v>
      </c>
    </row>
    <row r="27" spans="1:18" ht="8.35" customHeight="1" x14ac:dyDescent="0.3"/>
    <row r="28" spans="1:18" x14ac:dyDescent="0.3">
      <c r="A28" s="4" t="s">
        <v>15</v>
      </c>
      <c r="B28" s="55"/>
      <c r="C28" s="57" t="s">
        <v>22</v>
      </c>
      <c r="D28" s="59" t="s">
        <v>13</v>
      </c>
      <c r="E28" s="60" t="s">
        <v>14</v>
      </c>
      <c r="F28" s="21"/>
      <c r="G28" s="57" t="s">
        <v>22</v>
      </c>
      <c r="H28" s="59" t="s">
        <v>13</v>
      </c>
      <c r="I28" s="60" t="s">
        <v>14</v>
      </c>
      <c r="J28" s="10"/>
      <c r="K28" s="62" t="s">
        <v>21</v>
      </c>
      <c r="L28" s="59" t="s">
        <v>13</v>
      </c>
      <c r="M28" s="60" t="s">
        <v>14</v>
      </c>
      <c r="N28" s="45"/>
      <c r="O28" s="73" t="s">
        <v>42</v>
      </c>
      <c r="P28" s="74" t="s">
        <v>44</v>
      </c>
    </row>
    <row r="29" spans="1:18" x14ac:dyDescent="0.3">
      <c r="A29" s="5" t="s">
        <v>38</v>
      </c>
      <c r="B29" s="56"/>
      <c r="C29" s="58"/>
      <c r="D29" s="59"/>
      <c r="E29" s="61"/>
      <c r="F29" s="11"/>
      <c r="G29" s="58"/>
      <c r="H29" s="59"/>
      <c r="I29" s="61"/>
      <c r="J29" s="1"/>
      <c r="K29" s="63"/>
      <c r="L29" s="59"/>
      <c r="M29" s="61"/>
      <c r="N29" s="1"/>
      <c r="O29" s="73"/>
      <c r="P29" s="59"/>
    </row>
    <row r="30" spans="1:18" x14ac:dyDescent="0.3">
      <c r="A30" s="2" t="s">
        <v>1</v>
      </c>
      <c r="B30" s="8" t="s">
        <v>11</v>
      </c>
      <c r="C30" s="32">
        <f t="shared" ref="C30:C36" si="14">C19</f>
        <v>191522219.34715238</v>
      </c>
      <c r="D30" s="50">
        <f>[1]C5.PassthruRates!$W$58</f>
        <v>5.5999999999999999E-3</v>
      </c>
      <c r="E30" s="30">
        <f>C30*D30</f>
        <v>1072524.4283440532</v>
      </c>
      <c r="F30" s="22"/>
      <c r="G30" s="32">
        <f t="shared" ref="G30:G36" si="15">G19</f>
        <v>187978391.34715238</v>
      </c>
      <c r="H30" s="41">
        <f>[3]C5.PassthruRates!$W$58</f>
        <v>6.4213823035103494E-3</v>
      </c>
      <c r="I30" s="30">
        <f>G30*H30</f>
        <v>1207081.1156389473</v>
      </c>
      <c r="K30" s="29">
        <f t="shared" ref="K30:K36" si="16">K19</f>
        <v>3543828</v>
      </c>
      <c r="L30" s="41">
        <f>H30</f>
        <v>6.4213823035103494E-3</v>
      </c>
      <c r="M30" s="30">
        <f>K30*L30</f>
        <v>22756.274405884476</v>
      </c>
      <c r="O30" s="51">
        <f t="shared" ref="O30" si="17">G30+K30</f>
        <v>191522219.34715238</v>
      </c>
      <c r="P30" s="51">
        <f t="shared" ref="P30" si="18">I30+M30</f>
        <v>1229837.3900448319</v>
      </c>
      <c r="Q30" s="47"/>
    </row>
    <row r="31" spans="1:18" x14ac:dyDescent="0.3">
      <c r="A31" s="2" t="s">
        <v>2</v>
      </c>
      <c r="B31" s="8" t="s">
        <v>11</v>
      </c>
      <c r="C31" s="32">
        <f t="shared" si="14"/>
        <v>78969212.132375151</v>
      </c>
      <c r="D31" s="50">
        <f>[1]C5.PassthruRates!$W$59</f>
        <v>5.1000000000000004E-3</v>
      </c>
      <c r="E31" s="30">
        <f t="shared" ref="E31:E36" si="19">C31*D31</f>
        <v>402742.98187511327</v>
      </c>
      <c r="F31" s="22"/>
      <c r="G31" s="32">
        <f t="shared" si="15"/>
        <v>67153035.132375151</v>
      </c>
      <c r="H31" s="41">
        <f>[3]C5.PassthruRates!$W$59</f>
        <v>5.7897709602105817E-3</v>
      </c>
      <c r="I31" s="30">
        <f t="shared" ref="I31:I36" si="20">G31*H31</f>
        <v>388800.69269942661</v>
      </c>
      <c r="K31" s="29">
        <f t="shared" si="16"/>
        <v>11816177</v>
      </c>
      <c r="L31" s="41">
        <f t="shared" ref="L31:L36" si="21">H31</f>
        <v>5.7897709602105817E-3</v>
      </c>
      <c r="M31" s="30">
        <f t="shared" ref="M31:M36" si="22">K31*L31</f>
        <v>68412.958455308195</v>
      </c>
      <c r="O31" s="51">
        <f t="shared" ref="O31:O36" si="23">G31+K31</f>
        <v>78969212.132375151</v>
      </c>
      <c r="P31" s="51">
        <f t="shared" ref="P31:P37" si="24">I31+M31</f>
        <v>457213.65115473478</v>
      </c>
      <c r="Q31" s="47"/>
    </row>
    <row r="32" spans="1:18" x14ac:dyDescent="0.3">
      <c r="A32" s="2" t="s">
        <v>3</v>
      </c>
      <c r="B32" s="8" t="s">
        <v>12</v>
      </c>
      <c r="C32" s="32">
        <f t="shared" si="14"/>
        <v>759264.01580720255</v>
      </c>
      <c r="D32" s="50">
        <f>[1]C5.PassthruRates!$W$60</f>
        <v>2.2225250000000001</v>
      </c>
      <c r="E32" s="30">
        <f t="shared" si="19"/>
        <v>1687483.2567319029</v>
      </c>
      <c r="F32" s="22"/>
      <c r="G32" s="32">
        <f t="shared" si="15"/>
        <v>68122.496657337411</v>
      </c>
      <c r="H32" s="41">
        <f>[3]C5.PassthruRates!$W$60</f>
        <v>2.538656667266928</v>
      </c>
      <c r="I32" s="30">
        <f t="shared" si="20"/>
        <v>172939.63033001864</v>
      </c>
      <c r="K32" s="29">
        <f t="shared" si="16"/>
        <v>691141.51914986514</v>
      </c>
      <c r="L32" s="41">
        <f t="shared" si="21"/>
        <v>2.538656667266928</v>
      </c>
      <c r="M32" s="30">
        <f t="shared" si="22"/>
        <v>1754571.0256147983</v>
      </c>
      <c r="O32" s="51">
        <f t="shared" si="23"/>
        <v>759264.01580720255</v>
      </c>
      <c r="P32" s="51">
        <f t="shared" si="24"/>
        <v>1927510.655944817</v>
      </c>
      <c r="Q32" s="47"/>
    </row>
    <row r="33" spans="1:17" x14ac:dyDescent="0.3">
      <c r="A33" s="2" t="s">
        <v>7</v>
      </c>
      <c r="B33" s="8" t="s">
        <v>12</v>
      </c>
      <c r="C33" s="32">
        <f t="shared" si="14"/>
        <v>282895.8202849814</v>
      </c>
      <c r="D33" s="50">
        <f>[1]C5.PassthruRates!$W$61</f>
        <v>2.6779999999999999</v>
      </c>
      <c r="E33" s="30">
        <f t="shared" si="19"/>
        <v>757595.00672318018</v>
      </c>
      <c r="F33" s="22"/>
      <c r="G33" s="40">
        <f t="shared" si="15"/>
        <v>0</v>
      </c>
      <c r="H33" s="41">
        <f>[3]C5.PassthruRates!$W$61</f>
        <v>3.0587886442538057</v>
      </c>
      <c r="I33" s="30">
        <f t="shared" si="20"/>
        <v>0</v>
      </c>
      <c r="K33" s="29">
        <f t="shared" si="16"/>
        <v>282895.8202849814</v>
      </c>
      <c r="L33" s="41">
        <f t="shared" si="21"/>
        <v>3.0587886442538057</v>
      </c>
      <c r="M33" s="30">
        <f t="shared" si="22"/>
        <v>865318.52259456646</v>
      </c>
      <c r="O33" s="51">
        <f t="shared" si="23"/>
        <v>282895.8202849814</v>
      </c>
      <c r="P33" s="51">
        <f t="shared" si="24"/>
        <v>865318.52259456646</v>
      </c>
      <c r="Q33" s="47"/>
    </row>
    <row r="34" spans="1:17" x14ac:dyDescent="0.3">
      <c r="A34" s="2" t="s">
        <v>4</v>
      </c>
      <c r="B34" s="8" t="s">
        <v>12</v>
      </c>
      <c r="C34" s="32">
        <f t="shared" si="14"/>
        <v>4789.1099999999979</v>
      </c>
      <c r="D34" s="50">
        <f>[1]C5.PassthruRates!$W$63</f>
        <v>1.6052999999999999</v>
      </c>
      <c r="E34" s="30">
        <f t="shared" si="19"/>
        <v>7687.9582829999963</v>
      </c>
      <c r="F34" s="22"/>
      <c r="G34" s="40">
        <f t="shared" si="15"/>
        <v>0</v>
      </c>
      <c r="H34" s="41">
        <f>[3]C5.PassthruRates!$W$63</f>
        <v>1.8335661935309535</v>
      </c>
      <c r="I34" s="30">
        <f t="shared" si="20"/>
        <v>0</v>
      </c>
      <c r="K34" s="29">
        <f t="shared" si="16"/>
        <v>4789.1099999999979</v>
      </c>
      <c r="L34" s="41">
        <f t="shared" si="21"/>
        <v>1.8335661935309535</v>
      </c>
      <c r="M34" s="30">
        <f t="shared" si="22"/>
        <v>8781.1501931010207</v>
      </c>
      <c r="O34" s="51">
        <f t="shared" si="23"/>
        <v>4789.1099999999979</v>
      </c>
      <c r="P34" s="51">
        <f t="shared" si="24"/>
        <v>8781.1501931010207</v>
      </c>
      <c r="Q34" s="47"/>
    </row>
    <row r="35" spans="1:17" x14ac:dyDescent="0.3">
      <c r="A35" s="2" t="s">
        <v>5</v>
      </c>
      <c r="B35" s="8" t="s">
        <v>11</v>
      </c>
      <c r="C35" s="32">
        <f t="shared" si="14"/>
        <v>0</v>
      </c>
      <c r="D35" s="50"/>
      <c r="E35" s="30">
        <f t="shared" si="19"/>
        <v>0</v>
      </c>
      <c r="F35" s="22"/>
      <c r="G35" s="40">
        <f t="shared" si="15"/>
        <v>0</v>
      </c>
      <c r="H35" s="41"/>
      <c r="I35" s="30">
        <f t="shared" si="20"/>
        <v>0</v>
      </c>
      <c r="K35" s="40">
        <f t="shared" si="16"/>
        <v>0</v>
      </c>
      <c r="L35" s="41">
        <f t="shared" si="21"/>
        <v>0</v>
      </c>
      <c r="M35" s="30">
        <f t="shared" si="22"/>
        <v>0</v>
      </c>
      <c r="O35" s="51">
        <f t="shared" si="23"/>
        <v>0</v>
      </c>
      <c r="P35" s="51">
        <f t="shared" si="24"/>
        <v>0</v>
      </c>
      <c r="Q35" s="47"/>
    </row>
    <row r="36" spans="1:17" x14ac:dyDescent="0.3">
      <c r="A36" s="2" t="s">
        <v>6</v>
      </c>
      <c r="B36" s="8" t="s">
        <v>11</v>
      </c>
      <c r="C36" s="32">
        <f t="shared" si="14"/>
        <v>1143743.0342980449</v>
      </c>
      <c r="D36" s="50">
        <f>[1]C5.PassthruRates!$W$62</f>
        <v>5.5999999999999999E-3</v>
      </c>
      <c r="E36" s="30">
        <f t="shared" si="19"/>
        <v>6404.9609920690509</v>
      </c>
      <c r="F36" s="22"/>
      <c r="G36" s="40">
        <f t="shared" si="15"/>
        <v>0</v>
      </c>
      <c r="H36" s="43">
        <f>[3]C5.PassthruRates!$W$62</f>
        <v>6.4213802376691612E-3</v>
      </c>
      <c r="I36" s="30">
        <f t="shared" si="20"/>
        <v>0</v>
      </c>
      <c r="K36" s="29">
        <f t="shared" si="16"/>
        <v>1143743.0342980449</v>
      </c>
      <c r="L36" s="41">
        <f t="shared" si="21"/>
        <v>6.4213802376691612E-3</v>
      </c>
      <c r="M36" s="30">
        <f t="shared" si="22"/>
        <v>7344.4089174132268</v>
      </c>
      <c r="O36" s="51">
        <f t="shared" si="23"/>
        <v>1143743.0342980449</v>
      </c>
      <c r="P36" s="51">
        <f t="shared" si="24"/>
        <v>7344.4089174132268</v>
      </c>
    </row>
    <row r="37" spans="1:17" x14ac:dyDescent="0.3">
      <c r="A37" s="5" t="s">
        <v>25</v>
      </c>
      <c r="B37" s="8"/>
      <c r="C37" s="38">
        <f>SUM(C30:C36)</f>
        <v>272682123.45991778</v>
      </c>
      <c r="D37" s="14"/>
      <c r="E37" s="38">
        <f>SUM(E30:E36)</f>
        <v>3934438.5929493192</v>
      </c>
      <c r="F37" s="23"/>
      <c r="G37" s="38">
        <f>SUM(G30:G36)</f>
        <v>255199548.97618487</v>
      </c>
      <c r="H37" s="14"/>
      <c r="I37" s="38">
        <f>SUM(I30:I36)</f>
        <v>1768821.4386683926</v>
      </c>
      <c r="J37" s="14"/>
      <c r="K37" s="46">
        <f>SUM(K30:K36)</f>
        <v>17482574.48373289</v>
      </c>
      <c r="L37" s="14"/>
      <c r="M37" s="38">
        <f>SUM(M30:M36)</f>
        <v>2727184.3401810713</v>
      </c>
      <c r="N37" s="14"/>
      <c r="O37" s="51">
        <f>IF(SUM(O29:O36)=G37+K37,SUM(O29:O36),"check")</f>
        <v>272682123.45991778</v>
      </c>
      <c r="P37" s="51">
        <f t="shared" si="24"/>
        <v>4496005.7788494639</v>
      </c>
    </row>
    <row r="38" spans="1:17" ht="5.35" customHeight="1" x14ac:dyDescent="0.3"/>
    <row r="39" spans="1:17" x14ac:dyDescent="0.3">
      <c r="A39" s="4" t="s">
        <v>16</v>
      </c>
      <c r="B39" s="55"/>
      <c r="C39" s="57" t="s">
        <v>22</v>
      </c>
      <c r="D39" s="59" t="s">
        <v>13</v>
      </c>
      <c r="E39" s="60" t="s">
        <v>14</v>
      </c>
      <c r="F39" s="21"/>
      <c r="G39" s="57" t="s">
        <v>22</v>
      </c>
      <c r="H39" s="59" t="s">
        <v>13</v>
      </c>
      <c r="I39" s="60" t="s">
        <v>14</v>
      </c>
      <c r="J39" s="10"/>
      <c r="K39" s="62" t="s">
        <v>21</v>
      </c>
      <c r="L39" s="59" t="s">
        <v>13</v>
      </c>
      <c r="M39" s="59" t="s">
        <v>14</v>
      </c>
      <c r="N39" s="45"/>
      <c r="O39" s="73" t="s">
        <v>42</v>
      </c>
      <c r="P39" s="74" t="s">
        <v>44</v>
      </c>
    </row>
    <row r="40" spans="1:17" x14ac:dyDescent="0.3">
      <c r="A40" s="5" t="s">
        <v>38</v>
      </c>
      <c r="B40" s="56"/>
      <c r="C40" s="58"/>
      <c r="D40" s="59"/>
      <c r="E40" s="61"/>
      <c r="F40" s="11"/>
      <c r="G40" s="58"/>
      <c r="H40" s="59"/>
      <c r="I40" s="61"/>
      <c r="J40" s="1"/>
      <c r="K40" s="63"/>
      <c r="L40" s="59"/>
      <c r="M40" s="59"/>
      <c r="N40" s="1"/>
      <c r="O40" s="73"/>
      <c r="P40" s="59"/>
    </row>
    <row r="41" spans="1:17" x14ac:dyDescent="0.3">
      <c r="A41" s="2" t="s">
        <v>1</v>
      </c>
      <c r="B41" s="8" t="s">
        <v>11</v>
      </c>
      <c r="C41" s="32">
        <f>C8</f>
        <v>191522219.34715238</v>
      </c>
      <c r="D41" s="13">
        <v>4.4000000000000003E-3</v>
      </c>
      <c r="E41" s="30">
        <f>C41*D41</f>
        <v>842697.76512747048</v>
      </c>
      <c r="F41" s="22"/>
      <c r="G41" s="32">
        <f>G8</f>
        <v>187978391.34715238</v>
      </c>
      <c r="H41" s="13">
        <v>3.3999999999999998E-3</v>
      </c>
      <c r="I41" s="30">
        <f>G41*H41</f>
        <v>639126.53058031807</v>
      </c>
      <c r="K41" s="29">
        <f>K8</f>
        <v>3543828</v>
      </c>
      <c r="L41" s="13">
        <v>3.3999999999999998E-3</v>
      </c>
      <c r="M41" s="30">
        <f>K41*L41</f>
        <v>12049.0152</v>
      </c>
      <c r="O41" s="51">
        <f t="shared" ref="O41" si="25">G41+K41</f>
        <v>191522219.34715238</v>
      </c>
      <c r="P41" s="51">
        <f t="shared" ref="P41" si="26">I41+M41</f>
        <v>651175.54578031809</v>
      </c>
    </row>
    <row r="42" spans="1:17" x14ac:dyDescent="0.3">
      <c r="A42" s="2" t="s">
        <v>2</v>
      </c>
      <c r="B42" s="8" t="s">
        <v>11</v>
      </c>
      <c r="C42" s="32">
        <f>C9</f>
        <v>78969212.132375151</v>
      </c>
      <c r="D42" s="13">
        <v>4.4000000000000003E-3</v>
      </c>
      <c r="E42" s="30">
        <f t="shared" ref="E42:E47" si="27">C42*D42</f>
        <v>347464.5333824507</v>
      </c>
      <c r="F42" s="22"/>
      <c r="G42" s="32">
        <f>G9</f>
        <v>67153035.132375151</v>
      </c>
      <c r="H42" s="13">
        <v>3.3999999999999998E-3</v>
      </c>
      <c r="I42" s="30">
        <f t="shared" ref="I42:I47" si="28">G42*H42</f>
        <v>228320.31945007551</v>
      </c>
      <c r="K42" s="29">
        <f>K9</f>
        <v>11816177</v>
      </c>
      <c r="L42" s="13">
        <v>3.3999999999999998E-3</v>
      </c>
      <c r="M42" s="30">
        <f t="shared" ref="M42:M47" si="29">K42*L42</f>
        <v>40175.001799999998</v>
      </c>
      <c r="O42" s="51">
        <f t="shared" ref="O42:O47" si="30">G42+K42</f>
        <v>78969212.132375151</v>
      </c>
      <c r="P42" s="51">
        <f t="shared" ref="P42:P48" si="31">I42+M42</f>
        <v>268495.32125007547</v>
      </c>
    </row>
    <row r="43" spans="1:17" x14ac:dyDescent="0.3">
      <c r="A43" s="2" t="s">
        <v>3</v>
      </c>
      <c r="B43" s="8" t="s">
        <v>11</v>
      </c>
      <c r="C43" s="32">
        <f>C10</f>
        <v>284341761.09226388</v>
      </c>
      <c r="D43" s="13">
        <v>4.4000000000000003E-3</v>
      </c>
      <c r="E43" s="30">
        <f t="shared" si="27"/>
        <v>1251103.7488059611</v>
      </c>
      <c r="F43" s="22"/>
      <c r="G43" s="32">
        <f>G10</f>
        <v>21225050.873614758</v>
      </c>
      <c r="H43" s="13">
        <v>3.3999999999999998E-3</v>
      </c>
      <c r="I43" s="30">
        <f t="shared" si="28"/>
        <v>72165.172970290179</v>
      </c>
      <c r="K43" s="29">
        <f>K10</f>
        <v>263116710.21864912</v>
      </c>
      <c r="L43" s="13">
        <v>3.3999999999999998E-3</v>
      </c>
      <c r="M43" s="30">
        <f t="shared" si="29"/>
        <v>894596.81474340695</v>
      </c>
      <c r="O43" s="51">
        <f t="shared" si="30"/>
        <v>284341761.09226388</v>
      </c>
      <c r="P43" s="51">
        <f t="shared" si="31"/>
        <v>966761.98771369713</v>
      </c>
    </row>
    <row r="44" spans="1:17" x14ac:dyDescent="0.3">
      <c r="A44" s="2" t="s">
        <v>7</v>
      </c>
      <c r="B44" s="8" t="s">
        <v>11</v>
      </c>
      <c r="C44" s="32">
        <f>C11</f>
        <v>152451415.55258805</v>
      </c>
      <c r="D44" s="13">
        <v>4.4000000000000003E-3</v>
      </c>
      <c r="E44" s="30">
        <f t="shared" si="27"/>
        <v>670786.22843138746</v>
      </c>
      <c r="F44" s="22"/>
      <c r="G44" s="32">
        <v>0</v>
      </c>
      <c r="H44" s="13">
        <v>3.3999999999999998E-3</v>
      </c>
      <c r="I44" s="30">
        <f t="shared" si="28"/>
        <v>0</v>
      </c>
      <c r="K44" s="29">
        <f>K11</f>
        <v>152451415.55258805</v>
      </c>
      <c r="L44" s="13">
        <v>3.3999999999999998E-3</v>
      </c>
      <c r="M44" s="30">
        <f t="shared" si="29"/>
        <v>518334.81287879933</v>
      </c>
      <c r="O44" s="51">
        <f t="shared" si="30"/>
        <v>152451415.55258805</v>
      </c>
      <c r="P44" s="51">
        <f t="shared" si="31"/>
        <v>518334.81287879933</v>
      </c>
    </row>
    <row r="45" spans="1:17" x14ac:dyDescent="0.3">
      <c r="A45" s="2" t="s">
        <v>4</v>
      </c>
      <c r="B45" s="8" t="s">
        <v>11</v>
      </c>
      <c r="C45" s="32">
        <f>C12</f>
        <v>1904476.3875408515</v>
      </c>
      <c r="D45" s="13">
        <v>4.4000000000000003E-3</v>
      </c>
      <c r="E45" s="30">
        <f t="shared" si="27"/>
        <v>8379.6961051797462</v>
      </c>
      <c r="F45" s="22"/>
      <c r="G45" s="32">
        <v>0</v>
      </c>
      <c r="H45" s="13">
        <v>3.3999999999999998E-3</v>
      </c>
      <c r="I45" s="30">
        <f t="shared" si="28"/>
        <v>0</v>
      </c>
      <c r="K45" s="29">
        <f>K12</f>
        <v>1904476</v>
      </c>
      <c r="L45" s="13">
        <v>3.3999999999999998E-3</v>
      </c>
      <c r="M45" s="30">
        <f t="shared" si="29"/>
        <v>6475.2183999999997</v>
      </c>
      <c r="O45" s="51">
        <f t="shared" si="30"/>
        <v>1904476</v>
      </c>
      <c r="P45" s="51">
        <f t="shared" si="31"/>
        <v>6475.2183999999997</v>
      </c>
    </row>
    <row r="46" spans="1:17" x14ac:dyDescent="0.3">
      <c r="A46" s="2" t="s">
        <v>5</v>
      </c>
      <c r="B46" s="8" t="s">
        <v>11</v>
      </c>
      <c r="C46" s="32">
        <v>0</v>
      </c>
      <c r="D46" s="13"/>
      <c r="E46" s="30">
        <f t="shared" si="27"/>
        <v>0</v>
      </c>
      <c r="F46" s="22"/>
      <c r="G46" s="32">
        <v>0</v>
      </c>
      <c r="H46" s="13"/>
      <c r="I46" s="30">
        <f t="shared" si="28"/>
        <v>0</v>
      </c>
      <c r="K46" s="29"/>
      <c r="L46" s="13"/>
      <c r="M46" s="30">
        <f t="shared" si="29"/>
        <v>0</v>
      </c>
      <c r="O46" s="51">
        <f t="shared" si="30"/>
        <v>0</v>
      </c>
      <c r="P46" s="51">
        <f t="shared" si="31"/>
        <v>0</v>
      </c>
    </row>
    <row r="47" spans="1:17" x14ac:dyDescent="0.3">
      <c r="A47" s="2" t="s">
        <v>6</v>
      </c>
      <c r="B47" s="8" t="s">
        <v>11</v>
      </c>
      <c r="C47" s="32">
        <f>C14</f>
        <v>1143743.0342980449</v>
      </c>
      <c r="D47" s="13">
        <v>4.4000000000000003E-3</v>
      </c>
      <c r="E47" s="30">
        <f t="shared" si="27"/>
        <v>5032.4693509113977</v>
      </c>
      <c r="F47" s="22"/>
      <c r="G47" s="32"/>
      <c r="H47" s="13">
        <v>3.3999999999999998E-3</v>
      </c>
      <c r="I47" s="30">
        <f t="shared" si="28"/>
        <v>0</v>
      </c>
      <c r="K47" s="29">
        <f>K14</f>
        <v>1143743.0342980449</v>
      </c>
      <c r="L47" s="13">
        <v>3.3999999999999998E-3</v>
      </c>
      <c r="M47" s="30">
        <f t="shared" si="29"/>
        <v>3888.7263166133525</v>
      </c>
      <c r="O47" s="51">
        <f t="shared" si="30"/>
        <v>1143743.0342980449</v>
      </c>
      <c r="P47" s="51">
        <f t="shared" si="31"/>
        <v>3888.7263166133525</v>
      </c>
    </row>
    <row r="48" spans="1:17" x14ac:dyDescent="0.3">
      <c r="A48" s="5" t="s">
        <v>25</v>
      </c>
      <c r="B48" s="8"/>
      <c r="C48" s="38">
        <f>SUM(C41:C47)</f>
        <v>710332827.54621828</v>
      </c>
      <c r="D48" s="14"/>
      <c r="E48" s="38">
        <f>SUM(E41:E47)</f>
        <v>3125464.4412033609</v>
      </c>
      <c r="F48" s="23"/>
      <c r="G48" s="38">
        <f>SUM(G41:G47)</f>
        <v>276356477.35314226</v>
      </c>
      <c r="H48" s="14"/>
      <c r="I48" s="38">
        <f>SUM(I41:I47)</f>
        <v>939612.02300068375</v>
      </c>
      <c r="J48" s="14"/>
      <c r="K48" s="46">
        <f>SUM(K41:K47)</f>
        <v>433976349.80553526</v>
      </c>
      <c r="L48" s="14"/>
      <c r="M48" s="38">
        <f>SUM(M41:M47)</f>
        <v>1475519.5893388195</v>
      </c>
      <c r="N48" s="14"/>
      <c r="O48" s="51">
        <f>SUM(O40:O47)</f>
        <v>710332827.15867746</v>
      </c>
      <c r="P48" s="51">
        <f t="shared" si="31"/>
        <v>2415131.6123395031</v>
      </c>
    </row>
    <row r="49" spans="1:16" ht="6.85" customHeight="1" x14ac:dyDescent="0.3"/>
    <row r="50" spans="1:16" x14ac:dyDescent="0.3">
      <c r="A50" s="4" t="s">
        <v>17</v>
      </c>
      <c r="B50" s="55"/>
      <c r="C50" s="57" t="s">
        <v>22</v>
      </c>
      <c r="D50" s="55" t="s">
        <v>13</v>
      </c>
      <c r="E50" s="59" t="s">
        <v>14</v>
      </c>
      <c r="F50" s="21"/>
      <c r="G50" s="57" t="s">
        <v>22</v>
      </c>
      <c r="H50" s="55" t="s">
        <v>13</v>
      </c>
      <c r="I50" s="59" t="s">
        <v>14</v>
      </c>
      <c r="J50" s="10"/>
      <c r="K50" s="62" t="s">
        <v>21</v>
      </c>
      <c r="L50" s="55" t="s">
        <v>13</v>
      </c>
      <c r="M50" s="59" t="s">
        <v>14</v>
      </c>
      <c r="N50" s="45"/>
      <c r="O50" s="73" t="s">
        <v>42</v>
      </c>
      <c r="P50" s="74" t="s">
        <v>44</v>
      </c>
    </row>
    <row r="51" spans="1:16" x14ac:dyDescent="0.3">
      <c r="A51" s="5" t="s">
        <v>38</v>
      </c>
      <c r="B51" s="56"/>
      <c r="C51" s="58"/>
      <c r="D51" s="56"/>
      <c r="E51" s="59"/>
      <c r="F51" s="11"/>
      <c r="G51" s="58"/>
      <c r="H51" s="56"/>
      <c r="I51" s="59"/>
      <c r="J51" s="1"/>
      <c r="K51" s="63"/>
      <c r="L51" s="56"/>
      <c r="M51" s="59"/>
      <c r="N51" s="1"/>
      <c r="O51" s="73"/>
      <c r="P51" s="59"/>
    </row>
    <row r="52" spans="1:16" x14ac:dyDescent="0.3">
      <c r="A52" s="2" t="s">
        <v>1</v>
      </c>
      <c r="B52" s="8" t="s">
        <v>11</v>
      </c>
      <c r="C52" s="32">
        <f>C8</f>
        <v>191522219.34715238</v>
      </c>
      <c r="D52" s="13">
        <v>1.2999999999999999E-3</v>
      </c>
      <c r="E52" s="30">
        <f>C52*D52</f>
        <v>248978.88515129808</v>
      </c>
      <c r="F52" s="22"/>
      <c r="G52" s="32">
        <f>G8</f>
        <v>187978391.34715238</v>
      </c>
      <c r="H52" s="13">
        <v>5.0000000000000001E-4</v>
      </c>
      <c r="I52" s="30">
        <f>G52*H52</f>
        <v>93989.195673576192</v>
      </c>
      <c r="K52" s="29">
        <f t="shared" ref="K52:K58" si="32">K8</f>
        <v>3543828</v>
      </c>
      <c r="L52" s="13">
        <v>5.0000000000000001E-4</v>
      </c>
      <c r="M52" s="30">
        <f>K52*L52</f>
        <v>1771.914</v>
      </c>
      <c r="O52" s="51">
        <f t="shared" ref="O52" si="33">G52+K52</f>
        <v>191522219.34715238</v>
      </c>
      <c r="P52" s="51">
        <f t="shared" ref="P52" si="34">I52+M52</f>
        <v>95761.109673576197</v>
      </c>
    </row>
    <row r="53" spans="1:16" x14ac:dyDescent="0.3">
      <c r="A53" s="2" t="s">
        <v>2</v>
      </c>
      <c r="B53" s="8" t="s">
        <v>11</v>
      </c>
      <c r="C53" s="32">
        <f>C9</f>
        <v>78969212.132375151</v>
      </c>
      <c r="D53" s="13">
        <f>D52</f>
        <v>1.2999999999999999E-3</v>
      </c>
      <c r="E53" s="30">
        <f t="shared" ref="E53:E58" si="35">C53*D53</f>
        <v>102659.9757720877</v>
      </c>
      <c r="F53" s="22"/>
      <c r="G53" s="32">
        <f t="shared" ref="G53:G56" si="36">G9</f>
        <v>67153035.132375151</v>
      </c>
      <c r="H53" s="13">
        <v>5.0000000000000001E-4</v>
      </c>
      <c r="I53" s="30">
        <f t="shared" ref="I53:I58" si="37">G53*H53</f>
        <v>33576.517566187576</v>
      </c>
      <c r="K53" s="29">
        <f t="shared" si="32"/>
        <v>11816177</v>
      </c>
      <c r="L53" s="13">
        <v>5.0000000000000001E-4</v>
      </c>
      <c r="M53" s="30">
        <f t="shared" ref="M53:M58" si="38">K53*L53</f>
        <v>5908.0884999999998</v>
      </c>
      <c r="O53" s="51">
        <f t="shared" ref="O53:O58" si="39">G53+K53</f>
        <v>78969212.132375151</v>
      </c>
      <c r="P53" s="51">
        <f t="shared" ref="P53:P59" si="40">I53+M53</f>
        <v>39484.606066187574</v>
      </c>
    </row>
    <row r="54" spans="1:16" x14ac:dyDescent="0.3">
      <c r="A54" s="2" t="s">
        <v>3</v>
      </c>
      <c r="B54" s="8" t="s">
        <v>11</v>
      </c>
      <c r="C54" s="32">
        <f>C10</f>
        <v>284341761.09226388</v>
      </c>
      <c r="D54" s="13">
        <f>D53</f>
        <v>1.2999999999999999E-3</v>
      </c>
      <c r="E54" s="30">
        <f t="shared" si="35"/>
        <v>369644.289419943</v>
      </c>
      <c r="F54" s="22"/>
      <c r="G54" s="32">
        <f t="shared" si="36"/>
        <v>21225050.873614758</v>
      </c>
      <c r="H54" s="13">
        <v>5.0000000000000001E-4</v>
      </c>
      <c r="I54" s="30">
        <f t="shared" si="37"/>
        <v>10612.52543680738</v>
      </c>
      <c r="K54" s="29">
        <f t="shared" si="32"/>
        <v>263116710.21864912</v>
      </c>
      <c r="L54" s="13">
        <v>5.0000000000000001E-4</v>
      </c>
      <c r="M54" s="30">
        <f t="shared" si="38"/>
        <v>131558.35510932456</v>
      </c>
      <c r="O54" s="51">
        <f t="shared" si="39"/>
        <v>284341761.09226388</v>
      </c>
      <c r="P54" s="51">
        <f t="shared" si="40"/>
        <v>142170.88054613193</v>
      </c>
    </row>
    <row r="55" spans="1:16" x14ac:dyDescent="0.3">
      <c r="A55" s="2" t="s">
        <v>7</v>
      </c>
      <c r="B55" s="8" t="s">
        <v>11</v>
      </c>
      <c r="C55" s="32">
        <f>C11</f>
        <v>152451415.55258805</v>
      </c>
      <c r="D55" s="13">
        <f>D54</f>
        <v>1.2999999999999999E-3</v>
      </c>
      <c r="E55" s="30">
        <f t="shared" si="35"/>
        <v>198186.84021836444</v>
      </c>
      <c r="F55" s="22"/>
      <c r="G55" s="32">
        <f t="shared" si="36"/>
        <v>0</v>
      </c>
      <c r="H55" s="13">
        <v>5.0000000000000001E-4</v>
      </c>
      <c r="I55" s="30">
        <f t="shared" si="37"/>
        <v>0</v>
      </c>
      <c r="K55" s="29">
        <f t="shared" si="32"/>
        <v>152451415.55258805</v>
      </c>
      <c r="L55" s="13">
        <v>5.0000000000000001E-4</v>
      </c>
      <c r="M55" s="30">
        <f t="shared" si="38"/>
        <v>76225.707776294032</v>
      </c>
      <c r="O55" s="51">
        <f t="shared" si="39"/>
        <v>152451415.55258805</v>
      </c>
      <c r="P55" s="51">
        <f t="shared" si="40"/>
        <v>76225.707776294032</v>
      </c>
    </row>
    <row r="56" spans="1:16" x14ac:dyDescent="0.3">
      <c r="A56" s="2" t="s">
        <v>4</v>
      </c>
      <c r="B56" s="8" t="s">
        <v>11</v>
      </c>
      <c r="C56" s="32">
        <f>C12</f>
        <v>1904476.3875408515</v>
      </c>
      <c r="D56" s="13">
        <f>D55</f>
        <v>1.2999999999999999E-3</v>
      </c>
      <c r="E56" s="30">
        <f t="shared" si="35"/>
        <v>2475.8193038031068</v>
      </c>
      <c r="F56" s="22"/>
      <c r="G56" s="32">
        <f t="shared" si="36"/>
        <v>0</v>
      </c>
      <c r="H56" s="13">
        <v>5.0000000000000001E-4</v>
      </c>
      <c r="I56" s="30">
        <f t="shared" si="37"/>
        <v>0</v>
      </c>
      <c r="K56" s="29">
        <f t="shared" si="32"/>
        <v>1904476</v>
      </c>
      <c r="L56" s="13">
        <v>5.0000000000000001E-4</v>
      </c>
      <c r="M56" s="30">
        <f t="shared" si="38"/>
        <v>952.23800000000006</v>
      </c>
      <c r="O56" s="51">
        <f t="shared" si="39"/>
        <v>1904476</v>
      </c>
      <c r="P56" s="51">
        <f t="shared" si="40"/>
        <v>952.23800000000006</v>
      </c>
    </row>
    <row r="57" spans="1:16" x14ac:dyDescent="0.3">
      <c r="A57" s="2" t="s">
        <v>5</v>
      </c>
      <c r="B57" s="8" t="s">
        <v>11</v>
      </c>
      <c r="C57" s="32"/>
      <c r="D57" s="13"/>
      <c r="E57" s="30">
        <f t="shared" si="35"/>
        <v>0</v>
      </c>
      <c r="F57" s="22"/>
      <c r="G57" s="32">
        <f>G13</f>
        <v>0</v>
      </c>
      <c r="H57" s="13"/>
      <c r="I57" s="30">
        <f t="shared" si="37"/>
        <v>0</v>
      </c>
      <c r="K57" s="29">
        <f t="shared" si="32"/>
        <v>0</v>
      </c>
      <c r="L57" s="13"/>
      <c r="M57" s="30">
        <f t="shared" si="38"/>
        <v>0</v>
      </c>
      <c r="O57" s="51">
        <f t="shared" si="39"/>
        <v>0</v>
      </c>
      <c r="P57" s="51">
        <f t="shared" si="40"/>
        <v>0</v>
      </c>
    </row>
    <row r="58" spans="1:16" x14ac:dyDescent="0.3">
      <c r="A58" s="2" t="s">
        <v>6</v>
      </c>
      <c r="B58" s="8" t="s">
        <v>11</v>
      </c>
      <c r="C58" s="32">
        <f>C14</f>
        <v>1143743.0342980449</v>
      </c>
      <c r="D58" s="13">
        <f>D56</f>
        <v>1.2999999999999999E-3</v>
      </c>
      <c r="E58" s="30">
        <f t="shared" si="35"/>
        <v>1486.8659445874582</v>
      </c>
      <c r="F58" s="22"/>
      <c r="G58" s="32">
        <f>G14</f>
        <v>0</v>
      </c>
      <c r="H58" s="13">
        <v>5.0000000000000001E-4</v>
      </c>
      <c r="I58" s="30">
        <f t="shared" si="37"/>
        <v>0</v>
      </c>
      <c r="K58" s="29">
        <f t="shared" si="32"/>
        <v>1143743.0342980449</v>
      </c>
      <c r="L58" s="13">
        <v>5.0000000000000001E-4</v>
      </c>
      <c r="M58" s="30">
        <f t="shared" si="38"/>
        <v>571.87151714902245</v>
      </c>
      <c r="O58" s="51">
        <f t="shared" si="39"/>
        <v>1143743.0342980449</v>
      </c>
      <c r="P58" s="51">
        <f t="shared" si="40"/>
        <v>571.87151714902245</v>
      </c>
    </row>
    <row r="59" spans="1:16" x14ac:dyDescent="0.3">
      <c r="A59" s="5" t="s">
        <v>25</v>
      </c>
      <c r="B59" s="8"/>
      <c r="C59" s="38">
        <f>SUM(C52:C58)</f>
        <v>710332827.54621828</v>
      </c>
      <c r="D59" s="14"/>
      <c r="E59" s="38">
        <f>SUM(E52:E58)</f>
        <v>923432.67581008386</v>
      </c>
      <c r="F59" s="23"/>
      <c r="G59" s="38">
        <f>SUM(G52:G58)</f>
        <v>276356477.35314226</v>
      </c>
      <c r="H59" s="14"/>
      <c r="I59" s="38">
        <f>SUM(I52:I58)</f>
        <v>138178.23867657117</v>
      </c>
      <c r="J59" s="14"/>
      <c r="K59" s="46">
        <f>SUM(K52:K58)</f>
        <v>433976349.80553526</v>
      </c>
      <c r="L59" s="14"/>
      <c r="M59" s="38">
        <f>SUM(M52:M58)</f>
        <v>216988.17490276764</v>
      </c>
      <c r="N59" s="14"/>
      <c r="O59" s="51">
        <f>SUM(O51:O58)</f>
        <v>710332827.15867746</v>
      </c>
      <c r="P59" s="51">
        <f t="shared" si="40"/>
        <v>355166.41357933881</v>
      </c>
    </row>
    <row r="60" spans="1:16" ht="8.35" customHeight="1" x14ac:dyDescent="0.3">
      <c r="E60" s="37"/>
    </row>
    <row r="61" spans="1:16" x14ac:dyDescent="0.3">
      <c r="A61" s="4" t="s">
        <v>40</v>
      </c>
      <c r="B61" s="55"/>
      <c r="C61" s="57" t="s">
        <v>21</v>
      </c>
      <c r="D61" s="59" t="s">
        <v>13</v>
      </c>
      <c r="E61" s="70" t="s">
        <v>14</v>
      </c>
      <c r="F61" s="21"/>
      <c r="G61" s="57" t="s">
        <v>21</v>
      </c>
      <c r="H61" s="55" t="s">
        <v>13</v>
      </c>
      <c r="I61" s="59" t="s">
        <v>14</v>
      </c>
      <c r="J61" s="10"/>
      <c r="K61" s="62" t="s">
        <v>21</v>
      </c>
      <c r="L61" s="55" t="s">
        <v>13</v>
      </c>
      <c r="M61" s="59" t="s">
        <v>14</v>
      </c>
      <c r="N61" s="45"/>
      <c r="O61" s="73" t="s">
        <v>42</v>
      </c>
      <c r="P61" s="74" t="s">
        <v>44</v>
      </c>
    </row>
    <row r="62" spans="1:16" x14ac:dyDescent="0.3">
      <c r="A62" s="5" t="s">
        <v>38</v>
      </c>
      <c r="B62" s="56"/>
      <c r="C62" s="58"/>
      <c r="D62" s="59"/>
      <c r="E62" s="71"/>
      <c r="F62" s="11"/>
      <c r="G62" s="58"/>
      <c r="H62" s="56"/>
      <c r="I62" s="59"/>
      <c r="J62" s="1"/>
      <c r="K62" s="63"/>
      <c r="L62" s="56"/>
      <c r="M62" s="59"/>
      <c r="N62" s="1"/>
      <c r="O62" s="73"/>
      <c r="P62" s="59"/>
    </row>
    <row r="63" spans="1:16" x14ac:dyDescent="0.3">
      <c r="A63" s="2" t="s">
        <v>1</v>
      </c>
      <c r="B63" s="8" t="s">
        <v>41</v>
      </c>
      <c r="C63" s="32">
        <v>184282358.78054878</v>
      </c>
      <c r="D63" s="13">
        <f>[1]C5.PassthruRates!$W$150</f>
        <v>1.1999999999999999E-3</v>
      </c>
      <c r="E63" s="30">
        <f>C63*D63</f>
        <v>221138.83053665853</v>
      </c>
      <c r="F63" s="22"/>
      <c r="G63" s="32">
        <f>G19/C19*C63</f>
        <v>180872493.4125582</v>
      </c>
      <c r="H63" s="50">
        <f>[3]C5.PassthruRates!$W$150</f>
        <v>2.7705705440835707E-3</v>
      </c>
      <c r="I63" s="30">
        <f>G63*H63</f>
        <v>501120.00248378341</v>
      </c>
      <c r="K63" s="29">
        <f>C63-G63</f>
        <v>3409865.3679905832</v>
      </c>
      <c r="L63" s="50">
        <f>H63</f>
        <v>2.7705705440835707E-3</v>
      </c>
      <c r="M63" s="30">
        <f>K63*L63</f>
        <v>9447.2725478453958</v>
      </c>
      <c r="O63" s="51">
        <f t="shared" ref="O63" si="41">G63+K63</f>
        <v>184282358.78054878</v>
      </c>
      <c r="P63" s="51">
        <f t="shared" ref="P63" si="42">I63+M63</f>
        <v>510567.27503162879</v>
      </c>
    </row>
    <row r="64" spans="1:16" x14ac:dyDescent="0.3">
      <c r="A64" s="2" t="s">
        <v>2</v>
      </c>
      <c r="B64" s="8" t="s">
        <v>41</v>
      </c>
      <c r="C64" s="32">
        <v>75984043.691649064</v>
      </c>
      <c r="D64" s="13">
        <f>[1]C5.PassthruRates!$W$151</f>
        <v>1.1000000000000001E-3</v>
      </c>
      <c r="E64" s="30">
        <f t="shared" ref="E64:E69" si="43">C64*D64</f>
        <v>83582.448060813971</v>
      </c>
      <c r="F64" s="22"/>
      <c r="G64" s="32">
        <f>G9/C9*C64</f>
        <v>64614537.966668315</v>
      </c>
      <c r="H64" s="50">
        <f>[3]C5.PassthruRates!$W$151</f>
        <v>2.498055421895819E-3</v>
      </c>
      <c r="I64" s="30">
        <f t="shared" ref="I64:I69" si="44">G64*H64</f>
        <v>161410.69690092903</v>
      </c>
      <c r="K64" s="29">
        <f>C64-G64</f>
        <v>11369505.724980749</v>
      </c>
      <c r="L64" s="50">
        <f t="shared" ref="L64:L69" si="45">H64</f>
        <v>2.498055421895819E-3</v>
      </c>
      <c r="M64" s="30">
        <f t="shared" ref="M64:M69" si="46">K64*L64</f>
        <v>28401.655420563715</v>
      </c>
      <c r="O64" s="51">
        <f t="shared" ref="O64:O69" si="47">G64+K64</f>
        <v>75984043.691649064</v>
      </c>
      <c r="P64" s="51">
        <f t="shared" ref="P64:P70" si="48">I64+M64</f>
        <v>189812.35232149274</v>
      </c>
    </row>
    <row r="65" spans="1:16" x14ac:dyDescent="0.3">
      <c r="A65" s="2" t="s">
        <v>3</v>
      </c>
      <c r="B65" s="8" t="s">
        <v>12</v>
      </c>
      <c r="C65" s="32">
        <f>C21</f>
        <v>759264.01580720255</v>
      </c>
      <c r="D65" s="13">
        <f>[1]C5.PassthruRates!$W$152</f>
        <v>0.46629999999999999</v>
      </c>
      <c r="E65" s="30">
        <f t="shared" si="43"/>
        <v>354044.81057089852</v>
      </c>
      <c r="F65" s="22"/>
      <c r="G65" s="32">
        <f>G21</f>
        <v>68122.496657337411</v>
      </c>
      <c r="H65" s="50">
        <f>[3]C5.PassthruRates!$W$152</f>
        <v>1.0539238986709478</v>
      </c>
      <c r="I65" s="30">
        <f t="shared" si="44"/>
        <v>71795.927264299651</v>
      </c>
      <c r="K65" s="29">
        <f>C65-G65</f>
        <v>691141.51914986514</v>
      </c>
      <c r="L65" s="50">
        <f t="shared" si="45"/>
        <v>1.0539238986709478</v>
      </c>
      <c r="M65" s="30">
        <f t="shared" si="46"/>
        <v>728410.56439578743</v>
      </c>
      <c r="O65" s="51">
        <f t="shared" si="47"/>
        <v>759264.01580720255</v>
      </c>
      <c r="P65" s="51">
        <f t="shared" si="48"/>
        <v>800206.49166008714</v>
      </c>
    </row>
    <row r="66" spans="1:16" x14ac:dyDescent="0.3">
      <c r="A66" s="2" t="s">
        <v>7</v>
      </c>
      <c r="B66" s="8" t="s">
        <v>12</v>
      </c>
      <c r="C66" s="32">
        <f>C22</f>
        <v>282895.8202849814</v>
      </c>
      <c r="D66" s="13">
        <f>[1]C5.PassthruRates!$W$153</f>
        <v>0.56189999999999996</v>
      </c>
      <c r="E66" s="30">
        <f t="shared" si="43"/>
        <v>158959.16141813103</v>
      </c>
      <c r="F66" s="22"/>
      <c r="G66" s="32">
        <v>0</v>
      </c>
      <c r="H66" s="50">
        <f>[3]C5.PassthruRates!$W$153</f>
        <v>1.269856808417108</v>
      </c>
      <c r="I66" s="30">
        <f t="shared" si="44"/>
        <v>0</v>
      </c>
      <c r="K66" s="29">
        <f>C66</f>
        <v>282895.8202849814</v>
      </c>
      <c r="L66" s="50">
        <f t="shared" si="45"/>
        <v>1.269856808417108</v>
      </c>
      <c r="M66" s="30">
        <f t="shared" si="46"/>
        <v>359237.18346162623</v>
      </c>
      <c r="O66" s="51">
        <f t="shared" si="47"/>
        <v>282895.8202849814</v>
      </c>
      <c r="P66" s="51">
        <f t="shared" si="48"/>
        <v>359237.18346162623</v>
      </c>
    </row>
    <row r="67" spans="1:16" x14ac:dyDescent="0.3">
      <c r="A67" s="2" t="s">
        <v>4</v>
      </c>
      <c r="B67" s="8" t="s">
        <v>12</v>
      </c>
      <c r="C67" s="32">
        <f>C23</f>
        <v>4789.1099999999979</v>
      </c>
      <c r="D67" s="13">
        <f>[1]C5.PassthruRates!$W$155</f>
        <v>0.33679999999999999</v>
      </c>
      <c r="E67" s="30">
        <f t="shared" si="43"/>
        <v>1612.9722479999991</v>
      </c>
      <c r="F67" s="22"/>
      <c r="G67" s="32">
        <v>0</v>
      </c>
      <c r="H67" s="50">
        <f>[3]C5.PassthruRates!$W$155</f>
        <v>0.76120542650527889</v>
      </c>
      <c r="I67" s="30">
        <f t="shared" si="44"/>
        <v>0</v>
      </c>
      <c r="K67" s="29">
        <f>C67</f>
        <v>4789.1099999999979</v>
      </c>
      <c r="L67" s="50">
        <f t="shared" si="45"/>
        <v>0.76120542650527889</v>
      </c>
      <c r="M67" s="30">
        <f t="shared" si="46"/>
        <v>3645.4965201306945</v>
      </c>
      <c r="O67" s="51">
        <f t="shared" si="47"/>
        <v>4789.1099999999979</v>
      </c>
      <c r="P67" s="51">
        <f t="shared" si="48"/>
        <v>3645.4965201306945</v>
      </c>
    </row>
    <row r="68" spans="1:16" x14ac:dyDescent="0.3">
      <c r="A68" s="2" t="s">
        <v>5</v>
      </c>
      <c r="B68" s="8" t="s">
        <v>41</v>
      </c>
      <c r="C68" s="32"/>
      <c r="D68" s="13"/>
      <c r="E68" s="30">
        <f t="shared" si="43"/>
        <v>0</v>
      </c>
      <c r="F68" s="22"/>
      <c r="G68" s="32"/>
      <c r="H68" s="50"/>
      <c r="I68" s="30">
        <f t="shared" si="44"/>
        <v>0</v>
      </c>
      <c r="K68" s="29"/>
      <c r="L68" s="50">
        <f t="shared" si="45"/>
        <v>0</v>
      </c>
      <c r="M68" s="30">
        <f t="shared" si="46"/>
        <v>0</v>
      </c>
      <c r="O68" s="51">
        <f t="shared" si="47"/>
        <v>0</v>
      </c>
      <c r="P68" s="51">
        <f t="shared" si="48"/>
        <v>0</v>
      </c>
    </row>
    <row r="69" spans="1:16" x14ac:dyDescent="0.3">
      <c r="A69" s="2" t="s">
        <v>6</v>
      </c>
      <c r="B69" s="8" t="s">
        <v>41</v>
      </c>
      <c r="C69" s="32">
        <v>1100507.632575111</v>
      </c>
      <c r="D69" s="13">
        <f>[1]C5.PassthruRates!$W$154</f>
        <v>1.1999999999999999E-3</v>
      </c>
      <c r="E69" s="30">
        <f t="shared" si="43"/>
        <v>1320.6091590901331</v>
      </c>
      <c r="F69" s="22"/>
      <c r="G69" s="32">
        <v>0</v>
      </c>
      <c r="H69" s="50">
        <f>[3]C5.PassthruRates!$W$154</f>
        <v>2.7705687277496636E-3</v>
      </c>
      <c r="I69" s="30">
        <f t="shared" si="44"/>
        <v>0</v>
      </c>
      <c r="K69" s="29">
        <f>C69</f>
        <v>1100507.632575111</v>
      </c>
      <c r="L69" s="50">
        <f t="shared" si="45"/>
        <v>2.7705687277496636E-3</v>
      </c>
      <c r="M69" s="30">
        <f t="shared" si="46"/>
        <v>3049.0320314624196</v>
      </c>
      <c r="O69" s="51">
        <f t="shared" si="47"/>
        <v>1100507.632575111</v>
      </c>
      <c r="P69" s="51">
        <f t="shared" si="48"/>
        <v>3049.0320314624196</v>
      </c>
    </row>
    <row r="70" spans="1:16" x14ac:dyDescent="0.3">
      <c r="A70" s="5" t="s">
        <v>25</v>
      </c>
      <c r="B70" s="8"/>
      <c r="C70" s="38">
        <f>SUM(C63:C69)</f>
        <v>262413859.05086517</v>
      </c>
      <c r="D70" s="14"/>
      <c r="E70" s="38">
        <f>SUM(E63:E69)</f>
        <v>820658.83199359209</v>
      </c>
      <c r="F70" s="23"/>
      <c r="G70" s="38">
        <f>SUM(G63:G69)</f>
        <v>245555153.87588385</v>
      </c>
      <c r="H70" s="14"/>
      <c r="I70" s="38">
        <f>SUM(I63:I69)</f>
        <v>734326.62664901209</v>
      </c>
      <c r="J70" s="14"/>
      <c r="K70" s="46">
        <f>SUM(K63:K69)</f>
        <v>16858705.174981289</v>
      </c>
      <c r="L70" s="14"/>
      <c r="M70" s="38">
        <f>SUM(M63:M69)</f>
        <v>1132191.2043774161</v>
      </c>
      <c r="N70" s="14"/>
      <c r="O70" s="51">
        <f>SUM(O62:O69)</f>
        <v>262413859.05086517</v>
      </c>
      <c r="P70" s="51">
        <f t="shared" si="48"/>
        <v>1866517.8310264281</v>
      </c>
    </row>
    <row r="71" spans="1:16" ht="9" customHeight="1" x14ac:dyDescent="0.3"/>
    <row r="72" spans="1:16" x14ac:dyDescent="0.3">
      <c r="A72" s="4" t="s">
        <v>18</v>
      </c>
      <c r="B72" s="55"/>
      <c r="C72" s="57" t="s">
        <v>19</v>
      </c>
      <c r="D72" s="55" t="s">
        <v>13</v>
      </c>
      <c r="E72" s="59" t="s">
        <v>14</v>
      </c>
      <c r="F72" s="21"/>
      <c r="G72" s="57" t="s">
        <v>19</v>
      </c>
      <c r="H72" s="55" t="s">
        <v>13</v>
      </c>
      <c r="I72" s="59" t="s">
        <v>14</v>
      </c>
      <c r="J72" s="10"/>
      <c r="K72" s="57" t="s">
        <v>19</v>
      </c>
      <c r="L72" s="55" t="s">
        <v>13</v>
      </c>
      <c r="M72" s="59" t="s">
        <v>14</v>
      </c>
      <c r="N72" s="45"/>
      <c r="O72" s="62" t="s">
        <v>45</v>
      </c>
      <c r="P72" s="74" t="s">
        <v>44</v>
      </c>
    </row>
    <row r="73" spans="1:16" x14ac:dyDescent="0.3">
      <c r="A73" s="5" t="s">
        <v>38</v>
      </c>
      <c r="B73" s="56"/>
      <c r="C73" s="58"/>
      <c r="D73" s="56"/>
      <c r="E73" s="59"/>
      <c r="F73" s="11"/>
      <c r="G73" s="58"/>
      <c r="H73" s="56"/>
      <c r="I73" s="59"/>
      <c r="J73" s="1"/>
      <c r="K73" s="58"/>
      <c r="L73" s="56"/>
      <c r="M73" s="59"/>
      <c r="N73" s="1"/>
      <c r="O73" s="58"/>
      <c r="P73" s="59"/>
    </row>
    <row r="74" spans="1:16" x14ac:dyDescent="0.3">
      <c r="A74" s="2" t="s">
        <v>1</v>
      </c>
      <c r="B74" s="8"/>
      <c r="C74" s="32">
        <v>24779</v>
      </c>
      <c r="D74" s="13">
        <v>0.78800000000000003</v>
      </c>
      <c r="E74" s="30">
        <f>C74*D74</f>
        <v>19525.852000000003</v>
      </c>
      <c r="F74" s="22"/>
      <c r="G74" s="32">
        <v>24252</v>
      </c>
      <c r="H74" s="13">
        <v>0.56999999999999995</v>
      </c>
      <c r="I74" s="30">
        <f>G74*H74</f>
        <v>13823.64</v>
      </c>
      <c r="K74" s="32">
        <v>370</v>
      </c>
      <c r="L74" s="13">
        <v>0.56999999999999995</v>
      </c>
      <c r="M74" s="30">
        <f>K74*L74</f>
        <v>210.89999999999998</v>
      </c>
      <c r="O74" s="38">
        <f>G74+K74</f>
        <v>24622</v>
      </c>
      <c r="P74" s="30">
        <f t="shared" ref="P74:P77" si="49">I74+M74</f>
        <v>14034.539999999999</v>
      </c>
    </row>
    <row r="75" spans="1:16" x14ac:dyDescent="0.3">
      <c r="A75" s="16" t="s">
        <v>2</v>
      </c>
      <c r="B75" s="8"/>
      <c r="C75" s="52">
        <v>2758</v>
      </c>
      <c r="D75" s="18">
        <v>0.78800000000000003</v>
      </c>
      <c r="E75" s="30">
        <f t="shared" ref="E75:E76" si="50">C75*D75</f>
        <v>2173.3040000000001</v>
      </c>
      <c r="F75" s="15"/>
      <c r="G75" s="52">
        <v>2595</v>
      </c>
      <c r="H75" s="18">
        <v>0.56999999999999995</v>
      </c>
      <c r="I75" s="30">
        <f t="shared" ref="I75" si="51">G75*H75</f>
        <v>1479.1499999999999</v>
      </c>
      <c r="K75" s="52">
        <v>210</v>
      </c>
      <c r="L75" s="18">
        <v>0.56999999999999995</v>
      </c>
      <c r="M75" s="30">
        <f t="shared" ref="M75" si="52">K75*L75</f>
        <v>119.69999999999999</v>
      </c>
      <c r="O75" s="51">
        <f>G75+K75</f>
        <v>2805</v>
      </c>
      <c r="P75" s="51">
        <f t="shared" si="49"/>
        <v>1598.85</v>
      </c>
    </row>
    <row r="76" spans="1:16" x14ac:dyDescent="0.3">
      <c r="A76" s="16"/>
      <c r="B76" s="8"/>
      <c r="C76" s="17"/>
      <c r="D76" s="17"/>
      <c r="E76" s="30">
        <f t="shared" si="50"/>
        <v>0</v>
      </c>
      <c r="F76" s="15"/>
      <c r="G76" s="17"/>
      <c r="H76" s="17"/>
      <c r="I76" s="38"/>
      <c r="J76" s="36"/>
      <c r="K76" s="17"/>
      <c r="L76" s="17"/>
      <c r="M76" s="38"/>
      <c r="N76" s="36"/>
      <c r="O76" s="51"/>
      <c r="P76" s="51">
        <f t="shared" si="49"/>
        <v>0</v>
      </c>
    </row>
    <row r="77" spans="1:16" x14ac:dyDescent="0.3">
      <c r="A77" s="20" t="s">
        <v>25</v>
      </c>
      <c r="B77" s="8"/>
      <c r="C77" s="51">
        <f>SUM(C74:C76)</f>
        <v>27537</v>
      </c>
      <c r="D77" s="2"/>
      <c r="E77" s="30">
        <f>SUM(E74:E76)</f>
        <v>21699.156000000003</v>
      </c>
      <c r="F77" s="22"/>
      <c r="G77" s="2"/>
      <c r="H77" s="2"/>
      <c r="I77" s="30">
        <f>SUM(I74:I75)</f>
        <v>15302.789999999999</v>
      </c>
      <c r="J77" s="2"/>
      <c r="K77" s="2"/>
      <c r="L77" s="2"/>
      <c r="M77" s="30">
        <f>SUM(M74:M75)</f>
        <v>330.59999999999997</v>
      </c>
      <c r="N77" s="2"/>
      <c r="O77" s="51">
        <f>SUM(O74:O76)</f>
        <v>27427</v>
      </c>
      <c r="P77" s="51">
        <f t="shared" si="49"/>
        <v>15633.39</v>
      </c>
    </row>
    <row r="78" spans="1:16" ht="5.35" customHeight="1" x14ac:dyDescent="0.3">
      <c r="A78" s="2"/>
      <c r="B78" s="2"/>
      <c r="C78" s="2"/>
      <c r="D78" s="2"/>
      <c r="E78" s="2"/>
      <c r="F78" s="2"/>
      <c r="G78" s="2"/>
      <c r="H78" s="2"/>
      <c r="I78" s="30"/>
      <c r="J78" s="2"/>
      <c r="K78" s="2"/>
      <c r="L78" s="2"/>
      <c r="M78" s="2"/>
      <c r="N78" s="2"/>
      <c r="O78" s="51"/>
      <c r="P78" s="51"/>
    </row>
    <row r="79" spans="1:16" x14ac:dyDescent="0.3">
      <c r="A79" s="5" t="s">
        <v>20</v>
      </c>
      <c r="B79" s="2"/>
      <c r="C79" s="2"/>
      <c r="D79" s="2"/>
      <c r="E79" s="51">
        <f>SUM(E15+E26+E37+E48+E59+E70+E77)</f>
        <v>90157646.385854498</v>
      </c>
      <c r="F79" s="2"/>
      <c r="G79" s="2"/>
      <c r="H79" s="2"/>
      <c r="I79" s="30">
        <f>SUM(I77,I70,I59,I48,I37,I26,I15)</f>
        <v>40955308.671231031</v>
      </c>
      <c r="J79" s="2"/>
      <c r="K79" s="2"/>
      <c r="L79" s="2"/>
      <c r="M79" s="51">
        <f>SUM(M77,M70,M59,M48,M37,M26,M15)</f>
        <v>54616337.818144083</v>
      </c>
      <c r="N79" s="2"/>
      <c r="O79" s="51"/>
      <c r="P79" s="51">
        <f>P15+P26+P37+P48+P59+P70+P77</f>
        <v>95571646.489375114</v>
      </c>
    </row>
    <row r="80" spans="1:16" x14ac:dyDescent="0.3">
      <c r="A80" s="2" t="s">
        <v>26</v>
      </c>
      <c r="B80" s="28">
        <v>0.318</v>
      </c>
      <c r="C80" s="2"/>
      <c r="D80" s="2"/>
      <c r="E80" s="2"/>
      <c r="F80" s="2"/>
      <c r="G80" s="2"/>
      <c r="H80" s="2"/>
      <c r="I80" s="30">
        <f>I79-(I79*B80)</f>
        <v>27931520.513779566</v>
      </c>
      <c r="J80" s="2"/>
      <c r="K80" s="2"/>
      <c r="L80" s="2"/>
      <c r="M80" s="2"/>
      <c r="N80" s="2"/>
      <c r="O80" s="51"/>
      <c r="P80" s="51"/>
    </row>
    <row r="81" spans="1:16" x14ac:dyDescent="0.3">
      <c r="A81" s="20" t="s">
        <v>27</v>
      </c>
      <c r="B81" s="2"/>
      <c r="C81" s="2"/>
      <c r="D81" s="2"/>
      <c r="E81" s="51">
        <f>E79</f>
        <v>90157646.385854498</v>
      </c>
      <c r="F81" s="2"/>
      <c r="G81" s="2"/>
      <c r="H81" s="2"/>
      <c r="I81" s="30"/>
      <c r="J81" s="2"/>
      <c r="K81" s="2"/>
      <c r="L81" s="2"/>
      <c r="M81" s="54">
        <f>I80+M79</f>
        <v>82547858.331923649</v>
      </c>
      <c r="N81" s="2"/>
      <c r="O81" s="51"/>
      <c r="P81" s="51">
        <f>P79</f>
        <v>95571646.489375114</v>
      </c>
    </row>
    <row r="82" spans="1:16" x14ac:dyDescent="0.3">
      <c r="M82" s="37"/>
    </row>
    <row r="83" spans="1:16" x14ac:dyDescent="0.3">
      <c r="G83" s="72" t="s">
        <v>35</v>
      </c>
      <c r="H83" s="72"/>
    </row>
    <row r="84" spans="1:16" x14ac:dyDescent="0.3">
      <c r="G84" s="2" t="s">
        <v>28</v>
      </c>
      <c r="H84" s="30">
        <f>I15+M15</f>
        <v>81403509.433763683</v>
      </c>
    </row>
    <row r="85" spans="1:16" x14ac:dyDescent="0.3">
      <c r="G85" s="2" t="s">
        <v>29</v>
      </c>
      <c r="H85" s="30"/>
    </row>
    <row r="86" spans="1:16" x14ac:dyDescent="0.3">
      <c r="G86" s="2" t="s">
        <v>30</v>
      </c>
      <c r="H86" s="30">
        <f>I48+M48+I59+M59</f>
        <v>2770298.0259188423</v>
      </c>
    </row>
    <row r="87" spans="1:16" x14ac:dyDescent="0.3">
      <c r="G87" s="2" t="s">
        <v>31</v>
      </c>
      <c r="H87" s="30">
        <f>I26+M26</f>
        <v>5019682.029816688</v>
      </c>
    </row>
    <row r="88" spans="1:16" x14ac:dyDescent="0.3">
      <c r="G88" s="2" t="s">
        <v>32</v>
      </c>
      <c r="H88" s="30">
        <f>I37+M37</f>
        <v>4496005.7788494639</v>
      </c>
    </row>
    <row r="89" spans="1:16" x14ac:dyDescent="0.3">
      <c r="G89" s="2" t="s">
        <v>33</v>
      </c>
      <c r="H89" s="30">
        <f>I70+M70</f>
        <v>1866517.8310264281</v>
      </c>
    </row>
    <row r="90" spans="1:16" x14ac:dyDescent="0.3">
      <c r="G90" s="2" t="s">
        <v>34</v>
      </c>
      <c r="H90" s="30">
        <f>I77+M77</f>
        <v>15633.39</v>
      </c>
    </row>
    <row r="91" spans="1:16" x14ac:dyDescent="0.3">
      <c r="G91" s="5" t="s">
        <v>20</v>
      </c>
      <c r="H91" s="53">
        <f>SUM(H84:H90)</f>
        <v>95571646.489375114</v>
      </c>
    </row>
  </sheetData>
  <mergeCells count="92">
    <mergeCell ref="O72:O73"/>
    <mergeCell ref="P72:P73"/>
    <mergeCell ref="O28:O29"/>
    <mergeCell ref="P28:P29"/>
    <mergeCell ref="O5:P5"/>
    <mergeCell ref="P6:P7"/>
    <mergeCell ref="O17:O18"/>
    <mergeCell ref="P17:P18"/>
    <mergeCell ref="O39:O40"/>
    <mergeCell ref="P39:P40"/>
    <mergeCell ref="O50:O51"/>
    <mergeCell ref="P50:P51"/>
    <mergeCell ref="O61:O62"/>
    <mergeCell ref="P61:P62"/>
    <mergeCell ref="I6:I7"/>
    <mergeCell ref="K6:K7"/>
    <mergeCell ref="L6:L7"/>
    <mergeCell ref="M6:M7"/>
    <mergeCell ref="O6:O7"/>
    <mergeCell ref="C6:C7"/>
    <mergeCell ref="D6:D7"/>
    <mergeCell ref="E6:E7"/>
    <mergeCell ref="G6:G7"/>
    <mergeCell ref="H6:H7"/>
    <mergeCell ref="K39:K40"/>
    <mergeCell ref="M72:M73"/>
    <mergeCell ref="G83:H83"/>
    <mergeCell ref="L50:L51"/>
    <mergeCell ref="M50:M51"/>
    <mergeCell ref="M61:M62"/>
    <mergeCell ref="K50:K51"/>
    <mergeCell ref="K72:K73"/>
    <mergeCell ref="L61:L62"/>
    <mergeCell ref="K61:K62"/>
    <mergeCell ref="L72:L73"/>
    <mergeCell ref="H72:H73"/>
    <mergeCell ref="I72:I73"/>
    <mergeCell ref="H61:H62"/>
    <mergeCell ref="I61:I62"/>
    <mergeCell ref="B28:B29"/>
    <mergeCell ref="D39:D40"/>
    <mergeCell ref="E39:E40"/>
    <mergeCell ref="H39:H40"/>
    <mergeCell ref="G39:G40"/>
    <mergeCell ref="C28:C29"/>
    <mergeCell ref="B61:B62"/>
    <mergeCell ref="G61:G62"/>
    <mergeCell ref="C61:C62"/>
    <mergeCell ref="I50:I51"/>
    <mergeCell ref="H50:H51"/>
    <mergeCell ref="B39:B40"/>
    <mergeCell ref="I39:I40"/>
    <mergeCell ref="I28:I29"/>
    <mergeCell ref="L16:M16"/>
    <mergeCell ref="B17:B18"/>
    <mergeCell ref="D17:D18"/>
    <mergeCell ref="E17:E18"/>
    <mergeCell ref="H17:H18"/>
    <mergeCell ref="A1:M1"/>
    <mergeCell ref="H4:I4"/>
    <mergeCell ref="L4:M4"/>
    <mergeCell ref="H5:I5"/>
    <mergeCell ref="L5:M5"/>
    <mergeCell ref="D5:E5"/>
    <mergeCell ref="C39:C40"/>
    <mergeCell ref="I17:I18"/>
    <mergeCell ref="L17:L18"/>
    <mergeCell ref="M17:M18"/>
    <mergeCell ref="G17:G18"/>
    <mergeCell ref="K17:K18"/>
    <mergeCell ref="C17:C18"/>
    <mergeCell ref="D28:D29"/>
    <mergeCell ref="E28:E29"/>
    <mergeCell ref="H28:H29"/>
    <mergeCell ref="G28:G29"/>
    <mergeCell ref="M28:M29"/>
    <mergeCell ref="K28:K29"/>
    <mergeCell ref="L39:L40"/>
    <mergeCell ref="M39:M40"/>
    <mergeCell ref="L28:L29"/>
    <mergeCell ref="B72:B73"/>
    <mergeCell ref="G72:G73"/>
    <mergeCell ref="C72:C73"/>
    <mergeCell ref="B50:B51"/>
    <mergeCell ref="G50:G51"/>
    <mergeCell ref="C50:C51"/>
    <mergeCell ref="D50:D51"/>
    <mergeCell ref="E50:E51"/>
    <mergeCell ref="D72:D73"/>
    <mergeCell ref="E72:E73"/>
    <mergeCell ref="D61:D62"/>
    <mergeCell ref="E61:E62"/>
  </mergeCells>
  <pageMargins left="0.7" right="0.7" top="0.75" bottom="0.75" header="0.3" footer="0.3"/>
  <pageSetup scale="58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Cost of Power</vt:lpstr>
    </vt:vector>
  </TitlesOfParts>
  <Company>Ontario Energy Board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Birgit Armstrong</dc:creator>
  <cp:lastModifiedBy>Gibson,Sherry</cp:lastModifiedBy>
  <cp:lastPrinted>2019-11-04T14:06:13Z</cp:lastPrinted>
  <dcterms:created xsi:type="dcterms:W3CDTF">2019-10-23T18:30:11Z</dcterms:created>
  <dcterms:modified xsi:type="dcterms:W3CDTF">2019-11-05T13:02:05Z</dcterms:modified>
</cp:coreProperties>
</file>