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gulatory\2020 IRM\Interrogatories\"/>
    </mc:Choice>
  </mc:AlternateContent>
  <bookViews>
    <workbookView xWindow="-105" yWindow="-105" windowWidth="16665" windowHeight="8865" tabRatio="874"/>
  </bookViews>
  <sheets>
    <sheet name="IPC LV " sheetId="1" r:id="rId1"/>
    <sheet name="IPC  Transmission Network" sheetId="3" r:id="rId2"/>
    <sheet name="IPC Transmission Connection" sheetId="4" r:id="rId3"/>
    <sheet name="IPC Wholesale Market Serv" sheetId="2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5" i="2" l="1"/>
  <c r="T25" i="2"/>
  <c r="P18" i="2"/>
  <c r="T18" i="2"/>
  <c r="P11" i="2"/>
  <c r="T11" i="2" l="1"/>
  <c r="M19" i="2" l="1"/>
  <c r="M12" i="2"/>
  <c r="L19" i="2"/>
  <c r="L12" i="2"/>
  <c r="J11" i="2"/>
  <c r="K11" i="2"/>
  <c r="U11" i="2" s="1"/>
  <c r="J25" i="2"/>
  <c r="K25" i="2"/>
  <c r="U25" i="2" s="1"/>
  <c r="J18" i="2"/>
  <c r="K18" i="2"/>
  <c r="U18" i="2" s="1"/>
  <c r="E26" i="2" l="1"/>
  <c r="F26" i="2"/>
  <c r="D26" i="2"/>
  <c r="C26" i="2"/>
  <c r="G26" i="2"/>
  <c r="AD5" i="2" l="1"/>
  <c r="M24" i="2" l="1"/>
  <c r="M23" i="2"/>
  <c r="M22" i="2"/>
  <c r="M21" i="2"/>
  <c r="M20" i="2"/>
  <c r="M17" i="2"/>
  <c r="M16" i="2"/>
  <c r="M15" i="2"/>
  <c r="M14" i="2"/>
  <c r="M13" i="2"/>
  <c r="M10" i="2"/>
  <c r="M9" i="2"/>
  <c r="M8" i="2"/>
  <c r="M7" i="2"/>
  <c r="M6" i="2"/>
  <c r="M5" i="2"/>
  <c r="L24" i="2"/>
  <c r="L23" i="2"/>
  <c r="L22" i="2"/>
  <c r="L21" i="2"/>
  <c r="L20" i="2"/>
  <c r="L17" i="2"/>
  <c r="L16" i="2"/>
  <c r="L15" i="2"/>
  <c r="L14" i="2"/>
  <c r="L13" i="2"/>
  <c r="L10" i="2"/>
  <c r="L9" i="2"/>
  <c r="L8" i="2"/>
  <c r="L7" i="2"/>
  <c r="L6" i="2"/>
  <c r="L5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J26" i="2"/>
  <c r="K26" i="2"/>
  <c r="K8" i="4" l="1"/>
  <c r="I23" i="4" l="1"/>
  <c r="I22" i="4"/>
  <c r="J21" i="4"/>
  <c r="I21" i="4"/>
  <c r="H21" i="4"/>
  <c r="J20" i="4"/>
  <c r="I20" i="4"/>
  <c r="H20" i="4"/>
  <c r="J19" i="4"/>
  <c r="I19" i="4"/>
  <c r="H19" i="4"/>
  <c r="J18" i="4"/>
  <c r="I18" i="4"/>
  <c r="H18" i="4"/>
  <c r="J17" i="4"/>
  <c r="I17" i="4"/>
  <c r="H17" i="4"/>
  <c r="J16" i="4"/>
  <c r="I16" i="4"/>
  <c r="H16" i="4"/>
  <c r="I15" i="4"/>
  <c r="J14" i="4"/>
  <c r="I14" i="4"/>
  <c r="H14" i="4"/>
  <c r="J13" i="4"/>
  <c r="I13" i="4"/>
  <c r="H13" i="4"/>
  <c r="J12" i="4"/>
  <c r="I12" i="4"/>
  <c r="H12" i="4"/>
  <c r="J11" i="4"/>
  <c r="I11" i="4"/>
  <c r="H11" i="4"/>
  <c r="J10" i="4"/>
  <c r="I10" i="4"/>
  <c r="H10" i="4"/>
  <c r="I9" i="4"/>
  <c r="I8" i="4"/>
  <c r="J7" i="4"/>
  <c r="I7" i="4"/>
  <c r="H7" i="4"/>
  <c r="J6" i="4"/>
  <c r="I6" i="4"/>
  <c r="H6" i="4"/>
  <c r="J5" i="4"/>
  <c r="I5" i="4"/>
  <c r="H5" i="4"/>
  <c r="J4" i="4"/>
  <c r="I4" i="4"/>
  <c r="H4" i="4"/>
  <c r="J3" i="4"/>
  <c r="I3" i="4"/>
  <c r="H3" i="4"/>
  <c r="J2" i="4"/>
  <c r="I2" i="4"/>
  <c r="H2" i="4"/>
  <c r="I23" i="3"/>
  <c r="I22" i="3"/>
  <c r="J21" i="3"/>
  <c r="I21" i="3"/>
  <c r="H21" i="3"/>
  <c r="J20" i="3"/>
  <c r="I20" i="3"/>
  <c r="H20" i="3"/>
  <c r="J19" i="3"/>
  <c r="I19" i="3"/>
  <c r="H19" i="3"/>
  <c r="J18" i="3"/>
  <c r="I18" i="3"/>
  <c r="H18" i="3"/>
  <c r="J17" i="3"/>
  <c r="I17" i="3"/>
  <c r="H17" i="3"/>
  <c r="J16" i="3"/>
  <c r="I16" i="3"/>
  <c r="H16" i="3"/>
  <c r="I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/>
  <c r="H10" i="3"/>
  <c r="J9" i="3"/>
  <c r="I9" i="3"/>
  <c r="H9" i="3"/>
  <c r="I8" i="3"/>
  <c r="J7" i="3"/>
  <c r="I7" i="3"/>
  <c r="H7" i="3"/>
  <c r="J6" i="3"/>
  <c r="I6" i="3"/>
  <c r="H6" i="3"/>
  <c r="J5" i="3"/>
  <c r="I5" i="3"/>
  <c r="H5" i="3"/>
  <c r="J4" i="3"/>
  <c r="I4" i="3"/>
  <c r="H4" i="3"/>
  <c r="J3" i="3"/>
  <c r="I3" i="3"/>
  <c r="H3" i="3"/>
  <c r="J2" i="3"/>
  <c r="I2" i="3"/>
  <c r="H2" i="3"/>
  <c r="I23" i="1"/>
  <c r="I22" i="1"/>
  <c r="I21" i="1"/>
  <c r="H21" i="1"/>
  <c r="I20" i="1"/>
  <c r="H20" i="1"/>
  <c r="J19" i="1"/>
  <c r="I19" i="1"/>
  <c r="H19" i="1"/>
  <c r="I18" i="1"/>
  <c r="H18" i="1"/>
  <c r="I17" i="1"/>
  <c r="H17" i="1"/>
  <c r="J16" i="1"/>
  <c r="I16" i="1"/>
  <c r="H16" i="1"/>
  <c r="I15" i="1"/>
  <c r="I14" i="1"/>
  <c r="H14" i="1"/>
  <c r="I13" i="1"/>
  <c r="H13" i="1"/>
  <c r="J12" i="1"/>
  <c r="I12" i="1"/>
  <c r="H12" i="1"/>
  <c r="I11" i="1"/>
  <c r="H11" i="1"/>
  <c r="I10" i="1"/>
  <c r="H10" i="1"/>
  <c r="J9" i="1"/>
  <c r="I9" i="1"/>
  <c r="H9" i="1"/>
  <c r="I8" i="1"/>
  <c r="I7" i="1"/>
  <c r="H7" i="1"/>
  <c r="I6" i="1"/>
  <c r="H6" i="1"/>
  <c r="J5" i="1"/>
  <c r="I5" i="1"/>
  <c r="H5" i="1"/>
  <c r="I4" i="1"/>
  <c r="H4" i="1"/>
  <c r="I3" i="1"/>
  <c r="H3" i="1"/>
  <c r="I2" i="1"/>
  <c r="H2" i="1"/>
  <c r="J2" i="1"/>
  <c r="G21" i="1" l="1"/>
  <c r="J21" i="1" s="1"/>
  <c r="G20" i="1"/>
  <c r="J20" i="1" s="1"/>
  <c r="G18" i="1"/>
  <c r="J18" i="1" s="1"/>
  <c r="G17" i="1"/>
  <c r="J17" i="1" s="1"/>
  <c r="G14" i="1"/>
  <c r="J14" i="1" s="1"/>
  <c r="G13" i="1"/>
  <c r="J13" i="1" s="1"/>
  <c r="G11" i="1"/>
  <c r="J11" i="1" s="1"/>
  <c r="G10" i="1"/>
  <c r="J10" i="1" s="1"/>
  <c r="G6" i="1"/>
  <c r="J6" i="1" s="1"/>
  <c r="G7" i="1"/>
  <c r="J7" i="1" s="1"/>
  <c r="G3" i="1"/>
  <c r="J3" i="1" s="1"/>
  <c r="G4" i="1"/>
  <c r="J4" i="1" s="1"/>
  <c r="G22" i="1" l="1"/>
  <c r="G8" i="1"/>
  <c r="G15" i="1"/>
  <c r="J8" i="1" l="1"/>
  <c r="Q8" i="1"/>
  <c r="J22" i="1"/>
  <c r="Q22" i="1"/>
  <c r="J15" i="1"/>
  <c r="Q15" i="1"/>
  <c r="G23" i="1"/>
  <c r="J23" i="1" s="1"/>
  <c r="F22" i="1" l="1"/>
  <c r="H22" i="1" s="1"/>
  <c r="F8" i="1"/>
  <c r="H8" i="1" l="1"/>
  <c r="I25" i="2"/>
  <c r="S25" i="2" s="1"/>
  <c r="X25" i="2" s="1"/>
  <c r="H25" i="2"/>
  <c r="L25" i="2" s="1"/>
  <c r="G22" i="3"/>
  <c r="Q22" i="3" s="1"/>
  <c r="F22" i="3"/>
  <c r="H22" i="3" s="1"/>
  <c r="G22" i="4"/>
  <c r="Q22" i="4" s="1"/>
  <c r="F22" i="4"/>
  <c r="H22" i="4" s="1"/>
  <c r="AA25" i="2" l="1"/>
  <c r="M25" i="2"/>
  <c r="J22" i="4"/>
  <c r="J22" i="3"/>
  <c r="G8" i="4"/>
  <c r="Q8" i="4" s="1"/>
  <c r="F8" i="4"/>
  <c r="G8" i="3"/>
  <c r="F8" i="3"/>
  <c r="I11" i="2"/>
  <c r="S11" i="2" s="1"/>
  <c r="X11" i="2" s="1"/>
  <c r="H11" i="2"/>
  <c r="L11" i="2" s="1"/>
  <c r="J8" i="3" l="1"/>
  <c r="Q8" i="3"/>
  <c r="M11" i="2"/>
  <c r="AA11" i="2"/>
  <c r="H8" i="4"/>
  <c r="F9" i="4"/>
  <c r="H9" i="4" s="1"/>
  <c r="G9" i="4"/>
  <c r="J9" i="4" s="1"/>
  <c r="J8" i="4"/>
  <c r="N8" i="4" s="1"/>
  <c r="R8" i="4" s="1"/>
  <c r="F23" i="3"/>
  <c r="H23" i="3" s="1"/>
  <c r="H8" i="3"/>
  <c r="H18" i="2"/>
  <c r="L18" i="2" s="1"/>
  <c r="G15" i="4"/>
  <c r="Q15" i="4" s="1"/>
  <c r="F15" i="1"/>
  <c r="G15" i="3"/>
  <c r="Q15" i="3" s="1"/>
  <c r="F15" i="3"/>
  <c r="H15" i="3" s="1"/>
  <c r="I18" i="2"/>
  <c r="S18" i="2" s="1"/>
  <c r="X18" i="2" s="1"/>
  <c r="AA18" i="2" l="1"/>
  <c r="M18" i="2"/>
  <c r="H26" i="2"/>
  <c r="L26" i="2" s="1"/>
  <c r="J15" i="3"/>
  <c r="G23" i="3"/>
  <c r="J23" i="3" s="1"/>
  <c r="F15" i="4"/>
  <c r="F23" i="4" s="1"/>
  <c r="H23" i="4" s="1"/>
  <c r="H15" i="1"/>
  <c r="F23" i="1"/>
  <c r="H23" i="1" s="1"/>
  <c r="J15" i="4"/>
  <c r="G23" i="4"/>
  <c r="J23" i="4" s="1"/>
  <c r="I26" i="2"/>
  <c r="M26" i="2" s="1"/>
  <c r="H15" i="4" l="1"/>
  <c r="Y18" i="2" l="1"/>
  <c r="AB18" i="2" s="1"/>
  <c r="Y11" i="2"/>
  <c r="AB11" i="2" s="1"/>
  <c r="Y25" i="2" l="1"/>
  <c r="AB25" i="2" s="1"/>
  <c r="AC11" i="2" l="1"/>
  <c r="AC18" i="2" l="1"/>
  <c r="AC25" i="2"/>
  <c r="K22" i="1"/>
  <c r="N22" i="1" s="1"/>
  <c r="R22" i="1" s="1"/>
  <c r="K15" i="1"/>
  <c r="N15" i="1" s="1"/>
  <c r="R15" i="1" s="1"/>
  <c r="K8" i="1"/>
  <c r="N8" i="1" s="1"/>
  <c r="R8" i="1" s="1"/>
  <c r="K22" i="4"/>
  <c r="N22" i="4" s="1"/>
  <c r="R22" i="4" s="1"/>
  <c r="K15" i="4"/>
  <c r="N15" i="4" s="1"/>
  <c r="R15" i="4" s="1"/>
  <c r="K22" i="3"/>
  <c r="N22" i="3" s="1"/>
  <c r="R22" i="3" s="1"/>
  <c r="K15" i="3"/>
  <c r="N15" i="3" s="1"/>
  <c r="R15" i="3" s="1"/>
  <c r="K8" i="3"/>
  <c r="N8" i="3" s="1"/>
  <c r="R8" i="3" s="1"/>
  <c r="S22" i="4" l="1"/>
  <c r="S15" i="4"/>
  <c r="S8" i="4"/>
  <c r="S15" i="3"/>
  <c r="S22" i="3"/>
  <c r="S8" i="3"/>
  <c r="S15" i="1"/>
  <c r="S22" i="1"/>
  <c r="S8" i="1"/>
</calcChain>
</file>

<file path=xl/sharedStrings.xml><?xml version="1.0" encoding="utf-8"?>
<sst xmlns="http://schemas.openxmlformats.org/spreadsheetml/2006/main" count="190" uniqueCount="53">
  <si>
    <t>Hydro One Expenses</t>
  </si>
  <si>
    <t>year</t>
  </si>
  <si>
    <t>category</t>
  </si>
  <si>
    <t>Sum of billed_consum</t>
  </si>
  <si>
    <t>Sum of billed_demand</t>
  </si>
  <si>
    <t>Sum of billed_amt</t>
  </si>
  <si>
    <t>2016 Total</t>
  </si>
  <si>
    <t>2017 Total</t>
  </si>
  <si>
    <t>2018 Total</t>
  </si>
  <si>
    <t>Grand Total</t>
  </si>
  <si>
    <t>IESO Expenses</t>
  </si>
  <si>
    <t>Gen &gt;50</t>
  </si>
  <si>
    <t>Gen &lt;50</t>
  </si>
  <si>
    <t>Residential</t>
  </si>
  <si>
    <t>Street Light</t>
  </si>
  <si>
    <t>Sentinel Light</t>
  </si>
  <si>
    <t>Unmetered Load</t>
  </si>
  <si>
    <t>kWh</t>
  </si>
  <si>
    <t>kW</t>
  </si>
  <si>
    <t>CBR removed</t>
  </si>
  <si>
    <t xml:space="preserve"> </t>
  </si>
  <si>
    <t>Calculated Variance</t>
  </si>
  <si>
    <t>Variance in IRM</t>
  </si>
  <si>
    <t>Difference ($)</t>
  </si>
  <si>
    <t>Difference (%)</t>
  </si>
  <si>
    <t>Rate</t>
  </si>
  <si>
    <t>Expenses booked to GL accounts for CBRB</t>
  </si>
  <si>
    <t>Total kWh</t>
  </si>
  <si>
    <t>Total $</t>
  </si>
  <si>
    <t>whms</t>
  </si>
  <si>
    <t>rra</t>
  </si>
  <si>
    <t>oesp</t>
  </si>
  <si>
    <t>LTLT $</t>
  </si>
  <si>
    <t>LTLT kWh</t>
  </si>
  <si>
    <t>Unbilled</t>
  </si>
  <si>
    <t>CBRB $</t>
  </si>
  <si>
    <t>CBRA kWh</t>
  </si>
  <si>
    <t>CBRA $</t>
  </si>
  <si>
    <t>Total Revenues</t>
  </si>
  <si>
    <t>Total kW</t>
  </si>
  <si>
    <t>Wholesale $</t>
  </si>
  <si>
    <t>RRA $</t>
  </si>
  <si>
    <t>OESP $</t>
  </si>
  <si>
    <t>WHMS Revenues $</t>
  </si>
  <si>
    <t>RRA Revenue $</t>
  </si>
  <si>
    <t>OESP Revenue $</t>
  </si>
  <si>
    <t>Dif in LTLT</t>
  </si>
  <si>
    <t>WMS Variance</t>
  </si>
  <si>
    <t>CBRB Variance</t>
  </si>
  <si>
    <t>Expenses booked to GL accounts for CBRA</t>
  </si>
  <si>
    <t>WMS Only</t>
  </si>
  <si>
    <t>Dif in LTLT Accrual and Actual</t>
  </si>
  <si>
    <t>CBRA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</si>
</sst>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0"/>
    <numFmt numFmtId="166" formatCode="_-* #,##0.00000_-;\-* #,##0.00000_-;_-* &quot;-&quot;?????_-;_-@_-"/>
    <numFmt numFmtId="167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165" fontId="0" fillId="0" borderId="0" xfId="0" applyNumberFormat="1"/>
    <xf numFmtId="10" fontId="0" fillId="0" borderId="0" xfId="1" applyNumberFormat="1" applyFont="1"/>
    <xf numFmtId="0" fontId="0" fillId="0" borderId="0" xfId="0" applyFill="1"/>
    <xf numFmtId="164" fontId="0" fillId="0" borderId="0" xfId="2" applyFont="1" applyFill="1"/>
    <xf numFmtId="164" fontId="0" fillId="0" borderId="0" xfId="2" applyFont="1"/>
    <xf numFmtId="164" fontId="0" fillId="2" borderId="0" xfId="2" applyFont="1" applyFill="1"/>
    <xf numFmtId="0" fontId="2" fillId="0" borderId="0" xfId="0" applyFont="1" applyAlignment="1">
      <alignment horizontal="center"/>
    </xf>
    <xf numFmtId="164" fontId="3" fillId="2" borderId="0" xfId="2" applyFont="1" applyFill="1"/>
    <xf numFmtId="10" fontId="0" fillId="0" borderId="0" xfId="1" applyNumberFormat="1" applyFont="1" applyFill="1"/>
    <xf numFmtId="0" fontId="2" fillId="0" borderId="0" xfId="0" applyFont="1"/>
    <xf numFmtId="164" fontId="2" fillId="0" borderId="0" xfId="2" applyFont="1"/>
    <xf numFmtId="0" fontId="2" fillId="2" borderId="0" xfId="0" applyFont="1" applyFill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6" fontId="0" fillId="0" borderId="0" xfId="2" applyNumberFormat="1" applyFont="1"/>
    <xf numFmtId="0" fontId="0" fillId="3" borderId="0" xfId="0" applyFill="1"/>
    <xf numFmtId="0" fontId="2" fillId="3" borderId="0" xfId="0" applyFont="1" applyFill="1" applyAlignment="1">
      <alignment horizontal="center"/>
    </xf>
    <xf numFmtId="164" fontId="0" fillId="3" borderId="0" xfId="2" applyFont="1" applyFill="1"/>
    <xf numFmtId="164" fontId="2" fillId="0" borderId="0" xfId="0" applyNumberFormat="1" applyFont="1"/>
    <xf numFmtId="167" fontId="2" fillId="2" borderId="0" xfId="2" applyNumberFormat="1" applyFont="1" applyFill="1" applyAlignment="1">
      <alignment horizontal="center"/>
    </xf>
    <xf numFmtId="167" fontId="0" fillId="0" borderId="0" xfId="2" applyNumberFormat="1" applyFont="1"/>
    <xf numFmtId="167" fontId="0" fillId="2" borderId="0" xfId="2" applyNumberFormat="1" applyFont="1" applyFill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164" fontId="0" fillId="0" borderId="0" xfId="0" applyNumberFormat="1" applyFill="1"/>
    <xf numFmtId="164" fontId="2" fillId="0" borderId="0" xfId="2" applyFont="1" applyFill="1"/>
    <xf numFmtId="165" fontId="0" fillId="0" borderId="0" xfId="0" applyNumberForma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0" fillId="3" borderId="0" xfId="0" applyNumberFormat="1" applyFill="1"/>
    <xf numFmtId="0" fontId="0" fillId="0" borderId="0" xfId="0" applyFill="1" applyAlignment="1">
      <alignment horizontal="center"/>
    </xf>
    <xf numFmtId="167" fontId="0" fillId="0" borderId="0" xfId="2" applyNumberFormat="1" applyFont="1" applyAlignment="1">
      <alignment horizontal="center"/>
    </xf>
    <xf numFmtId="164" fontId="0" fillId="3" borderId="0" xfId="2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3" borderId="0" xfId="2" applyFont="1" applyFill="1"/>
    <xf numFmtId="164" fontId="2" fillId="3" borderId="0" xfId="0" applyNumberFormat="1" applyFont="1" applyFill="1"/>
    <xf numFmtId="164" fontId="2" fillId="2" borderId="0" xfId="2" applyFont="1" applyFill="1"/>
    <xf numFmtId="167" fontId="2" fillId="2" borderId="0" xfId="2" applyNumberFormat="1" applyFont="1" applyFill="1"/>
    <xf numFmtId="0" fontId="2" fillId="3" borderId="0" xfId="0" applyFont="1" applyFill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/>
  </sheetViews>
  <sheetFormatPr defaultRowHeight="15" x14ac:dyDescent="0.25"/>
  <cols>
    <col min="1" max="1" width="10.5703125" bestFit="1" customWidth="1"/>
    <col min="2" max="2" width="14.85546875" bestFit="1" customWidth="1"/>
    <col min="3" max="13" width="18.5703125" customWidth="1"/>
    <col min="14" max="14" width="14.42578125" customWidth="1"/>
    <col min="15" max="15" width="13.5703125" customWidth="1"/>
    <col min="16" max="17" width="11.42578125" style="17" customWidth="1"/>
    <col min="18" max="18" width="11.42578125" customWidth="1"/>
    <col min="19" max="19" width="10.42578125" customWidth="1"/>
    <col min="20" max="20" width="8.85546875" customWidth="1"/>
    <col min="21" max="21" width="12" bestFit="1" customWidth="1"/>
  </cols>
  <sheetData>
    <row r="1" spans="1:19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s="6" t="s">
        <v>33</v>
      </c>
      <c r="G1" s="6" t="s">
        <v>32</v>
      </c>
      <c r="H1" s="30" t="s">
        <v>27</v>
      </c>
      <c r="I1" s="30" t="s">
        <v>39</v>
      </c>
      <c r="J1" s="30" t="s">
        <v>38</v>
      </c>
      <c r="K1" s="1" t="s">
        <v>0</v>
      </c>
      <c r="L1" s="1" t="s">
        <v>17</v>
      </c>
      <c r="M1" s="1" t="s">
        <v>18</v>
      </c>
      <c r="N1" s="8" t="s">
        <v>21</v>
      </c>
      <c r="O1" s="8" t="s">
        <v>22</v>
      </c>
      <c r="P1" s="18" t="s">
        <v>34</v>
      </c>
      <c r="Q1" s="18" t="s">
        <v>46</v>
      </c>
      <c r="R1" s="8" t="s">
        <v>23</v>
      </c>
      <c r="S1" s="8" t="s">
        <v>24</v>
      </c>
    </row>
    <row r="2" spans="1:19" x14ac:dyDescent="0.25">
      <c r="A2">
        <v>2016</v>
      </c>
      <c r="B2" t="s">
        <v>11</v>
      </c>
      <c r="C2" s="6">
        <v>0</v>
      </c>
      <c r="D2" s="6">
        <v>150801.71000000008</v>
      </c>
      <c r="E2" s="6">
        <v>118876.90999999989</v>
      </c>
      <c r="H2" s="6">
        <f>SUM(C2,F2)</f>
        <v>0</v>
      </c>
      <c r="I2" s="6">
        <f>SUM(D2)</f>
        <v>150801.71000000008</v>
      </c>
      <c r="J2" s="6">
        <f>SUM(G2,E2)</f>
        <v>118876.90999999989</v>
      </c>
      <c r="K2" s="6"/>
      <c r="L2" s="6"/>
      <c r="M2" s="6"/>
      <c r="N2" s="6"/>
      <c r="O2" s="6"/>
      <c r="P2" s="19"/>
      <c r="Q2" s="19"/>
      <c r="R2" s="6"/>
    </row>
    <row r="3" spans="1:19" x14ac:dyDescent="0.25">
      <c r="B3" t="s">
        <v>12</v>
      </c>
      <c r="C3" s="6">
        <v>33244951.640000004</v>
      </c>
      <c r="D3" s="6">
        <v>0</v>
      </c>
      <c r="E3" s="6">
        <v>66491.559999999969</v>
      </c>
      <c r="F3" s="6">
        <v>168467</v>
      </c>
      <c r="G3" s="6">
        <f>F3*0.002</f>
        <v>336.93400000000003</v>
      </c>
      <c r="H3" s="6">
        <f t="shared" ref="H3:H23" si="0">SUM(C3,F3)</f>
        <v>33413418.640000004</v>
      </c>
      <c r="I3" s="6">
        <f t="shared" ref="I3:I23" si="1">SUM(D3)</f>
        <v>0</v>
      </c>
      <c r="J3" s="6">
        <f t="shared" ref="J3:J23" si="2">SUM(G3,E3)</f>
        <v>66828.493999999962</v>
      </c>
      <c r="K3" s="6"/>
      <c r="L3" s="6"/>
      <c r="M3" s="6"/>
      <c r="N3" s="6"/>
      <c r="O3" s="6"/>
      <c r="P3" s="19"/>
      <c r="Q3" s="19"/>
      <c r="R3" s="6"/>
    </row>
    <row r="4" spans="1:19" x14ac:dyDescent="0.25">
      <c r="B4" t="s">
        <v>13</v>
      </c>
      <c r="C4" s="6">
        <v>148724721.91000012</v>
      </c>
      <c r="D4" s="6">
        <v>0</v>
      </c>
      <c r="E4" s="6">
        <v>327193.21000000025</v>
      </c>
      <c r="F4" s="6">
        <v>784220</v>
      </c>
      <c r="G4" s="6">
        <f>F4*0.0022</f>
        <v>1725.2840000000001</v>
      </c>
      <c r="H4" s="6">
        <f t="shared" si="0"/>
        <v>149508941.91000012</v>
      </c>
      <c r="I4" s="6">
        <f t="shared" si="1"/>
        <v>0</v>
      </c>
      <c r="J4" s="6">
        <f t="shared" si="2"/>
        <v>328918.49400000024</v>
      </c>
      <c r="K4" s="6"/>
      <c r="L4" s="6"/>
      <c r="M4" s="6"/>
      <c r="N4" s="6"/>
      <c r="O4" s="6"/>
      <c r="P4" s="19"/>
      <c r="Q4" s="19"/>
      <c r="R4" s="6"/>
    </row>
    <row r="5" spans="1:19" x14ac:dyDescent="0.25">
      <c r="B5" t="s">
        <v>14</v>
      </c>
      <c r="C5" s="6">
        <v>0</v>
      </c>
      <c r="D5" s="6">
        <v>1641.2900000000002</v>
      </c>
      <c r="E5" s="6">
        <v>2680.62</v>
      </c>
      <c r="F5" s="6"/>
      <c r="G5" s="6"/>
      <c r="H5" s="6">
        <f t="shared" si="0"/>
        <v>0</v>
      </c>
      <c r="I5" s="6">
        <f t="shared" si="1"/>
        <v>1641.2900000000002</v>
      </c>
      <c r="J5" s="6">
        <f t="shared" si="2"/>
        <v>2680.62</v>
      </c>
      <c r="K5" s="6"/>
      <c r="L5" s="6"/>
      <c r="M5" s="6"/>
      <c r="N5" s="6"/>
      <c r="O5" s="6"/>
      <c r="P5" s="19"/>
      <c r="Q5" s="19"/>
      <c r="R5" s="6"/>
    </row>
    <row r="6" spans="1:19" x14ac:dyDescent="0.25">
      <c r="B6" t="s">
        <v>15</v>
      </c>
      <c r="C6" s="6">
        <v>106309.43999999981</v>
      </c>
      <c r="D6" s="6">
        <v>0</v>
      </c>
      <c r="E6" s="6">
        <v>183.45000000000027</v>
      </c>
      <c r="F6" s="6">
        <v>816</v>
      </c>
      <c r="G6" s="6">
        <f>F6*0.001685</f>
        <v>1.37496</v>
      </c>
      <c r="H6" s="6">
        <f t="shared" si="0"/>
        <v>107125.43999999981</v>
      </c>
      <c r="I6" s="6">
        <f t="shared" si="1"/>
        <v>0</v>
      </c>
      <c r="J6" s="6">
        <f t="shared" si="2"/>
        <v>184.82496000000026</v>
      </c>
      <c r="K6" s="6"/>
      <c r="L6" s="6"/>
      <c r="M6" s="6"/>
      <c r="N6" s="6"/>
      <c r="O6" s="6"/>
      <c r="P6" s="19"/>
      <c r="Q6" s="19"/>
      <c r="R6" s="6"/>
    </row>
    <row r="7" spans="1:19" x14ac:dyDescent="0.25">
      <c r="B7" t="s">
        <v>16</v>
      </c>
      <c r="C7" s="6">
        <v>461892</v>
      </c>
      <c r="D7" s="6">
        <v>0</v>
      </c>
      <c r="E7" s="6">
        <v>922.19999999999982</v>
      </c>
      <c r="F7" s="6">
        <v>3542.4</v>
      </c>
      <c r="G7" s="6">
        <f>F7*0.002</f>
        <v>7.0848000000000004</v>
      </c>
      <c r="H7" s="6">
        <f t="shared" si="0"/>
        <v>465434.4</v>
      </c>
      <c r="I7" s="6">
        <f t="shared" si="1"/>
        <v>0</v>
      </c>
      <c r="J7" s="6">
        <f t="shared" si="2"/>
        <v>929.28479999999979</v>
      </c>
      <c r="K7" s="6"/>
      <c r="L7" s="6"/>
      <c r="M7" s="6"/>
      <c r="N7" s="6"/>
      <c r="O7" s="6"/>
      <c r="P7" s="19"/>
      <c r="Q7" s="19"/>
      <c r="R7" s="6"/>
    </row>
    <row r="8" spans="1:19" x14ac:dyDescent="0.25">
      <c r="A8" s="11" t="s">
        <v>6</v>
      </c>
      <c r="B8" s="11"/>
      <c r="C8" s="12">
        <v>182537874.99000013</v>
      </c>
      <c r="D8" s="12">
        <v>152443.00000000009</v>
      </c>
      <c r="E8" s="27">
        <v>516347.95000000013</v>
      </c>
      <c r="F8" s="27">
        <f>SUM(F1:F7)</f>
        <v>957045.4</v>
      </c>
      <c r="G8" s="27">
        <f>SUM(G1:G7)</f>
        <v>2070.6777600000005</v>
      </c>
      <c r="H8" s="12">
        <f t="shared" si="0"/>
        <v>183494920.39000013</v>
      </c>
      <c r="I8" s="12">
        <f t="shared" si="1"/>
        <v>152443.00000000009</v>
      </c>
      <c r="J8" s="12">
        <f t="shared" si="2"/>
        <v>518418.62776000012</v>
      </c>
      <c r="K8" s="7">
        <f>95743.13+84186.74+79855.15+100087.59+88657.8+96283.34+86308.9+87417.18+94358.19+72349.53+102494.4+118131.6</f>
        <v>1105873.55</v>
      </c>
      <c r="L8" s="7">
        <v>260937355</v>
      </c>
      <c r="M8" s="7">
        <v>665463</v>
      </c>
      <c r="N8" s="6">
        <f>K8-J8</f>
        <v>587454.92223999999</v>
      </c>
      <c r="O8" s="6">
        <v>583100</v>
      </c>
      <c r="P8" s="19">
        <v>4221.5600000000004</v>
      </c>
      <c r="Q8" s="19">
        <f>2201.64-G8</f>
        <v>130.96223999999938</v>
      </c>
      <c r="R8" s="6">
        <f>N8-O8-P8-Q8</f>
        <v>2.399999999985539</v>
      </c>
      <c r="S8" s="3">
        <f>R8/O8</f>
        <v>4.115932087095762E-6</v>
      </c>
    </row>
    <row r="9" spans="1:19" x14ac:dyDescent="0.25">
      <c r="A9">
        <v>2017</v>
      </c>
      <c r="B9" t="s">
        <v>11</v>
      </c>
      <c r="C9" s="6">
        <v>0</v>
      </c>
      <c r="D9" s="6">
        <v>163068.30000000002</v>
      </c>
      <c r="E9" s="5">
        <v>128546.79000000002</v>
      </c>
      <c r="F9" s="5"/>
      <c r="G9" s="5"/>
      <c r="H9" s="6">
        <f t="shared" si="0"/>
        <v>0</v>
      </c>
      <c r="I9" s="6">
        <f t="shared" si="1"/>
        <v>163068.30000000002</v>
      </c>
      <c r="J9" s="6">
        <f t="shared" si="2"/>
        <v>128546.79000000002</v>
      </c>
      <c r="K9" s="6"/>
      <c r="L9" s="6"/>
      <c r="M9" s="6"/>
      <c r="N9" s="6"/>
      <c r="O9" s="6"/>
      <c r="P9" s="19"/>
      <c r="Q9" s="19"/>
      <c r="R9" s="6"/>
    </row>
    <row r="10" spans="1:19" x14ac:dyDescent="0.25">
      <c r="B10" t="s">
        <v>12</v>
      </c>
      <c r="C10" s="6">
        <v>31683692.080000006</v>
      </c>
      <c r="D10" s="6">
        <v>110.04</v>
      </c>
      <c r="E10" s="5">
        <v>63460.84</v>
      </c>
      <c r="F10" s="5">
        <v>161789.37900000002</v>
      </c>
      <c r="G10" s="5">
        <f>F10*0.0024</f>
        <v>388.29450960000003</v>
      </c>
      <c r="H10" s="6">
        <f t="shared" si="0"/>
        <v>31845481.459000006</v>
      </c>
      <c r="I10" s="6">
        <f t="shared" si="1"/>
        <v>110.04</v>
      </c>
      <c r="J10" s="6">
        <f t="shared" si="2"/>
        <v>63849.134509599993</v>
      </c>
      <c r="K10" s="6"/>
      <c r="L10" s="6"/>
      <c r="M10" s="6"/>
      <c r="N10" s="6"/>
      <c r="O10" s="6"/>
      <c r="P10" s="19"/>
      <c r="Q10" s="19"/>
      <c r="R10" s="6"/>
    </row>
    <row r="11" spans="1:19" x14ac:dyDescent="0.25">
      <c r="B11" t="s">
        <v>13</v>
      </c>
      <c r="C11" s="6">
        <v>143840903.61000007</v>
      </c>
      <c r="D11" s="6">
        <v>0</v>
      </c>
      <c r="E11" s="5">
        <v>316450.24999999977</v>
      </c>
      <c r="F11" s="5">
        <v>813258.125</v>
      </c>
      <c r="G11" s="5">
        <f>F11*0.0025</f>
        <v>2033.1453125</v>
      </c>
      <c r="H11" s="6">
        <f t="shared" si="0"/>
        <v>144654161.73500007</v>
      </c>
      <c r="I11" s="6">
        <f t="shared" si="1"/>
        <v>0</v>
      </c>
      <c r="J11" s="6">
        <f t="shared" si="2"/>
        <v>318483.39531249978</v>
      </c>
      <c r="K11" s="6"/>
      <c r="L11" s="6"/>
      <c r="M11" s="6"/>
      <c r="N11" s="6"/>
      <c r="O11" s="6"/>
      <c r="P11" s="19"/>
      <c r="Q11" s="19"/>
      <c r="R11" s="6"/>
    </row>
    <row r="12" spans="1:19" x14ac:dyDescent="0.25">
      <c r="B12" t="s">
        <v>14</v>
      </c>
      <c r="C12" s="6">
        <v>0</v>
      </c>
      <c r="D12" s="6">
        <v>1740.84</v>
      </c>
      <c r="E12" s="5">
        <v>2843.18</v>
      </c>
      <c r="F12" s="5"/>
      <c r="G12" s="5"/>
      <c r="H12" s="6">
        <f t="shared" si="0"/>
        <v>0</v>
      </c>
      <c r="I12" s="6">
        <f t="shared" si="1"/>
        <v>1740.84</v>
      </c>
      <c r="J12" s="6">
        <f t="shared" si="2"/>
        <v>2843.18</v>
      </c>
      <c r="K12" s="6"/>
      <c r="L12" s="6"/>
      <c r="M12" s="6"/>
      <c r="N12" s="6"/>
      <c r="O12" s="6"/>
      <c r="P12" s="19"/>
      <c r="Q12" s="19"/>
      <c r="R12" s="6"/>
    </row>
    <row r="13" spans="1:19" x14ac:dyDescent="0.25">
      <c r="B13" t="s">
        <v>15</v>
      </c>
      <c r="C13" s="6">
        <v>103254.41999999997</v>
      </c>
      <c r="D13" s="6">
        <v>0</v>
      </c>
      <c r="E13" s="5">
        <v>178.18000000000026</v>
      </c>
      <c r="F13" s="5">
        <v>816</v>
      </c>
      <c r="G13" s="5">
        <f>F13*0.002884</f>
        <v>2.3533439999999999</v>
      </c>
      <c r="H13" s="6">
        <f t="shared" si="0"/>
        <v>104070.41999999997</v>
      </c>
      <c r="I13" s="6">
        <f t="shared" si="1"/>
        <v>0</v>
      </c>
      <c r="J13" s="6">
        <f t="shared" si="2"/>
        <v>180.53334400000026</v>
      </c>
      <c r="K13" s="6"/>
      <c r="L13" s="6"/>
      <c r="M13" s="6"/>
      <c r="N13" s="6"/>
      <c r="O13" s="6"/>
      <c r="P13" s="19"/>
      <c r="Q13" s="19"/>
      <c r="R13" s="6"/>
    </row>
    <row r="14" spans="1:19" x14ac:dyDescent="0.25">
      <c r="B14" t="s">
        <v>16</v>
      </c>
      <c r="C14" s="6">
        <v>460198</v>
      </c>
      <c r="D14" s="6">
        <v>0</v>
      </c>
      <c r="E14" s="5">
        <v>918.83999999999969</v>
      </c>
      <c r="F14" s="5">
        <v>3542.4</v>
      </c>
      <c r="G14" s="5">
        <f>F14*0.0024</f>
        <v>8.5017599999999991</v>
      </c>
      <c r="H14" s="6">
        <f t="shared" si="0"/>
        <v>463740.4</v>
      </c>
      <c r="I14" s="6">
        <f t="shared" si="1"/>
        <v>0</v>
      </c>
      <c r="J14" s="6">
        <f t="shared" si="2"/>
        <v>927.34175999999968</v>
      </c>
      <c r="K14" s="6"/>
      <c r="L14" s="6"/>
      <c r="M14" s="6"/>
      <c r="N14" s="6"/>
      <c r="O14" s="6"/>
      <c r="P14" s="19"/>
      <c r="Q14" s="19"/>
      <c r="R14" s="6"/>
    </row>
    <row r="15" spans="1:19" x14ac:dyDescent="0.25">
      <c r="A15" s="11" t="s">
        <v>7</v>
      </c>
      <c r="B15" s="11"/>
      <c r="C15" s="12">
        <v>176088048.11000007</v>
      </c>
      <c r="D15" s="12">
        <v>164919.18000000002</v>
      </c>
      <c r="E15" s="27">
        <v>512398.07999999978</v>
      </c>
      <c r="F15" s="27">
        <f>SUM(F9:F14)</f>
        <v>979405.90399999998</v>
      </c>
      <c r="G15" s="27">
        <f>SUM(G9:G14)</f>
        <v>2432.2949261000003</v>
      </c>
      <c r="H15" s="12">
        <f t="shared" si="0"/>
        <v>177067454.01400009</v>
      </c>
      <c r="I15" s="12">
        <f t="shared" si="1"/>
        <v>164919.18000000002</v>
      </c>
      <c r="J15" s="12">
        <f t="shared" si="2"/>
        <v>514830.37492609979</v>
      </c>
      <c r="K15" s="7">
        <f>83170.86+76222.65+76191.53+66482.38+68853.38+83465.11+84307.72+78753.85+95320.74+64194.77+92785.98+92973.5</f>
        <v>962722.47</v>
      </c>
      <c r="L15" s="7">
        <v>259404956</v>
      </c>
      <c r="M15" s="7">
        <v>558628</v>
      </c>
      <c r="N15" s="6">
        <f>K15-J15</f>
        <v>447892.09507390019</v>
      </c>
      <c r="O15" s="6">
        <v>445237</v>
      </c>
      <c r="P15" s="19">
        <v>3016.93</v>
      </c>
      <c r="Q15" s="19">
        <f>2070.68-G15</f>
        <v>-361.6149261000005</v>
      </c>
      <c r="R15" s="6">
        <f>N15-O15-P15-Q15</f>
        <v>-0.21999999981380824</v>
      </c>
      <c r="S15" s="3">
        <f>R15/O15</f>
        <v>-4.9411886212019269E-7</v>
      </c>
    </row>
    <row r="16" spans="1:19" x14ac:dyDescent="0.25">
      <c r="A16">
        <v>2018</v>
      </c>
      <c r="B16" t="s">
        <v>11</v>
      </c>
      <c r="C16" s="6">
        <v>0</v>
      </c>
      <c r="D16" s="6">
        <v>167814.95999999996</v>
      </c>
      <c r="E16" s="5">
        <v>188263.55000000005</v>
      </c>
      <c r="F16" s="5"/>
      <c r="G16" s="5"/>
      <c r="H16" s="6">
        <f t="shared" si="0"/>
        <v>0</v>
      </c>
      <c r="I16" s="6">
        <f t="shared" si="1"/>
        <v>167814.95999999996</v>
      </c>
      <c r="J16" s="6">
        <f t="shared" si="2"/>
        <v>188263.55000000005</v>
      </c>
      <c r="K16" s="6"/>
      <c r="L16" s="6"/>
      <c r="M16" s="6"/>
      <c r="N16" s="6"/>
      <c r="O16" s="6"/>
      <c r="P16" s="19"/>
      <c r="Q16" s="19"/>
      <c r="R16" s="6"/>
    </row>
    <row r="17" spans="1:19" x14ac:dyDescent="0.25">
      <c r="B17" t="s">
        <v>12</v>
      </c>
      <c r="C17" s="6">
        <v>36836391.089999974</v>
      </c>
      <c r="D17" s="6">
        <v>0</v>
      </c>
      <c r="E17" s="5">
        <v>81946.010000000024</v>
      </c>
      <c r="F17" s="5">
        <v>33380.468959999998</v>
      </c>
      <c r="G17" s="5">
        <f>F17*0.0024</f>
        <v>80.113125503999996</v>
      </c>
      <c r="H17" s="6">
        <f t="shared" si="0"/>
        <v>36869771.558959976</v>
      </c>
      <c r="I17" s="6">
        <f t="shared" si="1"/>
        <v>0</v>
      </c>
      <c r="J17" s="6">
        <f t="shared" si="2"/>
        <v>82026.123125504018</v>
      </c>
      <c r="K17" s="6"/>
      <c r="L17" s="6"/>
      <c r="M17" s="6"/>
      <c r="N17" s="6"/>
      <c r="O17" s="6"/>
      <c r="P17" s="19"/>
      <c r="Q17" s="19"/>
      <c r="R17" s="6"/>
    </row>
    <row r="18" spans="1:19" x14ac:dyDescent="0.25">
      <c r="B18" t="s">
        <v>13</v>
      </c>
      <c r="C18" s="6">
        <v>161617198.24000001</v>
      </c>
      <c r="D18" s="6">
        <v>0</v>
      </c>
      <c r="E18" s="5">
        <v>382454.01999999996</v>
      </c>
      <c r="F18" s="5">
        <v>189112.01199999993</v>
      </c>
      <c r="G18" s="5">
        <f>F18*0.0025</f>
        <v>472.78002999999984</v>
      </c>
      <c r="H18" s="6">
        <f t="shared" si="0"/>
        <v>161806310.252</v>
      </c>
      <c r="I18" s="6">
        <f t="shared" si="1"/>
        <v>0</v>
      </c>
      <c r="J18" s="6">
        <f t="shared" si="2"/>
        <v>382926.80002999998</v>
      </c>
      <c r="K18" s="6"/>
      <c r="L18" s="6"/>
      <c r="M18" s="6"/>
      <c r="N18" s="6"/>
      <c r="O18" s="6"/>
      <c r="P18" s="19"/>
      <c r="Q18" s="19"/>
      <c r="R18" s="6"/>
    </row>
    <row r="19" spans="1:19" x14ac:dyDescent="0.25">
      <c r="B19" t="s">
        <v>14</v>
      </c>
      <c r="C19" s="6">
        <v>0</v>
      </c>
      <c r="D19" s="6">
        <v>1859.9499999999998</v>
      </c>
      <c r="E19" s="5">
        <v>2016.6399999999996</v>
      </c>
      <c r="F19" s="5"/>
      <c r="G19" s="5"/>
      <c r="H19" s="6">
        <f t="shared" si="0"/>
        <v>0</v>
      </c>
      <c r="I19" s="6">
        <f t="shared" si="1"/>
        <v>1859.9499999999998</v>
      </c>
      <c r="J19" s="6">
        <f t="shared" si="2"/>
        <v>2016.6399999999996</v>
      </c>
      <c r="K19" s="6"/>
      <c r="L19" s="6"/>
      <c r="M19" s="6"/>
      <c r="N19" s="6"/>
      <c r="O19" s="6"/>
      <c r="P19" s="19"/>
      <c r="Q19" s="19"/>
      <c r="R19" s="6"/>
    </row>
    <row r="20" spans="1:19" x14ac:dyDescent="0.25">
      <c r="B20" t="s">
        <v>15</v>
      </c>
      <c r="C20" s="6">
        <v>106313.21999999987</v>
      </c>
      <c r="D20" s="6">
        <v>0</v>
      </c>
      <c r="E20" s="5">
        <v>256.47999999999996</v>
      </c>
      <c r="F20" s="5">
        <v>84</v>
      </c>
      <c r="G20" s="5">
        <f>F20*0.002884</f>
        <v>0.242256</v>
      </c>
      <c r="H20" s="6">
        <f t="shared" si="0"/>
        <v>106397.21999999987</v>
      </c>
      <c r="I20" s="6">
        <f t="shared" si="1"/>
        <v>0</v>
      </c>
      <c r="J20" s="6">
        <f t="shared" si="2"/>
        <v>256.72225599999996</v>
      </c>
      <c r="K20" s="6"/>
      <c r="L20" s="6"/>
      <c r="M20" s="6"/>
      <c r="N20" s="6"/>
      <c r="O20" s="6"/>
      <c r="P20" s="19"/>
      <c r="Q20" s="19"/>
      <c r="R20" s="6"/>
    </row>
    <row r="21" spans="1:19" x14ac:dyDescent="0.25">
      <c r="B21" t="s">
        <v>16</v>
      </c>
      <c r="C21" s="6">
        <v>480350</v>
      </c>
      <c r="D21" s="6">
        <v>0</v>
      </c>
      <c r="E21" s="5">
        <v>1076.1299999999997</v>
      </c>
      <c r="F21" s="5">
        <v>590.4</v>
      </c>
      <c r="G21" s="5">
        <f>F21*0.0024</f>
        <v>1.4169599999999998</v>
      </c>
      <c r="H21" s="6">
        <f t="shared" si="0"/>
        <v>480940.4</v>
      </c>
      <c r="I21" s="6">
        <f t="shared" si="1"/>
        <v>0</v>
      </c>
      <c r="J21" s="6">
        <f t="shared" si="2"/>
        <v>1077.5469599999997</v>
      </c>
      <c r="K21" s="6"/>
      <c r="L21" s="6"/>
      <c r="M21" s="6"/>
      <c r="N21" s="6"/>
      <c r="O21" s="6"/>
      <c r="P21" s="19"/>
      <c r="Q21" s="19"/>
      <c r="R21" s="6"/>
    </row>
    <row r="22" spans="1:19" x14ac:dyDescent="0.25">
      <c r="A22" s="11" t="s">
        <v>8</v>
      </c>
      <c r="B22" s="11"/>
      <c r="C22" s="12">
        <v>199040252.54999998</v>
      </c>
      <c r="D22" s="12">
        <v>169674.90999999997</v>
      </c>
      <c r="E22" s="27">
        <v>656012.83000000007</v>
      </c>
      <c r="F22" s="27">
        <f>SUM(F16:F21)</f>
        <v>223166.88095999992</v>
      </c>
      <c r="G22" s="27">
        <f>SUM(G16:G21)</f>
        <v>554.55237150399989</v>
      </c>
      <c r="H22" s="12">
        <f t="shared" si="0"/>
        <v>199263419.43095997</v>
      </c>
      <c r="I22" s="12">
        <f t="shared" si="1"/>
        <v>169674.90999999997</v>
      </c>
      <c r="J22" s="12">
        <f>SUM(G22,E22)</f>
        <v>656567.38237150409</v>
      </c>
      <c r="K22" s="7">
        <f>94846.06+66114.06+62779.75+76397.12+72752.72+80033.82+95776.87+105374.24+94141.61+57106.42+65246.11+66045.93</f>
        <v>936614.71</v>
      </c>
      <c r="L22" s="7">
        <v>281947644</v>
      </c>
      <c r="M22" s="7">
        <v>677762</v>
      </c>
      <c r="N22" s="6">
        <f>K22-J22</f>
        <v>280047.32762849587</v>
      </c>
      <c r="O22" s="6">
        <v>265570</v>
      </c>
      <c r="P22" s="19">
        <v>13301.01</v>
      </c>
      <c r="Q22" s="19">
        <f>1737.84-G22</f>
        <v>1183.287628496</v>
      </c>
      <c r="R22" s="6">
        <f>N22-O22-P22-Q22</f>
        <v>-6.970000000130085</v>
      </c>
      <c r="S22" s="3">
        <f>R22/O22</f>
        <v>-2.6245434349249107E-5</v>
      </c>
    </row>
    <row r="23" spans="1:19" x14ac:dyDescent="0.25">
      <c r="A23" t="s">
        <v>9</v>
      </c>
      <c r="C23" s="6">
        <v>557666175.65000021</v>
      </c>
      <c r="D23" s="6">
        <v>487037.09000000008</v>
      </c>
      <c r="E23" s="6">
        <v>1684758.8599999999</v>
      </c>
      <c r="F23" s="6">
        <f>SUM(F8,F15,F22)</f>
        <v>2159618.1849599998</v>
      </c>
      <c r="G23" s="6">
        <f>SUM(G22,G15,G8)</f>
        <v>5057.5250576040007</v>
      </c>
      <c r="H23" s="6">
        <f t="shared" si="0"/>
        <v>559825793.83496022</v>
      </c>
      <c r="I23" s="6">
        <f t="shared" si="1"/>
        <v>487037.09000000008</v>
      </c>
      <c r="J23" s="6">
        <f t="shared" si="2"/>
        <v>1689816.3850576039</v>
      </c>
      <c r="K23" s="6"/>
      <c r="L23" s="6"/>
      <c r="M23" s="6"/>
      <c r="N23" s="6"/>
      <c r="O23" s="6"/>
      <c r="P23" s="19"/>
      <c r="Q23" s="19"/>
      <c r="R23" s="6"/>
    </row>
    <row r="25" spans="1:19" x14ac:dyDescent="0.25">
      <c r="C25" s="1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/>
  </sheetViews>
  <sheetFormatPr defaultRowHeight="15" x14ac:dyDescent="0.25"/>
  <cols>
    <col min="1" max="1" width="10.5703125" bestFit="1" customWidth="1"/>
    <col min="2" max="2" width="14.85546875" bestFit="1" customWidth="1"/>
    <col min="3" max="5" width="17.5703125" customWidth="1"/>
    <col min="6" max="10" width="18.5703125" customWidth="1"/>
    <col min="11" max="15" width="17.5703125" customWidth="1"/>
    <col min="16" max="17" width="11.42578125" style="17" customWidth="1"/>
    <col min="18" max="19" width="17.5703125" customWidth="1"/>
  </cols>
  <sheetData>
    <row r="1" spans="1:19" x14ac:dyDescent="0.25">
      <c r="A1" t="s">
        <v>1</v>
      </c>
      <c r="B1" t="s">
        <v>2</v>
      </c>
      <c r="C1" t="s">
        <v>3</v>
      </c>
      <c r="D1" t="s">
        <v>4</v>
      </c>
      <c r="E1" s="4" t="s">
        <v>5</v>
      </c>
      <c r="F1" s="4" t="s">
        <v>33</v>
      </c>
      <c r="G1" s="4" t="s">
        <v>32</v>
      </c>
      <c r="H1" s="30" t="s">
        <v>27</v>
      </c>
      <c r="I1" s="30" t="s">
        <v>39</v>
      </c>
      <c r="J1" s="30" t="s">
        <v>38</v>
      </c>
      <c r="K1" s="1" t="s">
        <v>0</v>
      </c>
      <c r="L1" s="1" t="s">
        <v>17</v>
      </c>
      <c r="M1" s="1" t="s">
        <v>18</v>
      </c>
      <c r="N1" s="8" t="s">
        <v>21</v>
      </c>
      <c r="O1" s="8" t="s">
        <v>22</v>
      </c>
      <c r="P1" s="18" t="s">
        <v>34</v>
      </c>
      <c r="Q1" s="18" t="s">
        <v>46</v>
      </c>
      <c r="R1" s="8" t="s">
        <v>23</v>
      </c>
      <c r="S1" s="8" t="s">
        <v>24</v>
      </c>
    </row>
    <row r="2" spans="1:19" x14ac:dyDescent="0.25">
      <c r="A2">
        <v>2016</v>
      </c>
      <c r="B2" t="s">
        <v>11</v>
      </c>
      <c r="C2" s="6">
        <v>0</v>
      </c>
      <c r="D2" s="6">
        <v>150093.22000000012</v>
      </c>
      <c r="E2" s="5">
        <v>308673.99000000005</v>
      </c>
      <c r="F2" s="5"/>
      <c r="G2" s="5"/>
      <c r="H2" s="5">
        <f>SUM(C2,F2)</f>
        <v>0</v>
      </c>
      <c r="I2" s="5">
        <f>SUM(D2)</f>
        <v>150093.22000000012</v>
      </c>
      <c r="J2" s="5">
        <f>SUM(G2,E2)</f>
        <v>308673.99000000005</v>
      </c>
      <c r="K2" s="6"/>
      <c r="P2" s="19"/>
      <c r="Q2" s="19"/>
    </row>
    <row r="3" spans="1:19" x14ac:dyDescent="0.25">
      <c r="B3" t="s">
        <v>12</v>
      </c>
      <c r="C3" s="6">
        <v>35644489.05999998</v>
      </c>
      <c r="D3" s="6">
        <v>0</v>
      </c>
      <c r="E3" s="5">
        <v>187422.81000000006</v>
      </c>
      <c r="F3" s="5">
        <v>180647.16409999999</v>
      </c>
      <c r="G3" s="5">
        <v>939.36525331999997</v>
      </c>
      <c r="H3" s="5">
        <f t="shared" ref="H3:H23" si="0">SUM(C3,F3)</f>
        <v>35825136.224099979</v>
      </c>
      <c r="I3" s="5">
        <f t="shared" ref="I3:I23" si="1">SUM(D3)</f>
        <v>0</v>
      </c>
      <c r="J3" s="5">
        <f t="shared" ref="J3:J23" si="2">SUM(G3,E3)</f>
        <v>188362.17525332005</v>
      </c>
      <c r="K3" s="6"/>
      <c r="P3" s="19"/>
      <c r="Q3" s="19"/>
    </row>
    <row r="4" spans="1:19" x14ac:dyDescent="0.25">
      <c r="B4" t="s">
        <v>13</v>
      </c>
      <c r="C4" s="6">
        <v>159477518.54000002</v>
      </c>
      <c r="D4" s="6">
        <v>0</v>
      </c>
      <c r="E4" s="5">
        <v>920302.31000000029</v>
      </c>
      <c r="F4" s="5">
        <v>840919.10600000003</v>
      </c>
      <c r="G4" s="5">
        <v>4793.2389042000004</v>
      </c>
      <c r="H4" s="5">
        <f t="shared" si="0"/>
        <v>160318437.64600003</v>
      </c>
      <c r="I4" s="5">
        <f t="shared" si="1"/>
        <v>0</v>
      </c>
      <c r="J4" s="5">
        <f t="shared" si="2"/>
        <v>925095.54890420032</v>
      </c>
      <c r="K4" s="6"/>
      <c r="P4" s="19"/>
      <c r="Q4" s="19"/>
    </row>
    <row r="5" spans="1:19" x14ac:dyDescent="0.25">
      <c r="B5" t="s">
        <v>14</v>
      </c>
      <c r="C5" s="6">
        <v>0</v>
      </c>
      <c r="D5" s="6">
        <v>679.48</v>
      </c>
      <c r="E5" s="5">
        <v>1107.3600000000001</v>
      </c>
      <c r="F5" s="5"/>
      <c r="G5" s="5"/>
      <c r="H5" s="5">
        <f t="shared" si="0"/>
        <v>0</v>
      </c>
      <c r="I5" s="5">
        <f t="shared" si="1"/>
        <v>679.48</v>
      </c>
      <c r="J5" s="5">
        <f t="shared" si="2"/>
        <v>1107.3600000000001</v>
      </c>
      <c r="K5" s="6"/>
      <c r="P5" s="19"/>
      <c r="Q5" s="19"/>
    </row>
    <row r="6" spans="1:19" x14ac:dyDescent="0.25">
      <c r="B6" t="s">
        <v>15</v>
      </c>
      <c r="C6" s="6">
        <v>113988.02999999969</v>
      </c>
      <c r="D6" s="6">
        <v>0</v>
      </c>
      <c r="E6" s="5">
        <v>506.50999999999868</v>
      </c>
      <c r="F6" s="5">
        <v>874.99680000000001</v>
      </c>
      <c r="G6" s="5">
        <v>3.8779858176000004</v>
      </c>
      <c r="H6" s="5">
        <f t="shared" si="0"/>
        <v>114863.02679999969</v>
      </c>
      <c r="I6" s="5">
        <f t="shared" si="1"/>
        <v>0</v>
      </c>
      <c r="J6" s="5">
        <f t="shared" si="2"/>
        <v>510.38798581759869</v>
      </c>
      <c r="K6" s="6"/>
      <c r="P6" s="19"/>
      <c r="Q6" s="19"/>
    </row>
    <row r="7" spans="1:19" x14ac:dyDescent="0.25">
      <c r="B7" t="s">
        <v>16</v>
      </c>
      <c r="C7" s="6">
        <v>495285.49</v>
      </c>
      <c r="D7" s="6">
        <v>0</v>
      </c>
      <c r="E7" s="5">
        <v>2604.4900000000002</v>
      </c>
      <c r="F7" s="5">
        <v>3798.5155200000004</v>
      </c>
      <c r="G7" s="5">
        <v>19.752280704</v>
      </c>
      <c r="H7" s="5">
        <f t="shared" si="0"/>
        <v>499084.00552000001</v>
      </c>
      <c r="I7" s="5">
        <f t="shared" si="1"/>
        <v>0</v>
      </c>
      <c r="J7" s="5">
        <f t="shared" si="2"/>
        <v>2624.2422807040002</v>
      </c>
      <c r="K7" s="6"/>
      <c r="P7" s="19"/>
      <c r="Q7" s="19"/>
    </row>
    <row r="8" spans="1:19" x14ac:dyDescent="0.25">
      <c r="A8" t="s">
        <v>6</v>
      </c>
      <c r="C8" s="6">
        <v>195731281.12</v>
      </c>
      <c r="D8" s="6">
        <v>150772.70000000013</v>
      </c>
      <c r="E8" s="5">
        <v>1420617.4700000004</v>
      </c>
      <c r="F8" s="5">
        <f>SUM(F2:F7)</f>
        <v>1026239.7824200001</v>
      </c>
      <c r="G8" s="5">
        <f>SUM(G3:G7)</f>
        <v>5756.2344240416014</v>
      </c>
      <c r="H8" s="27">
        <f t="shared" si="0"/>
        <v>196757520.90242001</v>
      </c>
      <c r="I8" s="5">
        <f t="shared" si="1"/>
        <v>150772.70000000013</v>
      </c>
      <c r="J8" s="27">
        <f t="shared" si="2"/>
        <v>1426373.704424042</v>
      </c>
      <c r="K8" s="7">
        <f>190439.09+150595.16+149478.03+193435.97+161042.72+193993.45+172186.99+174539.56+190276.43+130869.37+204607.44+236974.27</f>
        <v>2148438.48</v>
      </c>
      <c r="L8" s="1">
        <v>260937355</v>
      </c>
      <c r="M8" s="1">
        <v>665463</v>
      </c>
      <c r="N8" s="5">
        <f>K8-J8</f>
        <v>722064.77557595796</v>
      </c>
      <c r="O8" s="5">
        <v>726323</v>
      </c>
      <c r="P8" s="19">
        <v>-5482.71</v>
      </c>
      <c r="Q8" s="19">
        <f>6973.62-G8</f>
        <v>1217.3855759583985</v>
      </c>
      <c r="R8" s="5">
        <f>N8-O8-P8-Q8</f>
        <v>7.0999999995610779</v>
      </c>
      <c r="S8" s="3">
        <f>R8/O8</f>
        <v>9.7752652739360832E-6</v>
      </c>
    </row>
    <row r="9" spans="1:19" x14ac:dyDescent="0.25">
      <c r="A9">
        <v>2017</v>
      </c>
      <c r="B9" t="s">
        <v>11</v>
      </c>
      <c r="C9" s="6">
        <v>0</v>
      </c>
      <c r="D9" s="6">
        <v>162679.62000000011</v>
      </c>
      <c r="E9" s="5">
        <v>331560.49</v>
      </c>
      <c r="F9" s="5"/>
      <c r="G9" s="5"/>
      <c r="H9" s="5">
        <f t="shared" si="0"/>
        <v>0</v>
      </c>
      <c r="I9" s="5">
        <f t="shared" si="1"/>
        <v>162679.62000000011</v>
      </c>
      <c r="J9" s="5">
        <f t="shared" si="2"/>
        <v>331560.49</v>
      </c>
      <c r="K9" s="6"/>
      <c r="N9" s="5"/>
      <c r="O9" s="5"/>
      <c r="P9" s="19"/>
      <c r="Q9" s="19"/>
      <c r="R9" s="5"/>
    </row>
    <row r="10" spans="1:19" x14ac:dyDescent="0.25">
      <c r="B10" t="s">
        <v>12</v>
      </c>
      <c r="C10" s="6">
        <v>33970699.610000007</v>
      </c>
      <c r="D10" s="6">
        <v>110.04</v>
      </c>
      <c r="E10" s="5">
        <v>176897.26</v>
      </c>
      <c r="F10" s="5">
        <v>173486.75110170001</v>
      </c>
      <c r="G10" s="5">
        <v>902.13110572884</v>
      </c>
      <c r="H10" s="5">
        <f t="shared" si="0"/>
        <v>34144186.361101709</v>
      </c>
      <c r="I10" s="5">
        <f t="shared" si="1"/>
        <v>110.04</v>
      </c>
      <c r="J10" s="5">
        <f t="shared" si="2"/>
        <v>177799.39110572884</v>
      </c>
      <c r="K10" s="6"/>
      <c r="N10" s="5"/>
      <c r="O10" s="5"/>
      <c r="P10" s="19"/>
      <c r="Q10" s="19"/>
      <c r="R10" s="5"/>
    </row>
    <row r="11" spans="1:19" x14ac:dyDescent="0.25">
      <c r="B11" t="s">
        <v>13</v>
      </c>
      <c r="C11" s="6">
        <v>154240602.54000005</v>
      </c>
      <c r="D11" s="6">
        <v>0</v>
      </c>
      <c r="E11" s="5">
        <v>879170.69000000018</v>
      </c>
      <c r="F11" s="5">
        <v>872056.68743749999</v>
      </c>
      <c r="G11" s="5">
        <v>4970.7231183937502</v>
      </c>
      <c r="H11" s="5">
        <f t="shared" si="0"/>
        <v>155112659.22743756</v>
      </c>
      <c r="I11" s="5">
        <f t="shared" si="1"/>
        <v>0</v>
      </c>
      <c r="J11" s="5">
        <f t="shared" si="2"/>
        <v>884141.41311839398</v>
      </c>
      <c r="K11" s="6"/>
      <c r="N11" s="5"/>
      <c r="O11" s="5"/>
      <c r="P11" s="19"/>
      <c r="Q11" s="19"/>
      <c r="R11" s="5"/>
    </row>
    <row r="12" spans="1:19" x14ac:dyDescent="0.25">
      <c r="B12" t="s">
        <v>14</v>
      </c>
      <c r="C12" s="6">
        <v>0</v>
      </c>
      <c r="D12" s="6">
        <v>709.63000000000011</v>
      </c>
      <c r="E12" s="5">
        <v>1126.31</v>
      </c>
      <c r="F12" s="5"/>
      <c r="G12" s="5"/>
      <c r="H12" s="5">
        <f t="shared" si="0"/>
        <v>0</v>
      </c>
      <c r="I12" s="5">
        <f t="shared" si="1"/>
        <v>709.63000000000011</v>
      </c>
      <c r="J12" s="5">
        <f t="shared" si="2"/>
        <v>1126.31</v>
      </c>
      <c r="K12" s="6"/>
      <c r="N12" s="5"/>
      <c r="O12" s="5"/>
      <c r="P12" s="19"/>
      <c r="Q12" s="19"/>
      <c r="R12" s="5"/>
    </row>
    <row r="13" spans="1:19" x14ac:dyDescent="0.25">
      <c r="B13" t="s">
        <v>15</v>
      </c>
      <c r="C13" s="6">
        <v>110712.16999999985</v>
      </c>
      <c r="D13" s="6">
        <v>0</v>
      </c>
      <c r="E13" s="5">
        <v>486.65999999999849</v>
      </c>
      <c r="F13" s="5">
        <v>874.99680000000001</v>
      </c>
      <c r="G13" s="5">
        <v>3.8779858176000004</v>
      </c>
      <c r="H13" s="5">
        <f t="shared" si="0"/>
        <v>111587.16679999985</v>
      </c>
      <c r="I13" s="5">
        <f t="shared" si="1"/>
        <v>0</v>
      </c>
      <c r="J13" s="5">
        <f t="shared" si="2"/>
        <v>490.5379858175985</v>
      </c>
      <c r="K13" s="6"/>
      <c r="N13" s="5"/>
      <c r="O13" s="5"/>
      <c r="P13" s="19"/>
      <c r="Q13" s="19"/>
      <c r="R13" s="5"/>
    </row>
    <row r="14" spans="1:19" x14ac:dyDescent="0.25">
      <c r="B14" t="s">
        <v>16</v>
      </c>
      <c r="C14" s="6">
        <v>493469.06000000006</v>
      </c>
      <c r="D14" s="6">
        <v>0</v>
      </c>
      <c r="E14" s="5">
        <v>2566.2500000000005</v>
      </c>
      <c r="F14" s="5">
        <v>3798.5155200000004</v>
      </c>
      <c r="G14" s="5">
        <v>19.752280704</v>
      </c>
      <c r="H14" s="5">
        <f t="shared" si="0"/>
        <v>497267.57552000007</v>
      </c>
      <c r="I14" s="5">
        <f t="shared" si="1"/>
        <v>0</v>
      </c>
      <c r="J14" s="5">
        <f t="shared" si="2"/>
        <v>2586.0022807040004</v>
      </c>
      <c r="K14" s="6"/>
      <c r="N14" s="5"/>
      <c r="O14" s="5"/>
      <c r="P14" s="19"/>
      <c r="Q14" s="19"/>
      <c r="R14" s="5"/>
    </row>
    <row r="15" spans="1:19" x14ac:dyDescent="0.25">
      <c r="A15" t="s">
        <v>7</v>
      </c>
      <c r="C15" s="6">
        <v>188815483.38000005</v>
      </c>
      <c r="D15" s="6">
        <v>163499.29000000012</v>
      </c>
      <c r="E15" s="5">
        <v>1391807.6600000001</v>
      </c>
      <c r="F15" s="5">
        <f>SUM(F9:F14)</f>
        <v>1050216.9508592</v>
      </c>
      <c r="G15" s="5">
        <f>SUM(G9:G14)</f>
        <v>5896.4844906441913</v>
      </c>
      <c r="H15" s="27">
        <f t="shared" si="0"/>
        <v>189865700.33085924</v>
      </c>
      <c r="I15" s="5">
        <f t="shared" si="1"/>
        <v>163499.29000000012</v>
      </c>
      <c r="J15" s="27">
        <f t="shared" si="2"/>
        <v>1397704.1444906443</v>
      </c>
      <c r="K15" s="7">
        <f>142484.53+135556.54+136058.89+114414.27+125136.33+156637.45+154606.95+145992.71+164522.4+113399.61+166915.62+164934.54</f>
        <v>1720659.8399999999</v>
      </c>
      <c r="L15" s="1">
        <v>259404956</v>
      </c>
      <c r="M15" s="1">
        <v>558628</v>
      </c>
      <c r="N15" s="5">
        <f>K15-J15</f>
        <v>322955.69550935552</v>
      </c>
      <c r="O15" s="5">
        <v>314868</v>
      </c>
      <c r="P15" s="19">
        <v>8228.0499999999993</v>
      </c>
      <c r="Q15" s="19">
        <f>5756.24-G15</f>
        <v>-140.2444906441915</v>
      </c>
      <c r="R15" s="5">
        <f>N15-O15-P15-Q15</f>
        <v>-0.11000000029252988</v>
      </c>
      <c r="S15" s="3">
        <f>R15/O15</f>
        <v>-3.4935274557125484E-7</v>
      </c>
    </row>
    <row r="16" spans="1:19" x14ac:dyDescent="0.25">
      <c r="A16">
        <v>2018</v>
      </c>
      <c r="B16" t="s">
        <v>11</v>
      </c>
      <c r="C16" s="6">
        <v>0</v>
      </c>
      <c r="D16" s="6">
        <v>166623.65999999997</v>
      </c>
      <c r="E16" s="5">
        <v>371407.23999999941</v>
      </c>
      <c r="F16" s="5"/>
      <c r="G16" s="5"/>
      <c r="H16" s="5">
        <f t="shared" si="0"/>
        <v>0</v>
      </c>
      <c r="I16" s="5">
        <f t="shared" si="1"/>
        <v>166623.65999999997</v>
      </c>
      <c r="J16" s="5">
        <f t="shared" si="2"/>
        <v>371407.23999999941</v>
      </c>
      <c r="K16" s="6"/>
      <c r="N16" s="5"/>
      <c r="O16" s="5"/>
      <c r="P16" s="19"/>
      <c r="Q16" s="19"/>
      <c r="R16" s="5"/>
    </row>
    <row r="17" spans="1:19" x14ac:dyDescent="0.25">
      <c r="B17" t="s">
        <v>12</v>
      </c>
      <c r="C17" s="6">
        <v>39249702.819999903</v>
      </c>
      <c r="D17" s="6">
        <v>0</v>
      </c>
      <c r="E17" s="5">
        <v>223835.63000000027</v>
      </c>
      <c r="F17" s="5">
        <v>35396.649285184001</v>
      </c>
      <c r="G17" s="5">
        <v>215.91956063962243</v>
      </c>
      <c r="H17" s="5">
        <f t="shared" si="0"/>
        <v>39285099.469285086</v>
      </c>
      <c r="I17" s="5">
        <f t="shared" si="1"/>
        <v>0</v>
      </c>
      <c r="J17" s="5">
        <f t="shared" si="2"/>
        <v>224051.54956063989</v>
      </c>
      <c r="K17" s="6"/>
      <c r="N17" s="5"/>
      <c r="O17" s="5"/>
      <c r="P17" s="19"/>
      <c r="Q17" s="19"/>
      <c r="R17" s="5"/>
    </row>
    <row r="18" spans="1:19" x14ac:dyDescent="0.25">
      <c r="B18" t="s">
        <v>13</v>
      </c>
      <c r="C18" s="6">
        <v>172235308.81000039</v>
      </c>
      <c r="D18" s="6">
        <v>0</v>
      </c>
      <c r="E18" s="5">
        <v>1076799.1400000015</v>
      </c>
      <c r="F18" s="5">
        <v>200534.37752479993</v>
      </c>
      <c r="G18" s="5">
        <v>1343.5803294161597</v>
      </c>
      <c r="H18" s="5">
        <f t="shared" si="0"/>
        <v>172435843.18752518</v>
      </c>
      <c r="I18" s="5">
        <f t="shared" si="1"/>
        <v>0</v>
      </c>
      <c r="J18" s="5">
        <f t="shared" si="2"/>
        <v>1078142.7203294176</v>
      </c>
      <c r="K18" s="6"/>
      <c r="N18" s="5"/>
      <c r="O18" s="5"/>
      <c r="P18" s="19"/>
      <c r="Q18" s="19"/>
      <c r="R18" s="5"/>
    </row>
    <row r="19" spans="1:19" x14ac:dyDescent="0.25">
      <c r="B19" t="s">
        <v>14</v>
      </c>
      <c r="C19" s="6">
        <v>0</v>
      </c>
      <c r="D19" s="6">
        <v>772.94999999999993</v>
      </c>
      <c r="E19" s="5">
        <v>1270.28</v>
      </c>
      <c r="F19" s="5"/>
      <c r="G19" s="5"/>
      <c r="H19" s="5">
        <f t="shared" si="0"/>
        <v>0</v>
      </c>
      <c r="I19" s="5">
        <f t="shared" si="1"/>
        <v>772.94999999999993</v>
      </c>
      <c r="J19" s="5">
        <f t="shared" si="2"/>
        <v>1270.28</v>
      </c>
      <c r="K19" s="6"/>
      <c r="N19" s="5"/>
      <c r="O19" s="5"/>
      <c r="P19" s="19"/>
      <c r="Q19" s="19"/>
      <c r="R19" s="5"/>
    </row>
    <row r="20" spans="1:19" x14ac:dyDescent="0.25">
      <c r="B20" t="s">
        <v>15</v>
      </c>
      <c r="C20" s="6">
        <v>113260.06999999986</v>
      </c>
      <c r="D20" s="6">
        <v>0</v>
      </c>
      <c r="E20" s="5">
        <v>547.83999999999787</v>
      </c>
      <c r="F20" s="5">
        <v>89.073599999999999</v>
      </c>
      <c r="G20" s="5">
        <v>0.46202476319999997</v>
      </c>
      <c r="H20" s="5">
        <f t="shared" si="0"/>
        <v>113349.14359999986</v>
      </c>
      <c r="I20" s="5">
        <f t="shared" si="1"/>
        <v>0</v>
      </c>
      <c r="J20" s="5">
        <f t="shared" si="2"/>
        <v>548.30202476319789</v>
      </c>
      <c r="K20" s="6"/>
      <c r="N20" s="5"/>
      <c r="O20" s="5"/>
      <c r="P20" s="19"/>
      <c r="Q20" s="19"/>
      <c r="R20" s="5"/>
    </row>
    <row r="21" spans="1:19" x14ac:dyDescent="0.25">
      <c r="B21" t="s">
        <v>16</v>
      </c>
      <c r="C21" s="6">
        <v>511649.24000000011</v>
      </c>
      <c r="D21" s="6">
        <v>0</v>
      </c>
      <c r="E21" s="5">
        <v>2936.98</v>
      </c>
      <c r="F21" s="5">
        <v>626.06016</v>
      </c>
      <c r="G21" s="5">
        <v>3.818966976</v>
      </c>
      <c r="H21" s="5">
        <f t="shared" si="0"/>
        <v>512275.3001600001</v>
      </c>
      <c r="I21" s="5">
        <f t="shared" si="1"/>
        <v>0</v>
      </c>
      <c r="J21" s="5">
        <f t="shared" si="2"/>
        <v>2940.798966976</v>
      </c>
      <c r="K21" s="16"/>
      <c r="N21" s="5"/>
      <c r="O21" s="5"/>
      <c r="P21" s="19"/>
      <c r="Q21" s="19"/>
      <c r="R21" s="5"/>
    </row>
    <row r="22" spans="1:19" x14ac:dyDescent="0.25">
      <c r="A22" t="s">
        <v>8</v>
      </c>
      <c r="C22" s="6">
        <v>212109920.9400003</v>
      </c>
      <c r="D22" s="6">
        <v>167396.60999999999</v>
      </c>
      <c r="E22" s="5">
        <v>1676797.1100000013</v>
      </c>
      <c r="F22" s="5">
        <f>SUM(F16:F21)</f>
        <v>236646.16056998394</v>
      </c>
      <c r="G22" s="5">
        <f>SUM(G16:G21)</f>
        <v>1563.780881794982</v>
      </c>
      <c r="H22" s="27">
        <f t="shared" si="0"/>
        <v>212346567.10057029</v>
      </c>
      <c r="I22" s="5">
        <f t="shared" si="1"/>
        <v>167396.60999999999</v>
      </c>
      <c r="J22" s="27">
        <f t="shared" si="2"/>
        <v>1678360.8908817961</v>
      </c>
      <c r="K22" s="7">
        <f>214840.16+146000.43+134729.27+161435.03+152162.13+169721.89+219059.84+254143.52+222316.07+120903.68+146282.22+143045.41</f>
        <v>2084639.65</v>
      </c>
      <c r="L22" s="1">
        <v>281947644</v>
      </c>
      <c r="M22" s="1">
        <v>677762</v>
      </c>
      <c r="N22" s="5">
        <f>K22-J22</f>
        <v>406278.75911820377</v>
      </c>
      <c r="O22" s="5">
        <v>381546</v>
      </c>
      <c r="P22" s="19">
        <v>21395.82</v>
      </c>
      <c r="Q22" s="19">
        <f>4920.64-G22</f>
        <v>3356.8591182050186</v>
      </c>
      <c r="R22" s="5">
        <f>N22-O22-P22-Q22</f>
        <v>-19.920000001246081</v>
      </c>
      <c r="S22" s="3">
        <f>R22/O22</f>
        <v>-5.220864588082716E-5</v>
      </c>
    </row>
    <row r="23" spans="1:19" x14ac:dyDescent="0.25">
      <c r="A23" t="s">
        <v>9</v>
      </c>
      <c r="C23" s="6">
        <v>596656685.44000053</v>
      </c>
      <c r="D23" s="6">
        <v>481668.60000000021</v>
      </c>
      <c r="E23" s="5">
        <v>4489222.240000003</v>
      </c>
      <c r="F23" s="5">
        <f>SUM(F8,F15,F22)</f>
        <v>2313102.8938491838</v>
      </c>
      <c r="G23" s="5">
        <f>SUM(G22,G15,G8)</f>
        <v>13216.499796480774</v>
      </c>
      <c r="H23" s="5">
        <f t="shared" si="0"/>
        <v>598969788.33384967</v>
      </c>
      <c r="I23" s="5">
        <f t="shared" si="1"/>
        <v>481668.60000000021</v>
      </c>
      <c r="J23" s="5">
        <f t="shared" si="2"/>
        <v>4502438.7397964839</v>
      </c>
      <c r="K23" s="6"/>
      <c r="N23" s="5"/>
      <c r="O23" s="5"/>
      <c r="P23" s="19"/>
      <c r="Q23" s="19"/>
      <c r="R23" s="5"/>
    </row>
    <row r="24" spans="1:19" x14ac:dyDescent="0.25">
      <c r="F24" s="6"/>
      <c r="G24" s="6"/>
      <c r="H24" s="6"/>
      <c r="I24" s="6"/>
      <c r="J24" s="6"/>
      <c r="N24" s="5"/>
      <c r="O24" s="5"/>
      <c r="R24" s="5"/>
    </row>
    <row r="25" spans="1:19" x14ac:dyDescent="0.25">
      <c r="F25" s="6"/>
      <c r="G25" s="6"/>
      <c r="H25" s="6"/>
      <c r="I25" s="6"/>
      <c r="J25" s="6"/>
      <c r="N25" s="5"/>
      <c r="O25" s="5"/>
      <c r="R25" s="5"/>
    </row>
    <row r="26" spans="1:19" x14ac:dyDescent="0.25">
      <c r="F26" s="6"/>
      <c r="G26" s="6"/>
      <c r="H26" s="6"/>
      <c r="I26" s="6"/>
      <c r="J26" s="6"/>
      <c r="N26" s="5"/>
      <c r="O26" s="5"/>
      <c r="R26" s="5"/>
    </row>
    <row r="27" spans="1:19" x14ac:dyDescent="0.25">
      <c r="F27" s="6"/>
      <c r="G27" s="6"/>
      <c r="H27" s="6"/>
      <c r="I27" s="6"/>
      <c r="J27" s="6"/>
    </row>
    <row r="28" spans="1:19" x14ac:dyDescent="0.25">
      <c r="F28" s="6"/>
      <c r="G28" s="6"/>
      <c r="H28" s="6"/>
      <c r="I28" s="6"/>
      <c r="J28" s="6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/>
  </sheetViews>
  <sheetFormatPr defaultRowHeight="15" x14ac:dyDescent="0.25"/>
  <cols>
    <col min="1" max="1" width="10.5703125" bestFit="1" customWidth="1"/>
    <col min="2" max="2" width="14.85546875" bestFit="1" customWidth="1"/>
    <col min="3" max="15" width="18.5703125" customWidth="1"/>
    <col min="16" max="17" width="11.42578125" style="17" customWidth="1"/>
    <col min="18" max="19" width="18.5703125" customWidth="1"/>
  </cols>
  <sheetData>
    <row r="1" spans="1:19" x14ac:dyDescent="0.25">
      <c r="A1" t="s">
        <v>1</v>
      </c>
      <c r="B1" t="s">
        <v>2</v>
      </c>
      <c r="C1" s="5" t="s">
        <v>3</v>
      </c>
      <c r="D1" s="5" t="s">
        <v>4</v>
      </c>
      <c r="E1" s="5" t="s">
        <v>5</v>
      </c>
      <c r="F1" t="s">
        <v>33</v>
      </c>
      <c r="G1" t="s">
        <v>32</v>
      </c>
      <c r="H1" s="30" t="s">
        <v>27</v>
      </c>
      <c r="I1" s="30" t="s">
        <v>39</v>
      </c>
      <c r="J1" s="30" t="s">
        <v>38</v>
      </c>
      <c r="K1" s="1" t="s">
        <v>0</v>
      </c>
      <c r="L1" s="1" t="s">
        <v>17</v>
      </c>
      <c r="M1" s="1" t="s">
        <v>18</v>
      </c>
      <c r="N1" s="8" t="s">
        <v>21</v>
      </c>
      <c r="O1" s="8" t="s">
        <v>22</v>
      </c>
      <c r="P1" s="18" t="s">
        <v>34</v>
      </c>
      <c r="Q1" s="18" t="s">
        <v>46</v>
      </c>
      <c r="R1" s="8" t="s">
        <v>23</v>
      </c>
      <c r="S1" s="8" t="s">
        <v>24</v>
      </c>
    </row>
    <row r="2" spans="1:19" x14ac:dyDescent="0.25">
      <c r="A2">
        <v>2016</v>
      </c>
      <c r="B2" t="s">
        <v>11</v>
      </c>
      <c r="C2" s="5">
        <v>0</v>
      </c>
      <c r="D2" s="5">
        <v>150801.71000000014</v>
      </c>
      <c r="E2" s="5">
        <v>285103.14999999985</v>
      </c>
      <c r="F2" s="6"/>
      <c r="G2" s="6"/>
      <c r="H2" s="6">
        <f>SUM(C2,F2)</f>
        <v>0</v>
      </c>
      <c r="I2" s="6">
        <f>SUM(D2)</f>
        <v>150801.71000000014</v>
      </c>
      <c r="J2" s="6">
        <f>SUM(G2,E2)</f>
        <v>285103.14999999985</v>
      </c>
      <c r="K2" s="6"/>
      <c r="L2" s="6"/>
      <c r="M2" s="6"/>
      <c r="N2" s="6"/>
      <c r="O2" s="6"/>
      <c r="P2" s="19"/>
      <c r="Q2" s="19"/>
      <c r="R2" s="6"/>
    </row>
    <row r="3" spans="1:19" x14ac:dyDescent="0.25">
      <c r="B3" t="s">
        <v>12</v>
      </c>
      <c r="C3" s="5">
        <v>35644489.05999998</v>
      </c>
      <c r="D3" s="5">
        <v>0</v>
      </c>
      <c r="E3" s="5">
        <v>139605.61999999994</v>
      </c>
      <c r="F3" s="6">
        <v>180647.16409999999</v>
      </c>
      <c r="G3" s="6">
        <v>704.52393998999992</v>
      </c>
      <c r="H3" s="6">
        <f t="shared" ref="H3:H23" si="0">SUM(C3,F3)</f>
        <v>35825136.224099979</v>
      </c>
      <c r="I3" s="6">
        <f t="shared" ref="I3:I23" si="1">SUM(D3)</f>
        <v>0</v>
      </c>
      <c r="J3" s="6">
        <f t="shared" ref="J3:J23" si="2">SUM(G3,E3)</f>
        <v>140310.14393998994</v>
      </c>
      <c r="K3" s="6"/>
      <c r="L3" s="6"/>
      <c r="M3" s="6"/>
      <c r="N3" s="6"/>
      <c r="O3" s="6"/>
      <c r="P3" s="19"/>
      <c r="Q3" s="19"/>
      <c r="R3" s="6"/>
    </row>
    <row r="4" spans="1:19" x14ac:dyDescent="0.25">
      <c r="B4" t="s">
        <v>13</v>
      </c>
      <c r="C4" s="5">
        <v>159477518.54000005</v>
      </c>
      <c r="D4" s="5">
        <v>0</v>
      </c>
      <c r="E4" s="5">
        <v>658086.86000000103</v>
      </c>
      <c r="F4" s="6">
        <v>840919.10600000003</v>
      </c>
      <c r="G4" s="6">
        <v>3447.7683346000003</v>
      </c>
      <c r="H4" s="6">
        <f t="shared" si="0"/>
        <v>160318437.64600006</v>
      </c>
      <c r="I4" s="6">
        <f t="shared" si="1"/>
        <v>0</v>
      </c>
      <c r="J4" s="6">
        <f t="shared" si="2"/>
        <v>661534.62833460106</v>
      </c>
      <c r="K4" s="6"/>
      <c r="L4" s="6"/>
      <c r="M4" s="6"/>
      <c r="N4" s="5"/>
      <c r="O4" s="5"/>
      <c r="P4" s="19"/>
      <c r="Q4" s="19"/>
      <c r="R4" s="5"/>
      <c r="S4" s="4"/>
    </row>
    <row r="5" spans="1:19" x14ac:dyDescent="0.25">
      <c r="B5" t="s">
        <v>14</v>
      </c>
      <c r="C5" s="5">
        <v>0</v>
      </c>
      <c r="D5" s="5">
        <v>1641.2900000000002</v>
      </c>
      <c r="E5" s="5">
        <v>1891.93</v>
      </c>
      <c r="F5" s="6"/>
      <c r="G5" s="6"/>
      <c r="H5" s="6">
        <f t="shared" si="0"/>
        <v>0</v>
      </c>
      <c r="I5" s="6">
        <f t="shared" si="1"/>
        <v>1641.2900000000002</v>
      </c>
      <c r="J5" s="6">
        <f t="shared" si="2"/>
        <v>1891.93</v>
      </c>
      <c r="K5" s="6"/>
      <c r="L5" s="6"/>
      <c r="M5" s="6"/>
      <c r="N5" s="5"/>
      <c r="O5" s="5"/>
      <c r="P5" s="19"/>
      <c r="Q5" s="19"/>
      <c r="R5" s="5"/>
      <c r="S5" s="4"/>
    </row>
    <row r="6" spans="1:19" x14ac:dyDescent="0.25">
      <c r="B6" t="s">
        <v>15</v>
      </c>
      <c r="C6" s="5">
        <v>113988.02999999968</v>
      </c>
      <c r="D6" s="5">
        <v>0</v>
      </c>
      <c r="E6" s="5">
        <v>538.13</v>
      </c>
      <c r="F6" s="5">
        <v>874.99680000000001</v>
      </c>
      <c r="G6" s="5">
        <v>4.1334848831999995</v>
      </c>
      <c r="H6" s="5">
        <f t="shared" si="0"/>
        <v>114863.02679999967</v>
      </c>
      <c r="I6" s="5">
        <f t="shared" si="1"/>
        <v>0</v>
      </c>
      <c r="J6" s="5">
        <f t="shared" si="2"/>
        <v>542.26348488320002</v>
      </c>
      <c r="K6" s="6"/>
      <c r="L6" s="6"/>
      <c r="M6" s="6"/>
      <c r="N6" s="5"/>
      <c r="O6" s="5"/>
      <c r="P6" s="19"/>
      <c r="Q6" s="19"/>
      <c r="R6" s="5"/>
      <c r="S6" s="4"/>
    </row>
    <row r="7" spans="1:19" x14ac:dyDescent="0.25">
      <c r="B7" t="s">
        <v>16</v>
      </c>
      <c r="C7" s="5">
        <v>495285.49</v>
      </c>
      <c r="D7" s="5">
        <v>0</v>
      </c>
      <c r="E7" s="5">
        <v>1936.19</v>
      </c>
      <c r="F7" s="5">
        <v>3798.5155200000004</v>
      </c>
      <c r="G7" s="5">
        <v>14.814210528</v>
      </c>
      <c r="H7" s="5">
        <f t="shared" si="0"/>
        <v>499084.00552000001</v>
      </c>
      <c r="I7" s="5">
        <f t="shared" si="1"/>
        <v>0</v>
      </c>
      <c r="J7" s="5">
        <f t="shared" si="2"/>
        <v>1951.0042105280002</v>
      </c>
      <c r="K7" s="6"/>
      <c r="L7" s="6"/>
      <c r="M7" s="6"/>
      <c r="N7" s="5"/>
      <c r="O7" s="5"/>
      <c r="P7" s="19"/>
      <c r="Q7" s="19"/>
      <c r="R7" s="5"/>
      <c r="S7" s="4"/>
    </row>
    <row r="8" spans="1:19" x14ac:dyDescent="0.25">
      <c r="A8" s="11" t="s">
        <v>6</v>
      </c>
      <c r="B8" s="11"/>
      <c r="C8" s="27">
        <v>195731281.12000003</v>
      </c>
      <c r="D8" s="27">
        <v>152443.00000000015</v>
      </c>
      <c r="E8" s="27">
        <v>1087161.8800000006</v>
      </c>
      <c r="F8" s="27">
        <f>SUM(F2:F7)</f>
        <v>1026239.7824200001</v>
      </c>
      <c r="G8" s="27">
        <f>SUM(G3:G7)</f>
        <v>4171.2399700012011</v>
      </c>
      <c r="H8" s="27">
        <f t="shared" si="0"/>
        <v>196757520.90242004</v>
      </c>
      <c r="I8" s="27">
        <f t="shared" si="1"/>
        <v>152443.00000000015</v>
      </c>
      <c r="J8" s="27">
        <f t="shared" si="2"/>
        <v>1091333.1199700017</v>
      </c>
      <c r="K8" s="7">
        <f>145019.23+125971.24+119039.95+154961.44+135911.13+149038.84+131496.5+133293.12+145311.11+106507.12+157748.17+184101.63</f>
        <v>1688399.48</v>
      </c>
      <c r="L8" s="9">
        <v>260937355</v>
      </c>
      <c r="M8" s="9">
        <v>665463</v>
      </c>
      <c r="N8" s="5">
        <f>K8-J8</f>
        <v>597066.36002999824</v>
      </c>
      <c r="O8" s="5">
        <v>592663</v>
      </c>
      <c r="P8" s="19">
        <v>3828.56</v>
      </c>
      <c r="Q8" s="19">
        <f>4740.9-G8</f>
        <v>569.66002999879856</v>
      </c>
      <c r="R8" s="5">
        <f>N8-O8-P8-Q8</f>
        <v>5.1399999994368955</v>
      </c>
      <c r="S8" s="10">
        <f>R8/O8</f>
        <v>8.6727195715556654E-6</v>
      </c>
    </row>
    <row r="9" spans="1:19" x14ac:dyDescent="0.25">
      <c r="A9">
        <v>2017</v>
      </c>
      <c r="B9" t="s">
        <v>11</v>
      </c>
      <c r="C9" s="5">
        <v>0</v>
      </c>
      <c r="D9" s="5">
        <v>163068.31000000017</v>
      </c>
      <c r="E9" s="5">
        <v>307355.56000000035</v>
      </c>
      <c r="F9" s="5">
        <f>SUM(F3:F8)</f>
        <v>2052479.5648400001</v>
      </c>
      <c r="G9" s="5">
        <f>SUM(G3:G8)</f>
        <v>8342.4799400024021</v>
      </c>
      <c r="H9" s="5">
        <f t="shared" si="0"/>
        <v>2052479.5648400001</v>
      </c>
      <c r="I9" s="5">
        <f t="shared" si="1"/>
        <v>163068.31000000017</v>
      </c>
      <c r="J9" s="5">
        <f t="shared" si="2"/>
        <v>315698.03994000272</v>
      </c>
      <c r="K9" s="6"/>
      <c r="L9" s="6"/>
      <c r="M9" s="6"/>
      <c r="N9" s="5"/>
      <c r="O9" s="5"/>
      <c r="P9" s="19"/>
      <c r="Q9" s="19"/>
      <c r="R9" s="5"/>
      <c r="S9" s="4"/>
    </row>
    <row r="10" spans="1:19" x14ac:dyDescent="0.25">
      <c r="B10" t="s">
        <v>12</v>
      </c>
      <c r="C10" s="5">
        <v>33970699.610000007</v>
      </c>
      <c r="D10" s="5">
        <v>110.04</v>
      </c>
      <c r="E10" s="5">
        <v>132655.91000000006</v>
      </c>
      <c r="F10" s="5">
        <v>173486.75110170001</v>
      </c>
      <c r="G10" s="5">
        <v>676.59832929663003</v>
      </c>
      <c r="H10" s="5">
        <f t="shared" si="0"/>
        <v>34144186.361101709</v>
      </c>
      <c r="I10" s="5">
        <f t="shared" si="1"/>
        <v>110.04</v>
      </c>
      <c r="J10" s="5">
        <f t="shared" si="2"/>
        <v>133332.50832929669</v>
      </c>
      <c r="K10" s="6"/>
      <c r="L10" s="6"/>
      <c r="M10" s="6"/>
      <c r="N10" s="5"/>
      <c r="O10" s="5"/>
      <c r="P10" s="19"/>
      <c r="Q10" s="19"/>
      <c r="R10" s="5"/>
      <c r="S10" s="4"/>
    </row>
    <row r="11" spans="1:19" x14ac:dyDescent="0.25">
      <c r="B11" t="s">
        <v>13</v>
      </c>
      <c r="C11" s="5">
        <v>154240602.54000011</v>
      </c>
      <c r="D11" s="5">
        <v>0</v>
      </c>
      <c r="E11" s="5">
        <v>632384.41999999795</v>
      </c>
      <c r="F11" s="5">
        <v>872056.68743749999</v>
      </c>
      <c r="G11" s="5">
        <v>3575.4324184937504</v>
      </c>
      <c r="H11" s="5">
        <f t="shared" si="0"/>
        <v>155112659.22743762</v>
      </c>
      <c r="I11" s="5">
        <f t="shared" si="1"/>
        <v>0</v>
      </c>
      <c r="J11" s="5">
        <f t="shared" si="2"/>
        <v>635959.85241849173</v>
      </c>
      <c r="K11" s="6"/>
      <c r="L11" s="6"/>
      <c r="M11" s="6"/>
      <c r="N11" s="5"/>
      <c r="O11" s="5"/>
      <c r="P11" s="19"/>
      <c r="Q11" s="19"/>
      <c r="R11" s="5"/>
      <c r="S11" s="4"/>
    </row>
    <row r="12" spans="1:19" x14ac:dyDescent="0.25">
      <c r="B12" t="s">
        <v>14</v>
      </c>
      <c r="C12" s="5">
        <v>0</v>
      </c>
      <c r="D12" s="5">
        <v>1740.8399999999997</v>
      </c>
      <c r="E12" s="5">
        <v>1996.42</v>
      </c>
      <c r="F12" s="5"/>
      <c r="G12" s="5"/>
      <c r="H12" s="5">
        <f t="shared" si="0"/>
        <v>0</v>
      </c>
      <c r="I12" s="5">
        <f t="shared" si="1"/>
        <v>1740.8399999999997</v>
      </c>
      <c r="J12" s="5">
        <f t="shared" si="2"/>
        <v>1996.42</v>
      </c>
      <c r="K12" s="6"/>
      <c r="L12" s="6"/>
      <c r="M12" s="6"/>
      <c r="N12" s="5"/>
      <c r="O12" s="5"/>
      <c r="P12" s="19"/>
      <c r="Q12" s="19"/>
      <c r="R12" s="5"/>
      <c r="S12" s="4"/>
    </row>
    <row r="13" spans="1:19" x14ac:dyDescent="0.25">
      <c r="B13" t="s">
        <v>15</v>
      </c>
      <c r="C13" s="5">
        <v>110712.16999999985</v>
      </c>
      <c r="D13" s="5">
        <v>0</v>
      </c>
      <c r="E13" s="5">
        <v>520.26999999999975</v>
      </c>
      <c r="F13" s="5">
        <v>874.99680000000001</v>
      </c>
      <c r="G13" s="5">
        <v>4.1334848831999995</v>
      </c>
      <c r="H13" s="5">
        <f t="shared" si="0"/>
        <v>111587.16679999985</v>
      </c>
      <c r="I13" s="5">
        <f t="shared" si="1"/>
        <v>0</v>
      </c>
      <c r="J13" s="5">
        <f t="shared" si="2"/>
        <v>524.40348488319978</v>
      </c>
      <c r="K13" s="6"/>
      <c r="L13" s="6"/>
      <c r="M13" s="6"/>
      <c r="N13" s="5"/>
      <c r="O13" s="5"/>
      <c r="P13" s="19"/>
      <c r="Q13" s="19"/>
      <c r="R13" s="5"/>
      <c r="S13" s="4"/>
    </row>
    <row r="14" spans="1:19" x14ac:dyDescent="0.25">
      <c r="B14" t="s">
        <v>16</v>
      </c>
      <c r="C14" s="5">
        <v>493469.06000000006</v>
      </c>
      <c r="D14" s="5">
        <v>0</v>
      </c>
      <c r="E14" s="5">
        <v>1920.5300000000002</v>
      </c>
      <c r="F14" s="5">
        <v>3798.5155200000004</v>
      </c>
      <c r="G14" s="5">
        <v>14.814210528</v>
      </c>
      <c r="H14" s="5">
        <f t="shared" si="0"/>
        <v>497267.57552000007</v>
      </c>
      <c r="I14" s="5">
        <f t="shared" si="1"/>
        <v>0</v>
      </c>
      <c r="J14" s="5">
        <f t="shared" si="2"/>
        <v>1935.3442105280003</v>
      </c>
      <c r="K14" s="6"/>
      <c r="L14" s="6"/>
      <c r="M14" s="6"/>
      <c r="N14" s="5"/>
      <c r="O14" s="5"/>
      <c r="P14" s="19"/>
      <c r="Q14" s="19"/>
      <c r="R14" s="5"/>
      <c r="S14" s="4"/>
    </row>
    <row r="15" spans="1:19" x14ac:dyDescent="0.25">
      <c r="A15" s="11" t="s">
        <v>7</v>
      </c>
      <c r="B15" s="11"/>
      <c r="C15" s="27">
        <v>188815483.38000011</v>
      </c>
      <c r="D15" s="27">
        <v>164919.19000000018</v>
      </c>
      <c r="E15" s="27">
        <v>1076833.1099999982</v>
      </c>
      <c r="F15" s="27">
        <f>SUM(F9:F14)</f>
        <v>3102696.5156991999</v>
      </c>
      <c r="G15" s="27">
        <f>SUM(G10:G14)</f>
        <v>4270.9784432015813</v>
      </c>
      <c r="H15" s="27">
        <f t="shared" si="0"/>
        <v>191918179.89569932</v>
      </c>
      <c r="I15" s="27">
        <f t="shared" si="1"/>
        <v>164919.19000000018</v>
      </c>
      <c r="J15" s="27">
        <f t="shared" si="2"/>
        <v>1081104.0884431999</v>
      </c>
      <c r="K15" s="7">
        <f>120788.59+109269.91+110047.25+95147.76+99834.52+123719.57+124646.57+115191.74+142138.17+91451.97+138543.8+137074.13</f>
        <v>1407853.9800000004</v>
      </c>
      <c r="L15" s="7">
        <v>259404956</v>
      </c>
      <c r="M15" s="7">
        <v>558628</v>
      </c>
      <c r="N15" s="5">
        <f>K15-J15</f>
        <v>326749.89155680058</v>
      </c>
      <c r="O15" s="5">
        <v>320942</v>
      </c>
      <c r="P15" s="19">
        <v>5908.05</v>
      </c>
      <c r="Q15" s="19">
        <f>4171.23-G15</f>
        <v>-99.748443201581722</v>
      </c>
      <c r="R15" s="5">
        <f>N15-O15-P15-Q15</f>
        <v>-0.40999999784253305</v>
      </c>
      <c r="S15" s="10">
        <f>R15/O15</f>
        <v>-1.2774893838841069E-6</v>
      </c>
    </row>
    <row r="16" spans="1:19" x14ac:dyDescent="0.25">
      <c r="A16">
        <v>2018</v>
      </c>
      <c r="B16" t="s">
        <v>11</v>
      </c>
      <c r="C16" s="5">
        <v>0</v>
      </c>
      <c r="D16" s="5">
        <v>167814.96000000008</v>
      </c>
      <c r="E16" s="5">
        <v>382493.29000000015</v>
      </c>
      <c r="F16" s="5"/>
      <c r="G16" s="5"/>
      <c r="H16" s="5">
        <f t="shared" si="0"/>
        <v>0</v>
      </c>
      <c r="I16" s="5">
        <f t="shared" si="1"/>
        <v>167814.96000000008</v>
      </c>
      <c r="J16" s="5">
        <f t="shared" si="2"/>
        <v>382493.29000000015</v>
      </c>
      <c r="K16" s="6"/>
      <c r="L16" s="6"/>
      <c r="M16" s="6"/>
      <c r="N16" s="5"/>
      <c r="O16" s="5"/>
      <c r="P16" s="19"/>
      <c r="Q16" s="19"/>
      <c r="R16" s="5"/>
      <c r="S16" s="4"/>
    </row>
    <row r="17" spans="1:19" x14ac:dyDescent="0.25">
      <c r="B17" t="s">
        <v>12</v>
      </c>
      <c r="C17" s="5">
        <v>39249702.819999903</v>
      </c>
      <c r="D17" s="5">
        <v>0</v>
      </c>
      <c r="E17" s="5">
        <v>170618.39000000019</v>
      </c>
      <c r="F17" s="5">
        <v>35396.649285184001</v>
      </c>
      <c r="G17" s="4">
        <v>166.36425164036481</v>
      </c>
      <c r="H17" s="4">
        <f t="shared" si="0"/>
        <v>39285099.469285086</v>
      </c>
      <c r="I17" s="4">
        <f t="shared" si="1"/>
        <v>0</v>
      </c>
      <c r="J17" s="4">
        <f t="shared" si="2"/>
        <v>170784.75425164055</v>
      </c>
      <c r="K17" s="6"/>
      <c r="L17" s="6"/>
      <c r="M17" s="6"/>
      <c r="N17" s="5"/>
      <c r="O17" s="5"/>
      <c r="P17" s="19"/>
      <c r="Q17" s="19"/>
      <c r="R17" s="5"/>
      <c r="S17" s="4"/>
    </row>
    <row r="18" spans="1:19" x14ac:dyDescent="0.25">
      <c r="B18" t="s">
        <v>13</v>
      </c>
      <c r="C18" s="5">
        <v>172235308.81000042</v>
      </c>
      <c r="D18" s="5">
        <v>0</v>
      </c>
      <c r="E18" s="5">
        <v>791721.29000000074</v>
      </c>
      <c r="F18" s="5">
        <v>200534.37752479993</v>
      </c>
      <c r="G18" s="5">
        <v>1002.6718876239996</v>
      </c>
      <c r="H18" s="5">
        <f t="shared" si="0"/>
        <v>172435843.18752521</v>
      </c>
      <c r="I18" s="5">
        <f t="shared" si="1"/>
        <v>0</v>
      </c>
      <c r="J18" s="5">
        <f t="shared" si="2"/>
        <v>792723.9618876247</v>
      </c>
      <c r="K18" s="6"/>
      <c r="L18" s="6"/>
      <c r="M18" s="6"/>
      <c r="N18" s="5"/>
      <c r="O18" s="5"/>
      <c r="P18" s="19"/>
      <c r="Q18" s="19"/>
      <c r="R18" s="5"/>
      <c r="S18" s="4"/>
    </row>
    <row r="19" spans="1:19" x14ac:dyDescent="0.25">
      <c r="B19" t="s">
        <v>14</v>
      </c>
      <c r="C19" s="5">
        <v>0</v>
      </c>
      <c r="D19" s="5">
        <v>1859.9499999999998</v>
      </c>
      <c r="E19" s="5">
        <v>2398.4700000000003</v>
      </c>
      <c r="F19" s="5"/>
      <c r="G19" s="5"/>
      <c r="H19" s="5">
        <f t="shared" si="0"/>
        <v>0</v>
      </c>
      <c r="I19" s="5">
        <f t="shared" si="1"/>
        <v>1859.9499999999998</v>
      </c>
      <c r="J19" s="5">
        <f t="shared" si="2"/>
        <v>2398.4700000000003</v>
      </c>
      <c r="K19" s="6"/>
      <c r="L19" s="6"/>
      <c r="M19" s="6"/>
      <c r="N19" s="5"/>
      <c r="O19" s="5"/>
      <c r="P19" s="19"/>
      <c r="Q19" s="19"/>
      <c r="R19" s="5"/>
      <c r="S19" s="4"/>
    </row>
    <row r="20" spans="1:19" x14ac:dyDescent="0.25">
      <c r="B20" t="s">
        <v>15</v>
      </c>
      <c r="C20" s="5">
        <v>113260.06999999986</v>
      </c>
      <c r="D20" s="5">
        <v>0</v>
      </c>
      <c r="E20" s="5">
        <v>599.099999999999</v>
      </c>
      <c r="F20" s="5">
        <v>89.073599999999999</v>
      </c>
      <c r="G20" s="5">
        <v>0.50976821279999995</v>
      </c>
      <c r="H20" s="5">
        <f t="shared" si="0"/>
        <v>113349.14359999986</v>
      </c>
      <c r="I20" s="5">
        <f t="shared" si="1"/>
        <v>0</v>
      </c>
      <c r="J20" s="5">
        <f t="shared" si="2"/>
        <v>599.60976821279905</v>
      </c>
      <c r="K20" s="6"/>
      <c r="L20" s="6"/>
      <c r="M20" s="6"/>
      <c r="N20" s="5"/>
      <c r="O20" s="5"/>
      <c r="P20" s="19"/>
      <c r="Q20" s="19"/>
      <c r="R20" s="5"/>
      <c r="S20" s="4"/>
    </row>
    <row r="21" spans="1:19" x14ac:dyDescent="0.25">
      <c r="B21" t="s">
        <v>16</v>
      </c>
      <c r="C21" s="5">
        <v>511649.24000000011</v>
      </c>
      <c r="D21" s="5">
        <v>0</v>
      </c>
      <c r="E21" s="5">
        <v>2238.5300000000002</v>
      </c>
      <c r="F21" s="5">
        <v>626.06016</v>
      </c>
      <c r="G21" s="5">
        <v>2.9424827520000001</v>
      </c>
      <c r="H21" s="5">
        <f t="shared" si="0"/>
        <v>512275.3001600001</v>
      </c>
      <c r="I21" s="5">
        <f t="shared" si="1"/>
        <v>0</v>
      </c>
      <c r="J21" s="5">
        <f t="shared" si="2"/>
        <v>2241.4724827520004</v>
      </c>
      <c r="K21" s="6"/>
      <c r="L21" s="6"/>
      <c r="M21" s="6"/>
      <c r="N21" s="5"/>
      <c r="O21" s="5"/>
      <c r="P21" s="19"/>
      <c r="Q21" s="19"/>
      <c r="R21" s="5"/>
      <c r="S21" s="4"/>
    </row>
    <row r="22" spans="1:19" x14ac:dyDescent="0.25">
      <c r="A22" s="11" t="s">
        <v>8</v>
      </c>
      <c r="B22" s="11"/>
      <c r="C22" s="27">
        <v>212109920.94000033</v>
      </c>
      <c r="D22" s="27">
        <v>169674.91000000009</v>
      </c>
      <c r="E22" s="27">
        <v>1350069.0700000012</v>
      </c>
      <c r="F22" s="27">
        <f>SUM(F16:F21)</f>
        <v>236646.16056998394</v>
      </c>
      <c r="G22" s="27">
        <f>SUM(G16:G21)</f>
        <v>1172.4883902291645</v>
      </c>
      <c r="H22" s="27">
        <f t="shared" si="0"/>
        <v>212346567.10057032</v>
      </c>
      <c r="I22" s="27">
        <f t="shared" si="1"/>
        <v>169674.91000000009</v>
      </c>
      <c r="J22" s="27">
        <f t="shared" si="2"/>
        <v>1351241.5583902304</v>
      </c>
      <c r="K22" s="7">
        <f>176903+116494.75+110774.28+140365.92+128734.77+145756.86+179316.09+200662.18+175412.68+100387.65+115830.15+117495.42</f>
        <v>1708133.7499999998</v>
      </c>
      <c r="L22" s="7">
        <v>281947644</v>
      </c>
      <c r="M22" s="7">
        <v>677762</v>
      </c>
      <c r="N22" s="5">
        <f>K22-J22</f>
        <v>356892.19160976936</v>
      </c>
      <c r="O22" s="5">
        <v>329317</v>
      </c>
      <c r="P22" s="19">
        <v>25089.69</v>
      </c>
      <c r="Q22" s="19">
        <f>3672.56-G22</f>
        <v>2500.0716097708355</v>
      </c>
      <c r="R22" s="5">
        <f>N22-O22-P22-Q22</f>
        <v>-14.57000000147309</v>
      </c>
      <c r="S22" s="10">
        <f>R22/O22</f>
        <v>-4.4243084934798659E-5</v>
      </c>
    </row>
    <row r="23" spans="1:19" x14ac:dyDescent="0.25">
      <c r="A23" t="s">
        <v>9</v>
      </c>
      <c r="C23" s="5">
        <v>596656685.44000053</v>
      </c>
      <c r="D23" s="5">
        <v>487037.10000000038</v>
      </c>
      <c r="E23" s="5">
        <v>3514064.06</v>
      </c>
      <c r="F23" s="5">
        <f>SUM(F8,F15,F22)</f>
        <v>4365582.4586891839</v>
      </c>
      <c r="G23" s="5">
        <f>SUM(G22,G15,G9)</f>
        <v>13785.946773433148</v>
      </c>
      <c r="H23" s="5">
        <f t="shared" si="0"/>
        <v>601022267.89868975</v>
      </c>
      <c r="I23" s="5">
        <f t="shared" si="1"/>
        <v>487037.10000000038</v>
      </c>
      <c r="J23" s="5">
        <f t="shared" si="2"/>
        <v>3527850.0067734332</v>
      </c>
      <c r="K23" s="6"/>
      <c r="N23" s="4"/>
      <c r="O23" s="4"/>
      <c r="P23" s="19"/>
      <c r="Q23" s="19"/>
      <c r="R23" s="4"/>
      <c r="S23" s="4"/>
    </row>
    <row r="24" spans="1:19" x14ac:dyDescent="0.25">
      <c r="C24" s="5"/>
      <c r="D24" s="5"/>
      <c r="E24" s="5"/>
      <c r="F24" s="5"/>
      <c r="G24" s="5"/>
      <c r="H24" s="5"/>
      <c r="I24" s="5"/>
      <c r="J24" s="5"/>
      <c r="K24" s="6"/>
      <c r="N24" s="4"/>
      <c r="O24" s="4"/>
      <c r="R24" s="4"/>
      <c r="S24" s="4"/>
    </row>
    <row r="25" spans="1:19" x14ac:dyDescent="0.25">
      <c r="C25" s="6"/>
      <c r="D25" s="6"/>
      <c r="E25" s="6"/>
      <c r="F25" s="5"/>
      <c r="G25" s="5"/>
      <c r="H25" s="5"/>
      <c r="I25" s="5"/>
      <c r="J25" s="5"/>
      <c r="K25" s="6"/>
      <c r="R25" t="s">
        <v>20</v>
      </c>
    </row>
    <row r="26" spans="1:19" x14ac:dyDescent="0.25">
      <c r="C26" s="6"/>
      <c r="D26" s="6"/>
      <c r="E26" s="6"/>
      <c r="F26" s="5"/>
      <c r="G26" s="5"/>
      <c r="H26" s="5"/>
      <c r="I26" s="5"/>
      <c r="J26" s="5"/>
      <c r="K26" s="6"/>
    </row>
    <row r="27" spans="1:19" x14ac:dyDescent="0.25">
      <c r="C27" s="6"/>
      <c r="D27" s="6"/>
      <c r="E27" s="6"/>
      <c r="F27" s="5"/>
      <c r="G27" s="5"/>
      <c r="H27" s="5"/>
      <c r="I27" s="5"/>
      <c r="J27" s="5"/>
      <c r="K27" s="6"/>
    </row>
    <row r="28" spans="1:19" x14ac:dyDescent="0.25">
      <c r="C28" s="6"/>
      <c r="D28" s="6"/>
      <c r="E28" s="6"/>
      <c r="F28" s="6"/>
      <c r="G28" s="6"/>
      <c r="H28" s="6"/>
      <c r="I28" s="6"/>
      <c r="J28" s="6"/>
      <c r="K28" s="6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opLeftCell="W1" zoomScale="85" zoomScaleNormal="85" workbookViewId="0">
      <selection activeCell="R9" sqref="R9"/>
    </sheetView>
  </sheetViews>
  <sheetFormatPr defaultRowHeight="15" x14ac:dyDescent="0.25"/>
  <cols>
    <col min="1" max="1" width="10.5703125" bestFit="1" customWidth="1"/>
    <col min="2" max="2" width="14.85546875" bestFit="1" customWidth="1"/>
    <col min="3" max="13" width="18.5703125" customWidth="1"/>
    <col min="14" max="14" width="2.5703125" customWidth="1"/>
    <col min="15" max="15" width="18.5703125" customWidth="1"/>
    <col min="16" max="21" width="18.5703125" style="11" customWidth="1"/>
    <col min="22" max="23" width="18.5703125" style="22" customWidth="1"/>
    <col min="24" max="25" width="18.5703125" customWidth="1"/>
    <col min="26" max="27" width="11.42578125" style="17" customWidth="1"/>
    <col min="28" max="29" width="18.5703125" customWidth="1"/>
    <col min="30" max="32" width="12.5703125" style="2" customWidth="1"/>
  </cols>
  <sheetData>
    <row r="1" spans="1:32" ht="45" x14ac:dyDescent="0.25">
      <c r="A1" t="s">
        <v>19</v>
      </c>
      <c r="C1" s="25"/>
      <c r="D1" s="25" t="s">
        <v>43</v>
      </c>
      <c r="E1" s="25" t="s">
        <v>44</v>
      </c>
      <c r="F1" s="25" t="s">
        <v>45</v>
      </c>
      <c r="G1" s="25" t="s">
        <v>35</v>
      </c>
      <c r="H1" s="25" t="s">
        <v>33</v>
      </c>
      <c r="I1" s="25" t="s">
        <v>32</v>
      </c>
      <c r="J1" s="25" t="s">
        <v>36</v>
      </c>
      <c r="K1" s="25" t="s">
        <v>37</v>
      </c>
      <c r="L1" s="29" t="s">
        <v>27</v>
      </c>
      <c r="M1" s="29" t="s">
        <v>28</v>
      </c>
      <c r="O1" s="13" t="s">
        <v>10</v>
      </c>
      <c r="P1" s="37" t="s">
        <v>50</v>
      </c>
      <c r="Q1" s="37" t="s">
        <v>26</v>
      </c>
      <c r="R1" s="37" t="s">
        <v>49</v>
      </c>
      <c r="S1" s="37" t="s">
        <v>47</v>
      </c>
      <c r="T1" s="37" t="s">
        <v>48</v>
      </c>
      <c r="U1" s="37" t="s">
        <v>52</v>
      </c>
      <c r="V1" s="21" t="s">
        <v>17</v>
      </c>
      <c r="W1" s="21" t="s">
        <v>18</v>
      </c>
      <c r="Z1" s="18" t="s">
        <v>34</v>
      </c>
      <c r="AA1" s="42" t="s">
        <v>51</v>
      </c>
    </row>
    <row r="2" spans="1:32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Z2" s="19"/>
      <c r="AA2" s="19"/>
    </row>
    <row r="3" spans="1:32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Z3" s="19"/>
      <c r="AA3" s="19"/>
      <c r="AD3" s="36" t="s">
        <v>29</v>
      </c>
      <c r="AE3" s="36" t="s">
        <v>30</v>
      </c>
      <c r="AF3" s="36" t="s">
        <v>31</v>
      </c>
    </row>
    <row r="4" spans="1:32" s="24" customFormat="1" x14ac:dyDescent="0.25">
      <c r="A4" s="24" t="s">
        <v>1</v>
      </c>
      <c r="B4" s="24" t="s">
        <v>2</v>
      </c>
      <c r="C4" s="32" t="s">
        <v>3</v>
      </c>
      <c r="D4" s="32" t="s">
        <v>40</v>
      </c>
      <c r="E4" s="32" t="s">
        <v>41</v>
      </c>
      <c r="F4" s="32" t="s">
        <v>42</v>
      </c>
      <c r="G4" s="32" t="s">
        <v>35</v>
      </c>
      <c r="H4" s="32" t="s">
        <v>33</v>
      </c>
      <c r="I4" s="32" t="s">
        <v>32</v>
      </c>
      <c r="J4" s="35" t="s">
        <v>36</v>
      </c>
      <c r="K4" s="35" t="s">
        <v>37</v>
      </c>
      <c r="L4" s="32"/>
      <c r="M4" s="32" t="s">
        <v>28</v>
      </c>
      <c r="P4" s="8"/>
      <c r="Q4" s="8"/>
      <c r="R4" s="8"/>
      <c r="S4" s="8"/>
      <c r="T4" s="8"/>
      <c r="U4" s="8"/>
      <c r="V4" s="33"/>
      <c r="W4" s="33"/>
      <c r="X4" s="8" t="s">
        <v>21</v>
      </c>
      <c r="Y4" s="8" t="s">
        <v>22</v>
      </c>
      <c r="Z4" s="34"/>
      <c r="AA4" s="34"/>
      <c r="AB4" s="8" t="s">
        <v>23</v>
      </c>
      <c r="AC4" s="8" t="s">
        <v>24</v>
      </c>
      <c r="AD4" s="15" t="s">
        <v>25</v>
      </c>
      <c r="AE4" s="15" t="s">
        <v>25</v>
      </c>
      <c r="AF4" s="15" t="s">
        <v>25</v>
      </c>
    </row>
    <row r="5" spans="1:32" x14ac:dyDescent="0.25">
      <c r="A5">
        <v>2016</v>
      </c>
      <c r="B5" t="s">
        <v>11</v>
      </c>
      <c r="C5" s="5">
        <v>62111796.900000028</v>
      </c>
      <c r="D5" s="5">
        <v>202863.71143999984</v>
      </c>
      <c r="E5" s="5">
        <v>80745.37999999999</v>
      </c>
      <c r="F5" s="5">
        <v>62677.219999999987</v>
      </c>
      <c r="G5" s="5">
        <v>24844.718743999987</v>
      </c>
      <c r="H5" s="5"/>
      <c r="I5" s="5"/>
      <c r="J5" s="5"/>
      <c r="K5" s="5"/>
      <c r="L5" s="5">
        <f>SUM(H5,C5)</f>
        <v>62111796.900000028</v>
      </c>
      <c r="M5" s="5">
        <f>SUM(D5,E5,F5,I5)</f>
        <v>346286.31143999979</v>
      </c>
      <c r="O5" s="6"/>
      <c r="P5" s="12"/>
      <c r="Q5" s="12"/>
      <c r="R5" s="12"/>
      <c r="S5" s="12"/>
      <c r="T5" s="12"/>
      <c r="U5" s="12"/>
      <c r="X5" s="6"/>
      <c r="Y5" s="6"/>
      <c r="Z5" s="19"/>
      <c r="AA5" s="19"/>
      <c r="AD5" s="2">
        <f>D5/C5</f>
        <v>3.266105982517465E-3</v>
      </c>
      <c r="AE5" s="2">
        <f>E5/C5</f>
        <v>1.3000007088830488E-3</v>
      </c>
      <c r="AF5" s="2">
        <f>F5/C5</f>
        <v>1.0091033125464118E-3</v>
      </c>
    </row>
    <row r="6" spans="1:32" x14ac:dyDescent="0.25">
      <c r="B6" t="s">
        <v>12</v>
      </c>
      <c r="C6" s="5">
        <v>35644489.080000021</v>
      </c>
      <c r="D6" s="5">
        <v>116423.49300799952</v>
      </c>
      <c r="E6" s="5">
        <v>46337.319999999934</v>
      </c>
      <c r="F6" s="5">
        <v>35960.190000000024</v>
      </c>
      <c r="G6" s="5">
        <v>14257.795623999918</v>
      </c>
      <c r="H6" s="5">
        <v>180647.16409999999</v>
      </c>
      <c r="I6" s="5">
        <v>1011.6241189599999</v>
      </c>
      <c r="J6" s="5"/>
      <c r="K6" s="5"/>
      <c r="L6" s="5">
        <f t="shared" ref="L6:L26" si="0">SUM(H6,C6)</f>
        <v>35825136.244100019</v>
      </c>
      <c r="M6" s="5">
        <f t="shared" ref="M6:M10" si="1">SUM(D6,E6,F6,I6)</f>
        <v>199732.62712695947</v>
      </c>
      <c r="O6" s="6"/>
      <c r="P6" s="12"/>
      <c r="Q6" s="12"/>
      <c r="R6" s="12"/>
      <c r="S6" s="12"/>
      <c r="T6" s="12"/>
      <c r="U6" s="12"/>
      <c r="X6" s="6"/>
      <c r="Y6" s="6"/>
      <c r="Z6" s="19"/>
      <c r="AA6" s="19"/>
      <c r="AD6" s="2">
        <f t="shared" ref="AD6:AD26" si="2">D6/C6</f>
        <v>3.2662410378978971E-3</v>
      </c>
      <c r="AE6" s="2">
        <f t="shared" ref="AE6:AE26" si="3">E6/C6</f>
        <v>1.2999855292076445E-3</v>
      </c>
      <c r="AF6" s="2">
        <f t="shared" ref="AF6:AF26" si="4">F6/C6</f>
        <v>1.0088569349189281E-3</v>
      </c>
    </row>
    <row r="7" spans="1:32" x14ac:dyDescent="0.25">
      <c r="B7" t="s">
        <v>13</v>
      </c>
      <c r="C7" s="5">
        <v>159477518.50000027</v>
      </c>
      <c r="D7" s="5">
        <v>521608.79251200845</v>
      </c>
      <c r="E7" s="5">
        <v>207317.81</v>
      </c>
      <c r="F7" s="5">
        <v>159910.39999999988</v>
      </c>
      <c r="G7" s="5">
        <v>63791.007416001186</v>
      </c>
      <c r="H7" s="5">
        <v>840919.10600000003</v>
      </c>
      <c r="I7" s="5">
        <v>4709.1469936000003</v>
      </c>
      <c r="J7" s="5"/>
      <c r="K7" s="5"/>
      <c r="L7" s="5">
        <f t="shared" si="0"/>
        <v>160318437.60600027</v>
      </c>
      <c r="M7" s="5">
        <f t="shared" si="1"/>
        <v>893546.14950560837</v>
      </c>
      <c r="O7" s="6"/>
      <c r="P7" s="12"/>
      <c r="Q7" s="12"/>
      <c r="R7" s="12"/>
      <c r="S7" s="12"/>
      <c r="T7" s="12"/>
      <c r="U7" s="12"/>
      <c r="X7" s="5"/>
      <c r="Y7" s="5"/>
      <c r="Z7" s="19"/>
      <c r="AA7" s="19"/>
      <c r="AB7" s="4"/>
      <c r="AC7" s="4"/>
      <c r="AD7" s="2">
        <f t="shared" si="2"/>
        <v>3.270735570869869E-3</v>
      </c>
      <c r="AE7" s="2">
        <f t="shared" si="3"/>
        <v>1.2999814139947232E-3</v>
      </c>
      <c r="AF7" s="2">
        <f t="shared" si="4"/>
        <v>1.0027143731860841E-3</v>
      </c>
    </row>
    <row r="8" spans="1:32" x14ac:dyDescent="0.25">
      <c r="B8" t="s">
        <v>14</v>
      </c>
      <c r="C8" s="5">
        <v>581942.65</v>
      </c>
      <c r="D8" s="5">
        <v>1903.3966559999997</v>
      </c>
      <c r="E8" s="5">
        <v>756.45</v>
      </c>
      <c r="F8" s="5">
        <v>583.52</v>
      </c>
      <c r="G8" s="5">
        <v>232.77705999999998</v>
      </c>
      <c r="H8" s="5"/>
      <c r="I8" s="5"/>
      <c r="J8" s="5"/>
      <c r="K8" s="5"/>
      <c r="L8" s="5">
        <f t="shared" si="0"/>
        <v>581942.65</v>
      </c>
      <c r="M8" s="5">
        <f t="shared" si="1"/>
        <v>3243.3666559999997</v>
      </c>
      <c r="O8" s="6"/>
      <c r="P8" s="12"/>
      <c r="Q8" s="12"/>
      <c r="R8" s="12"/>
      <c r="S8" s="12"/>
      <c r="T8" s="12"/>
      <c r="U8" s="12"/>
      <c r="X8" s="5"/>
      <c r="Y8" s="5"/>
      <c r="Z8" s="19"/>
      <c r="AA8" s="19"/>
      <c r="AB8" s="4"/>
      <c r="AC8" s="4"/>
      <c r="AD8" s="2">
        <f t="shared" si="2"/>
        <v>3.270763289131669E-3</v>
      </c>
      <c r="AE8" s="2">
        <f t="shared" si="3"/>
        <v>1.2998703566408133E-3</v>
      </c>
      <c r="AF8" s="2">
        <f t="shared" si="4"/>
        <v>1.0027104904581233E-3</v>
      </c>
    </row>
    <row r="9" spans="1:32" x14ac:dyDescent="0.25">
      <c r="B9" t="s">
        <v>15</v>
      </c>
      <c r="C9" s="5">
        <v>113988.02999999964</v>
      </c>
      <c r="D9" s="5">
        <v>372.41404000000512</v>
      </c>
      <c r="E9" s="5">
        <v>146.85000000000014</v>
      </c>
      <c r="F9" s="5">
        <v>118.51000000000018</v>
      </c>
      <c r="G9" s="5">
        <v>45.595212000000572</v>
      </c>
      <c r="H9" s="5">
        <v>874.99680000000001</v>
      </c>
      <c r="I9" s="5">
        <v>4.8999820800000009</v>
      </c>
      <c r="J9" s="5"/>
      <c r="K9" s="5"/>
      <c r="L9" s="5">
        <f t="shared" si="0"/>
        <v>114863.02679999963</v>
      </c>
      <c r="M9" s="5">
        <f t="shared" si="1"/>
        <v>642.67402208000544</v>
      </c>
      <c r="O9" s="6"/>
      <c r="P9" s="12"/>
      <c r="Q9" s="12"/>
      <c r="R9" s="12"/>
      <c r="S9" s="12"/>
      <c r="T9" s="12"/>
      <c r="U9" s="12"/>
      <c r="X9" s="5"/>
      <c r="Y9" s="5"/>
      <c r="Z9" s="19"/>
      <c r="AA9" s="19"/>
      <c r="AB9" s="4"/>
      <c r="AC9" s="4"/>
      <c r="AD9" s="2">
        <f t="shared" si="2"/>
        <v>3.2671328735131779E-3</v>
      </c>
      <c r="AE9" s="2">
        <f t="shared" si="3"/>
        <v>1.288293165519227E-3</v>
      </c>
      <c r="AF9" s="2">
        <f t="shared" si="4"/>
        <v>1.0396705689185133E-3</v>
      </c>
    </row>
    <row r="10" spans="1:32" x14ac:dyDescent="0.25">
      <c r="B10" t="s">
        <v>16</v>
      </c>
      <c r="C10" s="5">
        <v>495285.49</v>
      </c>
      <c r="D10" s="5">
        <v>1618.0183839999868</v>
      </c>
      <c r="E10" s="5">
        <v>642.03000000000009</v>
      </c>
      <c r="F10" s="5">
        <v>498.32999999999981</v>
      </c>
      <c r="G10" s="5">
        <v>198.11419599999832</v>
      </c>
      <c r="H10" s="5">
        <v>3798.5155200000004</v>
      </c>
      <c r="I10" s="5">
        <v>21.271686912</v>
      </c>
      <c r="J10" s="5"/>
      <c r="K10" s="5"/>
      <c r="L10" s="5">
        <f t="shared" si="0"/>
        <v>499084.00552000001</v>
      </c>
      <c r="M10" s="5">
        <f t="shared" si="1"/>
        <v>2779.6500709119869</v>
      </c>
      <c r="O10" s="6"/>
      <c r="P10" s="12"/>
      <c r="Q10" s="12"/>
      <c r="R10" s="12"/>
      <c r="S10" s="12"/>
      <c r="T10" s="12"/>
      <c r="U10" s="12"/>
      <c r="X10" s="5"/>
      <c r="Y10" s="5"/>
      <c r="Z10" s="19"/>
      <c r="AA10" s="19"/>
      <c r="AB10" s="4"/>
      <c r="AC10" s="4"/>
      <c r="AD10" s="2">
        <f t="shared" si="2"/>
        <v>3.2668398664374093E-3</v>
      </c>
      <c r="AE10" s="2">
        <f t="shared" si="3"/>
        <v>1.2962826752707819E-3</v>
      </c>
      <c r="AF10" s="2">
        <f t="shared" si="4"/>
        <v>1.006146979997334E-3</v>
      </c>
    </row>
    <row r="11" spans="1:32" x14ac:dyDescent="0.25">
      <c r="A11" s="11" t="s">
        <v>6</v>
      </c>
      <c r="B11" s="11"/>
      <c r="C11" s="27">
        <v>258425020.65000033</v>
      </c>
      <c r="D11" s="27">
        <v>844789.82604000787</v>
      </c>
      <c r="E11" s="27">
        <v>335945.83999999991</v>
      </c>
      <c r="F11" s="27">
        <v>259748.16999999987</v>
      </c>
      <c r="G11" s="27">
        <v>103370.00825200108</v>
      </c>
      <c r="H11" s="27">
        <f>SUM(H5:H10)</f>
        <v>1026239.7824200001</v>
      </c>
      <c r="I11" s="27">
        <f>SUM(I5:I10)</f>
        <v>5746.9427815520003</v>
      </c>
      <c r="J11" s="27">
        <f t="shared" ref="J11:K11" si="5">SUM(J5:J10)</f>
        <v>0</v>
      </c>
      <c r="K11" s="27">
        <f t="shared" si="5"/>
        <v>0</v>
      </c>
      <c r="L11" s="27">
        <f t="shared" si="0"/>
        <v>259451260.43242034</v>
      </c>
      <c r="M11" s="27">
        <f t="shared" ref="M11:M26" si="6">SUM(D11,E11,F11,G11,I11)</f>
        <v>1549600.7870735608</v>
      </c>
      <c r="O11" s="40">
        <v>1225611.5</v>
      </c>
      <c r="P11" s="38">
        <f>O11-Q11-R11</f>
        <v>1132372.6100000001</v>
      </c>
      <c r="Q11" s="38">
        <v>93238.89</v>
      </c>
      <c r="R11" s="38"/>
      <c r="S11" s="39">
        <f>D11+E11+F11+I11-P11</f>
        <v>313858.16882155952</v>
      </c>
      <c r="T11" s="38">
        <f>G11-Q11</f>
        <v>10131.118252001077</v>
      </c>
      <c r="U11" s="38">
        <f>K11-R11</f>
        <v>0</v>
      </c>
      <c r="V11" s="41">
        <v>260937355</v>
      </c>
      <c r="W11" s="41">
        <v>665463</v>
      </c>
      <c r="X11" s="5">
        <f>-S11-T11-U11</f>
        <v>-323989.28707356058</v>
      </c>
      <c r="Y11" s="5">
        <f>-317938</f>
        <v>-317938</v>
      </c>
      <c r="Z11" s="19">
        <v>-6520.63</v>
      </c>
      <c r="AA11" s="19">
        <f>6210.06-I11</f>
        <v>463.11721844800013</v>
      </c>
      <c r="AB11" s="5">
        <f>X11-Y11-Z11-AA11</f>
        <v>6.225707991417039</v>
      </c>
      <c r="AC11" s="10">
        <f>AB11/Y11</f>
        <v>-1.9581515866040041E-5</v>
      </c>
      <c r="AD11" s="2">
        <f t="shared" si="2"/>
        <v>3.2689939384164921E-3</v>
      </c>
      <c r="AE11" s="2">
        <f t="shared" si="3"/>
        <v>1.2999741246223617E-3</v>
      </c>
      <c r="AF11" s="2">
        <f t="shared" si="4"/>
        <v>1.0051200512499582E-3</v>
      </c>
    </row>
    <row r="12" spans="1:32" x14ac:dyDescent="0.25">
      <c r="A12">
        <v>2017</v>
      </c>
      <c r="B12" t="s">
        <v>11</v>
      </c>
      <c r="C12" s="5">
        <v>67790417.550000012</v>
      </c>
      <c r="D12" s="5">
        <v>216929.34742400004</v>
      </c>
      <c r="E12" s="5">
        <v>86239.129999999917</v>
      </c>
      <c r="F12" s="5">
        <v>30872.410000000011</v>
      </c>
      <c r="G12" s="5">
        <v>26298.378428000025</v>
      </c>
      <c r="H12" s="5"/>
      <c r="I12" s="5"/>
      <c r="J12" s="5">
        <v>2044378.28</v>
      </c>
      <c r="K12" s="5">
        <v>432.75</v>
      </c>
      <c r="L12" s="5">
        <f>SUM(H12,C12)</f>
        <v>67790417.550000012</v>
      </c>
      <c r="M12" s="5">
        <f>SUM(D12,E12,F12,I12,K12)</f>
        <v>334473.63742399996</v>
      </c>
      <c r="O12" s="6"/>
      <c r="P12" s="12"/>
      <c r="Q12" s="12"/>
      <c r="R12" s="12"/>
      <c r="S12" s="12"/>
      <c r="T12" s="12"/>
      <c r="U12" s="12"/>
      <c r="X12" s="5"/>
      <c r="Y12" s="5"/>
      <c r="Z12" s="19"/>
      <c r="AA12" s="19"/>
      <c r="AB12" s="5"/>
      <c r="AC12" s="4"/>
      <c r="AD12" s="2">
        <f t="shared" si="2"/>
        <v>3.2000001661591773E-3</v>
      </c>
      <c r="AE12" s="2">
        <f t="shared" si="3"/>
        <v>1.2721433665221597E-3</v>
      </c>
      <c r="AF12" s="2">
        <f t="shared" si="4"/>
        <v>4.5540964513501517E-4</v>
      </c>
    </row>
    <row r="13" spans="1:32" x14ac:dyDescent="0.25">
      <c r="B13" t="s">
        <v>12</v>
      </c>
      <c r="C13" s="5">
        <v>33981894.419999972</v>
      </c>
      <c r="D13" s="5">
        <v>108738.07987199971</v>
      </c>
      <c r="E13" s="5">
        <v>43703.879999999983</v>
      </c>
      <c r="F13" s="5">
        <v>16180.459999999995</v>
      </c>
      <c r="G13" s="5">
        <v>13591.91748400002</v>
      </c>
      <c r="H13" s="5">
        <v>173486.75110170001</v>
      </c>
      <c r="I13" s="5">
        <v>858.7594179534151</v>
      </c>
      <c r="J13" s="5"/>
      <c r="K13" s="5"/>
      <c r="L13" s="5">
        <f t="shared" si="0"/>
        <v>34155381.171101674</v>
      </c>
      <c r="M13" s="5">
        <f t="shared" ref="M13:M17" si="7">SUM(D13,E13,F13,I13)</f>
        <v>169481.17928995308</v>
      </c>
      <c r="O13" s="6"/>
      <c r="P13" s="12"/>
      <c r="Q13" s="12"/>
      <c r="R13" s="12"/>
      <c r="S13" s="12"/>
      <c r="T13" s="12"/>
      <c r="U13" s="12"/>
      <c r="X13" s="5"/>
      <c r="Y13" s="5"/>
      <c r="Z13" s="19"/>
      <c r="AA13" s="19"/>
      <c r="AB13" s="5"/>
      <c r="AC13" s="4"/>
      <c r="AD13" s="2">
        <f t="shared" si="2"/>
        <v>3.1998828119482988E-3</v>
      </c>
      <c r="AE13" s="2">
        <f t="shared" si="3"/>
        <v>1.2860931018100674E-3</v>
      </c>
      <c r="AF13" s="2">
        <f t="shared" si="4"/>
        <v>4.7614944005231857E-4</v>
      </c>
    </row>
    <row r="14" spans="1:32" x14ac:dyDescent="0.25">
      <c r="B14" t="s">
        <v>13</v>
      </c>
      <c r="C14" s="5">
        <v>154240602.51999995</v>
      </c>
      <c r="D14" s="5">
        <v>493568.38128002582</v>
      </c>
      <c r="E14" s="5">
        <v>200239.78000000014</v>
      </c>
      <c r="F14" s="5">
        <v>77148.439999999959</v>
      </c>
      <c r="G14" s="5">
        <v>61692.720159999983</v>
      </c>
      <c r="H14" s="5">
        <v>872056.68743749999</v>
      </c>
      <c r="I14" s="5">
        <v>4316.6806028156252</v>
      </c>
      <c r="J14" s="5"/>
      <c r="K14" s="5"/>
      <c r="L14" s="5">
        <f t="shared" si="0"/>
        <v>155112659.20743746</v>
      </c>
      <c r="M14" s="5">
        <f t="shared" si="7"/>
        <v>775273.28188284149</v>
      </c>
      <c r="O14" s="6"/>
      <c r="P14" s="12"/>
      <c r="Q14" s="12"/>
      <c r="R14" s="12"/>
      <c r="S14" s="12"/>
      <c r="T14" s="12"/>
      <c r="U14" s="12"/>
      <c r="X14" s="5"/>
      <c r="Y14" s="5"/>
      <c r="Z14" s="19"/>
      <c r="AA14" s="19"/>
      <c r="AB14" s="5"/>
      <c r="AC14" s="4"/>
      <c r="AD14" s="2">
        <f t="shared" si="2"/>
        <v>3.1999899716161065E-3</v>
      </c>
      <c r="AE14" s="2">
        <f t="shared" si="3"/>
        <v>1.2982300167949331E-3</v>
      </c>
      <c r="AF14" s="2">
        <f t="shared" si="4"/>
        <v>5.0018243406431417E-4</v>
      </c>
    </row>
    <row r="15" spans="1:32" x14ac:dyDescent="0.25">
      <c r="B15" t="s">
        <v>14</v>
      </c>
      <c r="C15" s="5">
        <v>611334.50999999989</v>
      </c>
      <c r="D15" s="5">
        <v>1956.2831839999978</v>
      </c>
      <c r="E15" s="5">
        <v>837.92000000000007</v>
      </c>
      <c r="F15" s="5">
        <v>317.86</v>
      </c>
      <c r="G15" s="5">
        <v>244.54664800000006</v>
      </c>
      <c r="H15" s="5"/>
      <c r="I15" s="5"/>
      <c r="J15" s="5"/>
      <c r="K15" s="5"/>
      <c r="L15" s="5">
        <f t="shared" si="0"/>
        <v>611334.50999999989</v>
      </c>
      <c r="M15" s="5">
        <f t="shared" si="7"/>
        <v>3112.0631839999983</v>
      </c>
      <c r="O15" s="6"/>
      <c r="P15" s="12"/>
      <c r="Q15" s="12"/>
      <c r="R15" s="12"/>
      <c r="S15" s="12"/>
      <c r="T15" s="12"/>
      <c r="U15" s="12"/>
      <c r="X15" s="5"/>
      <c r="Y15" s="5"/>
      <c r="Z15" s="19"/>
      <c r="AA15" s="19"/>
      <c r="AB15" s="5"/>
      <c r="AC15" s="4"/>
      <c r="AD15" s="2">
        <f t="shared" si="2"/>
        <v>3.2000208592837301E-3</v>
      </c>
      <c r="AE15" s="2">
        <f t="shared" si="3"/>
        <v>1.3706407642519645E-3</v>
      </c>
      <c r="AF15" s="2">
        <f t="shared" si="4"/>
        <v>5.1994447360742004E-4</v>
      </c>
    </row>
    <row r="16" spans="1:32" x14ac:dyDescent="0.25">
      <c r="B16" t="s">
        <v>15</v>
      </c>
      <c r="C16" s="5">
        <v>110712.16999999987</v>
      </c>
      <c r="D16" s="5">
        <v>355.96691200000294</v>
      </c>
      <c r="E16" s="5">
        <v>141.76999999999984</v>
      </c>
      <c r="F16" s="5">
        <v>53.019999999999875</v>
      </c>
      <c r="G16" s="5">
        <v>42.545864000000066</v>
      </c>
      <c r="H16" s="5">
        <v>874.99680000000001</v>
      </c>
      <c r="I16" s="5">
        <v>4.3312341600000002</v>
      </c>
      <c r="J16" s="5"/>
      <c r="K16" s="5"/>
      <c r="L16" s="5">
        <f t="shared" si="0"/>
        <v>111587.16679999986</v>
      </c>
      <c r="M16" s="5">
        <f t="shared" si="7"/>
        <v>555.08814616000268</v>
      </c>
      <c r="O16" s="6"/>
      <c r="P16" s="12"/>
      <c r="Q16" s="12"/>
      <c r="R16" s="12"/>
      <c r="S16" s="12"/>
      <c r="T16" s="12"/>
      <c r="U16" s="12"/>
      <c r="X16" s="5"/>
      <c r="Y16" s="5"/>
      <c r="Z16" s="19"/>
      <c r="AA16" s="19"/>
      <c r="AB16" s="5"/>
      <c r="AC16" s="4"/>
      <c r="AD16" s="2">
        <f t="shared" si="2"/>
        <v>3.2152464539354922E-3</v>
      </c>
      <c r="AE16" s="2">
        <f t="shared" si="3"/>
        <v>1.2805276962776541E-3</v>
      </c>
      <c r="AF16" s="2">
        <f t="shared" si="4"/>
        <v>4.7889947419511278E-4</v>
      </c>
    </row>
    <row r="17" spans="1:32" x14ac:dyDescent="0.25">
      <c r="B17" t="s">
        <v>16</v>
      </c>
      <c r="C17" s="5">
        <v>493469.06000000006</v>
      </c>
      <c r="D17" s="5">
        <v>1578.556512000001</v>
      </c>
      <c r="E17" s="5">
        <v>633.74</v>
      </c>
      <c r="F17" s="5">
        <v>225.74999999999994</v>
      </c>
      <c r="G17" s="5">
        <v>196.84456399999891</v>
      </c>
      <c r="H17" s="5">
        <v>3798.5155200000004</v>
      </c>
      <c r="I17" s="5">
        <v>18.802651824000002</v>
      </c>
      <c r="J17" s="5"/>
      <c r="K17" s="5"/>
      <c r="L17" s="5">
        <f t="shared" si="0"/>
        <v>497267.57552000007</v>
      </c>
      <c r="M17" s="5">
        <f t="shared" si="7"/>
        <v>2456.8491638240007</v>
      </c>
      <c r="O17" s="6"/>
      <c r="P17" s="12"/>
      <c r="Q17" s="12"/>
      <c r="R17" s="12"/>
      <c r="S17" s="12"/>
      <c r="T17" s="12"/>
      <c r="U17" s="12"/>
      <c r="X17" s="5"/>
      <c r="Y17" s="5"/>
      <c r="Z17" s="19"/>
      <c r="AA17" s="19"/>
      <c r="AB17" s="5"/>
      <c r="AC17" s="4"/>
      <c r="AD17" s="2">
        <f t="shared" si="2"/>
        <v>3.1988966278858515E-3</v>
      </c>
      <c r="AE17" s="2">
        <f t="shared" si="3"/>
        <v>1.2842547818499501E-3</v>
      </c>
      <c r="AF17" s="2">
        <f t="shared" si="4"/>
        <v>4.5747548995270324E-4</v>
      </c>
    </row>
    <row r="18" spans="1:32" x14ac:dyDescent="0.25">
      <c r="A18" s="11" t="s">
        <v>7</v>
      </c>
      <c r="B18" s="11"/>
      <c r="C18" s="27">
        <v>257228430.22999993</v>
      </c>
      <c r="D18" s="27">
        <v>823126.61518402549</v>
      </c>
      <c r="E18" s="27">
        <v>331796.22000000003</v>
      </c>
      <c r="F18" s="27">
        <v>124797.93999999997</v>
      </c>
      <c r="G18" s="27">
        <v>102066.95314800003</v>
      </c>
      <c r="H18" s="27">
        <f>SUM(H12:H17)</f>
        <v>1050216.9508592</v>
      </c>
      <c r="I18" s="27">
        <f>SUM(I12:I17)</f>
        <v>5198.5739067530412</v>
      </c>
      <c r="J18" s="27">
        <f t="shared" ref="J18:K18" si="8">SUM(J12:J17)</f>
        <v>2044378.28</v>
      </c>
      <c r="K18" s="27">
        <f t="shared" si="8"/>
        <v>432.75</v>
      </c>
      <c r="L18" s="27">
        <f>SUM(H18,C18)</f>
        <v>258278647.18085912</v>
      </c>
      <c r="M18" s="27">
        <f>SUM(D18,E18,F18,G18,I18,K18)</f>
        <v>1387419.0522387784</v>
      </c>
      <c r="O18" s="7">
        <v>1094426.4400000002</v>
      </c>
      <c r="P18" s="38">
        <f>O18-Q18-R18</f>
        <v>993595.54000000015</v>
      </c>
      <c r="Q18" s="38">
        <v>100335.23999999999</v>
      </c>
      <c r="R18" s="38">
        <v>495.66</v>
      </c>
      <c r="S18" s="39">
        <f>D18+E18+F18+I18-P18</f>
        <v>291323.80909077835</v>
      </c>
      <c r="T18" s="38">
        <f>G18-Q18</f>
        <v>1731.7131480000389</v>
      </c>
      <c r="U18" s="38">
        <f>K18-R18</f>
        <v>-62.910000000000025</v>
      </c>
      <c r="V18" s="23">
        <v>259404956</v>
      </c>
      <c r="W18" s="23">
        <v>558628</v>
      </c>
      <c r="X18" s="5">
        <f>-S18-T18-U18</f>
        <v>-292992.61223877844</v>
      </c>
      <c r="Y18" s="5">
        <f>-275006</f>
        <v>-275006</v>
      </c>
      <c r="Z18" s="19">
        <v>-18946.419999999998</v>
      </c>
      <c r="AA18" s="19">
        <f>5028.57-I18</f>
        <v>-170.00390675304152</v>
      </c>
      <c r="AB18" s="5">
        <f>X18-Y18-Z18-AA18</f>
        <v>1129.8116679745981</v>
      </c>
      <c r="AC18" s="10">
        <f>AB18/Y18</f>
        <v>-4.1083164293673523E-3</v>
      </c>
      <c r="AD18" s="2">
        <f t="shared" si="2"/>
        <v>3.1999830440516612E-3</v>
      </c>
      <c r="AE18" s="2">
        <f t="shared" si="3"/>
        <v>1.2898893784925934E-3</v>
      </c>
      <c r="AF18" s="2">
        <f t="shared" si="4"/>
        <v>4.8516386733928404E-4</v>
      </c>
    </row>
    <row r="19" spans="1:32" x14ac:dyDescent="0.25">
      <c r="A19">
        <v>2018</v>
      </c>
      <c r="B19" t="s">
        <v>11</v>
      </c>
      <c r="C19" s="5">
        <v>69195940.419999987</v>
      </c>
      <c r="D19" s="5">
        <v>221427.01601599966</v>
      </c>
      <c r="E19" s="5">
        <v>20483.760000000002</v>
      </c>
      <c r="F19" s="5">
        <v>0</v>
      </c>
      <c r="G19" s="5">
        <v>188782.40140000108</v>
      </c>
      <c r="H19" s="5"/>
      <c r="I19" s="5"/>
      <c r="J19" s="5">
        <v>8119930.129999998</v>
      </c>
      <c r="K19" s="5">
        <v>1862.76</v>
      </c>
      <c r="L19" s="5">
        <f>SUM(H19,C19)</f>
        <v>69195940.419999987</v>
      </c>
      <c r="M19" s="5">
        <f>SUM(D19,E19,F19,I19,K19)</f>
        <v>243773.53601599968</v>
      </c>
      <c r="O19" s="6"/>
      <c r="P19" s="12"/>
      <c r="Q19" s="12"/>
      <c r="R19" s="12"/>
      <c r="S19" s="12"/>
      <c r="T19" s="12"/>
      <c r="U19" s="12"/>
      <c r="X19" s="5"/>
      <c r="Y19" s="5"/>
      <c r="Z19" s="19"/>
      <c r="AA19" s="19"/>
      <c r="AB19" s="5"/>
      <c r="AC19" s="4"/>
      <c r="AD19" s="2">
        <f t="shared" si="2"/>
        <v>3.2000000964218372E-3</v>
      </c>
      <c r="AE19" s="2">
        <f t="shared" si="3"/>
        <v>2.9602545865652395E-4</v>
      </c>
      <c r="AF19" s="2">
        <f t="shared" si="4"/>
        <v>0</v>
      </c>
    </row>
    <row r="20" spans="1:32" x14ac:dyDescent="0.25">
      <c r="B20" t="s">
        <v>12</v>
      </c>
      <c r="C20" s="5">
        <v>39249702.819999918</v>
      </c>
      <c r="D20" s="5">
        <v>125598.65852800022</v>
      </c>
      <c r="E20" s="5">
        <v>12284.490000000014</v>
      </c>
      <c r="F20" s="5">
        <v>179.81999999999996</v>
      </c>
      <c r="G20" s="5">
        <v>15567.950000000013</v>
      </c>
      <c r="H20" s="5">
        <v>35516.81897344</v>
      </c>
      <c r="I20" s="5">
        <v>124.30886640704001</v>
      </c>
      <c r="J20" s="5"/>
      <c r="K20" s="5"/>
      <c r="L20" s="5">
        <f t="shared" si="0"/>
        <v>39285219.638973355</v>
      </c>
      <c r="M20" s="5">
        <f t="shared" ref="M20:M24" si="9">SUM(D20,E20,F20,I20)</f>
        <v>138187.27739440728</v>
      </c>
      <c r="O20" s="6"/>
      <c r="P20" s="12"/>
      <c r="Q20" s="12"/>
      <c r="R20" s="12"/>
      <c r="S20" s="12"/>
      <c r="T20" s="12"/>
      <c r="U20" s="12"/>
      <c r="X20" s="5"/>
      <c r="Y20" s="5"/>
      <c r="Z20" s="19"/>
      <c r="AA20" s="19"/>
      <c r="AB20" s="5"/>
      <c r="AC20" s="4"/>
      <c r="AD20" s="2">
        <f t="shared" si="2"/>
        <v>3.1999900509820083E-3</v>
      </c>
      <c r="AE20" s="2">
        <f t="shared" si="3"/>
        <v>3.129830066825469E-4</v>
      </c>
      <c r="AF20" s="2">
        <f t="shared" si="4"/>
        <v>4.5814359620672499E-6</v>
      </c>
    </row>
    <row r="21" spans="1:32" x14ac:dyDescent="0.25">
      <c r="B21" t="s">
        <v>13</v>
      </c>
      <c r="C21" s="5">
        <v>172235308.78000033</v>
      </c>
      <c r="D21" s="5">
        <v>551152.38355200156</v>
      </c>
      <c r="E21" s="5">
        <v>51676.540000000066</v>
      </c>
      <c r="F21" s="5">
        <v>4.6400000000000015</v>
      </c>
      <c r="G21" s="5">
        <v>68875.469999999943</v>
      </c>
      <c r="H21" s="5">
        <v>201215.18076799993</v>
      </c>
      <c r="I21" s="5">
        <v>704.25313268799982</v>
      </c>
      <c r="J21" s="5"/>
      <c r="K21" s="5"/>
      <c r="L21" s="5">
        <f t="shared" si="0"/>
        <v>172436523.96076834</v>
      </c>
      <c r="M21" s="5">
        <f t="shared" si="9"/>
        <v>603537.81668468961</v>
      </c>
      <c r="O21" s="6"/>
      <c r="P21" s="12"/>
      <c r="Q21" s="12"/>
      <c r="R21" s="12"/>
      <c r="S21" s="12"/>
      <c r="T21" s="12"/>
      <c r="U21" s="12"/>
      <c r="X21" s="5"/>
      <c r="Y21" s="5"/>
      <c r="Z21" s="19"/>
      <c r="AA21" s="19"/>
      <c r="AB21" s="5"/>
      <c r="AC21" s="4"/>
      <c r="AD21" s="2">
        <f t="shared" si="2"/>
        <v>3.1999964900112309E-3</v>
      </c>
      <c r="AE21" s="2">
        <f t="shared" si="3"/>
        <v>3.0003453046905477E-4</v>
      </c>
      <c r="AF21" s="2">
        <f t="shared" si="4"/>
        <v>2.6939888416995659E-8</v>
      </c>
    </row>
    <row r="22" spans="1:32" x14ac:dyDescent="0.25">
      <c r="B22" t="s">
        <v>14</v>
      </c>
      <c r="C22" s="5">
        <v>652347.94999999984</v>
      </c>
      <c r="D22" s="5">
        <v>2087.4300000000003</v>
      </c>
      <c r="E22" s="5">
        <v>195.6</v>
      </c>
      <c r="F22" s="5">
        <v>0</v>
      </c>
      <c r="G22" s="5">
        <v>261</v>
      </c>
      <c r="H22" s="5"/>
      <c r="I22" s="5"/>
      <c r="J22" s="5"/>
      <c r="K22" s="5"/>
      <c r="L22" s="5">
        <f t="shared" si="0"/>
        <v>652347.94999999984</v>
      </c>
      <c r="M22" s="5">
        <f t="shared" si="9"/>
        <v>2283.0300000000002</v>
      </c>
      <c r="O22" s="6"/>
      <c r="P22" s="12"/>
      <c r="Q22" s="12"/>
      <c r="R22" s="12"/>
      <c r="S22" s="12"/>
      <c r="T22" s="12"/>
      <c r="U22" s="12"/>
      <c r="X22" s="5"/>
      <c r="Y22" s="5"/>
      <c r="Z22" s="19"/>
      <c r="AA22" s="19"/>
      <c r="AB22" s="5"/>
      <c r="AC22" s="4"/>
      <c r="AD22" s="2">
        <f t="shared" si="2"/>
        <v>3.199872092799557E-3</v>
      </c>
      <c r="AE22" s="2">
        <f t="shared" si="3"/>
        <v>2.9983998570088256E-4</v>
      </c>
      <c r="AF22" s="2">
        <f t="shared" si="4"/>
        <v>0</v>
      </c>
    </row>
    <row r="23" spans="1:32" x14ac:dyDescent="0.25">
      <c r="B23" t="s">
        <v>15</v>
      </c>
      <c r="C23" s="5">
        <v>113260.06999999983</v>
      </c>
      <c r="D23" s="5">
        <v>363.78999999999991</v>
      </c>
      <c r="E23" s="5">
        <v>31.200000000000031</v>
      </c>
      <c r="F23" s="5">
        <v>0</v>
      </c>
      <c r="G23" s="5">
        <v>41.480000000000032</v>
      </c>
      <c r="H23" s="5">
        <v>89.376000000000005</v>
      </c>
      <c r="I23" s="5">
        <v>0.31281599999999998</v>
      </c>
      <c r="J23" s="5"/>
      <c r="K23" s="5"/>
      <c r="L23" s="5">
        <f t="shared" si="0"/>
        <v>113349.44599999984</v>
      </c>
      <c r="M23" s="5">
        <f t="shared" si="9"/>
        <v>395.30281599999995</v>
      </c>
      <c r="O23" s="6"/>
      <c r="P23" s="12"/>
      <c r="Q23" s="12"/>
      <c r="R23" s="12"/>
      <c r="S23" s="12"/>
      <c r="T23" s="12"/>
      <c r="U23" s="12"/>
      <c r="X23" s="5"/>
      <c r="Y23" s="5"/>
      <c r="Z23" s="19"/>
      <c r="AA23" s="19"/>
      <c r="AB23" s="5"/>
      <c r="AC23" s="4"/>
      <c r="AD23" s="2">
        <f t="shared" si="2"/>
        <v>3.2119881260889247E-3</v>
      </c>
      <c r="AE23" s="2">
        <f t="shared" si="3"/>
        <v>2.7547219421637369E-4</v>
      </c>
      <c r="AF23" s="2">
        <f t="shared" si="4"/>
        <v>0</v>
      </c>
    </row>
    <row r="24" spans="1:32" x14ac:dyDescent="0.25">
      <c r="B24" t="s">
        <v>16</v>
      </c>
      <c r="C24" s="5">
        <v>511649.24000000011</v>
      </c>
      <c r="D24" s="5">
        <v>1635.02</v>
      </c>
      <c r="E24" s="5">
        <v>153.71</v>
      </c>
      <c r="F24" s="5">
        <v>0</v>
      </c>
      <c r="G24" s="5">
        <v>204.36000000000004</v>
      </c>
      <c r="H24" s="5">
        <v>628.18560000000002</v>
      </c>
      <c r="I24" s="5">
        <v>2.1986496000000004</v>
      </c>
      <c r="J24" s="5"/>
      <c r="K24" s="5"/>
      <c r="L24" s="5">
        <f t="shared" si="0"/>
        <v>512277.42560000013</v>
      </c>
      <c r="M24" s="5">
        <f t="shared" si="9"/>
        <v>1790.9286496</v>
      </c>
      <c r="O24" s="6"/>
      <c r="P24" s="12"/>
      <c r="Q24" s="12"/>
      <c r="R24" s="12"/>
      <c r="S24" s="12"/>
      <c r="T24" s="12"/>
      <c r="U24" s="12"/>
      <c r="X24" s="5"/>
      <c r="Y24" s="5"/>
      <c r="AB24" s="5"/>
      <c r="AC24" s="4"/>
      <c r="AD24" s="2">
        <f t="shared" si="2"/>
        <v>3.1955876647056089E-3</v>
      </c>
      <c r="AE24" s="2">
        <f t="shared" si="3"/>
        <v>3.0042065536929163E-4</v>
      </c>
      <c r="AF24" s="2">
        <f t="shared" si="4"/>
        <v>0</v>
      </c>
    </row>
    <row r="25" spans="1:32" x14ac:dyDescent="0.25">
      <c r="A25" s="11" t="s">
        <v>8</v>
      </c>
      <c r="B25" s="11"/>
      <c r="C25" s="27">
        <v>281958209.28000021</v>
      </c>
      <c r="D25" s="27">
        <v>902264.2980960015</v>
      </c>
      <c r="E25" s="27">
        <v>84825.30000000009</v>
      </c>
      <c r="F25" s="27">
        <v>184.45999999999998</v>
      </c>
      <c r="G25" s="27">
        <v>109441.77999999994</v>
      </c>
      <c r="H25" s="27">
        <f>SUM(H19:H24)</f>
        <v>237449.56134143993</v>
      </c>
      <c r="I25" s="27">
        <f>SUM(I19:I24)</f>
        <v>831.07346469503977</v>
      </c>
      <c r="J25" s="27">
        <f t="shared" ref="J25:K25" si="10">SUM(J19:J24)</f>
        <v>8119930.129999998</v>
      </c>
      <c r="K25" s="27">
        <f t="shared" si="10"/>
        <v>1862.76</v>
      </c>
      <c r="L25" s="27">
        <f>SUM(H25,C25)</f>
        <v>282195658.84134167</v>
      </c>
      <c r="M25" s="27">
        <f>SUM(D25,E25,F25,G25,I25,K25)</f>
        <v>1099409.6715606966</v>
      </c>
      <c r="O25" s="7">
        <v>1067487.0300000003</v>
      </c>
      <c r="P25" s="38">
        <f>O25-Q25-R25</f>
        <v>961453.8400000002</v>
      </c>
      <c r="Q25" s="38">
        <v>103969.16</v>
      </c>
      <c r="R25" s="38">
        <v>2064.0300000000002</v>
      </c>
      <c r="S25" s="39">
        <f>D25+E25+F25+I25-P25</f>
        <v>26651.291560696322</v>
      </c>
      <c r="T25" s="38">
        <f>G25-Q25</f>
        <v>5472.6199999999371</v>
      </c>
      <c r="U25" s="38">
        <f>K25-R25</f>
        <v>-201.27000000000021</v>
      </c>
      <c r="V25" s="23">
        <v>281947644</v>
      </c>
      <c r="W25" s="23">
        <v>677762</v>
      </c>
      <c r="X25" s="5">
        <f>-S25-T25-U25</f>
        <v>-31922.641560696258</v>
      </c>
      <c r="Y25" s="5">
        <f>-35850</f>
        <v>-35850</v>
      </c>
      <c r="Z25" s="17">
        <v>-360.85</v>
      </c>
      <c r="AA25" s="31">
        <f>5060.24-I25</f>
        <v>4229.1665353049602</v>
      </c>
      <c r="AB25" s="5">
        <f>X25-Y25-Z25-AA25</f>
        <v>59.041903998781891</v>
      </c>
      <c r="AC25" s="10">
        <f>AB25/Y25</f>
        <v>-1.6469150348335255E-3</v>
      </c>
      <c r="AD25" s="2">
        <f t="shared" si="2"/>
        <v>3.1999930074743904E-3</v>
      </c>
      <c r="AE25" s="2">
        <f t="shared" si="3"/>
        <v>3.0084351938752682E-4</v>
      </c>
      <c r="AF25" s="2">
        <f t="shared" si="4"/>
        <v>6.5421042526490483E-7</v>
      </c>
    </row>
    <row r="26" spans="1:32" x14ac:dyDescent="0.25">
      <c r="A26" t="s">
        <v>9</v>
      </c>
      <c r="C26" s="26">
        <f t="shared" ref="C26:F26" si="11">SUM(C11,C18,C25)</f>
        <v>797611660.16000044</v>
      </c>
      <c r="D26" s="26">
        <f t="shared" si="11"/>
        <v>2570180.7393200351</v>
      </c>
      <c r="E26" s="26">
        <f t="shared" si="11"/>
        <v>752567.36</v>
      </c>
      <c r="F26" s="26">
        <f t="shared" si="11"/>
        <v>384730.56999999989</v>
      </c>
      <c r="G26" s="26">
        <f>SUM(G11,G18,G25)</f>
        <v>314878.74140000105</v>
      </c>
      <c r="H26" s="26">
        <f>SUM(H11,H18,H25)</f>
        <v>2313906.2946206401</v>
      </c>
      <c r="I26" s="26">
        <f>SUM(I25,I18,I11)</f>
        <v>11776.590153000081</v>
      </c>
      <c r="J26" s="26">
        <f>SUM(J5:J25)</f>
        <v>20328616.819999997</v>
      </c>
      <c r="K26" s="26">
        <f>SUM(K5:K25)</f>
        <v>4591.0200000000004</v>
      </c>
      <c r="L26" s="5">
        <f t="shared" si="0"/>
        <v>799925566.45462108</v>
      </c>
      <c r="M26" s="5">
        <f t="shared" si="6"/>
        <v>4034134.0008730358</v>
      </c>
      <c r="X26" s="4"/>
      <c r="Y26" s="4"/>
      <c r="AB26" s="4"/>
      <c r="AC26" s="4"/>
      <c r="AD26" s="2">
        <f t="shared" si="2"/>
        <v>3.2223459958000845E-3</v>
      </c>
      <c r="AE26" s="2">
        <f t="shared" si="3"/>
        <v>9.4352602599745775E-4</v>
      </c>
      <c r="AF26" s="2">
        <f t="shared" si="4"/>
        <v>4.8235324183052081E-4</v>
      </c>
    </row>
    <row r="27" spans="1:32" x14ac:dyDescent="0.25">
      <c r="X27" s="4"/>
      <c r="Y27" s="20"/>
      <c r="AB27" s="4"/>
      <c r="AC27" s="4"/>
      <c r="AD27" s="28"/>
    </row>
    <row r="28" spans="1:32" x14ac:dyDescent="0.25">
      <c r="C28" s="14"/>
      <c r="L28" s="14"/>
    </row>
    <row r="29" spans="1:32" x14ac:dyDescent="0.25">
      <c r="C29" s="14"/>
    </row>
    <row r="30" spans="1:32" x14ac:dyDescent="0.25"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32" x14ac:dyDescent="0.25">
      <c r="E31" s="14"/>
      <c r="F31" s="14"/>
    </row>
    <row r="32" spans="1:32" x14ac:dyDescent="0.25">
      <c r="D32" s="6"/>
      <c r="E32" s="14"/>
      <c r="F32" s="14"/>
    </row>
    <row r="33" spans="4:18" x14ac:dyDescent="0.25">
      <c r="D33" s="6"/>
      <c r="Q33" s="20"/>
      <c r="R33" s="20"/>
    </row>
    <row r="34" spans="4:18" x14ac:dyDescent="0.25">
      <c r="F3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IPC LV </vt:lpstr>
      <vt:lpstr>IPC  Transmission Network</vt:lpstr>
      <vt:lpstr>IPC Transmission Connection</vt:lpstr>
      <vt:lpstr>IPC Wholesale Market Serv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Brown</dc:creator>
  <cp:lastModifiedBy>Glen McAllister</cp:lastModifiedBy>
  <dcterms:created xsi:type="dcterms:W3CDTF">2019-10-17T00:59:23Z</dcterms:created>
  <dcterms:modified xsi:type="dcterms:W3CDTF">2019-11-05T15:24:22Z</dcterms:modified>
</cp:coreProperties>
</file>