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OEB Rate Applications\2020 IRM Application\04 - Interrogatories\3 - Draft Responses\"/>
    </mc:Choice>
  </mc:AlternateContent>
  <xr:revisionPtr revIDLastSave="0" documentId="13_ncr:1_{08C16214-05D8-4411-A8A0-E3EC5DBBB733}" xr6:coauthVersionLast="41" xr6:coauthVersionMax="41" xr10:uidLastSave="{00000000-0000-0000-0000-000000000000}"/>
  <bookViews>
    <workbookView xWindow="-108" yWindow="-108" windowWidth="20376" windowHeight="12240" tabRatio="750" xr2:uid="{8B67BEBF-A03B-4230-8BF9-13B257A56EB4}"/>
  </bookViews>
  <sheets>
    <sheet name="ROU Asset Schedules" sheetId="6" r:id="rId1"/>
    <sheet name="9b. Proposed ACM ICM Projects" sheetId="4" r:id="rId2"/>
    <sheet name="10. Incremental Capital Adj." sheetId="3" r:id="rId3"/>
    <sheet name="11. Rate Rider Calc" sheetId="5"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5" i="6" l="1"/>
  <c r="I21" i="5" l="1"/>
  <c r="O21" i="5" s="1"/>
  <c r="O25" i="5"/>
  <c r="O24" i="5"/>
  <c r="O23" i="5"/>
  <c r="O22" i="5"/>
  <c r="O20" i="5"/>
  <c r="O19" i="5"/>
  <c r="O18" i="5"/>
  <c r="O17" i="5"/>
  <c r="G25" i="4" l="1"/>
  <c r="F25" i="4"/>
  <c r="E25" i="4"/>
  <c r="D25" i="4"/>
  <c r="C17" i="6" l="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D17" i="6"/>
  <c r="D18" i="6"/>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16" i="6"/>
  <c r="C16" i="6"/>
  <c r="B18" i="6"/>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J17" i="6"/>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16" i="6"/>
  <c r="B16" i="6"/>
  <c r="B17" i="6" s="1"/>
  <c r="F5" i="6"/>
  <c r="F4" i="6"/>
  <c r="G49" i="6" l="1"/>
  <c r="G45" i="6"/>
  <c r="G41" i="6"/>
  <c r="G33" i="6"/>
  <c r="G29" i="6"/>
  <c r="G25" i="6"/>
  <c r="G17" i="6"/>
  <c r="G52" i="6"/>
  <c r="G48" i="6"/>
  <c r="G40" i="6"/>
  <c r="G36" i="6"/>
  <c r="G32" i="6"/>
  <c r="G24" i="6"/>
  <c r="G20" i="6"/>
  <c r="G16" i="6"/>
  <c r="G47" i="6"/>
  <c r="G43" i="6"/>
  <c r="G39" i="6"/>
  <c r="G31" i="6"/>
  <c r="G27" i="6"/>
  <c r="G23" i="6"/>
  <c r="F41" i="6"/>
  <c r="F28" i="6"/>
  <c r="F22" i="6"/>
  <c r="F17" i="6"/>
  <c r="F45" i="6"/>
  <c r="F36" i="6"/>
  <c r="F35" i="6"/>
  <c r="F29" i="6"/>
  <c r="F24" i="6"/>
  <c r="F18" i="6"/>
  <c r="F52" i="6"/>
  <c r="F47" i="6"/>
  <c r="F33" i="6"/>
  <c r="F30" i="6"/>
  <c r="F25" i="6"/>
  <c r="F20" i="6"/>
  <c r="F15" i="6"/>
  <c r="F54" i="6"/>
  <c r="F50" i="6"/>
  <c r="F46" i="6"/>
  <c r="F42" i="6"/>
  <c r="F38" i="6"/>
  <c r="F34" i="6"/>
  <c r="F53" i="6"/>
  <c r="F48" i="6"/>
  <c r="F43" i="6"/>
  <c r="F37" i="6"/>
  <c r="F31" i="6"/>
  <c r="F27" i="6"/>
  <c r="F23" i="6"/>
  <c r="F19" i="6"/>
  <c r="F6" i="6"/>
  <c r="F8" i="6" s="1"/>
  <c r="F49" i="6"/>
  <c r="F44" i="6"/>
  <c r="F16" i="6"/>
  <c r="F21" i="6"/>
  <c r="F26" i="6"/>
  <c r="F32" i="6"/>
  <c r="F39" i="6"/>
  <c r="F40" i="6"/>
  <c r="F51" i="6"/>
  <c r="C26" i="5"/>
  <c r="E26" i="5"/>
  <c r="D26" i="5"/>
  <c r="E46" i="4"/>
  <c r="E26" i="3" s="1"/>
  <c r="E34" i="3" s="1"/>
  <c r="G46" i="4"/>
  <c r="E28" i="3" s="1"/>
  <c r="C15" i="4"/>
  <c r="C23" i="4" s="1"/>
  <c r="B93" i="3"/>
  <c r="C48" i="3"/>
  <c r="C47" i="3"/>
  <c r="C46" i="3"/>
  <c r="C45" i="3"/>
  <c r="F23" i="3"/>
  <c r="E23" i="3"/>
  <c r="E12" i="3"/>
  <c r="M26" i="5" l="1"/>
  <c r="K26" i="5"/>
  <c r="L26" i="5"/>
  <c r="G15" i="6"/>
  <c r="G30" i="6"/>
  <c r="G46" i="6"/>
  <c r="G18" i="6"/>
  <c r="G34" i="6"/>
  <c r="G50" i="6"/>
  <c r="G22" i="6"/>
  <c r="G38" i="6"/>
  <c r="G54" i="6"/>
  <c r="G26" i="6"/>
  <c r="G42" i="6"/>
  <c r="G19" i="6"/>
  <c r="G35" i="6"/>
  <c r="G51" i="6"/>
  <c r="G28" i="6"/>
  <c r="G44" i="6"/>
  <c r="G21" i="6"/>
  <c r="G37" i="6"/>
  <c r="G53" i="6"/>
  <c r="S52" i="6"/>
  <c r="T52" i="6" s="1"/>
  <c r="S48" i="6"/>
  <c r="T48" i="6" s="1"/>
  <c r="S44" i="6"/>
  <c r="T44" i="6" s="1"/>
  <c r="S40" i="6"/>
  <c r="T40" i="6" s="1"/>
  <c r="S36" i="6"/>
  <c r="T36" i="6" s="1"/>
  <c r="S32" i="6"/>
  <c r="T32" i="6" s="1"/>
  <c r="S53" i="6"/>
  <c r="T53" i="6" s="1"/>
  <c r="S47" i="6"/>
  <c r="T47" i="6" s="1"/>
  <c r="S42" i="6"/>
  <c r="T42" i="6" s="1"/>
  <c r="S37" i="6"/>
  <c r="T37" i="6" s="1"/>
  <c r="S29" i="6"/>
  <c r="T29" i="6" s="1"/>
  <c r="S25" i="6"/>
  <c r="T25" i="6" s="1"/>
  <c r="S21" i="6"/>
  <c r="T21" i="6" s="1"/>
  <c r="S17" i="6"/>
  <c r="T17" i="6" s="1"/>
  <c r="S54" i="6"/>
  <c r="T54" i="6" s="1"/>
  <c r="S49" i="6"/>
  <c r="T49" i="6" s="1"/>
  <c r="S43" i="6"/>
  <c r="T43" i="6" s="1"/>
  <c r="S31" i="6"/>
  <c r="T31" i="6" s="1"/>
  <c r="S26" i="6"/>
  <c r="T26" i="6" s="1"/>
  <c r="S20" i="6"/>
  <c r="T20" i="6" s="1"/>
  <c r="S15" i="6"/>
  <c r="T15" i="6" s="1"/>
  <c r="S51" i="6"/>
  <c r="T51" i="6" s="1"/>
  <c r="S46" i="6"/>
  <c r="T46" i="6" s="1"/>
  <c r="S41" i="6"/>
  <c r="T41" i="6" s="1"/>
  <c r="S35" i="6"/>
  <c r="T35" i="6" s="1"/>
  <c r="S34" i="6"/>
  <c r="T34" i="6" s="1"/>
  <c r="S33" i="6"/>
  <c r="T33" i="6" s="1"/>
  <c r="S27" i="6"/>
  <c r="T27" i="6" s="1"/>
  <c r="S22" i="6"/>
  <c r="T22" i="6" s="1"/>
  <c r="S16" i="6"/>
  <c r="T16" i="6" s="1"/>
  <c r="S50" i="6"/>
  <c r="T50" i="6" s="1"/>
  <c r="S45" i="6"/>
  <c r="T45" i="6" s="1"/>
  <c r="S28" i="6"/>
  <c r="T28" i="6" s="1"/>
  <c r="S23" i="6"/>
  <c r="T23" i="6" s="1"/>
  <c r="S18" i="6"/>
  <c r="T18" i="6" s="1"/>
  <c r="S39" i="6"/>
  <c r="T39" i="6" s="1"/>
  <c r="S38" i="6"/>
  <c r="T38" i="6" s="1"/>
  <c r="S30" i="6"/>
  <c r="T30" i="6" s="1"/>
  <c r="S24" i="6"/>
  <c r="T24" i="6" s="1"/>
  <c r="S19" i="6"/>
  <c r="T19" i="6" s="1"/>
  <c r="C28" i="3"/>
  <c r="C26" i="3"/>
  <c r="E56" i="3"/>
  <c r="D20" i="4"/>
  <c r="D15" i="4"/>
  <c r="K15" i="6" l="1"/>
  <c r="E15" i="6"/>
  <c r="F10" i="6"/>
  <c r="E63" i="3"/>
  <c r="E67" i="3"/>
  <c r="D23" i="4"/>
  <c r="O53" i="6" l="1"/>
  <c r="L51" i="6"/>
  <c r="O49" i="6"/>
  <c r="L47" i="6"/>
  <c r="O45" i="6"/>
  <c r="L43" i="6"/>
  <c r="O41" i="6"/>
  <c r="L39" i="6"/>
  <c r="O37" i="6"/>
  <c r="L35" i="6"/>
  <c r="O33" i="6"/>
  <c r="L53" i="6"/>
  <c r="O50" i="6"/>
  <c r="L48" i="6"/>
  <c r="O44" i="6"/>
  <c r="L42" i="6"/>
  <c r="O39" i="6"/>
  <c r="L37" i="6"/>
  <c r="O34" i="6"/>
  <c r="L32" i="6"/>
  <c r="O30" i="6"/>
  <c r="L28" i="6"/>
  <c r="O26" i="6"/>
  <c r="L24" i="6"/>
  <c r="O22" i="6"/>
  <c r="L20" i="6"/>
  <c r="O18" i="6"/>
  <c r="L16" i="6"/>
  <c r="L54" i="6"/>
  <c r="O51" i="6"/>
  <c r="L49" i="6"/>
  <c r="O46" i="6"/>
  <c r="L44" i="6"/>
  <c r="O52" i="6"/>
  <c r="L50" i="6"/>
  <c r="O47" i="6"/>
  <c r="L45" i="6"/>
  <c r="O42" i="6"/>
  <c r="O40" i="6"/>
  <c r="L34" i="6"/>
  <c r="L33" i="6"/>
  <c r="O32" i="6"/>
  <c r="L31" i="6"/>
  <c r="O28" i="6"/>
  <c r="L26" i="6"/>
  <c r="O23" i="6"/>
  <c r="L21" i="6"/>
  <c r="O17" i="6"/>
  <c r="L15" i="6"/>
  <c r="M15" i="6" s="1"/>
  <c r="K16" i="6" s="1"/>
  <c r="O54" i="6"/>
  <c r="L52" i="6"/>
  <c r="L40" i="6"/>
  <c r="O38" i="6"/>
  <c r="O29" i="6"/>
  <c r="L27" i="6"/>
  <c r="O24" i="6"/>
  <c r="L22" i="6"/>
  <c r="O19" i="6"/>
  <c r="L17" i="6"/>
  <c r="L38" i="6"/>
  <c r="O36" i="6"/>
  <c r="O35" i="6"/>
  <c r="O31" i="6"/>
  <c r="L29" i="6"/>
  <c r="O25" i="6"/>
  <c r="L23" i="6"/>
  <c r="O20" i="6"/>
  <c r="L18" i="6"/>
  <c r="O15" i="6"/>
  <c r="O48" i="6"/>
  <c r="L46" i="6"/>
  <c r="O43" i="6"/>
  <c r="L41" i="6"/>
  <c r="L36" i="6"/>
  <c r="L30" i="6"/>
  <c r="O27" i="6"/>
  <c r="L25" i="6"/>
  <c r="O21" i="6"/>
  <c r="L19" i="6"/>
  <c r="O16" i="6"/>
  <c r="P15" i="6"/>
  <c r="E92" i="3"/>
  <c r="M16" i="6" l="1"/>
  <c r="K17" i="6" s="1"/>
  <c r="M17" i="6" s="1"/>
  <c r="K18" i="6" s="1"/>
  <c r="M18" i="6" s="1"/>
  <c r="K19" i="6" s="1"/>
  <c r="M19" i="6" s="1"/>
  <c r="K20" i="6" s="1"/>
  <c r="M20" i="6" s="1"/>
  <c r="K21" i="6" s="1"/>
  <c r="M21" i="6" s="1"/>
  <c r="K22" i="6" s="1"/>
  <c r="M22" i="6" s="1"/>
  <c r="K23" i="6" s="1"/>
  <c r="M23" i="6" s="1"/>
  <c r="K24" i="6" s="1"/>
  <c r="M24" i="6" s="1"/>
  <c r="K25" i="6" s="1"/>
  <c r="M25" i="6" s="1"/>
  <c r="K26" i="6" s="1"/>
  <c r="M26" i="6" s="1"/>
  <c r="K27" i="6" s="1"/>
  <c r="M27" i="6" s="1"/>
  <c r="K28" i="6" s="1"/>
  <c r="M28" i="6" s="1"/>
  <c r="K29" i="6" s="1"/>
  <c r="M29" i="6" s="1"/>
  <c r="K30" i="6" s="1"/>
  <c r="M30" i="6" s="1"/>
  <c r="K31" i="6" s="1"/>
  <c r="M31" i="6" s="1"/>
  <c r="K32" i="6" s="1"/>
  <c r="M32" i="6" s="1"/>
  <c r="K33" i="6" s="1"/>
  <c r="M33" i="6" s="1"/>
  <c r="K34" i="6" s="1"/>
  <c r="M34" i="6" s="1"/>
  <c r="K35" i="6" s="1"/>
  <c r="M35" i="6" s="1"/>
  <c r="K36" i="6" s="1"/>
  <c r="M36" i="6" s="1"/>
  <c r="K37" i="6" s="1"/>
  <c r="M37" i="6" s="1"/>
  <c r="K38" i="6" s="1"/>
  <c r="M38" i="6" s="1"/>
  <c r="K39" i="6" s="1"/>
  <c r="M39" i="6" s="1"/>
  <c r="K40" i="6" s="1"/>
  <c r="M40" i="6" s="1"/>
  <c r="K41" i="6" s="1"/>
  <c r="M41" i="6" s="1"/>
  <c r="K42" i="6" s="1"/>
  <c r="M42" i="6" s="1"/>
  <c r="K43" i="6" s="1"/>
  <c r="M43" i="6" s="1"/>
  <c r="K44" i="6" s="1"/>
  <c r="M44" i="6" s="1"/>
  <c r="K45" i="6" s="1"/>
  <c r="M45" i="6" s="1"/>
  <c r="K46" i="6" s="1"/>
  <c r="M46" i="6" s="1"/>
  <c r="K47" i="6" s="1"/>
  <c r="M47" i="6" s="1"/>
  <c r="K48" i="6" s="1"/>
  <c r="M48" i="6" s="1"/>
  <c r="K49" i="6" s="1"/>
  <c r="M49" i="6" s="1"/>
  <c r="K50" i="6" s="1"/>
  <c r="M50" i="6" s="1"/>
  <c r="K51" i="6" s="1"/>
  <c r="M51" i="6" s="1"/>
  <c r="K52" i="6" s="1"/>
  <c r="M52" i="6" s="1"/>
  <c r="K53" i="6" s="1"/>
  <c r="M53" i="6" s="1"/>
  <c r="K54" i="6" s="1"/>
  <c r="M54" i="6" s="1"/>
  <c r="H15" i="6"/>
  <c r="E16" i="6" s="1"/>
  <c r="Q15" i="6"/>
  <c r="V15" i="6" s="1"/>
  <c r="P16" i="6" l="1"/>
  <c r="Q16" i="6" s="1"/>
  <c r="V16" i="6" s="1"/>
  <c r="H16" i="6" l="1"/>
  <c r="E17" i="6" s="1"/>
  <c r="P17" i="6" s="1"/>
  <c r="Q17" i="6" s="1"/>
  <c r="V17" i="6" s="1"/>
  <c r="H17" i="6" l="1"/>
  <c r="E18" i="6" s="1"/>
  <c r="D46" i="4"/>
  <c r="P18" i="6" l="1"/>
  <c r="Q18" i="6" s="1"/>
  <c r="V18" i="6" s="1"/>
  <c r="C25" i="3"/>
  <c r="E25" i="3"/>
  <c r="E33" i="3" s="1"/>
  <c r="E35" i="3" s="1"/>
  <c r="D48" i="4"/>
  <c r="F46" i="4"/>
  <c r="H18" i="6" l="1"/>
  <c r="E19" i="6" s="1"/>
  <c r="E27" i="3"/>
  <c r="E65" i="3" s="1"/>
  <c r="C27" i="3"/>
  <c r="E38" i="3"/>
  <c r="E41" i="3" s="1"/>
  <c r="E37" i="3"/>
  <c r="E40" i="3" s="1"/>
  <c r="E46" i="3"/>
  <c r="E48" i="3" s="1"/>
  <c r="E61" i="3" s="1"/>
  <c r="E69" i="3" s="1"/>
  <c r="E73" i="3" s="1"/>
  <c r="E75" i="3" s="1"/>
  <c r="E93" i="3" s="1"/>
  <c r="P19" i="6" l="1"/>
  <c r="Q19" i="6" s="1"/>
  <c r="V19" i="6" s="1"/>
  <c r="E43" i="3"/>
  <c r="E50" i="3" s="1"/>
  <c r="E91" i="3" s="1"/>
  <c r="E96" i="3" s="1"/>
  <c r="I27" i="5" s="1"/>
  <c r="H19" i="6" l="1"/>
  <c r="E20" i="6" s="1"/>
  <c r="P20" i="6" s="1"/>
  <c r="Q20" i="6" s="1"/>
  <c r="V20" i="6" s="1"/>
  <c r="H24" i="5"/>
  <c r="F23" i="5"/>
  <c r="G18" i="5"/>
  <c r="H19" i="5"/>
  <c r="H18" i="5"/>
  <c r="G24" i="5"/>
  <c r="F24" i="5"/>
  <c r="F22" i="5"/>
  <c r="G22" i="5"/>
  <c r="G25" i="5"/>
  <c r="G20" i="5"/>
  <c r="G19" i="5"/>
  <c r="F25" i="5"/>
  <c r="G23" i="5"/>
  <c r="H20" i="5"/>
  <c r="H21" i="5"/>
  <c r="G21" i="5"/>
  <c r="H22" i="5"/>
  <c r="F21" i="5"/>
  <c r="H17" i="5"/>
  <c r="F17" i="5"/>
  <c r="H25" i="5"/>
  <c r="F19" i="5"/>
  <c r="F18" i="5"/>
  <c r="G17" i="5"/>
  <c r="F20" i="5"/>
  <c r="H23" i="5"/>
  <c r="H20" i="6" l="1"/>
  <c r="E21" i="6" s="1"/>
  <c r="P21" i="6" s="1"/>
  <c r="Q21" i="6" s="1"/>
  <c r="V21" i="6" s="1"/>
  <c r="I17" i="5"/>
  <c r="G26" i="5"/>
  <c r="F26" i="5"/>
  <c r="I25" i="5"/>
  <c r="I18" i="5"/>
  <c r="H26" i="5"/>
  <c r="I22" i="5"/>
  <c r="I19" i="5"/>
  <c r="I24" i="5"/>
  <c r="I20" i="5"/>
  <c r="I23" i="5"/>
  <c r="H21" i="6" l="1"/>
  <c r="E22" i="6" s="1"/>
  <c r="P22" i="6" s="1"/>
  <c r="Q22" i="6" s="1"/>
  <c r="V22" i="6" s="1"/>
  <c r="I26" i="5"/>
  <c r="H22" i="6" l="1"/>
  <c r="E23" i="6" s="1"/>
  <c r="P23" i="6" s="1"/>
  <c r="Q23" i="6" s="1"/>
  <c r="V23" i="6" s="1"/>
  <c r="H23" i="6" l="1"/>
  <c r="E24" i="6" s="1"/>
  <c r="P24" i="6" l="1"/>
  <c r="Q24" i="6" s="1"/>
  <c r="V24" i="6" s="1"/>
  <c r="H24" i="6" l="1"/>
  <c r="E25" i="6" s="1"/>
  <c r="P25" i="6" s="1"/>
  <c r="Q25" i="6" s="1"/>
  <c r="V25" i="6" s="1"/>
  <c r="H25" i="6" l="1"/>
  <c r="E26" i="6" s="1"/>
  <c r="P26" i="6" l="1"/>
  <c r="Q26" i="6" s="1"/>
  <c r="V26" i="6" s="1"/>
  <c r="H26" i="6" l="1"/>
  <c r="E27" i="6" s="1"/>
  <c r="P27" i="6" l="1"/>
  <c r="Q27" i="6" s="1"/>
  <c r="V27" i="6" s="1"/>
  <c r="H27" i="6" l="1"/>
  <c r="E28" i="6" s="1"/>
  <c r="P28" i="6" s="1"/>
  <c r="Q28" i="6" s="1"/>
  <c r="V28" i="6" s="1"/>
  <c r="H28" i="6" l="1"/>
  <c r="E29" i="6" s="1"/>
  <c r="P29" i="6" s="1"/>
  <c r="Q29" i="6" s="1"/>
  <c r="V29" i="6" s="1"/>
  <c r="H29" i="6" l="1"/>
  <c r="E30" i="6" s="1"/>
  <c r="P30" i="6" l="1"/>
  <c r="Q30" i="6" s="1"/>
  <c r="V30" i="6" s="1"/>
  <c r="H30" i="6" l="1"/>
  <c r="E31" i="6" s="1"/>
  <c r="P31" i="6" s="1"/>
  <c r="Q31" i="6" s="1"/>
  <c r="V31" i="6" s="1"/>
  <c r="H31" i="6" l="1"/>
  <c r="E32" i="6" s="1"/>
  <c r="P32" i="6" s="1"/>
  <c r="Q32" i="6" s="1"/>
  <c r="V32" i="6" s="1"/>
  <c r="H32" i="6" l="1"/>
  <c r="E33" i="6" s="1"/>
  <c r="P33" i="6" l="1"/>
  <c r="Q33" i="6" s="1"/>
  <c r="V33" i="6" s="1"/>
  <c r="H33" i="6" l="1"/>
  <c r="E34" i="6" s="1"/>
  <c r="P34" i="6" l="1"/>
  <c r="Q34" i="6" s="1"/>
  <c r="V34" i="6" s="1"/>
  <c r="H34" i="6" l="1"/>
  <c r="E35" i="6" s="1"/>
  <c r="P35" i="6" s="1"/>
  <c r="Q35" i="6" s="1"/>
  <c r="V35" i="6" s="1"/>
  <c r="H35" i="6" l="1"/>
  <c r="E36" i="6" s="1"/>
  <c r="P36" i="6" l="1"/>
  <c r="Q36" i="6" s="1"/>
  <c r="V36" i="6" s="1"/>
  <c r="H36" i="6" l="1"/>
  <c r="E37" i="6" s="1"/>
  <c r="P37" i="6" l="1"/>
  <c r="Q37" i="6" s="1"/>
  <c r="V37" i="6" s="1"/>
  <c r="H37" i="6" l="1"/>
  <c r="E38" i="6" s="1"/>
  <c r="P38" i="6" l="1"/>
  <c r="Q38" i="6" s="1"/>
  <c r="V38" i="6" s="1"/>
  <c r="H38" i="6" l="1"/>
  <c r="E39" i="6" s="1"/>
  <c r="P39" i="6" l="1"/>
  <c r="Q39" i="6" s="1"/>
  <c r="V39" i="6" s="1"/>
  <c r="H39" i="6" l="1"/>
  <c r="E40" i="6" s="1"/>
  <c r="P40" i="6" l="1"/>
  <c r="Q40" i="6" s="1"/>
  <c r="V40" i="6" s="1"/>
  <c r="H40" i="6" l="1"/>
  <c r="E41" i="6" s="1"/>
  <c r="P41" i="6" s="1"/>
  <c r="Q41" i="6" s="1"/>
  <c r="V41" i="6" s="1"/>
  <c r="H41" i="6" l="1"/>
  <c r="E42" i="6" s="1"/>
  <c r="P42" i="6" l="1"/>
  <c r="Q42" i="6" s="1"/>
  <c r="V42" i="6" s="1"/>
  <c r="H42" i="6" l="1"/>
  <c r="E43" i="6" s="1"/>
  <c r="P43" i="6" s="1"/>
  <c r="Q43" i="6" s="1"/>
  <c r="V43" i="6" s="1"/>
  <c r="H43" i="6" l="1"/>
  <c r="E44" i="6" s="1"/>
  <c r="P44" i="6" s="1"/>
  <c r="Q44" i="6" s="1"/>
  <c r="V44" i="6" s="1"/>
  <c r="H44" i="6" l="1"/>
  <c r="E45" i="6" s="1"/>
  <c r="P45" i="6" l="1"/>
  <c r="Q45" i="6" s="1"/>
  <c r="V45" i="6" s="1"/>
  <c r="H45" i="6"/>
  <c r="E46" i="6" s="1"/>
  <c r="P46" i="6" l="1"/>
  <c r="Q46" i="6" s="1"/>
  <c r="V46" i="6" s="1"/>
  <c r="H46" i="6" l="1"/>
  <c r="E47" i="6" s="1"/>
  <c r="P47" i="6" s="1"/>
  <c r="Q47" i="6" s="1"/>
  <c r="V47" i="6" s="1"/>
  <c r="H47" i="6" l="1"/>
  <c r="E48" i="6" s="1"/>
  <c r="P48" i="6" s="1"/>
  <c r="Q48" i="6" s="1"/>
  <c r="V48" i="6" s="1"/>
  <c r="H48" i="6" l="1"/>
  <c r="E49" i="6" s="1"/>
  <c r="P49" i="6" s="1"/>
  <c r="Q49" i="6" s="1"/>
  <c r="V49" i="6" s="1"/>
  <c r="H49" i="6" l="1"/>
  <c r="E50" i="6" s="1"/>
  <c r="P50" i="6" l="1"/>
  <c r="Q50" i="6" s="1"/>
  <c r="V50" i="6" s="1"/>
  <c r="H50" i="6" l="1"/>
  <c r="E51" i="6" s="1"/>
  <c r="P51" i="6" s="1"/>
  <c r="Q51" i="6" s="1"/>
  <c r="V51" i="6" s="1"/>
  <c r="H51" i="6" l="1"/>
  <c r="E52" i="6" s="1"/>
  <c r="P52" i="6" l="1"/>
  <c r="Q52" i="6" s="1"/>
  <c r="V52" i="6" s="1"/>
  <c r="H52" i="6" l="1"/>
  <c r="E53" i="6" s="1"/>
  <c r="P53" i="6" l="1"/>
  <c r="Q53" i="6" s="1"/>
  <c r="V53" i="6" s="1"/>
  <c r="H53" i="6"/>
  <c r="E54" i="6" s="1"/>
  <c r="P54" i="6" s="1"/>
  <c r="Q54" i="6" s="1"/>
  <c r="V54" i="6" s="1"/>
  <c r="H5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tc={D24050EF-8558-4351-AF74-7F87C94C57FE}</author>
  </authors>
  <commentList>
    <comment ref="D16" authorId="0" shapeId="0" xr:uid="{D24050EF-8558-4351-AF74-7F87C94C57FE}">
      <text>
        <t>[Threaded comment]
Your version of Excel allows you to read this threaded comment; however, any edits to it will get removed if the file is opened in a newer version of Excel. Learn more: https://go.microsoft.com/fwlink/?linkid=870924
Comment:
    Includes $4.4M for Shared Facility</t>
      </text>
    </comment>
  </commentList>
</comments>
</file>

<file path=xl/sharedStrings.xml><?xml version="1.0" encoding="utf-8"?>
<sst xmlns="http://schemas.openxmlformats.org/spreadsheetml/2006/main" count="182" uniqueCount="153">
  <si>
    <t>Square Footage</t>
  </si>
  <si>
    <t>Lease Rate</t>
  </si>
  <si>
    <t>Annual Lease Payment</t>
  </si>
  <si>
    <t>Implicit Rate</t>
  </si>
  <si>
    <t>Useful Life</t>
  </si>
  <si>
    <t>Depreciation</t>
  </si>
  <si>
    <t>Right of Use Asset - Amortization Schedule</t>
  </si>
  <si>
    <t>Deductions for Accounting Purposes</t>
  </si>
  <si>
    <t>Deductions for Tax Purposes</t>
  </si>
  <si>
    <t>Difference</t>
  </si>
  <si>
    <t>Year</t>
  </si>
  <si>
    <t>Opening Asset Balance</t>
  </si>
  <si>
    <t>Lease PMT</t>
  </si>
  <si>
    <t xml:space="preserve">Interest </t>
  </si>
  <si>
    <t>Ending Asset Balance</t>
  </si>
  <si>
    <t>Total Deductions</t>
  </si>
  <si>
    <t>Lease Payments</t>
  </si>
  <si>
    <t>Incremental Capital Adjustment</t>
  </si>
  <si>
    <t>Rate Year:</t>
  </si>
  <si>
    <t>Current Revenue Requirement</t>
  </si>
  <si>
    <t>Current Revenue Requirement - Total</t>
  </si>
  <si>
    <t>A</t>
  </si>
  <si>
    <t>Eligible Incremental Capital for ACM/ICM Recovery</t>
  </si>
  <si>
    <t>Total Claim</t>
  </si>
  <si>
    <t>Eligible for ACM/ICM</t>
  </si>
  <si>
    <t>(from Sheet 10b)</t>
  </si>
  <si>
    <t>Amount of Capital Projects Claimed</t>
  </si>
  <si>
    <t>B</t>
  </si>
  <si>
    <t>Depreciation Expense</t>
  </si>
  <si>
    <t>C</t>
  </si>
  <si>
    <t>CCA</t>
  </si>
  <si>
    <t>V</t>
  </si>
  <si>
    <t>ACM/ICM Incremental Revenue Requirement Based on Eligible Amount in Rate Year</t>
  </si>
  <si>
    <t>Return on Rate Base</t>
  </si>
  <si>
    <t>Incremental Capital</t>
  </si>
  <si>
    <t>Depreciation Expense (prorated to Eligible Incremental Capital)</t>
  </si>
  <si>
    <t>Incremental Capital to be included in Rate Base (average NBV in year)</t>
  </si>
  <si>
    <t>D = B - C/2</t>
  </si>
  <si>
    <t>% of capital structure</t>
  </si>
  <si>
    <t>Deemed Short-Term Debt</t>
  </si>
  <si>
    <t>E</t>
  </si>
  <si>
    <t>G = D * E</t>
  </si>
  <si>
    <t>Deemed Long-Term Debt</t>
  </si>
  <si>
    <t>F</t>
  </si>
  <si>
    <t>H = D * F</t>
  </si>
  <si>
    <t>Rate (%)</t>
  </si>
  <si>
    <t>Short-Term Interest</t>
  </si>
  <si>
    <t>I</t>
  </si>
  <si>
    <t>K = G * I</t>
  </si>
  <si>
    <t>Long-Term Interest</t>
  </si>
  <si>
    <t>J</t>
  </si>
  <si>
    <t>L = H * J</t>
  </si>
  <si>
    <t>Return on Rate Base - Interest</t>
  </si>
  <si>
    <t>M = K + L</t>
  </si>
  <si>
    <t>Deemed Equity %</t>
  </si>
  <si>
    <t>N</t>
  </si>
  <si>
    <t>P = D * N</t>
  </si>
  <si>
    <t>Return on Rate Base -Equity</t>
  </si>
  <si>
    <t>O</t>
  </si>
  <si>
    <t>Q = P * O</t>
  </si>
  <si>
    <t>Return on Rate Base - Total</t>
  </si>
  <si>
    <t>R = M + Q</t>
  </si>
  <si>
    <t>Amortization Expense</t>
  </si>
  <si>
    <t>Amortization Expense - Incremental</t>
  </si>
  <si>
    <t>S</t>
  </si>
  <si>
    <t>Grossed up Taxes/PILs</t>
  </si>
  <si>
    <t>Regulatory Taxable Income</t>
  </si>
  <si>
    <t xml:space="preserve">T </t>
  </si>
  <si>
    <t>Add Back Amortization Expense (Prorated to Eligible Incremental Capital)</t>
  </si>
  <si>
    <t>U</t>
  </si>
  <si>
    <t>Deduct CCA (Prorated to Eligible Incremental Capital)</t>
  </si>
  <si>
    <t>Incremental Taxable Income</t>
  </si>
  <si>
    <t>W = T + U - V</t>
  </si>
  <si>
    <t>Current Tax Rate</t>
  </si>
  <si>
    <t>X</t>
  </si>
  <si>
    <t>Taxes/PILs Before Gross Up</t>
  </si>
  <si>
    <t>Y = W * X</t>
  </si>
  <si>
    <t>Grossed-Up Taxes/PILs</t>
  </si>
  <si>
    <t xml:space="preserve">Z = Y / ( 1 - X ) </t>
  </si>
  <si>
    <t>Ontario Capital Tax</t>
  </si>
  <si>
    <t>Incremental Capital CAPEX</t>
  </si>
  <si>
    <t>AA</t>
  </si>
  <si>
    <t>Less : Available Capital Exemption (if any)</t>
  </si>
  <si>
    <t>AB</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</si>
  <si>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</si>
  <si>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</si>
  <si>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</si>
  <si>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</si>
  <si>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</si>
  <si>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</si>
  <si>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</si>
  <si>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Q</t>
  </si>
  <si>
    <t>Amortization Expense - Total</t>
  </si>
  <si>
    <t>Z</t>
  </si>
  <si>
    <t>AC</t>
  </si>
  <si>
    <t>AD = AA + AB + AC</t>
  </si>
  <si>
    <t>Identify ALL Proposed ACM and ICM projects and related CAPEX costs in the relevant years</t>
  </si>
  <si>
    <t>Cost of Service</t>
  </si>
  <si>
    <t>Price Cap IR</t>
  </si>
  <si>
    <t>Test Year</t>
  </si>
  <si>
    <t>Year 1</t>
  </si>
  <si>
    <r>
      <t>CAPEX</t>
    </r>
    <r>
      <rPr>
        <b/>
        <vertAlign val="superscript"/>
        <sz val="11"/>
        <color theme="1"/>
        <rFont val="Calibri"/>
        <family val="2"/>
        <scheme val="minor"/>
      </rPr>
      <t>1</t>
    </r>
  </si>
  <si>
    <t>Materiality Threshold</t>
  </si>
  <si>
    <t>Maximum Eligible Incremental Capital (Forecasted Capex less Threshold)</t>
  </si>
  <si>
    <t>Project Descriptions:</t>
  </si>
  <si>
    <t>Type</t>
  </si>
  <si>
    <t>Proposed ACM/ICM</t>
  </si>
  <si>
    <t>Building - Shared Facilities with Brantford Power Inc.</t>
  </si>
  <si>
    <t>New ICM</t>
  </si>
  <si>
    <t>Total Cost of ACM/ICM Projects</t>
  </si>
  <si>
    <t>Maximum Allowed Incremental Capital</t>
  </si>
  <si>
    <t>1.  For the Cost of Service Test Year, CAPEX refers to the CAPEX approved in the DSP. For subsequent Price CAP IR years, the CAPEX to be entered is the actual CAPEX. For the current Price Cap IR year, the CAPEX to be entered is the proposed CAPEX including any ICM/updated ACM project CAPEX for the year.</t>
  </si>
  <si>
    <t>Interest Expense</t>
  </si>
  <si>
    <t>Add Back Interest Expense</t>
  </si>
  <si>
    <t>C2</t>
  </si>
  <si>
    <t>Lease Liability - Amortization Schedule</t>
  </si>
  <si>
    <t>Calculation of incremental rate rider.  Choose one of the 3 options:</t>
  </si>
  <si>
    <t>Rate Class</t>
  </si>
  <si>
    <t>Service Charge % Revenue</t>
  </si>
  <si>
    <t>Distribution Volumetric Rate % Revenue kWh</t>
  </si>
  <si>
    <t>Distribution Volumetric Rate % Revenue kW</t>
  </si>
  <si>
    <t>Service Charge Revenue</t>
  </si>
  <si>
    <t>Distribution Volumetric Rate Revenue kWh</t>
  </si>
  <si>
    <t>Distribution Volumetric Rate Revenue kW</t>
  </si>
  <si>
    <t>Total Revenue by Rate Class</t>
  </si>
  <si>
    <t>Billed Customers or Connections</t>
  </si>
  <si>
    <t>Billed kWh</t>
  </si>
  <si>
    <t>Billed kW</t>
  </si>
  <si>
    <t>Service Charge Rate Rider</t>
  </si>
  <si>
    <t>From Sheet 7</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</si>
  <si>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</si>
  <si>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</si>
  <si>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</si>
  <si>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r>
      <t>Col I</t>
    </r>
    <r>
      <rPr>
        <b/>
        <i/>
        <vertAlign val="subscript"/>
        <sz val="10"/>
        <color theme="4"/>
        <rFont val="Calibri"/>
        <family val="2"/>
        <scheme val="minor"/>
      </rPr>
      <t>total</t>
    </r>
  </si>
  <si>
    <t>From Sheet 4</t>
  </si>
  <si>
    <t>RESIDENTIAL</t>
  </si>
  <si>
    <t>GENERAL SERVICE LESS THAN 50 kW</t>
  </si>
  <si>
    <t>GENERAL SERVICE 50 TO 999 kW</t>
  </si>
  <si>
    <t>GENERAL SERVICE 1,000 TO 4,999 kW</t>
  </si>
  <si>
    <t>LARGE USE</t>
  </si>
  <si>
    <t>STREET LIGHTING</t>
  </si>
  <si>
    <t>UNMETERED SCATTERED LOAD</t>
  </si>
  <si>
    <t>SENTINEL LIGHTING</t>
  </si>
  <si>
    <t>EMBEDDED DISTRIBUTOR</t>
  </si>
  <si>
    <t>Total</t>
  </si>
  <si>
    <t>Start Month</t>
  </si>
  <si>
    <t>End Month</t>
  </si>
  <si>
    <t>Right of Use Asset Value</t>
  </si>
  <si>
    <t>CCA / Tax Deduction</t>
  </si>
  <si>
    <t>Capital Lease Assumptions</t>
  </si>
  <si>
    <t>Fixed Only Rate Rider</t>
  </si>
  <si>
    <t>From Sheet 10, E93</t>
  </si>
  <si>
    <t>Col I / Col K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</si>
</sst>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_(&quot;$&quot;* #,##0_);_(&quot;$&quot;* \(#,##0\);_(&quot;$&quot;* &quot;-&quot;??_);_(@_)"/>
    <numFmt numFmtId="167" formatCode="_-&quot;$&quot;* #,##0_-;\-&quot;$&quot;* #,##0_-;_-&quot;$&quot;* &quot;-&quot;??_-;_-@_-"/>
    <numFmt numFmtId="168" formatCode="0.0%"/>
    <numFmt numFmtId="169" formatCode="#,###"/>
  </numFmts>
  <fonts count="32" x14ac:knownFonts="1">
    <font>
      <sz val="11"/>
      <color theme="1"/>
      <name val="Calibri"/>
      <family val="2"/>
      <scheme val="minor"/>
    </font>
    <font>
      <sz val="10"/>
      <color theme="1"/>
      <name val="Arial"/>
      <family val="2"/>
    </font>
    <font>
      <sz val="10"/>
      <color theme="1"/>
      <name val="Arial"/>
      <family val="2"/>
    </font>
    <font>
      <b/>
      <sz val="10"/>
      <color theme="1"/>
      <name val="Arial"/>
      <family val="2"/>
    </font>
    <font>
      <sz val="11"/>
      <color theme="1"/>
      <name val="Calibri"/>
      <family val="2"/>
      <scheme val="minor"/>
    </font>
    <font>
      <i/>
      <sz val="8"/>
      <color theme="1"/>
      <name val="Arial"/>
      <family val="2"/>
    </font>
    <font>
      <sz val="11"/>
      <color theme="1"/>
      <name val="Arial"/>
      <family val="2"/>
    </font>
    <font>
      <b/>
      <sz val="14"/>
      <color theme="1"/>
      <name val="Arial"/>
      <family val="2"/>
    </font>
    <font>
      <b/>
      <sz val="13"/>
      <name val="Arial"/>
      <family val="2"/>
    </font>
    <font>
      <sz val="13"/>
      <color theme="1"/>
      <name val="Calibri"/>
      <family val="2"/>
      <scheme val="minor"/>
    </font>
    <font>
      <b/>
      <sz val="13"/>
      <color rgb="FFFF0000"/>
      <name val="Calibri"/>
      <family val="2"/>
      <scheme val="minor"/>
    </font>
    <font>
      <sz val="12"/>
      <color theme="1"/>
      <name val="Arial"/>
      <family val="2"/>
    </font>
    <font>
      <b/>
      <sz val="14"/>
      <name val="Arial"/>
      <family val="2"/>
    </font>
    <font>
      <sz val="12"/>
      <name val="Arial"/>
      <family val="2"/>
    </font>
    <font>
      <b/>
      <sz val="12"/>
      <name val="Arial"/>
      <family val="2"/>
    </font>
    <font>
      <b/>
      <sz val="11"/>
      <color theme="1"/>
      <name val="Arial"/>
      <family val="2"/>
    </font>
    <font>
      <b/>
      <sz val="11"/>
      <color theme="1"/>
      <name val="Calibri"/>
      <family val="2"/>
      <scheme val="minor"/>
    </font>
    <font>
      <i/>
      <sz val="10"/>
      <color theme="1"/>
      <name val="Arial"/>
      <family val="2"/>
    </font>
    <font>
      <b/>
      <i/>
      <sz val="14"/>
      <color theme="1"/>
      <name val="Arial"/>
      <family val="2"/>
    </font>
    <font>
      <sz val="8"/>
      <name val="Arial"/>
      <family val="2"/>
    </font>
    <font>
      <b/>
      <sz val="12"/>
      <color theme="1"/>
      <name val="Arial"/>
      <family val="2"/>
    </font>
    <font>
      <b/>
      <i/>
      <sz val="11"/>
      <color theme="1"/>
      <name val="Calibri"/>
      <family val="2"/>
      <scheme val="minor"/>
    </font>
    <font>
      <b/>
      <vertAlign val="superscript"/>
      <sz val="11"/>
      <color theme="1"/>
      <name val="Calibri"/>
      <family val="2"/>
      <scheme val="minor"/>
    </font>
    <font>
      <b/>
      <sz val="16"/>
      <color theme="1"/>
      <name val="Calibri"/>
      <family val="2"/>
      <scheme val="minor"/>
    </font>
    <font>
      <b/>
      <sz val="12"/>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i/>
      <vertAlign val="subscript"/>
      <sz val="10"/>
      <color theme="4"/>
      <name val="Calibri"/>
      <family val="2"/>
      <scheme val="minor"/>
    </font>
    <font>
      <b/>
      <sz val="12"/>
      <color theme="4"/>
      <name val="Calibri"/>
      <family val="2"/>
      <scheme val="minor"/>
    </font>
    <font>
      <i/>
      <sz val="8"/>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lightGray"/>
    </fill>
    <fill>
      <patternFill patternType="solid">
        <fgColor theme="4" tint="0.79998168889431442"/>
        <bgColor indexed="64"/>
      </patternFill>
    </fill>
    <fill>
      <patternFill patternType="solid">
        <fgColor theme="9" tint="0.79998168889431442"/>
        <bgColor indexed="64"/>
      </patternFill>
    </fill>
    <fill>
      <patternFill patternType="solid">
        <fgColor theme="9" tint="0.3999450666829432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theme="0"/>
      </top>
      <bottom style="thin">
        <color theme="0"/>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164" fontId="4" fillId="0" borderId="0" applyFont="0" applyFill="0" applyBorder="0" applyAlignment="0" applyProtection="0"/>
  </cellStyleXfs>
  <cellXfs count="159">
    <xf numFmtId="0" fontId="0" fillId="0" borderId="0" xfId="0"/>
    <xf numFmtId="0" fontId="3" fillId="0" borderId="0" xfId="0" applyFont="1"/>
    <xf numFmtId="0" fontId="2" fillId="0" borderId="0" xfId="0" applyFont="1"/>
    <xf numFmtId="165" fontId="2" fillId="0" borderId="0" xfId="1" applyNumberFormat="1" applyFont="1"/>
    <xf numFmtId="44" fontId="2" fillId="0" borderId="0" xfId="0" quotePrefix="1" applyNumberFormat="1" applyFont="1"/>
    <xf numFmtId="10" fontId="2" fillId="0" borderId="0" xfId="0" applyNumberFormat="1" applyFont="1"/>
    <xf numFmtId="6" fontId="2" fillId="0" borderId="0" xfId="1" applyNumberFormat="1" applyFont="1"/>
    <xf numFmtId="43" fontId="2" fillId="0" borderId="0" xfId="0" applyNumberFormat="1" applyFont="1"/>
    <xf numFmtId="0" fontId="3" fillId="0" borderId="0" xfId="0" applyFont="1" applyBorder="1"/>
    <xf numFmtId="165" fontId="2" fillId="0" borderId="0" xfId="1" applyNumberFormat="1" applyFont="1" applyBorder="1"/>
    <xf numFmtId="0" fontId="3" fillId="0" borderId="1" xfId="0" applyFont="1" applyBorder="1" applyAlignment="1">
      <alignment horizontal="center" wrapText="1"/>
    </xf>
    <xf numFmtId="165" fontId="3" fillId="0" borderId="1" xfId="1" applyNumberFormat="1" applyFont="1" applyBorder="1" applyAlignment="1">
      <alignment horizontal="center" wrapText="1"/>
    </xf>
    <xf numFmtId="165" fontId="2" fillId="0" borderId="0" xfId="1" applyNumberFormat="1" applyFont="1" applyAlignment="1">
      <alignment wrapText="1"/>
    </xf>
    <xf numFmtId="0" fontId="2" fillId="0" borderId="0" xfId="0" applyFont="1" applyAlignment="1">
      <alignment wrapText="1"/>
    </xf>
    <xf numFmtId="0" fontId="2" fillId="0" borderId="1" xfId="0" applyNumberFormat="1" applyFont="1" applyBorder="1" applyAlignment="1">
      <alignment horizontal="center"/>
    </xf>
    <xf numFmtId="165" fontId="2" fillId="0" borderId="1" xfId="1" applyNumberFormat="1" applyFont="1" applyBorder="1"/>
    <xf numFmtId="0" fontId="2" fillId="0" borderId="0" xfId="0" applyFont="1" applyBorder="1"/>
    <xf numFmtId="0" fontId="2" fillId="0" borderId="0" xfId="0" applyNumberFormat="1" applyFont="1" applyBorder="1"/>
    <xf numFmtId="165" fontId="3" fillId="0" borderId="0" xfId="1" applyNumberFormat="1" applyFont="1" applyBorder="1"/>
    <xf numFmtId="166" fontId="2" fillId="0" borderId="0" xfId="2" applyNumberFormat="1" applyFont="1"/>
    <xf numFmtId="165" fontId="5" fillId="0" borderId="0" xfId="0" applyNumberFormat="1" applyFont="1"/>
    <xf numFmtId="0" fontId="6" fillId="0" borderId="0" xfId="0" applyFont="1" applyProtection="1"/>
    <xf numFmtId="0" fontId="0" fillId="0" borderId="0" xfId="0" applyProtection="1"/>
    <xf numFmtId="0" fontId="7" fillId="0" borderId="0" xfId="0" applyFont="1" applyProtection="1"/>
    <xf numFmtId="0" fontId="8" fillId="0" borderId="0" xfId="0" applyFont="1" applyAlignment="1" applyProtection="1">
      <alignment horizontal="right"/>
    </xf>
    <xf numFmtId="0" fontId="9" fillId="0" borderId="0" xfId="0" applyFont="1" applyProtection="1"/>
    <xf numFmtId="0" fontId="10" fillId="0" borderId="0" xfId="0" applyFont="1" applyAlignment="1" applyProtection="1">
      <alignment horizontal="right"/>
    </xf>
    <xf numFmtId="0" fontId="11" fillId="0" borderId="0" xfId="0" applyFont="1" applyProtection="1"/>
    <xf numFmtId="0" fontId="6" fillId="0" borderId="0" xfId="0" applyFont="1" applyAlignment="1" applyProtection="1">
      <alignment vertical="top"/>
    </xf>
    <xf numFmtId="0" fontId="12" fillId="0" borderId="2" xfId="0" applyFont="1" applyBorder="1" applyAlignment="1" applyProtection="1">
      <alignment horizontal="left"/>
    </xf>
    <xf numFmtId="0" fontId="0" fillId="0" borderId="3" xfId="0" applyBorder="1" applyProtection="1"/>
    <xf numFmtId="0" fontId="6" fillId="0" borderId="4" xfId="0" applyFont="1" applyBorder="1" applyProtection="1"/>
    <xf numFmtId="0" fontId="0" fillId="0" borderId="4" xfId="0" applyBorder="1" applyProtection="1"/>
    <xf numFmtId="167" fontId="11" fillId="0" borderId="5" xfId="3" applyNumberFormat="1" applyFont="1" applyBorder="1" applyProtection="1"/>
    <xf numFmtId="0" fontId="14" fillId="0" borderId="0" xfId="0" applyFont="1" applyAlignment="1" applyProtection="1">
      <alignment horizontal="center"/>
    </xf>
    <xf numFmtId="0" fontId="6" fillId="0" borderId="6" xfId="0" applyFont="1" applyBorder="1" applyProtection="1"/>
    <xf numFmtId="0" fontId="6" fillId="2" borderId="0" xfId="0" applyFont="1" applyFill="1" applyBorder="1" applyProtection="1"/>
    <xf numFmtId="0" fontId="0" fillId="2" borderId="0" xfId="0" applyFill="1" applyBorder="1" applyProtection="1"/>
    <xf numFmtId="167" fontId="11" fillId="2" borderId="7" xfId="3" applyNumberFormat="1" applyFont="1" applyFill="1" applyBorder="1" applyProtection="1"/>
    <xf numFmtId="0" fontId="0" fillId="0" borderId="8" xfId="0" applyBorder="1" applyProtection="1"/>
    <xf numFmtId="0" fontId="6" fillId="2" borderId="9" xfId="0" applyFont="1" applyFill="1" applyBorder="1" applyProtection="1"/>
    <xf numFmtId="0" fontId="0" fillId="2" borderId="9" xfId="0" applyFill="1" applyBorder="1" applyProtection="1"/>
    <xf numFmtId="167" fontId="11" fillId="2" borderId="10" xfId="3" applyNumberFormat="1" applyFont="1" applyFill="1" applyBorder="1" applyProtection="1"/>
    <xf numFmtId="0" fontId="0" fillId="0" borderId="0" xfId="0" applyBorder="1" applyProtection="1"/>
    <xf numFmtId="167" fontId="11" fillId="2" borderId="0" xfId="3" applyNumberFormat="1" applyFont="1" applyFill="1" applyBorder="1" applyProtection="1"/>
    <xf numFmtId="0" fontId="7" fillId="0" borderId="11" xfId="0" applyFont="1" applyBorder="1" applyProtection="1"/>
    <xf numFmtId="0" fontId="6" fillId="2" borderId="12" xfId="0" applyFont="1" applyFill="1" applyBorder="1" applyProtection="1"/>
    <xf numFmtId="0" fontId="15" fillId="2" borderId="4" xfId="0" applyFont="1" applyFill="1" applyBorder="1" applyProtection="1"/>
    <xf numFmtId="0" fontId="16" fillId="2" borderId="4" xfId="0" applyFont="1" applyFill="1" applyBorder="1" applyProtection="1"/>
    <xf numFmtId="167" fontId="15" fillId="2" borderId="5" xfId="3" applyNumberFormat="1" applyFont="1" applyFill="1" applyBorder="1" applyProtection="1"/>
    <xf numFmtId="0" fontId="0" fillId="0" borderId="6" xfId="0" applyBorder="1" applyProtection="1"/>
    <xf numFmtId="0" fontId="15" fillId="2" borderId="0" xfId="0" applyFont="1" applyFill="1" applyBorder="1" applyProtection="1"/>
    <xf numFmtId="0" fontId="16" fillId="2" borderId="0" xfId="0" applyFont="1" applyFill="1" applyBorder="1" applyProtection="1"/>
    <xf numFmtId="167" fontId="15" fillId="2" borderId="13" xfId="3" applyNumberFormat="1" applyFont="1" applyFill="1" applyBorder="1" applyProtection="1"/>
    <xf numFmtId="0" fontId="0" fillId="0" borderId="0" xfId="0" applyBorder="1"/>
    <xf numFmtId="0" fontId="14" fillId="0" borderId="6" xfId="0" applyFont="1" applyBorder="1" applyAlignment="1" applyProtection="1">
      <alignment horizontal="center"/>
    </xf>
    <xf numFmtId="0" fontId="6" fillId="0" borderId="6" xfId="0" applyFont="1" applyFill="1" applyBorder="1" applyProtection="1"/>
    <xf numFmtId="167" fontId="11" fillId="2" borderId="13" xfId="3" applyNumberFormat="1" applyFont="1" applyFill="1" applyBorder="1" applyProtection="1"/>
    <xf numFmtId="0" fontId="6" fillId="0" borderId="8" xfId="0" applyFont="1" applyFill="1" applyBorder="1" applyProtection="1"/>
    <xf numFmtId="167" fontId="11" fillId="2" borderId="9" xfId="3" applyNumberFormat="1" applyFont="1" applyFill="1" applyBorder="1" applyProtection="1"/>
    <xf numFmtId="0" fontId="6" fillId="2" borderId="0" xfId="0" applyFont="1" applyFill="1" applyProtection="1"/>
    <xf numFmtId="0" fontId="0" fillId="2" borderId="0" xfId="0" applyFill="1" applyProtection="1"/>
    <xf numFmtId="167" fontId="11" fillId="2" borderId="0" xfId="3" applyNumberFormat="1" applyFont="1" applyFill="1" applyProtection="1"/>
    <xf numFmtId="0" fontId="12" fillId="0" borderId="14" xfId="0" applyFont="1" applyBorder="1" applyAlignment="1" applyProtection="1">
      <alignment horizontal="left"/>
    </xf>
    <xf numFmtId="0" fontId="6" fillId="2" borderId="4" xfId="0" applyFont="1" applyFill="1" applyBorder="1" applyProtection="1"/>
    <xf numFmtId="0" fontId="0" fillId="2" borderId="4" xfId="0" applyFill="1" applyBorder="1" applyProtection="1"/>
    <xf numFmtId="167" fontId="11" fillId="2" borderId="5" xfId="3" applyNumberFormat="1" applyFont="1" applyFill="1" applyBorder="1" applyProtection="1"/>
    <xf numFmtId="0" fontId="14" fillId="2" borderId="0" xfId="0" applyFont="1" applyFill="1" applyAlignment="1" applyProtection="1">
      <alignment horizontal="center"/>
    </xf>
    <xf numFmtId="166" fontId="11" fillId="2" borderId="7" xfId="3" applyNumberFormat="1" applyFont="1" applyFill="1" applyBorder="1" applyProtection="1"/>
    <xf numFmtId="0" fontId="17" fillId="2" borderId="0" xfId="0" quotePrefix="1" applyFont="1" applyFill="1" applyBorder="1" applyAlignment="1" applyProtection="1">
      <alignment horizontal="center" vertical="center" wrapText="1"/>
    </xf>
    <xf numFmtId="168" fontId="6" fillId="2" borderId="0" xfId="4" applyNumberFormat="1" applyFont="1" applyFill="1" applyBorder="1" applyAlignment="1" applyProtection="1">
      <alignment horizontal="center"/>
    </xf>
    <xf numFmtId="0" fontId="17" fillId="2" borderId="0" xfId="0" applyFont="1" applyFill="1" applyBorder="1" applyAlignment="1" applyProtection="1">
      <alignment horizontal="center"/>
    </xf>
    <xf numFmtId="10" fontId="6" fillId="2" borderId="0" xfId="4" applyNumberFormat="1" applyFont="1" applyFill="1" applyBorder="1" applyAlignment="1" applyProtection="1">
      <alignment horizontal="center"/>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6" fillId="0" borderId="8" xfId="0" applyFont="1" applyBorder="1" applyProtection="1"/>
    <xf numFmtId="167" fontId="11" fillId="0" borderId="0" xfId="3" applyNumberFormat="1" applyFont="1" applyProtection="1"/>
    <xf numFmtId="0" fontId="12" fillId="0" borderId="6" xfId="0" applyFont="1" applyBorder="1" applyAlignment="1" applyProtection="1">
      <alignment horizontal="left"/>
    </xf>
    <xf numFmtId="0" fontId="6" fillId="0" borderId="0" xfId="0" applyFont="1" applyBorder="1" applyProtection="1"/>
    <xf numFmtId="167" fontId="11" fillId="0" borderId="13" xfId="3" applyNumberFormat="1" applyFont="1" applyBorder="1" applyProtection="1"/>
    <xf numFmtId="0" fontId="6" fillId="0" borderId="9" xfId="0" applyFont="1" applyBorder="1" applyProtection="1"/>
    <xf numFmtId="0" fontId="0" fillId="0" borderId="9" xfId="0" applyBorder="1" applyProtection="1"/>
    <xf numFmtId="0" fontId="12" fillId="0" borderId="3" xfId="0" applyFont="1" applyBorder="1" applyAlignment="1" applyProtection="1">
      <alignment horizontal="left"/>
    </xf>
    <xf numFmtId="0" fontId="14" fillId="0" borderId="0" xfId="0" applyFont="1" applyBorder="1" applyAlignment="1" applyProtection="1">
      <alignment horizontal="center"/>
    </xf>
    <xf numFmtId="168" fontId="6" fillId="4" borderId="0" xfId="4" applyNumberFormat="1" applyFont="1" applyFill="1" applyBorder="1" applyAlignment="1" applyProtection="1">
      <alignment horizontal="center"/>
      <protection locked="0"/>
    </xf>
    <xf numFmtId="167" fontId="11" fillId="0" borderId="10" xfId="3" applyNumberFormat="1" applyFont="1" applyBorder="1" applyProtection="1"/>
    <xf numFmtId="167" fontId="11" fillId="4" borderId="13" xfId="3" applyNumberFormat="1" applyFont="1" applyFill="1" applyBorder="1" applyProtection="1">
      <protection locked="0"/>
    </xf>
    <xf numFmtId="167" fontId="11" fillId="2" borderId="15" xfId="3" applyNumberFormat="1" applyFont="1" applyFill="1" applyBorder="1" applyProtection="1"/>
    <xf numFmtId="0" fontId="19" fillId="0" borderId="6" xfId="0" applyFont="1" applyBorder="1" applyProtection="1"/>
    <xf numFmtId="0" fontId="6" fillId="0" borderId="3" xfId="0" applyFont="1" applyBorder="1" applyProtection="1"/>
    <xf numFmtId="0" fontId="14" fillId="0" borderId="4" xfId="0" applyFont="1" applyBorder="1" applyAlignment="1" applyProtection="1">
      <alignment horizontal="center"/>
    </xf>
    <xf numFmtId="167" fontId="11" fillId="5" borderId="5" xfId="3" applyNumberFormat="1" applyFont="1" applyFill="1" applyBorder="1" applyProtection="1"/>
    <xf numFmtId="167" fontId="11" fillId="5" borderId="13" xfId="3" applyNumberFormat="1" applyFont="1" applyFill="1" applyBorder="1" applyProtection="1"/>
    <xf numFmtId="167" fontId="11" fillId="5" borderId="7" xfId="3" applyNumberFormat="1" applyFont="1" applyFill="1" applyBorder="1" applyProtection="1"/>
    <xf numFmtId="0" fontId="6" fillId="0" borderId="0" xfId="0" applyFont="1"/>
    <xf numFmtId="0" fontId="11" fillId="0" borderId="0" xfId="0" applyFont="1"/>
    <xf numFmtId="0" fontId="20" fillId="0" borderId="0" xfId="0" applyFont="1" applyAlignment="1" applyProtection="1">
      <alignment horizontal="left" indent="1"/>
    </xf>
    <xf numFmtId="0" fontId="21" fillId="0" borderId="0" xfId="0" applyFont="1" applyAlignment="1" applyProtection="1">
      <alignment horizontal="center"/>
    </xf>
    <xf numFmtId="0" fontId="16" fillId="0" borderId="0" xfId="0" applyFont="1" applyAlignment="1" applyProtection="1">
      <alignment horizontal="center" vertical="center"/>
    </xf>
    <xf numFmtId="0" fontId="16" fillId="0" borderId="0" xfId="0" applyFont="1" applyAlignment="1" applyProtection="1">
      <alignment horizontal="right" indent="2"/>
    </xf>
    <xf numFmtId="0" fontId="0" fillId="7" borderId="1" xfId="0" applyFill="1" applyBorder="1" applyProtection="1"/>
    <xf numFmtId="167" fontId="0" fillId="0" borderId="1" xfId="5" applyNumberFormat="1" applyFont="1" applyBorder="1" applyProtection="1"/>
    <xf numFmtId="0" fontId="16" fillId="0" borderId="0" xfId="0" applyFont="1" applyProtection="1"/>
    <xf numFmtId="0" fontId="16" fillId="0" borderId="0" xfId="0" applyFont="1" applyAlignment="1" applyProtection="1">
      <alignment horizontal="right" wrapText="1" indent="2"/>
    </xf>
    <xf numFmtId="167" fontId="0" fillId="0" borderId="0" xfId="0" applyNumberFormat="1" applyProtection="1"/>
    <xf numFmtId="167" fontId="0" fillId="0" borderId="1" xfId="0" applyNumberFormat="1" applyBorder="1" applyProtection="1"/>
    <xf numFmtId="167" fontId="4" fillId="0" borderId="0" xfId="5" applyNumberFormat="1" applyFont="1" applyBorder="1" applyProtection="1"/>
    <xf numFmtId="0" fontId="0" fillId="0" borderId="0" xfId="0" applyAlignment="1" applyProtection="1">
      <alignment horizontal="center"/>
    </xf>
    <xf numFmtId="0" fontId="16" fillId="0" borderId="0" xfId="0" applyFont="1" applyAlignment="1" applyProtection="1">
      <alignment horizontal="center" vertical="center" wrapText="1"/>
    </xf>
    <xf numFmtId="0" fontId="16" fillId="8" borderId="1" xfId="0" applyFont="1" applyFill="1" applyBorder="1" applyAlignment="1" applyProtection="1">
      <alignment horizontal="center" vertical="center" wrapText="1"/>
      <protection locked="0"/>
    </xf>
    <xf numFmtId="167" fontId="0" fillId="0" borderId="0" xfId="5" applyNumberFormat="1" applyFont="1" applyBorder="1" applyProtection="1"/>
    <xf numFmtId="167" fontId="0" fillId="9" borderId="1" xfId="5" applyNumberFormat="1" applyFont="1" applyFill="1" applyBorder="1" applyProtection="1">
      <protection locked="0"/>
    </xf>
    <xf numFmtId="0" fontId="16" fillId="9" borderId="16" xfId="0" applyFont="1" applyFill="1" applyBorder="1" applyAlignment="1" applyProtection="1">
      <alignment horizontal="left" vertical="top" wrapText="1"/>
      <protection locked="0"/>
    </xf>
    <xf numFmtId="0" fontId="16" fillId="9" borderId="1" xfId="0" applyFont="1" applyFill="1" applyBorder="1" applyAlignment="1" applyProtection="1">
      <alignment horizontal="left" vertical="top" wrapText="1"/>
      <protection locked="0"/>
    </xf>
    <xf numFmtId="43" fontId="2" fillId="0" borderId="0" xfId="1" applyNumberFormat="1" applyFont="1"/>
    <xf numFmtId="0" fontId="24" fillId="0" borderId="0" xfId="0" applyFont="1" applyAlignment="1" applyProtection="1">
      <alignment horizontal="left" wrapText="1"/>
    </xf>
    <xf numFmtId="0" fontId="24" fillId="0" borderId="0" xfId="0" applyFont="1" applyAlignment="1" applyProtection="1">
      <alignment horizontal="center" wrapText="1"/>
    </xf>
    <xf numFmtId="0" fontId="0" fillId="0" borderId="0" xfId="0" applyFont="1"/>
    <xf numFmtId="0" fontId="25" fillId="0" borderId="0" xfId="0" applyFont="1" applyAlignment="1" applyProtection="1">
      <alignment horizontal="center" wrapText="1"/>
    </xf>
    <xf numFmtId="0" fontId="26" fillId="0" borderId="0" xfId="0" applyFont="1" applyAlignment="1" applyProtection="1">
      <alignment horizontal="center" wrapText="1"/>
    </xf>
    <xf numFmtId="0" fontId="28" fillId="0" borderId="0" xfId="0" applyFont="1" applyAlignment="1" applyProtection="1">
      <alignment horizontal="center" wrapText="1"/>
    </xf>
    <xf numFmtId="0" fontId="30" fillId="0" borderId="0" xfId="0" applyFont="1" applyAlignment="1" applyProtection="1">
      <alignment horizontal="center" wrapText="1"/>
    </xf>
    <xf numFmtId="0" fontId="0" fillId="0" borderId="19" xfId="0" applyBorder="1"/>
    <xf numFmtId="10" fontId="0" fillId="0" borderId="19" xfId="0" applyNumberFormat="1" applyBorder="1" applyAlignment="1">
      <alignment horizontal="center" vertical="center"/>
    </xf>
    <xf numFmtId="3" fontId="0" fillId="0" borderId="19" xfId="0" applyNumberFormat="1" applyBorder="1" applyAlignment="1">
      <alignment horizontal="center" vertical="center"/>
    </xf>
    <xf numFmtId="0" fontId="0" fillId="0" borderId="19" xfId="0" applyBorder="1" applyAlignment="1">
      <alignment horizontal="center" vertical="center"/>
    </xf>
    <xf numFmtId="169" fontId="0" fillId="0" borderId="19" xfId="0" applyNumberFormat="1" applyBorder="1" applyAlignment="1">
      <alignment horizontal="center" vertical="center"/>
    </xf>
    <xf numFmtId="2" fontId="0" fillId="0" borderId="19" xfId="0" applyNumberFormat="1" applyBorder="1" applyAlignment="1">
      <alignment horizontal="center" vertical="center"/>
    </xf>
    <xf numFmtId="0" fontId="0" fillId="0" borderId="20" xfId="0" applyBorder="1"/>
    <xf numFmtId="10" fontId="0" fillId="0" borderId="20" xfId="0" applyNumberFormat="1" applyBorder="1" applyAlignment="1">
      <alignment horizontal="center" vertical="center"/>
    </xf>
    <xf numFmtId="3" fontId="0" fillId="0" borderId="20" xfId="0" applyNumberFormat="1" applyBorder="1" applyAlignment="1">
      <alignment horizontal="center" vertical="center"/>
    </xf>
    <xf numFmtId="0" fontId="0" fillId="0" borderId="20" xfId="0" applyBorder="1" applyAlignment="1">
      <alignment horizontal="center" vertical="center"/>
    </xf>
    <xf numFmtId="169" fontId="0" fillId="0" borderId="20" xfId="0" applyNumberFormat="1" applyBorder="1" applyAlignment="1">
      <alignment horizontal="center" vertical="center"/>
    </xf>
    <xf numFmtId="2" fontId="0" fillId="0" borderId="20" xfId="0" applyNumberFormat="1" applyBorder="1" applyAlignment="1">
      <alignment horizontal="center" vertical="center"/>
    </xf>
    <xf numFmtId="0" fontId="16" fillId="0" borderId="20" xfId="0" applyFont="1" applyBorder="1"/>
    <xf numFmtId="10" fontId="16" fillId="0" borderId="20" xfId="0" applyNumberFormat="1" applyFont="1" applyBorder="1" applyAlignment="1">
      <alignment horizontal="center" vertical="center"/>
    </xf>
    <xf numFmtId="3" fontId="16" fillId="0" borderId="20" xfId="0" applyNumberFormat="1" applyFont="1" applyBorder="1" applyAlignment="1">
      <alignment horizontal="center" vertical="center"/>
    </xf>
    <xf numFmtId="0" fontId="16" fillId="0" borderId="20" xfId="0" applyFont="1" applyBorder="1" applyAlignment="1">
      <alignment horizontal="center" vertical="center"/>
    </xf>
    <xf numFmtId="0" fontId="16" fillId="0" borderId="0" xfId="0" applyFont="1"/>
    <xf numFmtId="0" fontId="0" fillId="0" borderId="0" xfId="0" applyAlignment="1">
      <alignment horizontal="center" vertical="center"/>
    </xf>
    <xf numFmtId="169" fontId="0" fillId="10" borderId="0" xfId="0" applyNumberFormat="1" applyFill="1" applyAlignment="1">
      <alignment horizontal="center" vertical="center"/>
    </xf>
    <xf numFmtId="0" fontId="31" fillId="0" borderId="0" xfId="0" applyFont="1" applyAlignment="1">
      <alignment horizontal="center" vertical="center"/>
    </xf>
    <xf numFmtId="165" fontId="3" fillId="0" borderId="1" xfId="1" applyNumberFormat="1" applyFont="1" applyFill="1" applyBorder="1" applyAlignment="1">
      <alignment horizontal="center" wrapText="1"/>
    </xf>
    <xf numFmtId="0" fontId="1" fillId="0" borderId="0" xfId="0" applyFont="1"/>
    <xf numFmtId="165" fontId="2" fillId="0" borderId="0" xfId="0" applyNumberFormat="1" applyFont="1"/>
    <xf numFmtId="165" fontId="2" fillId="6" borderId="0" xfId="1" applyNumberFormat="1" applyFont="1" applyFill="1" applyBorder="1"/>
    <xf numFmtId="0" fontId="21" fillId="6" borderId="0" xfId="0" applyFont="1" applyFill="1" applyAlignment="1" applyProtection="1">
      <alignment horizontal="center"/>
    </xf>
    <xf numFmtId="0" fontId="16" fillId="3" borderId="0" xfId="0" applyFont="1" applyFill="1" applyAlignment="1" applyProtection="1">
      <alignment horizontal="center" vertical="center"/>
    </xf>
    <xf numFmtId="0" fontId="0" fillId="0" borderId="0" xfId="0" applyAlignment="1" applyProtection="1">
      <alignment horizontal="left" wrapText="1"/>
    </xf>
    <xf numFmtId="0" fontId="16" fillId="0" borderId="0" xfId="0" applyFont="1" applyAlignment="1" applyProtection="1">
      <alignment horizontal="center" wrapText="1"/>
    </xf>
    <xf numFmtId="0" fontId="16" fillId="3" borderId="0" xfId="0" applyFont="1" applyFill="1" applyAlignment="1" applyProtection="1">
      <alignment horizontal="center"/>
    </xf>
    <xf numFmtId="167" fontId="17" fillId="2" borderId="6" xfId="3" applyNumberFormat="1" applyFont="1" applyFill="1" applyBorder="1" applyAlignment="1" applyProtection="1">
      <alignment horizontal="left" vertical="center" wrapText="1"/>
    </xf>
    <xf numFmtId="167" fontId="17" fillId="2" borderId="0" xfId="3" applyNumberFormat="1" applyFont="1" applyFill="1" applyBorder="1" applyAlignment="1" applyProtection="1">
      <alignment horizontal="left" vertical="center" wrapText="1"/>
    </xf>
    <xf numFmtId="167" fontId="17" fillId="2" borderId="0" xfId="3" applyNumberFormat="1" applyFont="1" applyFill="1" applyBorder="1" applyAlignment="1" applyProtection="1">
      <alignment horizontal="center" vertical="center"/>
    </xf>
    <xf numFmtId="167" fontId="17" fillId="2" borderId="13" xfId="3" applyNumberFormat="1" applyFont="1" applyFill="1" applyBorder="1" applyAlignment="1" applyProtection="1">
      <alignment horizontal="center" vertical="center"/>
    </xf>
    <xf numFmtId="0" fontId="18" fillId="3" borderId="0" xfId="0" applyFont="1" applyFill="1" applyBorder="1" applyAlignment="1" applyProtection="1">
      <alignment horizontal="center"/>
    </xf>
    <xf numFmtId="0" fontId="23" fillId="0" borderId="0" xfId="0" applyFont="1" applyAlignment="1">
      <alignment horizontal="left" vertical="top"/>
    </xf>
    <xf numFmtId="0" fontId="15" fillId="8" borderId="17" xfId="0" applyNumberFormat="1" applyFont="1" applyFill="1" applyBorder="1" applyAlignment="1" applyProtection="1">
      <alignment horizontal="center" vertical="center"/>
      <protection locked="0"/>
    </xf>
    <xf numFmtId="0" fontId="15" fillId="8" borderId="18" xfId="0" applyNumberFormat="1" applyFont="1" applyFill="1" applyBorder="1" applyAlignment="1" applyProtection="1">
      <alignment horizontal="center" vertical="center"/>
      <protection locked="0"/>
    </xf>
  </cellXfs>
  <cellStyles count="6">
    <cellStyle name="Comma" xfId="1" builtinId="3"/>
    <cellStyle name="Currency" xfId="2" builtinId="4"/>
    <cellStyle name="Currency 2" xfId="5" xr:uid="{A200D69D-4E1E-4E19-B9BB-BB7F82AB087F}"/>
    <cellStyle name="Currency 3" xfId="3" xr:uid="{641E5018-96CC-4711-8CBA-7F65FB30D1A8}"/>
    <cellStyle name="Normal" xfId="0" builtinId="0"/>
    <cellStyle name="Percent 4" xfId="4" xr:uid="{58757899-7A40-492B-98BA-F57DA66A425A}"/>
  </cellStyles>
  <dxfs count="3">
    <dxf>
      <font>
        <color auto="1"/>
      </font>
    </dxf>
    <dxf>
      <font>
        <color theme="0"/>
      </font>
    </dxf>
    <dxf>
      <font>
        <color theme="0"/>
      </font>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EB%20Rate%20Applications/2020%20IRM%20Application/01B%20-%20Application%20and%20Model%20Preparation%20-%20IR%20Update/01%20-%20Written%20Document/BPI%20Documents/Lease%20Model%20Simplified%20v%204.5.1%20-%20D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20%20IRM%20Application/01B%20-%20Application%20and%20Model%20Preparation%20-%20IR%20Update/06%20-%20ICM/2020_ACM_ICM_Mo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EB%20Rate%20Applications\2020%20IRM%20Application\01B%20-%20Application%20and%20Model%20Preparation%20-%20IR%20Update\06%20-%20ICM\2020_ACM_ICM_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Breakdown"/>
      <sheetName val="B.1 Area &amp; Cost Allocations "/>
      <sheetName val="E+ Lease Calc DM"/>
      <sheetName val="Depreciation Rec 44 Years"/>
      <sheetName val="Depreciation Rec 40 Years"/>
      <sheetName val="DM Calculation"/>
      <sheetName val="Energy+ Splits"/>
      <sheetName val="Detailed Purhcase Price Allocat"/>
      <sheetName val="Garden Ave"/>
    </sheetNames>
    <sheetDataSet>
      <sheetData sheetId="0"/>
      <sheetData sheetId="1"/>
      <sheetData sheetId="2">
        <row r="51">
          <cell r="C51">
            <v>14229</v>
          </cell>
          <cell r="D51">
            <v>23.231844931403241</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tempcopy"/>
      <sheetName val="1. Information Sheet"/>
      <sheetName val="2. Rate Class Selection"/>
      <sheetName val="3. Growth Factor - NUM_CALC1"/>
      <sheetName val="4. Growth Factor - NUM_CALC2"/>
      <sheetName val="5. Rev_Requ_Check"/>
      <sheetName val="6. Growth Factor - DEN_CALC"/>
      <sheetName val="7. Revenue Proportions"/>
      <sheetName val="8. Threshold Test"/>
      <sheetName val="9a. Proposed ACM Projects"/>
      <sheetName val="9b. Proposed ACM ICM Projects"/>
      <sheetName val="10. Incremental Capital Adj."/>
      <sheetName val="11. Rate Rider Calc"/>
    </sheetNames>
    <sheetDataSet>
      <sheetData sheetId="0" refreshError="1"/>
      <sheetData sheetId="1" refreshError="1"/>
      <sheetData sheetId="2">
        <row r="26">
          <cell r="M26">
            <v>2020</v>
          </cell>
        </row>
        <row r="28">
          <cell r="M28">
            <v>2024</v>
          </cell>
        </row>
        <row r="34">
          <cell r="F34">
            <v>2019</v>
          </cell>
        </row>
      </sheetData>
      <sheetData sheetId="3" refreshError="1"/>
      <sheetData sheetId="4"/>
      <sheetData sheetId="5" refreshError="1"/>
      <sheetData sheetId="6">
        <row r="38">
          <cell r="C38">
            <v>0.39999999999999991</v>
          </cell>
        </row>
        <row r="42">
          <cell r="C42">
            <v>8.9800000000000005E-2</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n Molon" id="{B0B51188-917D-4A48-A217-281769855E44}" userId="S::dmolon@energyplus.ca::412e540f-0ffe-46dd-8129-c35bf37570a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19-08-06T20:30:15.50" personId="{B0B51188-917D-4A48-A217-281769855E44}" id="{D24050EF-8558-4351-AF74-7F87C94C57FE}">
    <text>Includes $4.4M for Shared Facility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D6A61-C474-47EA-B923-E4D70031041B}">
  <dimension ref="B2:Y59"/>
  <sheetViews>
    <sheetView showGridLines="0" tabSelected="1" zoomScale="70" zoomScaleNormal="70" workbookViewId="0">
      <selection activeCell="L15" sqref="L15"/>
    </sheetView>
  </sheetViews>
  <sheetFormatPr defaultRowHeight="13.2" x14ac:dyDescent="0.25"/>
  <cols>
    <col min="1" max="1" width="1.88671875" style="2" customWidth="1"/>
    <col min="2" max="2" width="10" style="2" customWidth="1"/>
    <col min="3" max="4" width="7.77734375" style="2" hidden="1" customWidth="1"/>
    <col min="5" max="7" width="14" style="2" customWidth="1"/>
    <col min="8" max="8" width="14.21875" style="2" customWidth="1"/>
    <col min="9" max="9" width="1.109375" style="3" customWidth="1"/>
    <col min="10" max="10" width="10" style="3" customWidth="1"/>
    <col min="11" max="13" width="14.6640625" style="3" customWidth="1"/>
    <col min="14" max="14" width="1.109375" style="3" customWidth="1"/>
    <col min="15" max="17" width="14.21875" style="2" customWidth="1"/>
    <col min="18" max="18" width="1.109375" style="2" customWidth="1"/>
    <col min="19" max="20" width="14.21875" style="2" customWidth="1"/>
    <col min="21" max="21" width="1.109375" style="2" customWidth="1"/>
    <col min="22" max="22" width="14.21875" style="3" customWidth="1"/>
    <col min="23" max="23" width="11.109375" style="2" bestFit="1" customWidth="1"/>
    <col min="24" max="24" width="8.88671875" style="2"/>
    <col min="25" max="25" width="11.44140625" style="2" bestFit="1" customWidth="1"/>
    <col min="26" max="16384" width="8.88671875" style="2"/>
  </cols>
  <sheetData>
    <row r="2" spans="2:25" x14ac:dyDescent="0.25">
      <c r="B2" s="1" t="s">
        <v>149</v>
      </c>
      <c r="C2" s="1"/>
      <c r="D2" s="1"/>
    </row>
    <row r="3" spans="2:25" x14ac:dyDescent="0.25">
      <c r="G3" s="20"/>
    </row>
    <row r="4" spans="2:25" x14ac:dyDescent="0.25">
      <c r="B4" s="2" t="s">
        <v>0</v>
      </c>
      <c r="F4" s="3">
        <f>'[1]E+ Lease Calc DM'!C51</f>
        <v>14229</v>
      </c>
      <c r="G4" s="20"/>
    </row>
    <row r="5" spans="2:25" x14ac:dyDescent="0.25">
      <c r="B5" s="2" t="s">
        <v>1</v>
      </c>
      <c r="F5" s="4">
        <f>'[1]E+ Lease Calc DM'!D51</f>
        <v>23.231844931403241</v>
      </c>
      <c r="G5" s="20"/>
    </row>
    <row r="6" spans="2:25" x14ac:dyDescent="0.25">
      <c r="B6" s="2" t="s">
        <v>2</v>
      </c>
      <c r="F6" s="19">
        <f>F4*F5</f>
        <v>330565.92152893671</v>
      </c>
      <c r="G6" s="20"/>
    </row>
    <row r="7" spans="2:25" x14ac:dyDescent="0.25">
      <c r="B7" s="2" t="s">
        <v>3</v>
      </c>
      <c r="F7" s="5">
        <v>7.2510312925170073E-2</v>
      </c>
      <c r="G7" s="20"/>
    </row>
    <row r="8" spans="2:25" x14ac:dyDescent="0.25">
      <c r="B8" s="143" t="s">
        <v>147</v>
      </c>
      <c r="F8" s="6">
        <f>PV(F7/12,F9*12,-F6/12,0,)</f>
        <v>4305942.5959058851</v>
      </c>
      <c r="G8" s="20"/>
    </row>
    <row r="9" spans="2:25" x14ac:dyDescent="0.25">
      <c r="B9" s="2" t="s">
        <v>4</v>
      </c>
      <c r="F9" s="3">
        <v>40</v>
      </c>
      <c r="G9" s="20"/>
      <c r="K9" s="114"/>
    </row>
    <row r="10" spans="2:25" x14ac:dyDescent="0.25">
      <c r="B10" s="2" t="s">
        <v>5</v>
      </c>
      <c r="F10" s="144">
        <f>F8/F9</f>
        <v>107648.56489764713</v>
      </c>
      <c r="G10" s="20"/>
    </row>
    <row r="11" spans="2:25" x14ac:dyDescent="0.25">
      <c r="E11" s="7"/>
      <c r="G11" s="20"/>
    </row>
    <row r="13" spans="2:25" x14ac:dyDescent="0.25">
      <c r="B13" s="8" t="s">
        <v>115</v>
      </c>
      <c r="C13" s="8"/>
      <c r="D13" s="8"/>
      <c r="E13" s="9"/>
      <c r="F13" s="9"/>
      <c r="G13" s="9"/>
      <c r="H13" s="9"/>
      <c r="I13" s="9"/>
      <c r="J13" s="8" t="s">
        <v>6</v>
      </c>
      <c r="K13" s="9"/>
      <c r="L13" s="9"/>
      <c r="M13" s="9"/>
      <c r="N13" s="9"/>
      <c r="O13" s="8" t="s">
        <v>7</v>
      </c>
      <c r="S13" s="8" t="s">
        <v>8</v>
      </c>
      <c r="V13" s="18" t="s">
        <v>9</v>
      </c>
    </row>
    <row r="14" spans="2:25" s="13" customFormat="1" ht="26.4" x14ac:dyDescent="0.25">
      <c r="B14" s="10" t="s">
        <v>10</v>
      </c>
      <c r="C14" s="10" t="s">
        <v>145</v>
      </c>
      <c r="D14" s="10" t="s">
        <v>146</v>
      </c>
      <c r="E14" s="11" t="s">
        <v>11</v>
      </c>
      <c r="F14" s="11" t="s">
        <v>12</v>
      </c>
      <c r="G14" s="11" t="s">
        <v>13</v>
      </c>
      <c r="H14" s="11" t="s">
        <v>14</v>
      </c>
      <c r="I14" s="12"/>
      <c r="J14" s="10" t="s">
        <v>10</v>
      </c>
      <c r="K14" s="11" t="s">
        <v>11</v>
      </c>
      <c r="L14" s="11" t="s">
        <v>5</v>
      </c>
      <c r="M14" s="11" t="s">
        <v>13</v>
      </c>
      <c r="N14" s="12"/>
      <c r="O14" s="11" t="s">
        <v>5</v>
      </c>
      <c r="P14" s="142" t="s">
        <v>13</v>
      </c>
      <c r="Q14" s="11" t="s">
        <v>15</v>
      </c>
      <c r="S14" s="11" t="s">
        <v>16</v>
      </c>
      <c r="T14" s="11" t="s">
        <v>15</v>
      </c>
      <c r="V14" s="11" t="s">
        <v>16</v>
      </c>
      <c r="X14" s="2"/>
      <c r="Y14" s="2"/>
    </row>
    <row r="15" spans="2:25" x14ac:dyDescent="0.25">
      <c r="B15" s="14">
        <v>1</v>
      </c>
      <c r="C15" s="14">
        <v>1</v>
      </c>
      <c r="D15" s="14">
        <v>12</v>
      </c>
      <c r="E15" s="15">
        <f>F8</f>
        <v>4305942.5959058851</v>
      </c>
      <c r="F15" s="15">
        <f t="shared" ref="F15:F54" si="0">-$F$4*$F$5</f>
        <v>-330565.92152893671</v>
      </c>
      <c r="G15" s="15">
        <f t="shared" ref="G15:G54" si="1">-CUMIPMT($F$7/12,$F$9*12,$F$8,C15,D15,0)</f>
        <v>311603.26739499718</v>
      </c>
      <c r="H15" s="15">
        <f t="shared" ref="H15:H54" si="2">SUM(E15:G15)</f>
        <v>4286979.941771945</v>
      </c>
      <c r="J15" s="14">
        <v>1</v>
      </c>
      <c r="K15" s="15">
        <f>F8</f>
        <v>4305942.5959058851</v>
      </c>
      <c r="L15" s="15">
        <f t="shared" ref="L15:L54" si="3">-$F$10</f>
        <v>-107648.56489764713</v>
      </c>
      <c r="M15" s="15">
        <f>SUM(K15:L15)</f>
        <v>4198294.031008238</v>
      </c>
      <c r="O15" s="15">
        <f t="shared" ref="O15:O54" si="4">$F$10</f>
        <v>107648.56489764713</v>
      </c>
      <c r="P15" s="15">
        <f>G15</f>
        <v>311603.26739499718</v>
      </c>
      <c r="Q15" s="15">
        <f>SUM(O15:P15)</f>
        <v>419251.83229264431</v>
      </c>
      <c r="S15" s="15">
        <f t="shared" ref="S15:S54" si="5">$F$6</f>
        <v>330565.92152893671</v>
      </c>
      <c r="T15" s="15">
        <f>S15</f>
        <v>330565.92152893671</v>
      </c>
      <c r="V15" s="15">
        <f>Q15-T15</f>
        <v>88685.910763707594</v>
      </c>
    </row>
    <row r="16" spans="2:25" x14ac:dyDescent="0.25">
      <c r="B16" s="14">
        <f>B15+1</f>
        <v>2</v>
      </c>
      <c r="C16" s="14">
        <f>C15+12</f>
        <v>13</v>
      </c>
      <c r="D16" s="14">
        <f>D15+12</f>
        <v>24</v>
      </c>
      <c r="E16" s="15">
        <f t="shared" ref="E16:E54" si="6">H15</f>
        <v>4286979.941771945</v>
      </c>
      <c r="F16" s="15">
        <f t="shared" si="0"/>
        <v>-330565.92152893671</v>
      </c>
      <c r="G16" s="15">
        <f t="shared" si="1"/>
        <v>310181.65016868326</v>
      </c>
      <c r="H16" s="15">
        <f t="shared" si="2"/>
        <v>4266595.6704116911</v>
      </c>
      <c r="J16" s="14">
        <f>J15+1</f>
        <v>2</v>
      </c>
      <c r="K16" s="15">
        <f>M15</f>
        <v>4198294.031008238</v>
      </c>
      <c r="L16" s="15">
        <f t="shared" si="3"/>
        <v>-107648.56489764713</v>
      </c>
      <c r="M16" s="15">
        <f t="shared" ref="M16:M54" si="7">SUM(K16:L16)</f>
        <v>4090645.4661105908</v>
      </c>
      <c r="O16" s="15">
        <f t="shared" si="4"/>
        <v>107648.56489764713</v>
      </c>
      <c r="P16" s="15">
        <f t="shared" ref="P16:P54" si="8">G16</f>
        <v>310181.65016868326</v>
      </c>
      <c r="Q16" s="15">
        <f t="shared" ref="Q16:Q54" si="9">SUM(O16:P16)</f>
        <v>417830.21506633039</v>
      </c>
      <c r="S16" s="15">
        <f t="shared" si="5"/>
        <v>330565.92152893671</v>
      </c>
      <c r="T16" s="15">
        <f t="shared" ref="T16:T54" si="10">S16</f>
        <v>330565.92152893671</v>
      </c>
      <c r="V16" s="15">
        <f t="shared" ref="V16:V54" si="11">Q16-T16</f>
        <v>87264.293537393678</v>
      </c>
    </row>
    <row r="17" spans="2:22" x14ac:dyDescent="0.25">
      <c r="B17" s="14">
        <f t="shared" ref="B17:B54" si="12">B16+1</f>
        <v>3</v>
      </c>
      <c r="C17" s="14">
        <f t="shared" ref="C17:C54" si="13">C16+12</f>
        <v>25</v>
      </c>
      <c r="D17" s="14">
        <f t="shared" ref="D17:D54" si="14">D16+12</f>
        <v>36</v>
      </c>
      <c r="E17" s="15">
        <f t="shared" si="6"/>
        <v>4266595.6704116911</v>
      </c>
      <c r="F17" s="15">
        <f t="shared" si="0"/>
        <v>-330565.92152893671</v>
      </c>
      <c r="G17" s="15">
        <f t="shared" si="1"/>
        <v>308653.45527007326</v>
      </c>
      <c r="H17" s="15">
        <f t="shared" si="2"/>
        <v>4244683.2041528272</v>
      </c>
      <c r="J17" s="14">
        <f t="shared" ref="J17:J54" si="15">J16+1</f>
        <v>3</v>
      </c>
      <c r="K17" s="15">
        <f t="shared" ref="K17:K54" si="16">M16</f>
        <v>4090645.4661105908</v>
      </c>
      <c r="L17" s="15">
        <f t="shared" si="3"/>
        <v>-107648.56489764713</v>
      </c>
      <c r="M17" s="15">
        <f t="shared" si="7"/>
        <v>3982996.9012129437</v>
      </c>
      <c r="O17" s="15">
        <f t="shared" si="4"/>
        <v>107648.56489764713</v>
      </c>
      <c r="P17" s="15">
        <f t="shared" si="8"/>
        <v>308653.45527007326</v>
      </c>
      <c r="Q17" s="15">
        <f t="shared" si="9"/>
        <v>416302.02016772039</v>
      </c>
      <c r="S17" s="15">
        <f t="shared" si="5"/>
        <v>330565.92152893671</v>
      </c>
      <c r="T17" s="15">
        <f t="shared" si="10"/>
        <v>330565.92152893671</v>
      </c>
      <c r="V17" s="15">
        <f t="shared" si="11"/>
        <v>85736.098638783675</v>
      </c>
    </row>
    <row r="18" spans="2:22" x14ac:dyDescent="0.25">
      <c r="B18" s="14">
        <f t="shared" si="12"/>
        <v>4</v>
      </c>
      <c r="C18" s="14">
        <f t="shared" si="13"/>
        <v>37</v>
      </c>
      <c r="D18" s="14">
        <f t="shared" si="14"/>
        <v>48</v>
      </c>
      <c r="E18" s="15">
        <f t="shared" si="6"/>
        <v>4244683.2041528272</v>
      </c>
      <c r="F18" s="15">
        <f t="shared" si="0"/>
        <v>-330565.92152893671</v>
      </c>
      <c r="G18" s="15">
        <f t="shared" si="1"/>
        <v>307010.69264388224</v>
      </c>
      <c r="H18" s="15">
        <f t="shared" si="2"/>
        <v>4221127.9752677726</v>
      </c>
      <c r="J18" s="14">
        <f t="shared" si="15"/>
        <v>4</v>
      </c>
      <c r="K18" s="15">
        <f t="shared" si="16"/>
        <v>3982996.9012129437</v>
      </c>
      <c r="L18" s="15">
        <f t="shared" si="3"/>
        <v>-107648.56489764713</v>
      </c>
      <c r="M18" s="15">
        <f t="shared" si="7"/>
        <v>3875348.3363152966</v>
      </c>
      <c r="O18" s="15">
        <f t="shared" si="4"/>
        <v>107648.56489764713</v>
      </c>
      <c r="P18" s="15">
        <f t="shared" si="8"/>
        <v>307010.69264388224</v>
      </c>
      <c r="Q18" s="15">
        <f t="shared" si="9"/>
        <v>414659.25754152937</v>
      </c>
      <c r="S18" s="15">
        <f t="shared" si="5"/>
        <v>330565.92152893671</v>
      </c>
      <c r="T18" s="15">
        <f t="shared" si="10"/>
        <v>330565.92152893671</v>
      </c>
      <c r="V18" s="15">
        <f t="shared" si="11"/>
        <v>84093.336012592656</v>
      </c>
    </row>
    <row r="19" spans="2:22" x14ac:dyDescent="0.25">
      <c r="B19" s="14">
        <f t="shared" si="12"/>
        <v>5</v>
      </c>
      <c r="C19" s="14">
        <f t="shared" si="13"/>
        <v>49</v>
      </c>
      <c r="D19" s="14">
        <f t="shared" si="14"/>
        <v>60</v>
      </c>
      <c r="E19" s="15">
        <f t="shared" si="6"/>
        <v>4221127.9752677726</v>
      </c>
      <c r="F19" s="15">
        <f t="shared" si="0"/>
        <v>-330565.92152893671</v>
      </c>
      <c r="G19" s="15">
        <f t="shared" si="1"/>
        <v>305244.77322583913</v>
      </c>
      <c r="H19" s="15">
        <f t="shared" si="2"/>
        <v>4195806.8269646745</v>
      </c>
      <c r="J19" s="14">
        <f t="shared" si="15"/>
        <v>5</v>
      </c>
      <c r="K19" s="15">
        <f t="shared" si="16"/>
        <v>3875348.3363152966</v>
      </c>
      <c r="L19" s="15">
        <f t="shared" si="3"/>
        <v>-107648.56489764713</v>
      </c>
      <c r="M19" s="15">
        <f t="shared" si="7"/>
        <v>3767699.7714176495</v>
      </c>
      <c r="O19" s="15">
        <f t="shared" si="4"/>
        <v>107648.56489764713</v>
      </c>
      <c r="P19" s="15">
        <f t="shared" si="8"/>
        <v>305244.77322583913</v>
      </c>
      <c r="Q19" s="15">
        <f t="shared" si="9"/>
        <v>412893.33812348626</v>
      </c>
      <c r="S19" s="15">
        <f t="shared" si="5"/>
        <v>330565.92152893671</v>
      </c>
      <c r="T19" s="15">
        <f t="shared" si="10"/>
        <v>330565.92152893671</v>
      </c>
      <c r="V19" s="15">
        <f t="shared" si="11"/>
        <v>82327.416594549548</v>
      </c>
    </row>
    <row r="20" spans="2:22" x14ac:dyDescent="0.25">
      <c r="B20" s="14">
        <f t="shared" si="12"/>
        <v>6</v>
      </c>
      <c r="C20" s="14">
        <f t="shared" si="13"/>
        <v>61</v>
      </c>
      <c r="D20" s="14">
        <f t="shared" si="14"/>
        <v>72</v>
      </c>
      <c r="E20" s="15">
        <f t="shared" si="6"/>
        <v>4195806.8269646745</v>
      </c>
      <c r="F20" s="15">
        <f t="shared" si="0"/>
        <v>-330565.92152893671</v>
      </c>
      <c r="G20" s="15">
        <f t="shared" si="1"/>
        <v>303346.46403539175</v>
      </c>
      <c r="H20" s="15">
        <f t="shared" si="2"/>
        <v>4168587.3694711295</v>
      </c>
      <c r="J20" s="14">
        <f t="shared" si="15"/>
        <v>6</v>
      </c>
      <c r="K20" s="15">
        <f t="shared" si="16"/>
        <v>3767699.7714176495</v>
      </c>
      <c r="L20" s="15">
        <f t="shared" si="3"/>
        <v>-107648.56489764713</v>
      </c>
      <c r="M20" s="15">
        <f t="shared" si="7"/>
        <v>3660051.2065200023</v>
      </c>
      <c r="O20" s="15">
        <f t="shared" si="4"/>
        <v>107648.56489764713</v>
      </c>
      <c r="P20" s="15">
        <f t="shared" si="8"/>
        <v>303346.46403539175</v>
      </c>
      <c r="Q20" s="15">
        <f t="shared" si="9"/>
        <v>410995.02893303888</v>
      </c>
      <c r="S20" s="15">
        <f t="shared" si="5"/>
        <v>330565.92152893671</v>
      </c>
      <c r="T20" s="15">
        <f t="shared" si="10"/>
        <v>330565.92152893671</v>
      </c>
      <c r="V20" s="15">
        <f t="shared" si="11"/>
        <v>80429.107404102164</v>
      </c>
    </row>
    <row r="21" spans="2:22" x14ac:dyDescent="0.25">
      <c r="B21" s="14">
        <f t="shared" si="12"/>
        <v>7</v>
      </c>
      <c r="C21" s="14">
        <f t="shared" si="13"/>
        <v>73</v>
      </c>
      <c r="D21" s="14">
        <f t="shared" si="14"/>
        <v>84</v>
      </c>
      <c r="E21" s="15">
        <f t="shared" si="6"/>
        <v>4168587.3694711295</v>
      </c>
      <c r="F21" s="15">
        <f t="shared" si="0"/>
        <v>-330565.92152893671</v>
      </c>
      <c r="G21" s="15">
        <f t="shared" si="1"/>
        <v>301305.83990174351</v>
      </c>
      <c r="H21" s="15">
        <f t="shared" si="2"/>
        <v>4139327.2878439361</v>
      </c>
      <c r="J21" s="14">
        <f t="shared" si="15"/>
        <v>7</v>
      </c>
      <c r="K21" s="15">
        <f t="shared" si="16"/>
        <v>3660051.2065200023</v>
      </c>
      <c r="L21" s="15">
        <f t="shared" si="3"/>
        <v>-107648.56489764713</v>
      </c>
      <c r="M21" s="15">
        <f t="shared" si="7"/>
        <v>3552402.6416223552</v>
      </c>
      <c r="O21" s="15">
        <f t="shared" si="4"/>
        <v>107648.56489764713</v>
      </c>
      <c r="P21" s="15">
        <f t="shared" si="8"/>
        <v>301305.83990174351</v>
      </c>
      <c r="Q21" s="15">
        <f t="shared" si="9"/>
        <v>408954.40479939064</v>
      </c>
      <c r="S21" s="15">
        <f t="shared" si="5"/>
        <v>330565.92152893671</v>
      </c>
      <c r="T21" s="15">
        <f t="shared" si="10"/>
        <v>330565.92152893671</v>
      </c>
      <c r="V21" s="15">
        <f t="shared" si="11"/>
        <v>78388.483270453929</v>
      </c>
    </row>
    <row r="22" spans="2:22" x14ac:dyDescent="0.25">
      <c r="B22" s="14">
        <f t="shared" si="12"/>
        <v>8</v>
      </c>
      <c r="C22" s="14">
        <f t="shared" si="13"/>
        <v>85</v>
      </c>
      <c r="D22" s="14">
        <f t="shared" si="14"/>
        <v>96</v>
      </c>
      <c r="E22" s="15">
        <f t="shared" si="6"/>
        <v>4139327.2878439361</v>
      </c>
      <c r="F22" s="15">
        <f t="shared" si="0"/>
        <v>-330565.92152893671</v>
      </c>
      <c r="G22" s="15">
        <f t="shared" si="1"/>
        <v>299112.23157082329</v>
      </c>
      <c r="H22" s="15">
        <f t="shared" si="2"/>
        <v>4107873.5978858224</v>
      </c>
      <c r="J22" s="14">
        <f t="shared" si="15"/>
        <v>8</v>
      </c>
      <c r="K22" s="15">
        <f t="shared" si="16"/>
        <v>3552402.6416223552</v>
      </c>
      <c r="L22" s="15">
        <f t="shared" si="3"/>
        <v>-107648.56489764713</v>
      </c>
      <c r="M22" s="15">
        <f t="shared" si="7"/>
        <v>3444754.0767247081</v>
      </c>
      <c r="O22" s="15">
        <f t="shared" si="4"/>
        <v>107648.56489764713</v>
      </c>
      <c r="P22" s="15">
        <f t="shared" si="8"/>
        <v>299112.23157082329</v>
      </c>
      <c r="Q22" s="15">
        <f t="shared" si="9"/>
        <v>406760.79646847042</v>
      </c>
      <c r="S22" s="15">
        <f t="shared" si="5"/>
        <v>330565.92152893671</v>
      </c>
      <c r="T22" s="15">
        <f t="shared" si="10"/>
        <v>330565.92152893671</v>
      </c>
      <c r="V22" s="15">
        <f t="shared" si="11"/>
        <v>76194.874939533707</v>
      </c>
    </row>
    <row r="23" spans="2:22" x14ac:dyDescent="0.25">
      <c r="B23" s="14">
        <f t="shared" si="12"/>
        <v>9</v>
      </c>
      <c r="C23" s="14">
        <f t="shared" si="13"/>
        <v>97</v>
      </c>
      <c r="D23" s="14">
        <f t="shared" si="14"/>
        <v>108</v>
      </c>
      <c r="E23" s="15">
        <f t="shared" si="6"/>
        <v>4107873.5978858224</v>
      </c>
      <c r="F23" s="15">
        <f t="shared" si="0"/>
        <v>-330565.92152893671</v>
      </c>
      <c r="G23" s="15">
        <f t="shared" si="1"/>
        <v>296754.16992187098</v>
      </c>
      <c r="H23" s="15">
        <f t="shared" si="2"/>
        <v>4074061.8462787564</v>
      </c>
      <c r="J23" s="14">
        <f t="shared" si="15"/>
        <v>9</v>
      </c>
      <c r="K23" s="15">
        <f t="shared" si="16"/>
        <v>3444754.0767247081</v>
      </c>
      <c r="L23" s="15">
        <f t="shared" si="3"/>
        <v>-107648.56489764713</v>
      </c>
      <c r="M23" s="15">
        <f t="shared" si="7"/>
        <v>3337105.511827061</v>
      </c>
      <c r="O23" s="15">
        <f t="shared" si="4"/>
        <v>107648.56489764713</v>
      </c>
      <c r="P23" s="15">
        <f t="shared" si="8"/>
        <v>296754.16992187098</v>
      </c>
      <c r="Q23" s="15">
        <f t="shared" si="9"/>
        <v>404402.73481951811</v>
      </c>
      <c r="S23" s="15">
        <f t="shared" si="5"/>
        <v>330565.92152893671</v>
      </c>
      <c r="T23" s="15">
        <f t="shared" si="10"/>
        <v>330565.92152893671</v>
      </c>
      <c r="V23" s="15">
        <f t="shared" si="11"/>
        <v>73836.813290581398</v>
      </c>
    </row>
    <row r="24" spans="2:22" x14ac:dyDescent="0.25">
      <c r="B24" s="14">
        <f t="shared" si="12"/>
        <v>10</v>
      </c>
      <c r="C24" s="14">
        <f t="shared" si="13"/>
        <v>109</v>
      </c>
      <c r="D24" s="14">
        <f t="shared" si="14"/>
        <v>120</v>
      </c>
      <c r="E24" s="15">
        <f t="shared" si="6"/>
        <v>4074061.8462787564</v>
      </c>
      <c r="F24" s="15">
        <f t="shared" si="0"/>
        <v>-330565.92152893671</v>
      </c>
      <c r="G24" s="15">
        <f t="shared" si="1"/>
        <v>294219.32600197796</v>
      </c>
      <c r="H24" s="15">
        <f t="shared" si="2"/>
        <v>4037715.2507517976</v>
      </c>
      <c r="J24" s="14">
        <f t="shared" si="15"/>
        <v>10</v>
      </c>
      <c r="K24" s="15">
        <f t="shared" si="16"/>
        <v>3337105.511827061</v>
      </c>
      <c r="L24" s="15">
        <f t="shared" si="3"/>
        <v>-107648.56489764713</v>
      </c>
      <c r="M24" s="15">
        <f t="shared" si="7"/>
        <v>3229456.9469294138</v>
      </c>
      <c r="O24" s="15">
        <f t="shared" si="4"/>
        <v>107648.56489764713</v>
      </c>
      <c r="P24" s="15">
        <f t="shared" si="8"/>
        <v>294219.32600197796</v>
      </c>
      <c r="Q24" s="15">
        <f t="shared" si="9"/>
        <v>401867.89089962508</v>
      </c>
      <c r="S24" s="15">
        <f t="shared" si="5"/>
        <v>330565.92152893671</v>
      </c>
      <c r="T24" s="15">
        <f t="shared" si="10"/>
        <v>330565.92152893671</v>
      </c>
      <c r="V24" s="15">
        <f t="shared" si="11"/>
        <v>71301.96937068837</v>
      </c>
    </row>
    <row r="25" spans="2:22" x14ac:dyDescent="0.25">
      <c r="B25" s="14">
        <f t="shared" si="12"/>
        <v>11</v>
      </c>
      <c r="C25" s="14">
        <f t="shared" si="13"/>
        <v>121</v>
      </c>
      <c r="D25" s="14">
        <f t="shared" si="14"/>
        <v>132</v>
      </c>
      <c r="E25" s="15">
        <f t="shared" si="6"/>
        <v>4037715.2507517976</v>
      </c>
      <c r="F25" s="15">
        <f t="shared" si="0"/>
        <v>-330565.92152893671</v>
      </c>
      <c r="G25" s="15">
        <f t="shared" si="1"/>
        <v>291494.44656505849</v>
      </c>
      <c r="H25" s="15">
        <f t="shared" si="2"/>
        <v>3998643.7757879193</v>
      </c>
      <c r="J25" s="14">
        <f t="shared" si="15"/>
        <v>11</v>
      </c>
      <c r="K25" s="15">
        <f t="shared" si="16"/>
        <v>3229456.9469294138</v>
      </c>
      <c r="L25" s="15">
        <f t="shared" si="3"/>
        <v>-107648.56489764713</v>
      </c>
      <c r="M25" s="15">
        <f t="shared" si="7"/>
        <v>3121808.3820317667</v>
      </c>
      <c r="O25" s="15">
        <f t="shared" si="4"/>
        <v>107648.56489764713</v>
      </c>
      <c r="P25" s="15">
        <f t="shared" si="8"/>
        <v>291494.44656505849</v>
      </c>
      <c r="Q25" s="15">
        <f t="shared" si="9"/>
        <v>399143.01146270562</v>
      </c>
      <c r="S25" s="15">
        <f t="shared" si="5"/>
        <v>330565.92152893671</v>
      </c>
      <c r="T25" s="15">
        <f t="shared" si="10"/>
        <v>330565.92152893671</v>
      </c>
      <c r="V25" s="15">
        <f t="shared" si="11"/>
        <v>68577.089933768904</v>
      </c>
    </row>
    <row r="26" spans="2:22" x14ac:dyDescent="0.25">
      <c r="B26" s="14">
        <f t="shared" si="12"/>
        <v>12</v>
      </c>
      <c r="C26" s="14">
        <f t="shared" si="13"/>
        <v>133</v>
      </c>
      <c r="D26" s="14">
        <f t="shared" si="14"/>
        <v>144</v>
      </c>
      <c r="E26" s="15">
        <f t="shared" si="6"/>
        <v>3998643.7757879193</v>
      </c>
      <c r="F26" s="15">
        <f t="shared" si="0"/>
        <v>-330565.92152893671</v>
      </c>
      <c r="G26" s="15">
        <f t="shared" si="1"/>
        <v>288565.28477822157</v>
      </c>
      <c r="H26" s="15">
        <f t="shared" si="2"/>
        <v>3956643.139037204</v>
      </c>
      <c r="J26" s="14">
        <f t="shared" si="15"/>
        <v>12</v>
      </c>
      <c r="K26" s="15">
        <f t="shared" si="16"/>
        <v>3121808.3820317667</v>
      </c>
      <c r="L26" s="15">
        <f t="shared" si="3"/>
        <v>-107648.56489764713</v>
      </c>
      <c r="M26" s="15">
        <f t="shared" si="7"/>
        <v>3014159.8171341196</v>
      </c>
      <c r="O26" s="15">
        <f t="shared" si="4"/>
        <v>107648.56489764713</v>
      </c>
      <c r="P26" s="15">
        <f t="shared" si="8"/>
        <v>288565.28477822157</v>
      </c>
      <c r="Q26" s="15">
        <f t="shared" si="9"/>
        <v>396213.8496758687</v>
      </c>
      <c r="S26" s="15">
        <f t="shared" si="5"/>
        <v>330565.92152893671</v>
      </c>
      <c r="T26" s="15">
        <f t="shared" si="10"/>
        <v>330565.92152893671</v>
      </c>
      <c r="V26" s="15">
        <f t="shared" si="11"/>
        <v>65647.928146931983</v>
      </c>
    </row>
    <row r="27" spans="2:22" x14ac:dyDescent="0.25">
      <c r="B27" s="14">
        <f t="shared" si="12"/>
        <v>13</v>
      </c>
      <c r="C27" s="14">
        <f t="shared" si="13"/>
        <v>145</v>
      </c>
      <c r="D27" s="14">
        <f t="shared" si="14"/>
        <v>156</v>
      </c>
      <c r="E27" s="15">
        <f t="shared" si="6"/>
        <v>3956643.139037204</v>
      </c>
      <c r="F27" s="15">
        <f t="shared" si="0"/>
        <v>-330565.92152893671</v>
      </c>
      <c r="G27" s="15">
        <f t="shared" si="1"/>
        <v>285416.52573324693</v>
      </c>
      <c r="H27" s="15">
        <f t="shared" si="2"/>
        <v>3911493.7432415141</v>
      </c>
      <c r="J27" s="14">
        <f t="shared" si="15"/>
        <v>13</v>
      </c>
      <c r="K27" s="15">
        <f t="shared" si="16"/>
        <v>3014159.8171341196</v>
      </c>
      <c r="L27" s="15">
        <f t="shared" si="3"/>
        <v>-107648.56489764713</v>
      </c>
      <c r="M27" s="15">
        <f t="shared" si="7"/>
        <v>2906511.2522364724</v>
      </c>
      <c r="O27" s="15">
        <f t="shared" si="4"/>
        <v>107648.56489764713</v>
      </c>
      <c r="P27" s="15">
        <f t="shared" si="8"/>
        <v>285416.52573324693</v>
      </c>
      <c r="Q27" s="15">
        <f t="shared" si="9"/>
        <v>393065.09063089406</v>
      </c>
      <c r="S27" s="15">
        <f t="shared" si="5"/>
        <v>330565.92152893671</v>
      </c>
      <c r="T27" s="15">
        <f t="shared" si="10"/>
        <v>330565.92152893671</v>
      </c>
      <c r="V27" s="15">
        <f t="shared" si="11"/>
        <v>62499.169101957348</v>
      </c>
    </row>
    <row r="28" spans="2:22" x14ac:dyDescent="0.25">
      <c r="B28" s="14">
        <f t="shared" si="12"/>
        <v>14</v>
      </c>
      <c r="C28" s="14">
        <f t="shared" si="13"/>
        <v>157</v>
      </c>
      <c r="D28" s="14">
        <f t="shared" si="14"/>
        <v>168</v>
      </c>
      <c r="E28" s="15">
        <f t="shared" si="6"/>
        <v>3911493.7432415141</v>
      </c>
      <c r="F28" s="15">
        <f t="shared" si="0"/>
        <v>-330565.92152893671</v>
      </c>
      <c r="G28" s="15">
        <f t="shared" si="1"/>
        <v>282031.7063737071</v>
      </c>
      <c r="H28" s="15">
        <f t="shared" si="2"/>
        <v>3862959.5280862842</v>
      </c>
      <c r="J28" s="14">
        <f t="shared" si="15"/>
        <v>14</v>
      </c>
      <c r="K28" s="15">
        <f t="shared" si="16"/>
        <v>2906511.2522364724</v>
      </c>
      <c r="L28" s="15">
        <f t="shared" si="3"/>
        <v>-107648.56489764713</v>
      </c>
      <c r="M28" s="15">
        <f t="shared" si="7"/>
        <v>2798862.6873388253</v>
      </c>
      <c r="O28" s="15">
        <f t="shared" si="4"/>
        <v>107648.56489764713</v>
      </c>
      <c r="P28" s="15">
        <f t="shared" si="8"/>
        <v>282031.7063737071</v>
      </c>
      <c r="Q28" s="15">
        <f t="shared" si="9"/>
        <v>389680.27127135423</v>
      </c>
      <c r="S28" s="15">
        <f t="shared" si="5"/>
        <v>330565.92152893671</v>
      </c>
      <c r="T28" s="15">
        <f t="shared" si="10"/>
        <v>330565.92152893671</v>
      </c>
      <c r="V28" s="15">
        <f t="shared" si="11"/>
        <v>59114.349742417515</v>
      </c>
    </row>
    <row r="29" spans="2:22" x14ac:dyDescent="0.25">
      <c r="B29" s="14">
        <f t="shared" si="12"/>
        <v>15</v>
      </c>
      <c r="C29" s="14">
        <f t="shared" si="13"/>
        <v>169</v>
      </c>
      <c r="D29" s="14">
        <f t="shared" si="14"/>
        <v>180</v>
      </c>
      <c r="E29" s="15">
        <f t="shared" si="6"/>
        <v>3862959.5280862842</v>
      </c>
      <c r="F29" s="15">
        <f t="shared" si="0"/>
        <v>-330565.92152893671</v>
      </c>
      <c r="G29" s="15">
        <f t="shared" si="1"/>
        <v>278393.12941908097</v>
      </c>
      <c r="H29" s="15">
        <f t="shared" si="2"/>
        <v>3810786.7359764283</v>
      </c>
      <c r="J29" s="14">
        <f t="shared" si="15"/>
        <v>15</v>
      </c>
      <c r="K29" s="15">
        <f t="shared" si="16"/>
        <v>2798862.6873388253</v>
      </c>
      <c r="L29" s="15">
        <f t="shared" si="3"/>
        <v>-107648.56489764713</v>
      </c>
      <c r="M29" s="15">
        <f t="shared" si="7"/>
        <v>2691214.1224411782</v>
      </c>
      <c r="O29" s="15">
        <f t="shared" si="4"/>
        <v>107648.56489764713</v>
      </c>
      <c r="P29" s="15">
        <f t="shared" si="8"/>
        <v>278393.12941908097</v>
      </c>
      <c r="Q29" s="15">
        <f t="shared" si="9"/>
        <v>386041.6943167281</v>
      </c>
      <c r="S29" s="15">
        <f t="shared" si="5"/>
        <v>330565.92152893671</v>
      </c>
      <c r="T29" s="15">
        <f t="shared" si="10"/>
        <v>330565.92152893671</v>
      </c>
      <c r="V29" s="15">
        <f t="shared" si="11"/>
        <v>55475.772787791386</v>
      </c>
    </row>
    <row r="30" spans="2:22" x14ac:dyDescent="0.25">
      <c r="B30" s="14">
        <f t="shared" si="12"/>
        <v>16</v>
      </c>
      <c r="C30" s="14">
        <f t="shared" si="13"/>
        <v>181</v>
      </c>
      <c r="D30" s="14">
        <f t="shared" si="14"/>
        <v>192</v>
      </c>
      <c r="E30" s="15">
        <f t="shared" si="6"/>
        <v>3810786.7359764283</v>
      </c>
      <c r="F30" s="15">
        <f t="shared" si="0"/>
        <v>-330565.92152893671</v>
      </c>
      <c r="G30" s="15">
        <f t="shared" si="1"/>
        <v>274481.77083581628</v>
      </c>
      <c r="H30" s="15">
        <f t="shared" si="2"/>
        <v>3754702.5852833078</v>
      </c>
      <c r="J30" s="14">
        <f t="shared" si="15"/>
        <v>16</v>
      </c>
      <c r="K30" s="15">
        <f t="shared" si="16"/>
        <v>2691214.1224411782</v>
      </c>
      <c r="L30" s="15">
        <f t="shared" si="3"/>
        <v>-107648.56489764713</v>
      </c>
      <c r="M30" s="15">
        <f t="shared" si="7"/>
        <v>2583565.5575435311</v>
      </c>
      <c r="O30" s="15">
        <f t="shared" si="4"/>
        <v>107648.56489764713</v>
      </c>
      <c r="P30" s="15">
        <f t="shared" si="8"/>
        <v>274481.77083581628</v>
      </c>
      <c r="Q30" s="15">
        <f t="shared" si="9"/>
        <v>382130.33573346341</v>
      </c>
      <c r="S30" s="15">
        <f t="shared" si="5"/>
        <v>330565.92152893671</v>
      </c>
      <c r="T30" s="15">
        <f t="shared" si="10"/>
        <v>330565.92152893671</v>
      </c>
      <c r="V30" s="15">
        <f t="shared" si="11"/>
        <v>51564.414204526693</v>
      </c>
    </row>
    <row r="31" spans="2:22" x14ac:dyDescent="0.25">
      <c r="B31" s="14">
        <f t="shared" si="12"/>
        <v>17</v>
      </c>
      <c r="C31" s="14">
        <f t="shared" si="13"/>
        <v>193</v>
      </c>
      <c r="D31" s="14">
        <f t="shared" si="14"/>
        <v>204</v>
      </c>
      <c r="E31" s="15">
        <f t="shared" si="6"/>
        <v>3754702.5852833078</v>
      </c>
      <c r="F31" s="15">
        <f t="shared" si="0"/>
        <v>-330565.92152893671</v>
      </c>
      <c r="G31" s="15">
        <f t="shared" si="1"/>
        <v>270277.1803715615</v>
      </c>
      <c r="H31" s="15">
        <f t="shared" si="2"/>
        <v>3694413.8441259325</v>
      </c>
      <c r="J31" s="14">
        <f t="shared" si="15"/>
        <v>17</v>
      </c>
      <c r="K31" s="15">
        <f t="shared" si="16"/>
        <v>2583565.5575435311</v>
      </c>
      <c r="L31" s="15">
        <f t="shared" si="3"/>
        <v>-107648.56489764713</v>
      </c>
      <c r="M31" s="15">
        <f t="shared" si="7"/>
        <v>2475916.9926458839</v>
      </c>
      <c r="O31" s="15">
        <f t="shared" si="4"/>
        <v>107648.56489764713</v>
      </c>
      <c r="P31" s="15">
        <f t="shared" si="8"/>
        <v>270277.1803715615</v>
      </c>
      <c r="Q31" s="15">
        <f t="shared" si="9"/>
        <v>377925.74526920862</v>
      </c>
      <c r="S31" s="15">
        <f t="shared" si="5"/>
        <v>330565.92152893671</v>
      </c>
      <c r="T31" s="15">
        <f t="shared" si="10"/>
        <v>330565.92152893671</v>
      </c>
      <c r="V31" s="15">
        <f t="shared" si="11"/>
        <v>47359.82374027191</v>
      </c>
    </row>
    <row r="32" spans="2:22" x14ac:dyDescent="0.25">
      <c r="B32" s="14">
        <f t="shared" si="12"/>
        <v>18</v>
      </c>
      <c r="C32" s="14">
        <f t="shared" si="13"/>
        <v>205</v>
      </c>
      <c r="D32" s="14">
        <f t="shared" si="14"/>
        <v>216</v>
      </c>
      <c r="E32" s="15">
        <f t="shared" si="6"/>
        <v>3694413.8441259325</v>
      </c>
      <c r="F32" s="15">
        <f t="shared" si="0"/>
        <v>-330565.92152893671</v>
      </c>
      <c r="G32" s="15">
        <f t="shared" si="1"/>
        <v>265757.37463251664</v>
      </c>
      <c r="H32" s="15">
        <f t="shared" si="2"/>
        <v>3629605.2972295126</v>
      </c>
      <c r="J32" s="14">
        <f t="shared" si="15"/>
        <v>18</v>
      </c>
      <c r="K32" s="15">
        <f t="shared" si="16"/>
        <v>2475916.9926458839</v>
      </c>
      <c r="L32" s="15">
        <f t="shared" si="3"/>
        <v>-107648.56489764713</v>
      </c>
      <c r="M32" s="15">
        <f t="shared" si="7"/>
        <v>2368268.4277482368</v>
      </c>
      <c r="O32" s="15">
        <f t="shared" si="4"/>
        <v>107648.56489764713</v>
      </c>
      <c r="P32" s="15">
        <f t="shared" si="8"/>
        <v>265757.37463251664</v>
      </c>
      <c r="Q32" s="15">
        <f t="shared" si="9"/>
        <v>373405.93953016377</v>
      </c>
      <c r="S32" s="15">
        <f t="shared" si="5"/>
        <v>330565.92152893671</v>
      </c>
      <c r="T32" s="15">
        <f t="shared" si="10"/>
        <v>330565.92152893671</v>
      </c>
      <c r="V32" s="15">
        <f t="shared" si="11"/>
        <v>42840.018001227058</v>
      </c>
    </row>
    <row r="33" spans="2:22" x14ac:dyDescent="0.25">
      <c r="B33" s="14">
        <f t="shared" si="12"/>
        <v>19</v>
      </c>
      <c r="C33" s="14">
        <f t="shared" si="13"/>
        <v>217</v>
      </c>
      <c r="D33" s="14">
        <f t="shared" si="14"/>
        <v>228</v>
      </c>
      <c r="E33" s="15">
        <f t="shared" si="6"/>
        <v>3629605.2972295126</v>
      </c>
      <c r="F33" s="15">
        <f t="shared" si="0"/>
        <v>-330565.92152893671</v>
      </c>
      <c r="G33" s="15">
        <f t="shared" si="1"/>
        <v>260898.72214486613</v>
      </c>
      <c r="H33" s="15">
        <f t="shared" si="2"/>
        <v>3559938.0978454417</v>
      </c>
      <c r="J33" s="14">
        <f t="shared" si="15"/>
        <v>19</v>
      </c>
      <c r="K33" s="15">
        <f t="shared" si="16"/>
        <v>2368268.4277482368</v>
      </c>
      <c r="L33" s="15">
        <f t="shared" si="3"/>
        <v>-107648.56489764713</v>
      </c>
      <c r="M33" s="15">
        <f t="shared" si="7"/>
        <v>2260619.8628505897</v>
      </c>
      <c r="O33" s="15">
        <f t="shared" si="4"/>
        <v>107648.56489764713</v>
      </c>
      <c r="P33" s="15">
        <f t="shared" si="8"/>
        <v>260898.72214486613</v>
      </c>
      <c r="Q33" s="15">
        <f t="shared" si="9"/>
        <v>368547.28704251326</v>
      </c>
      <c r="S33" s="15">
        <f t="shared" si="5"/>
        <v>330565.92152893671</v>
      </c>
      <c r="T33" s="15">
        <f t="shared" si="10"/>
        <v>330565.92152893671</v>
      </c>
      <c r="V33" s="15">
        <f t="shared" si="11"/>
        <v>37981.365513576544</v>
      </c>
    </row>
    <row r="34" spans="2:22" x14ac:dyDescent="0.25">
      <c r="B34" s="14">
        <f t="shared" si="12"/>
        <v>20</v>
      </c>
      <c r="C34" s="14">
        <f t="shared" si="13"/>
        <v>229</v>
      </c>
      <c r="D34" s="14">
        <f t="shared" si="14"/>
        <v>240</v>
      </c>
      <c r="E34" s="15">
        <f t="shared" si="6"/>
        <v>3559938.0978454417</v>
      </c>
      <c r="F34" s="15">
        <f t="shared" si="0"/>
        <v>-330565.92152893671</v>
      </c>
      <c r="G34" s="15">
        <f t="shared" si="1"/>
        <v>255675.81979934606</v>
      </c>
      <c r="H34" s="15">
        <f t="shared" si="2"/>
        <v>3485047.9961158508</v>
      </c>
      <c r="J34" s="14">
        <f t="shared" si="15"/>
        <v>20</v>
      </c>
      <c r="K34" s="15">
        <f t="shared" si="16"/>
        <v>2260619.8628505897</v>
      </c>
      <c r="L34" s="15">
        <f t="shared" si="3"/>
        <v>-107648.56489764713</v>
      </c>
      <c r="M34" s="15">
        <f t="shared" si="7"/>
        <v>2152971.2979529426</v>
      </c>
      <c r="O34" s="15">
        <f t="shared" si="4"/>
        <v>107648.56489764713</v>
      </c>
      <c r="P34" s="15">
        <f t="shared" si="8"/>
        <v>255675.81979934606</v>
      </c>
      <c r="Q34" s="15">
        <f t="shared" si="9"/>
        <v>363324.38469699316</v>
      </c>
      <c r="S34" s="15">
        <f t="shared" si="5"/>
        <v>330565.92152893671</v>
      </c>
      <c r="T34" s="15">
        <f t="shared" si="10"/>
        <v>330565.92152893671</v>
      </c>
      <c r="V34" s="15">
        <f t="shared" si="11"/>
        <v>32758.463168056449</v>
      </c>
    </row>
    <row r="35" spans="2:22" x14ac:dyDescent="0.25">
      <c r="B35" s="14">
        <f t="shared" si="12"/>
        <v>21</v>
      </c>
      <c r="C35" s="14">
        <f t="shared" si="13"/>
        <v>241</v>
      </c>
      <c r="D35" s="14">
        <f t="shared" si="14"/>
        <v>252</v>
      </c>
      <c r="E35" s="15">
        <f t="shared" si="6"/>
        <v>3485047.9961158508</v>
      </c>
      <c r="F35" s="15">
        <f t="shared" si="0"/>
        <v>-330565.92152893671</v>
      </c>
      <c r="G35" s="15">
        <f t="shared" si="1"/>
        <v>250061.36003294488</v>
      </c>
      <c r="H35" s="15">
        <f t="shared" si="2"/>
        <v>3404543.4346198589</v>
      </c>
      <c r="J35" s="14">
        <f t="shared" si="15"/>
        <v>21</v>
      </c>
      <c r="K35" s="15">
        <f t="shared" si="16"/>
        <v>2152971.2979529426</v>
      </c>
      <c r="L35" s="15">
        <f t="shared" si="3"/>
        <v>-107648.56489764713</v>
      </c>
      <c r="M35" s="15">
        <f t="shared" si="7"/>
        <v>2045322.7330552954</v>
      </c>
      <c r="O35" s="15">
        <f t="shared" si="4"/>
        <v>107648.56489764713</v>
      </c>
      <c r="P35" s="15">
        <f t="shared" si="8"/>
        <v>250061.36003294488</v>
      </c>
      <c r="Q35" s="15">
        <f t="shared" si="9"/>
        <v>357709.92493059201</v>
      </c>
      <c r="S35" s="15">
        <f t="shared" si="5"/>
        <v>330565.92152893671</v>
      </c>
      <c r="T35" s="15">
        <f t="shared" si="10"/>
        <v>330565.92152893671</v>
      </c>
      <c r="V35" s="15">
        <f t="shared" si="11"/>
        <v>27144.003401655296</v>
      </c>
    </row>
    <row r="36" spans="2:22" x14ac:dyDescent="0.25">
      <c r="B36" s="14">
        <f t="shared" si="12"/>
        <v>22</v>
      </c>
      <c r="C36" s="14">
        <f t="shared" si="13"/>
        <v>253</v>
      </c>
      <c r="D36" s="14">
        <f t="shared" si="14"/>
        <v>264</v>
      </c>
      <c r="E36" s="15">
        <f t="shared" si="6"/>
        <v>3404543.4346198589</v>
      </c>
      <c r="F36" s="15">
        <f t="shared" si="0"/>
        <v>-330565.92152893671</v>
      </c>
      <c r="G36" s="15">
        <f t="shared" si="1"/>
        <v>244025.98805330676</v>
      </c>
      <c r="H36" s="15">
        <f t="shared" si="2"/>
        <v>3318003.501144229</v>
      </c>
      <c r="J36" s="14">
        <f t="shared" si="15"/>
        <v>22</v>
      </c>
      <c r="K36" s="15">
        <f t="shared" si="16"/>
        <v>2045322.7330552954</v>
      </c>
      <c r="L36" s="15">
        <f t="shared" si="3"/>
        <v>-107648.56489764713</v>
      </c>
      <c r="M36" s="15">
        <f t="shared" si="7"/>
        <v>1937674.1681576483</v>
      </c>
      <c r="O36" s="15">
        <f t="shared" si="4"/>
        <v>107648.56489764713</v>
      </c>
      <c r="P36" s="15">
        <f t="shared" si="8"/>
        <v>244025.98805330676</v>
      </c>
      <c r="Q36" s="15">
        <f t="shared" si="9"/>
        <v>351674.55295095389</v>
      </c>
      <c r="S36" s="15">
        <f t="shared" si="5"/>
        <v>330565.92152893671</v>
      </c>
      <c r="T36" s="15">
        <f t="shared" si="10"/>
        <v>330565.92152893671</v>
      </c>
      <c r="V36" s="15">
        <f t="shared" si="11"/>
        <v>21108.631422017177</v>
      </c>
    </row>
    <row r="37" spans="2:22" x14ac:dyDescent="0.25">
      <c r="B37" s="14">
        <f t="shared" si="12"/>
        <v>23</v>
      </c>
      <c r="C37" s="14">
        <f t="shared" si="13"/>
        <v>265</v>
      </c>
      <c r="D37" s="14">
        <f t="shared" si="14"/>
        <v>276</v>
      </c>
      <c r="E37" s="15">
        <f t="shared" si="6"/>
        <v>3318003.501144229</v>
      </c>
      <c r="F37" s="15">
        <f t="shared" si="0"/>
        <v>-330565.92152893671</v>
      </c>
      <c r="G37" s="15">
        <f t="shared" si="1"/>
        <v>237538.14835934649</v>
      </c>
      <c r="H37" s="15">
        <f t="shared" si="2"/>
        <v>3224975.7279746388</v>
      </c>
      <c r="J37" s="14">
        <f t="shared" si="15"/>
        <v>23</v>
      </c>
      <c r="K37" s="15">
        <f t="shared" si="16"/>
        <v>1937674.1681576483</v>
      </c>
      <c r="L37" s="15">
        <f t="shared" si="3"/>
        <v>-107648.56489764713</v>
      </c>
      <c r="M37" s="15">
        <f t="shared" si="7"/>
        <v>1830025.6032600012</v>
      </c>
      <c r="O37" s="15">
        <f t="shared" si="4"/>
        <v>107648.56489764713</v>
      </c>
      <c r="P37" s="15">
        <f t="shared" si="8"/>
        <v>237538.14835934649</v>
      </c>
      <c r="Q37" s="15">
        <f t="shared" si="9"/>
        <v>345186.71325699362</v>
      </c>
      <c r="S37" s="15">
        <f t="shared" si="5"/>
        <v>330565.92152893671</v>
      </c>
      <c r="T37" s="15">
        <f t="shared" si="10"/>
        <v>330565.92152893671</v>
      </c>
      <c r="V37" s="15">
        <f t="shared" si="11"/>
        <v>14620.791728056909</v>
      </c>
    </row>
    <row r="38" spans="2:22" x14ac:dyDescent="0.25">
      <c r="B38" s="14">
        <f t="shared" si="12"/>
        <v>24</v>
      </c>
      <c r="C38" s="14">
        <f t="shared" si="13"/>
        <v>277</v>
      </c>
      <c r="D38" s="14">
        <f t="shared" si="14"/>
        <v>288</v>
      </c>
      <c r="E38" s="15">
        <f t="shared" si="6"/>
        <v>3224975.7279746388</v>
      </c>
      <c r="F38" s="15">
        <f t="shared" si="0"/>
        <v>-330565.92152893671</v>
      </c>
      <c r="G38" s="15">
        <f t="shared" si="1"/>
        <v>230563.91975561919</v>
      </c>
      <c r="H38" s="15">
        <f t="shared" si="2"/>
        <v>3124973.726201321</v>
      </c>
      <c r="J38" s="14">
        <f t="shared" si="15"/>
        <v>24</v>
      </c>
      <c r="K38" s="15">
        <f t="shared" si="16"/>
        <v>1830025.6032600012</v>
      </c>
      <c r="L38" s="15">
        <f t="shared" si="3"/>
        <v>-107648.56489764713</v>
      </c>
      <c r="M38" s="15">
        <f t="shared" si="7"/>
        <v>1722377.038362354</v>
      </c>
      <c r="O38" s="15">
        <f t="shared" si="4"/>
        <v>107648.56489764713</v>
      </c>
      <c r="P38" s="15">
        <f t="shared" si="8"/>
        <v>230563.91975561919</v>
      </c>
      <c r="Q38" s="15">
        <f t="shared" si="9"/>
        <v>338212.48465326632</v>
      </c>
      <c r="S38" s="15">
        <f t="shared" si="5"/>
        <v>330565.92152893671</v>
      </c>
      <c r="T38" s="15">
        <f t="shared" si="10"/>
        <v>330565.92152893671</v>
      </c>
      <c r="V38" s="15">
        <f t="shared" si="11"/>
        <v>7646.5631243296084</v>
      </c>
    </row>
    <row r="39" spans="2:22" x14ac:dyDescent="0.25">
      <c r="B39" s="14">
        <f t="shared" si="12"/>
        <v>25</v>
      </c>
      <c r="C39" s="14">
        <f t="shared" si="13"/>
        <v>289</v>
      </c>
      <c r="D39" s="14">
        <f t="shared" si="14"/>
        <v>300</v>
      </c>
      <c r="E39" s="15">
        <f t="shared" si="6"/>
        <v>3124973.726201321</v>
      </c>
      <c r="F39" s="15">
        <f t="shared" si="0"/>
        <v>-330565.92152893671</v>
      </c>
      <c r="G39" s="15">
        <f t="shared" si="1"/>
        <v>223066.83799783024</v>
      </c>
      <c r="H39" s="15">
        <f t="shared" si="2"/>
        <v>3017474.6426702142</v>
      </c>
      <c r="J39" s="14">
        <f t="shared" si="15"/>
        <v>25</v>
      </c>
      <c r="K39" s="15">
        <f t="shared" si="16"/>
        <v>1722377.038362354</v>
      </c>
      <c r="L39" s="15">
        <f t="shared" si="3"/>
        <v>-107648.56489764713</v>
      </c>
      <c r="M39" s="15">
        <f t="shared" si="7"/>
        <v>1614728.4734647069</v>
      </c>
      <c r="O39" s="15">
        <f t="shared" si="4"/>
        <v>107648.56489764713</v>
      </c>
      <c r="P39" s="15">
        <f t="shared" si="8"/>
        <v>223066.83799783024</v>
      </c>
      <c r="Q39" s="15">
        <f t="shared" si="9"/>
        <v>330715.40289547737</v>
      </c>
      <c r="S39" s="15">
        <f t="shared" si="5"/>
        <v>330565.92152893671</v>
      </c>
      <c r="T39" s="15">
        <f t="shared" si="10"/>
        <v>330565.92152893671</v>
      </c>
      <c r="V39" s="15">
        <f t="shared" si="11"/>
        <v>149.48136654065456</v>
      </c>
    </row>
    <row r="40" spans="2:22" x14ac:dyDescent="0.25">
      <c r="B40" s="14">
        <f t="shared" si="12"/>
        <v>26</v>
      </c>
      <c r="C40" s="14">
        <f t="shared" si="13"/>
        <v>301</v>
      </c>
      <c r="D40" s="14">
        <f t="shared" si="14"/>
        <v>312</v>
      </c>
      <c r="E40" s="15">
        <f t="shared" si="6"/>
        <v>3017474.6426702142</v>
      </c>
      <c r="F40" s="15">
        <f t="shared" si="0"/>
        <v>-330565.92152893671</v>
      </c>
      <c r="G40" s="15">
        <f t="shared" si="1"/>
        <v>215007.70514220049</v>
      </c>
      <c r="H40" s="15">
        <f t="shared" si="2"/>
        <v>2901916.4262834778</v>
      </c>
      <c r="J40" s="14">
        <f t="shared" si="15"/>
        <v>26</v>
      </c>
      <c r="K40" s="15">
        <f t="shared" si="16"/>
        <v>1614728.4734647069</v>
      </c>
      <c r="L40" s="15">
        <f t="shared" si="3"/>
        <v>-107648.56489764713</v>
      </c>
      <c r="M40" s="15">
        <f t="shared" si="7"/>
        <v>1507079.9085670598</v>
      </c>
      <c r="O40" s="15">
        <f t="shared" si="4"/>
        <v>107648.56489764713</v>
      </c>
      <c r="P40" s="15">
        <f t="shared" si="8"/>
        <v>215007.70514220049</v>
      </c>
      <c r="Q40" s="15">
        <f t="shared" si="9"/>
        <v>322656.27003984759</v>
      </c>
      <c r="S40" s="15">
        <f t="shared" si="5"/>
        <v>330565.92152893671</v>
      </c>
      <c r="T40" s="15">
        <f t="shared" si="10"/>
        <v>330565.92152893671</v>
      </c>
      <c r="V40" s="15">
        <f t="shared" si="11"/>
        <v>-7909.6514890891267</v>
      </c>
    </row>
    <row r="41" spans="2:22" x14ac:dyDescent="0.25">
      <c r="B41" s="14">
        <f t="shared" si="12"/>
        <v>27</v>
      </c>
      <c r="C41" s="14">
        <f t="shared" si="13"/>
        <v>313</v>
      </c>
      <c r="D41" s="14">
        <f t="shared" si="14"/>
        <v>324</v>
      </c>
      <c r="E41" s="15">
        <f t="shared" si="6"/>
        <v>2901916.4262834778</v>
      </c>
      <c r="F41" s="15">
        <f t="shared" si="0"/>
        <v>-330565.92152893671</v>
      </c>
      <c r="G41" s="15">
        <f t="shared" si="1"/>
        <v>206344.38460188318</v>
      </c>
      <c r="H41" s="15">
        <f t="shared" si="2"/>
        <v>2777694.8893564241</v>
      </c>
      <c r="J41" s="14">
        <f t="shared" si="15"/>
        <v>27</v>
      </c>
      <c r="K41" s="15">
        <f t="shared" si="16"/>
        <v>1507079.9085670598</v>
      </c>
      <c r="L41" s="15">
        <f t="shared" si="3"/>
        <v>-107648.56489764713</v>
      </c>
      <c r="M41" s="15">
        <f t="shared" si="7"/>
        <v>1399431.3436694127</v>
      </c>
      <c r="O41" s="15">
        <f t="shared" si="4"/>
        <v>107648.56489764713</v>
      </c>
      <c r="P41" s="15">
        <f t="shared" si="8"/>
        <v>206344.38460188318</v>
      </c>
      <c r="Q41" s="15">
        <f t="shared" si="9"/>
        <v>313992.94949953031</v>
      </c>
      <c r="S41" s="15">
        <f t="shared" si="5"/>
        <v>330565.92152893671</v>
      </c>
      <c r="T41" s="15">
        <f t="shared" si="10"/>
        <v>330565.92152893671</v>
      </c>
      <c r="V41" s="15">
        <f t="shared" si="11"/>
        <v>-16572.972029406403</v>
      </c>
    </row>
    <row r="42" spans="2:22" x14ac:dyDescent="0.25">
      <c r="B42" s="14">
        <f t="shared" si="12"/>
        <v>28</v>
      </c>
      <c r="C42" s="14">
        <f t="shared" si="13"/>
        <v>325</v>
      </c>
      <c r="D42" s="14">
        <f t="shared" si="14"/>
        <v>336</v>
      </c>
      <c r="E42" s="15">
        <f t="shared" si="6"/>
        <v>2777694.8893564241</v>
      </c>
      <c r="F42" s="15">
        <f t="shared" si="0"/>
        <v>-330565.92152893671</v>
      </c>
      <c r="G42" s="15">
        <f t="shared" si="1"/>
        <v>197031.58083890087</v>
      </c>
      <c r="H42" s="15">
        <f t="shared" si="2"/>
        <v>2644160.5486663883</v>
      </c>
      <c r="J42" s="14">
        <f t="shared" si="15"/>
        <v>28</v>
      </c>
      <c r="K42" s="15">
        <f t="shared" si="16"/>
        <v>1399431.3436694127</v>
      </c>
      <c r="L42" s="15">
        <f t="shared" si="3"/>
        <v>-107648.56489764713</v>
      </c>
      <c r="M42" s="15">
        <f t="shared" si="7"/>
        <v>1291782.7787717655</v>
      </c>
      <c r="O42" s="15">
        <f t="shared" si="4"/>
        <v>107648.56489764713</v>
      </c>
      <c r="P42" s="15">
        <f t="shared" si="8"/>
        <v>197031.58083890087</v>
      </c>
      <c r="Q42" s="15">
        <f t="shared" si="9"/>
        <v>304680.145736548</v>
      </c>
      <c r="S42" s="15">
        <f t="shared" si="5"/>
        <v>330565.92152893671</v>
      </c>
      <c r="T42" s="15">
        <f t="shared" si="10"/>
        <v>330565.92152893671</v>
      </c>
      <c r="V42" s="15">
        <f t="shared" si="11"/>
        <v>-25885.775792388711</v>
      </c>
    </row>
    <row r="43" spans="2:22" x14ac:dyDescent="0.25">
      <c r="B43" s="14">
        <f t="shared" si="12"/>
        <v>29</v>
      </c>
      <c r="C43" s="14">
        <f t="shared" si="13"/>
        <v>337</v>
      </c>
      <c r="D43" s="14">
        <f t="shared" si="14"/>
        <v>348</v>
      </c>
      <c r="E43" s="15">
        <f t="shared" si="6"/>
        <v>2644160.5486663883</v>
      </c>
      <c r="F43" s="15">
        <f t="shared" si="0"/>
        <v>-330565.92152893671</v>
      </c>
      <c r="G43" s="15">
        <f t="shared" si="1"/>
        <v>187020.60253973689</v>
      </c>
      <c r="H43" s="15">
        <f t="shared" si="2"/>
        <v>2500615.2296771882</v>
      </c>
      <c r="J43" s="14">
        <f t="shared" si="15"/>
        <v>29</v>
      </c>
      <c r="K43" s="15">
        <f t="shared" si="16"/>
        <v>1291782.7787717655</v>
      </c>
      <c r="L43" s="15">
        <f t="shared" si="3"/>
        <v>-107648.56489764713</v>
      </c>
      <c r="M43" s="15">
        <f t="shared" si="7"/>
        <v>1184134.2138741184</v>
      </c>
      <c r="O43" s="15">
        <f t="shared" si="4"/>
        <v>107648.56489764713</v>
      </c>
      <c r="P43" s="15">
        <f t="shared" si="8"/>
        <v>187020.60253973689</v>
      </c>
      <c r="Q43" s="15">
        <f t="shared" si="9"/>
        <v>294669.16743738402</v>
      </c>
      <c r="S43" s="15">
        <f t="shared" si="5"/>
        <v>330565.92152893671</v>
      </c>
      <c r="T43" s="15">
        <f t="shared" si="10"/>
        <v>330565.92152893671</v>
      </c>
      <c r="V43" s="15">
        <f t="shared" si="11"/>
        <v>-35896.754091552692</v>
      </c>
    </row>
    <row r="44" spans="2:22" x14ac:dyDescent="0.25">
      <c r="B44" s="14">
        <f t="shared" si="12"/>
        <v>30</v>
      </c>
      <c r="C44" s="14">
        <f t="shared" si="13"/>
        <v>349</v>
      </c>
      <c r="D44" s="14">
        <f t="shared" si="14"/>
        <v>360</v>
      </c>
      <c r="E44" s="15">
        <f t="shared" si="6"/>
        <v>2500615.2296771882</v>
      </c>
      <c r="F44" s="15">
        <f t="shared" si="0"/>
        <v>-330565.92152893671</v>
      </c>
      <c r="G44" s="15">
        <f t="shared" si="1"/>
        <v>176259.10803636315</v>
      </c>
      <c r="H44" s="15">
        <f t="shared" si="2"/>
        <v>2346308.4161846144</v>
      </c>
      <c r="J44" s="14">
        <f t="shared" si="15"/>
        <v>30</v>
      </c>
      <c r="K44" s="15">
        <f t="shared" si="16"/>
        <v>1184134.2138741184</v>
      </c>
      <c r="L44" s="15">
        <f t="shared" si="3"/>
        <v>-107648.56489764713</v>
      </c>
      <c r="M44" s="15">
        <f t="shared" si="7"/>
        <v>1076485.6489764713</v>
      </c>
      <c r="O44" s="15">
        <f t="shared" si="4"/>
        <v>107648.56489764713</v>
      </c>
      <c r="P44" s="15">
        <f t="shared" si="8"/>
        <v>176259.10803636315</v>
      </c>
      <c r="Q44" s="15">
        <f t="shared" si="9"/>
        <v>283907.67293401028</v>
      </c>
      <c r="S44" s="15">
        <f t="shared" si="5"/>
        <v>330565.92152893671</v>
      </c>
      <c r="T44" s="15">
        <f t="shared" si="10"/>
        <v>330565.92152893671</v>
      </c>
      <c r="V44" s="15">
        <f t="shared" si="11"/>
        <v>-46658.248594926437</v>
      </c>
    </row>
    <row r="45" spans="2:22" x14ac:dyDescent="0.25">
      <c r="B45" s="14">
        <f t="shared" si="12"/>
        <v>31</v>
      </c>
      <c r="C45" s="14">
        <f t="shared" si="13"/>
        <v>361</v>
      </c>
      <c r="D45" s="14">
        <f t="shared" si="14"/>
        <v>372</v>
      </c>
      <c r="E45" s="15">
        <f t="shared" si="6"/>
        <v>2346308.4161846144</v>
      </c>
      <c r="F45" s="15">
        <f t="shared" si="0"/>
        <v>-330565.92152893671</v>
      </c>
      <c r="G45" s="15">
        <f t="shared" si="1"/>
        <v>164690.83164165623</v>
      </c>
      <c r="H45" s="15">
        <f t="shared" si="2"/>
        <v>2180433.3262973339</v>
      </c>
      <c r="J45" s="14">
        <f t="shared" si="15"/>
        <v>31</v>
      </c>
      <c r="K45" s="15">
        <f t="shared" si="16"/>
        <v>1076485.6489764713</v>
      </c>
      <c r="L45" s="15">
        <f t="shared" si="3"/>
        <v>-107648.56489764713</v>
      </c>
      <c r="M45" s="15">
        <f t="shared" si="7"/>
        <v>968837.08407882415</v>
      </c>
      <c r="O45" s="15">
        <f t="shared" si="4"/>
        <v>107648.56489764713</v>
      </c>
      <c r="P45" s="15">
        <f t="shared" si="8"/>
        <v>164690.83164165623</v>
      </c>
      <c r="Q45" s="15">
        <f t="shared" si="9"/>
        <v>272339.39653930336</v>
      </c>
      <c r="S45" s="15">
        <f t="shared" si="5"/>
        <v>330565.92152893671</v>
      </c>
      <c r="T45" s="15">
        <f t="shared" si="10"/>
        <v>330565.92152893671</v>
      </c>
      <c r="V45" s="15">
        <f t="shared" si="11"/>
        <v>-58226.524989633355</v>
      </c>
    </row>
    <row r="46" spans="2:22" x14ac:dyDescent="0.25">
      <c r="B46" s="14">
        <f t="shared" si="12"/>
        <v>32</v>
      </c>
      <c r="C46" s="14">
        <f t="shared" si="13"/>
        <v>373</v>
      </c>
      <c r="D46" s="14">
        <f t="shared" si="14"/>
        <v>384</v>
      </c>
      <c r="E46" s="15">
        <f t="shared" si="6"/>
        <v>2180433.3262973339</v>
      </c>
      <c r="F46" s="15">
        <f t="shared" si="0"/>
        <v>-330565.92152893671</v>
      </c>
      <c r="G46" s="15">
        <f t="shared" si="1"/>
        <v>152255.28946836601</v>
      </c>
      <c r="H46" s="15">
        <f t="shared" si="2"/>
        <v>2002122.6942367631</v>
      </c>
      <c r="J46" s="14">
        <f t="shared" si="15"/>
        <v>32</v>
      </c>
      <c r="K46" s="15">
        <f t="shared" si="16"/>
        <v>968837.08407882415</v>
      </c>
      <c r="L46" s="15">
        <f t="shared" si="3"/>
        <v>-107648.56489764713</v>
      </c>
      <c r="M46" s="15">
        <f t="shared" si="7"/>
        <v>861188.51918117702</v>
      </c>
      <c r="O46" s="15">
        <f t="shared" si="4"/>
        <v>107648.56489764713</v>
      </c>
      <c r="P46" s="15">
        <f t="shared" si="8"/>
        <v>152255.28946836601</v>
      </c>
      <c r="Q46" s="15">
        <f t="shared" si="9"/>
        <v>259903.85436601314</v>
      </c>
      <c r="S46" s="15">
        <f t="shared" si="5"/>
        <v>330565.92152893671</v>
      </c>
      <c r="T46" s="15">
        <f t="shared" si="10"/>
        <v>330565.92152893671</v>
      </c>
      <c r="V46" s="15">
        <f t="shared" si="11"/>
        <v>-70662.067162923573</v>
      </c>
    </row>
    <row r="47" spans="2:22" s="16" customFormat="1" x14ac:dyDescent="0.25">
      <c r="B47" s="14">
        <f t="shared" si="12"/>
        <v>33</v>
      </c>
      <c r="C47" s="14">
        <f t="shared" si="13"/>
        <v>385</v>
      </c>
      <c r="D47" s="14">
        <f t="shared" si="14"/>
        <v>396</v>
      </c>
      <c r="E47" s="15">
        <f t="shared" si="6"/>
        <v>2002122.6942367631</v>
      </c>
      <c r="F47" s="15">
        <f t="shared" si="0"/>
        <v>-330565.92152893671</v>
      </c>
      <c r="G47" s="15">
        <f t="shared" si="1"/>
        <v>138887.46319353432</v>
      </c>
      <c r="H47" s="15">
        <f t="shared" si="2"/>
        <v>1810444.2359013609</v>
      </c>
      <c r="I47" s="9"/>
      <c r="J47" s="14">
        <f t="shared" si="15"/>
        <v>33</v>
      </c>
      <c r="K47" s="15">
        <f t="shared" si="16"/>
        <v>861188.51918117702</v>
      </c>
      <c r="L47" s="15">
        <f t="shared" si="3"/>
        <v>-107648.56489764713</v>
      </c>
      <c r="M47" s="15">
        <f t="shared" si="7"/>
        <v>753539.95428352989</v>
      </c>
      <c r="N47" s="9"/>
      <c r="O47" s="15">
        <f t="shared" si="4"/>
        <v>107648.56489764713</v>
      </c>
      <c r="P47" s="15">
        <f t="shared" si="8"/>
        <v>138887.46319353432</v>
      </c>
      <c r="Q47" s="15">
        <f t="shared" si="9"/>
        <v>246536.02809118145</v>
      </c>
      <c r="S47" s="15">
        <f t="shared" si="5"/>
        <v>330565.92152893671</v>
      </c>
      <c r="T47" s="15">
        <f t="shared" si="10"/>
        <v>330565.92152893671</v>
      </c>
      <c r="V47" s="15">
        <f t="shared" si="11"/>
        <v>-84029.893437755265</v>
      </c>
    </row>
    <row r="48" spans="2:22" s="16" customFormat="1" x14ac:dyDescent="0.25">
      <c r="B48" s="14">
        <f t="shared" si="12"/>
        <v>34</v>
      </c>
      <c r="C48" s="14">
        <f t="shared" si="13"/>
        <v>397</v>
      </c>
      <c r="D48" s="14">
        <f t="shared" si="14"/>
        <v>408</v>
      </c>
      <c r="E48" s="15">
        <f t="shared" si="6"/>
        <v>1810444.2359013609</v>
      </c>
      <c r="F48" s="15">
        <f t="shared" si="0"/>
        <v>-330565.92152893671</v>
      </c>
      <c r="G48" s="15">
        <f t="shared" si="1"/>
        <v>124517.46011494714</v>
      </c>
      <c r="H48" s="15">
        <f t="shared" si="2"/>
        <v>1604395.7744873711</v>
      </c>
      <c r="I48" s="9"/>
      <c r="J48" s="14">
        <f t="shared" si="15"/>
        <v>34</v>
      </c>
      <c r="K48" s="15">
        <f t="shared" si="16"/>
        <v>753539.95428352989</v>
      </c>
      <c r="L48" s="15">
        <f t="shared" si="3"/>
        <v>-107648.56489764713</v>
      </c>
      <c r="M48" s="15">
        <f t="shared" si="7"/>
        <v>645891.38938588277</v>
      </c>
      <c r="N48" s="9"/>
      <c r="O48" s="15">
        <f t="shared" si="4"/>
        <v>107648.56489764713</v>
      </c>
      <c r="P48" s="15">
        <f t="shared" si="8"/>
        <v>124517.46011494714</v>
      </c>
      <c r="Q48" s="15">
        <f t="shared" si="9"/>
        <v>232166.02501259427</v>
      </c>
      <c r="S48" s="15">
        <f t="shared" si="5"/>
        <v>330565.92152893671</v>
      </c>
      <c r="T48" s="15">
        <f t="shared" si="10"/>
        <v>330565.92152893671</v>
      </c>
      <c r="V48" s="15">
        <f t="shared" si="11"/>
        <v>-98399.896516342444</v>
      </c>
    </row>
    <row r="49" spans="2:22" s="16" customFormat="1" x14ac:dyDescent="0.25">
      <c r="B49" s="14">
        <f t="shared" si="12"/>
        <v>35</v>
      </c>
      <c r="C49" s="14">
        <f t="shared" si="13"/>
        <v>409</v>
      </c>
      <c r="D49" s="14">
        <f t="shared" si="14"/>
        <v>420</v>
      </c>
      <c r="E49" s="15">
        <f t="shared" si="6"/>
        <v>1604395.7744873711</v>
      </c>
      <c r="F49" s="15">
        <f t="shared" si="0"/>
        <v>-330565.92152893671</v>
      </c>
      <c r="G49" s="15">
        <f t="shared" si="1"/>
        <v>109070.14772225192</v>
      </c>
      <c r="H49" s="15">
        <f t="shared" si="2"/>
        <v>1382900.0006806862</v>
      </c>
      <c r="I49" s="9"/>
      <c r="J49" s="14">
        <f t="shared" si="15"/>
        <v>35</v>
      </c>
      <c r="K49" s="15">
        <f t="shared" si="16"/>
        <v>645891.38938588277</v>
      </c>
      <c r="L49" s="15">
        <f t="shared" si="3"/>
        <v>-107648.56489764713</v>
      </c>
      <c r="M49" s="15">
        <f t="shared" si="7"/>
        <v>538242.82448823564</v>
      </c>
      <c r="N49" s="9"/>
      <c r="O49" s="15">
        <f t="shared" si="4"/>
        <v>107648.56489764713</v>
      </c>
      <c r="P49" s="15">
        <f t="shared" si="8"/>
        <v>109070.14772225192</v>
      </c>
      <c r="Q49" s="15">
        <f t="shared" si="9"/>
        <v>216718.71261989904</v>
      </c>
      <c r="S49" s="15">
        <f t="shared" si="5"/>
        <v>330565.92152893671</v>
      </c>
      <c r="T49" s="15">
        <f t="shared" si="10"/>
        <v>330565.92152893671</v>
      </c>
      <c r="V49" s="15">
        <f t="shared" si="11"/>
        <v>-113847.20890903767</v>
      </c>
    </row>
    <row r="50" spans="2:22" s="16" customFormat="1" x14ac:dyDescent="0.25">
      <c r="B50" s="14">
        <f t="shared" si="12"/>
        <v>36</v>
      </c>
      <c r="C50" s="14">
        <f t="shared" si="13"/>
        <v>421</v>
      </c>
      <c r="D50" s="14">
        <f t="shared" si="14"/>
        <v>432</v>
      </c>
      <c r="E50" s="15">
        <f t="shared" si="6"/>
        <v>1382900.0006806862</v>
      </c>
      <c r="F50" s="15">
        <f t="shared" si="0"/>
        <v>-330565.92152893671</v>
      </c>
      <c r="G50" s="15">
        <f t="shared" si="1"/>
        <v>92464.760872120736</v>
      </c>
      <c r="H50" s="15">
        <f t="shared" si="2"/>
        <v>1144798.8400238703</v>
      </c>
      <c r="I50" s="9"/>
      <c r="J50" s="14">
        <f t="shared" si="15"/>
        <v>36</v>
      </c>
      <c r="K50" s="15">
        <f t="shared" si="16"/>
        <v>538242.82448823564</v>
      </c>
      <c r="L50" s="15">
        <f t="shared" si="3"/>
        <v>-107648.56489764713</v>
      </c>
      <c r="M50" s="15">
        <f t="shared" si="7"/>
        <v>430594.25959058851</v>
      </c>
      <c r="N50" s="9"/>
      <c r="O50" s="15">
        <f t="shared" si="4"/>
        <v>107648.56489764713</v>
      </c>
      <c r="P50" s="15">
        <f t="shared" si="8"/>
        <v>92464.760872120736</v>
      </c>
      <c r="Q50" s="15">
        <f t="shared" si="9"/>
        <v>200113.32576976786</v>
      </c>
      <c r="S50" s="15">
        <f t="shared" si="5"/>
        <v>330565.92152893671</v>
      </c>
      <c r="T50" s="15">
        <f t="shared" si="10"/>
        <v>330565.92152893671</v>
      </c>
      <c r="V50" s="15">
        <f t="shared" si="11"/>
        <v>-130452.59575916885</v>
      </c>
    </row>
    <row r="51" spans="2:22" s="16" customFormat="1" x14ac:dyDescent="0.25">
      <c r="B51" s="14">
        <f t="shared" si="12"/>
        <v>37</v>
      </c>
      <c r="C51" s="14">
        <f t="shared" si="13"/>
        <v>433</v>
      </c>
      <c r="D51" s="14">
        <f t="shared" si="14"/>
        <v>444</v>
      </c>
      <c r="E51" s="15">
        <f t="shared" si="6"/>
        <v>1144798.8400238703</v>
      </c>
      <c r="F51" s="15">
        <f t="shared" si="0"/>
        <v>-330565.92152893671</v>
      </c>
      <c r="G51" s="15">
        <f t="shared" si="1"/>
        <v>74614.479513604194</v>
      </c>
      <c r="H51" s="15">
        <f t="shared" si="2"/>
        <v>888847.39800853783</v>
      </c>
      <c r="I51" s="9"/>
      <c r="J51" s="14">
        <f t="shared" si="15"/>
        <v>37</v>
      </c>
      <c r="K51" s="15">
        <f t="shared" si="16"/>
        <v>430594.25959058851</v>
      </c>
      <c r="L51" s="15">
        <f t="shared" si="3"/>
        <v>-107648.56489764713</v>
      </c>
      <c r="M51" s="15">
        <f t="shared" si="7"/>
        <v>322945.69469294138</v>
      </c>
      <c r="N51" s="9"/>
      <c r="O51" s="15">
        <f t="shared" si="4"/>
        <v>107648.56489764713</v>
      </c>
      <c r="P51" s="15">
        <f t="shared" si="8"/>
        <v>74614.479513604194</v>
      </c>
      <c r="Q51" s="15">
        <f t="shared" si="9"/>
        <v>182263.04441125132</v>
      </c>
      <c r="S51" s="15">
        <f t="shared" si="5"/>
        <v>330565.92152893671</v>
      </c>
      <c r="T51" s="15">
        <f t="shared" si="10"/>
        <v>330565.92152893671</v>
      </c>
      <c r="V51" s="15">
        <f t="shared" si="11"/>
        <v>-148302.87711768539</v>
      </c>
    </row>
    <row r="52" spans="2:22" s="16" customFormat="1" x14ac:dyDescent="0.25">
      <c r="B52" s="14">
        <f t="shared" si="12"/>
        <v>38</v>
      </c>
      <c r="C52" s="14">
        <f t="shared" si="13"/>
        <v>445</v>
      </c>
      <c r="D52" s="14">
        <f t="shared" si="14"/>
        <v>456</v>
      </c>
      <c r="E52" s="15">
        <f t="shared" si="6"/>
        <v>888847.39800853783</v>
      </c>
      <c r="F52" s="15">
        <f t="shared" si="0"/>
        <v>-330565.92152893671</v>
      </c>
      <c r="G52" s="15">
        <f t="shared" si="1"/>
        <v>55425.974755843228</v>
      </c>
      <c r="H52" s="15">
        <f t="shared" si="2"/>
        <v>613707.45123544428</v>
      </c>
      <c r="I52" s="9"/>
      <c r="J52" s="14">
        <f t="shared" si="15"/>
        <v>38</v>
      </c>
      <c r="K52" s="15">
        <f t="shared" si="16"/>
        <v>322945.69469294138</v>
      </c>
      <c r="L52" s="15">
        <f t="shared" si="3"/>
        <v>-107648.56489764713</v>
      </c>
      <c r="M52" s="15">
        <f t="shared" si="7"/>
        <v>215297.12979529426</v>
      </c>
      <c r="N52" s="9"/>
      <c r="O52" s="15">
        <f t="shared" si="4"/>
        <v>107648.56489764713</v>
      </c>
      <c r="P52" s="15">
        <f t="shared" si="8"/>
        <v>55425.974755843228</v>
      </c>
      <c r="Q52" s="15">
        <f t="shared" si="9"/>
        <v>163074.53965349036</v>
      </c>
      <c r="S52" s="15">
        <f t="shared" si="5"/>
        <v>330565.92152893671</v>
      </c>
      <c r="T52" s="15">
        <f t="shared" si="10"/>
        <v>330565.92152893671</v>
      </c>
      <c r="V52" s="15">
        <f t="shared" si="11"/>
        <v>-167491.38187544636</v>
      </c>
    </row>
    <row r="53" spans="2:22" s="16" customFormat="1" x14ac:dyDescent="0.25">
      <c r="B53" s="14">
        <f t="shared" si="12"/>
        <v>39</v>
      </c>
      <c r="C53" s="14">
        <f t="shared" si="13"/>
        <v>457</v>
      </c>
      <c r="D53" s="14">
        <f t="shared" si="14"/>
        <v>468</v>
      </c>
      <c r="E53" s="15">
        <f t="shared" si="6"/>
        <v>613707.45123544428</v>
      </c>
      <c r="F53" s="15">
        <f t="shared" si="0"/>
        <v>-330565.92152893671</v>
      </c>
      <c r="G53" s="15">
        <f t="shared" si="1"/>
        <v>34798.920904787665</v>
      </c>
      <c r="H53" s="15">
        <f t="shared" si="2"/>
        <v>317940.45061129524</v>
      </c>
      <c r="I53" s="9"/>
      <c r="J53" s="14">
        <f t="shared" si="15"/>
        <v>39</v>
      </c>
      <c r="K53" s="15">
        <f t="shared" si="16"/>
        <v>215297.12979529426</v>
      </c>
      <c r="L53" s="15">
        <f t="shared" si="3"/>
        <v>-107648.56489764713</v>
      </c>
      <c r="M53" s="15">
        <f t="shared" si="7"/>
        <v>107648.56489764713</v>
      </c>
      <c r="N53" s="9"/>
      <c r="O53" s="15">
        <f t="shared" si="4"/>
        <v>107648.56489764713</v>
      </c>
      <c r="P53" s="15">
        <f t="shared" si="8"/>
        <v>34798.920904787665</v>
      </c>
      <c r="Q53" s="15">
        <f t="shared" si="9"/>
        <v>142447.48580243479</v>
      </c>
      <c r="S53" s="15">
        <f t="shared" si="5"/>
        <v>330565.92152893671</v>
      </c>
      <c r="T53" s="15">
        <f t="shared" si="10"/>
        <v>330565.92152893671</v>
      </c>
      <c r="V53" s="15">
        <f t="shared" si="11"/>
        <v>-188118.43572650192</v>
      </c>
    </row>
    <row r="54" spans="2:22" s="16" customFormat="1" x14ac:dyDescent="0.25">
      <c r="B54" s="14">
        <f t="shared" si="12"/>
        <v>40</v>
      </c>
      <c r="C54" s="14">
        <f t="shared" si="13"/>
        <v>469</v>
      </c>
      <c r="D54" s="14">
        <f t="shared" si="14"/>
        <v>480</v>
      </c>
      <c r="E54" s="15">
        <f t="shared" si="6"/>
        <v>317940.45061129524</v>
      </c>
      <c r="F54" s="15">
        <f t="shared" si="0"/>
        <v>-330565.92152893671</v>
      </c>
      <c r="G54" s="15">
        <f t="shared" si="1"/>
        <v>12625.470917640487</v>
      </c>
      <c r="H54" s="15">
        <f t="shared" si="2"/>
        <v>-9.8953023552894592E-10</v>
      </c>
      <c r="I54" s="9"/>
      <c r="J54" s="14">
        <f t="shared" si="15"/>
        <v>40</v>
      </c>
      <c r="K54" s="15">
        <f t="shared" si="16"/>
        <v>107648.56489764713</v>
      </c>
      <c r="L54" s="15">
        <f t="shared" si="3"/>
        <v>-107648.56489764713</v>
      </c>
      <c r="M54" s="15">
        <f t="shared" si="7"/>
        <v>0</v>
      </c>
      <c r="N54" s="9"/>
      <c r="O54" s="15">
        <f t="shared" si="4"/>
        <v>107648.56489764713</v>
      </c>
      <c r="P54" s="15">
        <f t="shared" si="8"/>
        <v>12625.470917640487</v>
      </c>
      <c r="Q54" s="15">
        <f t="shared" si="9"/>
        <v>120274.03581528761</v>
      </c>
      <c r="S54" s="15">
        <f t="shared" si="5"/>
        <v>330565.92152893671</v>
      </c>
      <c r="T54" s="15">
        <f t="shared" si="10"/>
        <v>330565.92152893671</v>
      </c>
      <c r="V54" s="15">
        <f t="shared" si="11"/>
        <v>-210291.8857136491</v>
      </c>
    </row>
    <row r="55" spans="2:22" s="16" customFormat="1" x14ac:dyDescent="0.25">
      <c r="H55" s="17"/>
      <c r="I55" s="9"/>
      <c r="J55" s="9"/>
      <c r="K55" s="9"/>
      <c r="L55" s="9"/>
      <c r="M55" s="9"/>
      <c r="N55" s="9"/>
      <c r="V55" s="145">
        <f>SUM(V15:V54)</f>
        <v>5.1222741603851318E-9</v>
      </c>
    </row>
    <row r="56" spans="2:22" s="16" customFormat="1" x14ac:dyDescent="0.25">
      <c r="I56" s="9"/>
      <c r="J56" s="9"/>
      <c r="K56" s="9"/>
      <c r="L56" s="9"/>
      <c r="M56" s="9"/>
      <c r="N56" s="9"/>
      <c r="V56" s="9"/>
    </row>
    <row r="57" spans="2:22" s="16" customFormat="1" x14ac:dyDescent="0.25">
      <c r="I57" s="9"/>
      <c r="J57" s="9"/>
      <c r="K57" s="9"/>
      <c r="L57" s="9"/>
      <c r="M57" s="9"/>
      <c r="N57" s="9"/>
      <c r="V57" s="9"/>
    </row>
    <row r="58" spans="2:22" s="16" customFormat="1" x14ac:dyDescent="0.25">
      <c r="I58" s="9"/>
      <c r="J58" s="9"/>
      <c r="K58" s="9"/>
      <c r="L58" s="9"/>
      <c r="M58" s="9"/>
      <c r="N58" s="9"/>
      <c r="V58" s="9"/>
    </row>
    <row r="59" spans="2:22" s="16" customFormat="1" x14ac:dyDescent="0.25">
      <c r="I59" s="9"/>
      <c r="J59" s="9"/>
      <c r="K59" s="9"/>
      <c r="L59" s="9"/>
      <c r="M59" s="9"/>
      <c r="N59" s="9"/>
      <c r="V59" s="9"/>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7404F-1ADF-441A-AFA4-7AC4B31D7528}">
  <dimension ref="A11:G53"/>
  <sheetViews>
    <sheetView showGridLines="0" topLeftCell="A4" zoomScale="85" zoomScaleNormal="85" workbookViewId="0">
      <selection activeCell="G25" sqref="G25"/>
    </sheetView>
  </sheetViews>
  <sheetFormatPr defaultColWidth="8.88671875" defaultRowHeight="14.4" x14ac:dyDescent="0.3"/>
  <cols>
    <col min="1" max="1" width="61.109375" style="22" customWidth="1"/>
    <col min="2" max="3" width="16.33203125" style="22" customWidth="1"/>
    <col min="4" max="4" width="20.6640625" style="22" bestFit="1" customWidth="1"/>
    <col min="5" max="6" width="20.6640625" style="22" customWidth="1"/>
    <col min="7" max="7" width="19.5546875" style="22" customWidth="1"/>
    <col min="8" max="16384" width="8.88671875" style="22"/>
  </cols>
  <sheetData>
    <row r="11" spans="1:7" ht="15.6" x14ac:dyDescent="0.3">
      <c r="A11" s="96" t="s">
        <v>96</v>
      </c>
    </row>
    <row r="12" spans="1:7" ht="15.6" x14ac:dyDescent="0.3">
      <c r="A12" s="96"/>
    </row>
    <row r="13" spans="1:7" x14ac:dyDescent="0.3">
      <c r="C13" s="97" t="s">
        <v>97</v>
      </c>
      <c r="D13" s="146" t="s">
        <v>98</v>
      </c>
      <c r="E13" s="146"/>
      <c r="F13" s="146"/>
      <c r="G13" s="146"/>
    </row>
    <row r="14" spans="1:7" x14ac:dyDescent="0.3">
      <c r="C14" s="98" t="s">
        <v>99</v>
      </c>
      <c r="D14" s="147" t="s">
        <v>100</v>
      </c>
      <c r="E14" s="147"/>
      <c r="F14" s="147"/>
      <c r="G14" s="147"/>
    </row>
    <row r="15" spans="1:7" x14ac:dyDescent="0.3">
      <c r="C15" s="98">
        <f>'[2]1. Information Sheet'!F34</f>
        <v>2019</v>
      </c>
      <c r="D15" s="147">
        <f>C15+1</f>
        <v>2020</v>
      </c>
      <c r="E15" s="147"/>
      <c r="F15" s="147"/>
      <c r="G15" s="147"/>
    </row>
    <row r="16" spans="1:7" ht="15" customHeight="1" x14ac:dyDescent="0.3">
      <c r="A16" s="99" t="s">
        <v>101</v>
      </c>
      <c r="B16" s="149"/>
      <c r="C16" s="111"/>
      <c r="D16" s="111">
        <v>17976000</v>
      </c>
    </row>
    <row r="17" spans="1:7" x14ac:dyDescent="0.3">
      <c r="A17" s="99"/>
      <c r="B17" s="149"/>
    </row>
    <row r="18" spans="1:7" x14ac:dyDescent="0.3">
      <c r="A18" s="99" t="s">
        <v>102</v>
      </c>
      <c r="B18" s="149"/>
      <c r="C18" s="100"/>
      <c r="D18" s="101">
        <v>6155871.7803332983</v>
      </c>
    </row>
    <row r="19" spans="1:7" x14ac:dyDescent="0.3">
      <c r="A19" s="102"/>
      <c r="B19" s="149"/>
    </row>
    <row r="20" spans="1:7" ht="28.8" x14ac:dyDescent="0.3">
      <c r="A20" s="103" t="s">
        <v>103</v>
      </c>
      <c r="B20" s="99"/>
      <c r="C20" s="104"/>
      <c r="D20" s="105">
        <f>IF(D18&gt;D16,0,D16-D18)</f>
        <v>11820128.219666701</v>
      </c>
    </row>
    <row r="21" spans="1:7" x14ac:dyDescent="0.3">
      <c r="A21" s="103"/>
      <c r="B21" s="99"/>
      <c r="C21" s="104"/>
      <c r="D21" s="106"/>
    </row>
    <row r="22" spans="1:7" x14ac:dyDescent="0.3">
      <c r="A22" s="102"/>
      <c r="B22" s="102"/>
      <c r="C22" s="98" t="s">
        <v>99</v>
      </c>
      <c r="D22" s="150" t="s">
        <v>100</v>
      </c>
      <c r="E22" s="150"/>
      <c r="F22" s="150"/>
      <c r="G22" s="150"/>
    </row>
    <row r="23" spans="1:7" x14ac:dyDescent="0.3">
      <c r="A23" s="102"/>
      <c r="B23" s="102"/>
      <c r="C23" s="107">
        <f>C15</f>
        <v>2019</v>
      </c>
      <c r="D23" s="147">
        <f>D15</f>
        <v>2020</v>
      </c>
      <c r="E23" s="147"/>
      <c r="F23" s="147"/>
      <c r="G23" s="147"/>
    </row>
    <row r="24" spans="1:7" x14ac:dyDescent="0.3">
      <c r="A24" s="102" t="s">
        <v>104</v>
      </c>
      <c r="B24" s="98" t="s">
        <v>105</v>
      </c>
      <c r="C24" s="98"/>
      <c r="D24" s="108" t="s">
        <v>106</v>
      </c>
      <c r="E24" s="98" t="s">
        <v>62</v>
      </c>
      <c r="F24" s="98" t="s">
        <v>112</v>
      </c>
      <c r="G24" s="98" t="s">
        <v>148</v>
      </c>
    </row>
    <row r="25" spans="1:7" x14ac:dyDescent="0.3">
      <c r="A25" s="112" t="s">
        <v>107</v>
      </c>
      <c r="B25" s="109" t="s">
        <v>108</v>
      </c>
      <c r="C25" s="100"/>
      <c r="D25" s="111">
        <f>'ROU Asset Schedules'!F8</f>
        <v>4305942.5959058851</v>
      </c>
      <c r="E25" s="111">
        <f>'ROU Asset Schedules'!F10</f>
        <v>107648.56489764713</v>
      </c>
      <c r="F25" s="111">
        <f>'ROU Asset Schedules'!G15</f>
        <v>311603.26739499718</v>
      </c>
      <c r="G25" s="111">
        <f>'ROU Asset Schedules'!F6</f>
        <v>330565.92152893671</v>
      </c>
    </row>
    <row r="26" spans="1:7" x14ac:dyDescent="0.3">
      <c r="A26" s="113"/>
      <c r="B26" s="109"/>
      <c r="C26" s="100"/>
      <c r="D26" s="111"/>
      <c r="E26" s="111"/>
      <c r="F26" s="111"/>
      <c r="G26" s="111"/>
    </row>
    <row r="27" spans="1:7" x14ac:dyDescent="0.3">
      <c r="A27" s="113"/>
      <c r="B27" s="109"/>
      <c r="C27" s="100"/>
      <c r="D27" s="111"/>
      <c r="E27" s="111"/>
      <c r="F27" s="111"/>
      <c r="G27" s="111"/>
    </row>
    <row r="28" spans="1:7" x14ac:dyDescent="0.3">
      <c r="A28" s="113"/>
      <c r="B28" s="109"/>
      <c r="C28" s="100"/>
      <c r="D28" s="111"/>
      <c r="E28" s="111"/>
      <c r="F28" s="111"/>
      <c r="G28" s="111"/>
    </row>
    <row r="29" spans="1:7" x14ac:dyDescent="0.3">
      <c r="A29" s="113"/>
      <c r="B29" s="109"/>
      <c r="C29" s="100"/>
      <c r="D29" s="111"/>
      <c r="E29" s="111"/>
      <c r="F29" s="111"/>
      <c r="G29" s="111"/>
    </row>
    <row r="30" spans="1:7" x14ac:dyDescent="0.3">
      <c r="A30" s="113"/>
      <c r="B30" s="109"/>
      <c r="C30" s="100"/>
      <c r="D30" s="111"/>
      <c r="E30" s="111"/>
      <c r="F30" s="111"/>
      <c r="G30" s="111"/>
    </row>
    <row r="31" spans="1:7" x14ac:dyDescent="0.3">
      <c r="A31" s="113"/>
      <c r="B31" s="109"/>
      <c r="C31" s="100"/>
      <c r="D31" s="111"/>
      <c r="E31" s="111"/>
      <c r="F31" s="111"/>
      <c r="G31" s="111"/>
    </row>
    <row r="32" spans="1:7" x14ac:dyDescent="0.3">
      <c r="A32" s="113"/>
      <c r="B32" s="109"/>
      <c r="C32" s="100"/>
      <c r="D32" s="111"/>
      <c r="E32" s="111"/>
      <c r="F32" s="111"/>
      <c r="G32" s="111"/>
    </row>
    <row r="33" spans="1:7" x14ac:dyDescent="0.3">
      <c r="A33" s="113"/>
      <c r="B33" s="109"/>
      <c r="C33" s="100"/>
      <c r="D33" s="111"/>
      <c r="E33" s="111"/>
      <c r="F33" s="111"/>
      <c r="G33" s="111"/>
    </row>
    <row r="34" spans="1:7" x14ac:dyDescent="0.3">
      <c r="A34" s="113"/>
      <c r="B34" s="109"/>
      <c r="C34" s="100"/>
      <c r="D34" s="111"/>
      <c r="E34" s="111"/>
      <c r="F34" s="111"/>
      <c r="G34" s="111"/>
    </row>
    <row r="35" spans="1:7" x14ac:dyDescent="0.3">
      <c r="A35" s="113"/>
      <c r="B35" s="109"/>
      <c r="C35" s="100"/>
      <c r="D35" s="111"/>
      <c r="E35" s="111"/>
      <c r="F35" s="111"/>
      <c r="G35" s="111"/>
    </row>
    <row r="36" spans="1:7" x14ac:dyDescent="0.3">
      <c r="A36" s="113"/>
      <c r="B36" s="109"/>
      <c r="C36" s="100"/>
      <c r="D36" s="111"/>
      <c r="E36" s="111"/>
      <c r="F36" s="111"/>
      <c r="G36" s="111"/>
    </row>
    <row r="37" spans="1:7" x14ac:dyDescent="0.3">
      <c r="A37" s="113"/>
      <c r="B37" s="109"/>
      <c r="C37" s="100"/>
      <c r="D37" s="111"/>
      <c r="E37" s="111"/>
      <c r="F37" s="111"/>
      <c r="G37" s="111"/>
    </row>
    <row r="38" spans="1:7" x14ac:dyDescent="0.3">
      <c r="A38" s="113"/>
      <c r="B38" s="109"/>
      <c r="C38" s="100"/>
      <c r="D38" s="111"/>
      <c r="E38" s="111"/>
      <c r="F38" s="111"/>
      <c r="G38" s="111"/>
    </row>
    <row r="39" spans="1:7" x14ac:dyDescent="0.3">
      <c r="A39" s="113"/>
      <c r="B39" s="109"/>
      <c r="C39" s="100"/>
      <c r="D39" s="111"/>
      <c r="E39" s="111"/>
      <c r="F39" s="111"/>
      <c r="G39" s="111"/>
    </row>
    <row r="40" spans="1:7" x14ac:dyDescent="0.3">
      <c r="A40" s="113"/>
      <c r="B40" s="109"/>
      <c r="C40" s="100"/>
      <c r="D40" s="111"/>
      <c r="E40" s="111"/>
      <c r="F40" s="111"/>
      <c r="G40" s="111"/>
    </row>
    <row r="41" spans="1:7" x14ac:dyDescent="0.3">
      <c r="A41" s="113"/>
      <c r="B41" s="109"/>
      <c r="C41" s="100"/>
      <c r="D41" s="111"/>
      <c r="E41" s="111"/>
      <c r="F41" s="111"/>
      <c r="G41" s="111"/>
    </row>
    <row r="42" spans="1:7" x14ac:dyDescent="0.3">
      <c r="A42" s="113"/>
      <c r="B42" s="109"/>
      <c r="C42" s="100"/>
      <c r="D42" s="111"/>
      <c r="E42" s="111"/>
      <c r="F42" s="111"/>
      <c r="G42" s="111"/>
    </row>
    <row r="43" spans="1:7" x14ac:dyDescent="0.3">
      <c r="A43" s="113"/>
      <c r="B43" s="109"/>
      <c r="C43" s="100"/>
      <c r="D43" s="111"/>
      <c r="E43" s="111"/>
      <c r="F43" s="111"/>
      <c r="G43" s="111"/>
    </row>
    <row r="44" spans="1:7" x14ac:dyDescent="0.3">
      <c r="A44" s="113"/>
      <c r="B44" s="109"/>
      <c r="C44" s="100"/>
      <c r="D44" s="111"/>
      <c r="E44" s="111"/>
      <c r="F44" s="111"/>
      <c r="G44" s="111"/>
    </row>
    <row r="46" spans="1:7" x14ac:dyDescent="0.3">
      <c r="A46" s="99" t="s">
        <v>109</v>
      </c>
      <c r="B46" s="99"/>
      <c r="D46" s="101">
        <f>SUM(D25:D44)</f>
        <v>4305942.5959058851</v>
      </c>
      <c r="E46" s="101">
        <f t="shared" ref="E46:G46" si="0">SUM(E25:E44)</f>
        <v>107648.56489764713</v>
      </c>
      <c r="F46" s="101">
        <f t="shared" si="0"/>
        <v>311603.26739499718</v>
      </c>
      <c r="G46" s="101">
        <f t="shared" si="0"/>
        <v>330565.92152893671</v>
      </c>
    </row>
    <row r="47" spans="1:7" x14ac:dyDescent="0.3">
      <c r="A47" s="99"/>
      <c r="B47" s="99"/>
      <c r="D47" s="110"/>
      <c r="E47" s="110"/>
      <c r="F47" s="110"/>
      <c r="G47" s="110"/>
    </row>
    <row r="48" spans="1:7" x14ac:dyDescent="0.3">
      <c r="A48" s="99" t="s">
        <v>110</v>
      </c>
      <c r="B48" s="99"/>
      <c r="D48" s="101">
        <f>MIN(D46,D20)</f>
        <v>4305942.5959058851</v>
      </c>
      <c r="E48" s="110"/>
      <c r="F48" s="110"/>
      <c r="G48" s="110"/>
    </row>
    <row r="50" spans="1:2" ht="15" customHeight="1" x14ac:dyDescent="0.3">
      <c r="A50" s="148" t="s">
        <v>111</v>
      </c>
      <c r="B50" s="148"/>
    </row>
    <row r="51" spans="1:2" x14ac:dyDescent="0.3">
      <c r="A51" s="148"/>
      <c r="B51" s="148"/>
    </row>
    <row r="52" spans="1:2" x14ac:dyDescent="0.3">
      <c r="A52" s="148"/>
      <c r="B52" s="148"/>
    </row>
    <row r="53" spans="1:2" x14ac:dyDescent="0.3">
      <c r="A53" s="148"/>
      <c r="B53" s="148"/>
    </row>
  </sheetData>
  <mergeCells count="7">
    <mergeCell ref="D13:G13"/>
    <mergeCell ref="D14:G14"/>
    <mergeCell ref="D23:G23"/>
    <mergeCell ref="A50:B53"/>
    <mergeCell ref="D15:G15"/>
    <mergeCell ref="B16:B19"/>
    <mergeCell ref="D22:G22"/>
  </mergeCells>
  <dataValidations count="1">
    <dataValidation type="list" allowBlank="1" showInputMessage="1" showErrorMessage="1" sqref="B25:B44" xr:uid="{787CEC60-005E-43C6-A7C5-EC69E4BB01EE}">
      <formula1>"Approved ACM, New ICM"</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24" id="{77B6FB1E-43F9-4387-8BAE-7775B038CFFE}">
            <xm:f>'C:\OEB Rate Applications\2020 IRM Application\01B - Application and Model Preparation - IR Update\06 - ICM\[2020_ACM_ICM_Model.xlsm]1. Information Sheet'!#REF!&lt;5</xm:f>
            <x14:dxf>
              <font>
                <color theme="0"/>
              </font>
              <fill>
                <patternFill patternType="none">
                  <bgColor auto="1"/>
                </patternFill>
              </fill>
              <border>
                <left/>
                <right/>
                <top/>
                <bottom/>
                <vertical/>
                <horizontal/>
              </border>
            </x14:dxf>
          </x14:cfRule>
          <xm:sqref>A50 C50:G53</xm:sqref>
        </x14:conditionalFormatting>
        <x14:conditionalFormatting xmlns:xm="http://schemas.microsoft.com/office/excel/2006/main">
          <x14:cfRule type="expression" priority="5" id="{EF138718-93E6-4FE3-AB0B-5898DE39AB05}">
            <xm:f>'C:\OEB Rate Applications\2020 IRM Application\01B - Application and Model Preparation - IR Update\06 - ICM\[2020_ACM_ICM_Model.xlsm]1. Information Sheet'!#REF!&gt;4</xm:f>
            <x14:dxf>
              <font>
                <color theme="0"/>
              </font>
            </x14:dxf>
          </x14:cfRule>
          <x14:cfRule type="expression" priority="17" id="{7F54777B-E8E7-48F9-AE0B-0CCAF95A5484}">
            <xm:f>'C:\OEB Rate Applications\2020 IRM Application\01B - Application and Model Preparation - IR Update\06 - ICM\[2020_ACM_ICM_Model.xlsm]1. Information Sheet'!#REF!&lt;5</xm:f>
            <x14:dxf>
              <font>
                <color auto="1"/>
              </font>
            </x14:dxf>
          </x14:cfRule>
          <xm:sqref>A50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00A4E-4A4F-423C-B0F6-BAE3B8D80BFC}">
  <dimension ref="B1:J99"/>
  <sheetViews>
    <sheetView showGridLines="0" topLeftCell="A55" zoomScale="70" zoomScaleNormal="70" workbookViewId="0">
      <selection activeCell="C25" sqref="C25"/>
    </sheetView>
  </sheetViews>
  <sheetFormatPr defaultRowHeight="14.4" x14ac:dyDescent="0.3"/>
  <cols>
    <col min="2" max="2" width="60.5546875" customWidth="1"/>
    <col min="3" max="3" width="16.6640625" style="94" customWidth="1"/>
    <col min="4" max="4" width="4.5546875" bestFit="1" customWidth="1"/>
    <col min="5" max="5" width="29.88671875" customWidth="1"/>
    <col min="6" max="6" width="27.88671875" customWidth="1"/>
  </cols>
  <sheetData>
    <row r="1" spans="2:6" x14ac:dyDescent="0.3">
      <c r="B1" s="22"/>
      <c r="C1" s="21"/>
      <c r="D1" s="22"/>
      <c r="E1" s="22"/>
      <c r="F1" s="22"/>
    </row>
    <row r="2" spans="2:6" x14ac:dyDescent="0.3">
      <c r="B2" s="22"/>
      <c r="C2" s="21"/>
      <c r="D2" s="22"/>
      <c r="E2" s="22"/>
      <c r="F2" s="22"/>
    </row>
    <row r="3" spans="2:6" x14ac:dyDescent="0.3">
      <c r="B3" s="22"/>
      <c r="C3" s="21"/>
      <c r="D3" s="22"/>
      <c r="E3" s="22"/>
      <c r="F3" s="22"/>
    </row>
    <row r="4" spans="2:6" x14ac:dyDescent="0.3">
      <c r="B4" s="22"/>
      <c r="C4" s="21"/>
      <c r="D4" s="22"/>
      <c r="E4" s="22"/>
      <c r="F4" s="22"/>
    </row>
    <row r="5" spans="2:6" x14ac:dyDescent="0.3">
      <c r="B5" s="22"/>
      <c r="C5" s="21"/>
      <c r="D5" s="22"/>
      <c r="E5" s="22"/>
      <c r="F5" s="22"/>
    </row>
    <row r="6" spans="2:6" x14ac:dyDescent="0.3">
      <c r="B6" s="22"/>
      <c r="C6" s="21"/>
      <c r="D6" s="22"/>
      <c r="E6" s="22"/>
      <c r="F6" s="22"/>
    </row>
    <row r="7" spans="2:6" x14ac:dyDescent="0.3">
      <c r="B7" s="22"/>
      <c r="C7" s="21"/>
      <c r="D7" s="22"/>
      <c r="E7" s="22"/>
      <c r="F7" s="22"/>
    </row>
    <row r="8" spans="2:6" x14ac:dyDescent="0.3">
      <c r="B8" s="22"/>
      <c r="C8" s="21"/>
      <c r="D8" s="22"/>
      <c r="E8" s="22"/>
      <c r="F8" s="22"/>
    </row>
    <row r="9" spans="2:6" x14ac:dyDescent="0.3">
      <c r="B9" s="22"/>
      <c r="C9" s="21"/>
      <c r="D9" s="22"/>
      <c r="E9" s="22"/>
      <c r="F9" s="22"/>
    </row>
    <row r="10" spans="2:6" x14ac:dyDescent="0.3">
      <c r="B10" s="22"/>
      <c r="C10" s="21"/>
      <c r="D10" s="22"/>
      <c r="E10" s="22"/>
      <c r="F10" s="22"/>
    </row>
    <row r="11" spans="2:6" x14ac:dyDescent="0.3">
      <c r="B11" s="22"/>
      <c r="C11" s="21"/>
      <c r="D11" s="22"/>
      <c r="E11" s="22"/>
      <c r="F11" s="22"/>
    </row>
    <row r="12" spans="2:6" ht="18" x14ac:dyDescent="0.35">
      <c r="B12" s="23" t="s">
        <v>17</v>
      </c>
      <c r="C12" s="24" t="s">
        <v>18</v>
      </c>
      <c r="D12" s="25"/>
      <c r="E12" s="26">
        <f>'[2]1. Information Sheet'!M26</f>
        <v>2020</v>
      </c>
      <c r="F12" s="27"/>
    </row>
    <row r="13" spans="2:6" x14ac:dyDescent="0.3">
      <c r="B13" s="28"/>
      <c r="C13" s="28"/>
      <c r="D13" s="28"/>
      <c r="E13" s="28"/>
    </row>
    <row r="14" spans="2:6" x14ac:dyDescent="0.3">
      <c r="C14"/>
    </row>
    <row r="15" spans="2:6" ht="15" thickBot="1" x14ac:dyDescent="0.35">
      <c r="B15" s="22"/>
      <c r="C15" s="21"/>
      <c r="D15" s="22"/>
      <c r="E15" s="22"/>
      <c r="F15" s="22"/>
    </row>
    <row r="16" spans="2:6" ht="18" thickBot="1" x14ac:dyDescent="0.35">
      <c r="B16" s="29" t="s">
        <v>19</v>
      </c>
      <c r="C16" s="21"/>
      <c r="D16" s="22"/>
      <c r="E16" s="27"/>
      <c r="F16" s="22"/>
    </row>
    <row r="17" spans="2:10" ht="15.6" x14ac:dyDescent="0.3">
      <c r="B17" s="30"/>
      <c r="C17" s="31"/>
      <c r="D17" s="32"/>
      <c r="E17" s="33"/>
      <c r="F17" s="34"/>
    </row>
    <row r="18" spans="2:10" ht="16.2" thickBot="1" x14ac:dyDescent="0.35">
      <c r="B18" s="35" t="s">
        <v>20</v>
      </c>
      <c r="C18" s="36"/>
      <c r="D18" s="37"/>
      <c r="E18" s="38">
        <v>34327788.46740672</v>
      </c>
      <c r="F18" s="34" t="s">
        <v>21</v>
      </c>
    </row>
    <row r="19" spans="2:10" ht="16.2" thickBot="1" x14ac:dyDescent="0.35">
      <c r="B19" s="39"/>
      <c r="C19" s="40"/>
      <c r="D19" s="41"/>
      <c r="E19" s="42"/>
      <c r="F19" s="34"/>
    </row>
    <row r="20" spans="2:10" ht="16.2" thickBot="1" x14ac:dyDescent="0.35">
      <c r="B20" s="43"/>
      <c r="C20" s="36"/>
      <c r="D20" s="37"/>
      <c r="E20" s="44"/>
      <c r="F20" s="34"/>
    </row>
    <row r="21" spans="2:10" ht="18" thickBot="1" x14ac:dyDescent="0.35">
      <c r="B21" s="45" t="s">
        <v>22</v>
      </c>
      <c r="C21" s="46"/>
      <c r="D21" s="37"/>
      <c r="E21" s="44"/>
      <c r="F21" s="34"/>
    </row>
    <row r="22" spans="2:10" ht="15.6" x14ac:dyDescent="0.3">
      <c r="B22" s="30"/>
      <c r="C22" s="47" t="s">
        <v>23</v>
      </c>
      <c r="D22" s="48"/>
      <c r="E22" s="49" t="s">
        <v>24</v>
      </c>
      <c r="F22" s="34"/>
    </row>
    <row r="23" spans="2:10" ht="14.4" customHeight="1" x14ac:dyDescent="0.3">
      <c r="B23" s="50"/>
      <c r="C23" s="51"/>
      <c r="D23" s="52"/>
      <c r="E23" s="53" t="str">
        <f>"("&amp;IF(('[2]1. Information Sheet'!M28-'[2]1. Information Sheet'!M26)=1,"Half Year*","Full Year")&amp;" Prorated Amount)"</f>
        <v>(Full Year Prorated Amount)</v>
      </c>
      <c r="F23" s="151" t="str">
        <f>IF(('[2]1. Information Sheet'!M28-'[2]1. Information Sheet'!M26)=1,"*The half year rule is applied as the distributor is scheduled to rebase in the next rate year.","")</f>
        <v/>
      </c>
      <c r="G23" s="152"/>
      <c r="H23" s="152"/>
      <c r="I23" s="54"/>
    </row>
    <row r="24" spans="2:10" ht="15.6" customHeight="1" x14ac:dyDescent="0.3">
      <c r="B24" s="50"/>
      <c r="C24" s="153" t="s">
        <v>25</v>
      </c>
      <c r="D24" s="153"/>
      <c r="E24" s="154"/>
      <c r="F24" s="151"/>
      <c r="G24" s="152"/>
      <c r="H24" s="152"/>
    </row>
    <row r="25" spans="2:10" ht="15.6" x14ac:dyDescent="0.3">
      <c r="B25" s="35" t="s">
        <v>26</v>
      </c>
      <c r="C25" s="44">
        <f>'9b. Proposed ACM ICM Projects'!D46</f>
        <v>4305942.5959058851</v>
      </c>
      <c r="D25" s="37"/>
      <c r="E25" s="44">
        <f>'9b. Proposed ACM ICM Projects'!D46</f>
        <v>4305942.5959058851</v>
      </c>
      <c r="F25" s="55" t="s">
        <v>27</v>
      </c>
      <c r="J25" s="44"/>
    </row>
    <row r="26" spans="2:10" ht="15.6" x14ac:dyDescent="0.3">
      <c r="B26" s="56" t="s">
        <v>28</v>
      </c>
      <c r="C26" s="44">
        <f>'9b. Proposed ACM ICM Projects'!E46</f>
        <v>107648.56489764713</v>
      </c>
      <c r="D26" s="37"/>
      <c r="E26" s="57">
        <f>'9b. Proposed ACM ICM Projects'!E46</f>
        <v>107648.56489764713</v>
      </c>
      <c r="F26" s="34" t="s">
        <v>29</v>
      </c>
    </row>
    <row r="27" spans="2:10" ht="15.6" x14ac:dyDescent="0.3">
      <c r="B27" s="56" t="s">
        <v>112</v>
      </c>
      <c r="C27" s="44">
        <f>'9b. Proposed ACM ICM Projects'!F46</f>
        <v>311603.26739499718</v>
      </c>
      <c r="D27" s="37"/>
      <c r="E27" s="57">
        <f>'9b. Proposed ACM ICM Projects'!F46</f>
        <v>311603.26739499718</v>
      </c>
      <c r="F27" s="34" t="s">
        <v>114</v>
      </c>
    </row>
    <row r="28" spans="2:10" ht="16.2" thickBot="1" x14ac:dyDescent="0.35">
      <c r="B28" s="58" t="s">
        <v>30</v>
      </c>
      <c r="C28" s="59">
        <f>'9b. Proposed ACM ICM Projects'!G46</f>
        <v>330565.92152893671</v>
      </c>
      <c r="D28" s="41"/>
      <c r="E28" s="42">
        <f>'9b. Proposed ACM ICM Projects'!G46</f>
        <v>330565.92152893671</v>
      </c>
      <c r="F28" s="34" t="s">
        <v>31</v>
      </c>
    </row>
    <row r="29" spans="2:10" ht="15.6" x14ac:dyDescent="0.3">
      <c r="B29" s="43"/>
      <c r="C29" s="36"/>
      <c r="D29" s="37"/>
      <c r="E29" s="44"/>
      <c r="F29" s="34"/>
    </row>
    <row r="30" spans="2:10" ht="18.75" customHeight="1" x14ac:dyDescent="0.3">
      <c r="B30" s="155" t="s">
        <v>32</v>
      </c>
      <c r="C30" s="155"/>
      <c r="D30" s="155"/>
      <c r="E30" s="155"/>
      <c r="F30" s="155"/>
    </row>
    <row r="31" spans="2:10" ht="16.2" thickBot="1" x14ac:dyDescent="0.35">
      <c r="B31" s="22"/>
      <c r="C31" s="60"/>
      <c r="D31" s="61"/>
      <c r="E31" s="62"/>
      <c r="F31" s="34"/>
    </row>
    <row r="32" spans="2:10" ht="18" thickBot="1" x14ac:dyDescent="0.35">
      <c r="B32" s="63" t="s">
        <v>33</v>
      </c>
      <c r="C32" s="60"/>
      <c r="D32" s="61"/>
      <c r="E32" s="62"/>
      <c r="F32" s="34"/>
    </row>
    <row r="33" spans="2:6" ht="15.6" x14ac:dyDescent="0.3">
      <c r="B33" s="35" t="s">
        <v>34</v>
      </c>
      <c r="C33" s="64"/>
      <c r="D33" s="65"/>
      <c r="E33" s="66">
        <f>E25</f>
        <v>4305942.5959058851</v>
      </c>
      <c r="F33" s="34" t="s">
        <v>27</v>
      </c>
    </row>
    <row r="34" spans="2:6" ht="15.6" x14ac:dyDescent="0.3">
      <c r="B34" s="35" t="s">
        <v>35</v>
      </c>
      <c r="C34" s="60"/>
      <c r="D34" s="67"/>
      <c r="E34" s="57">
        <f>E26</f>
        <v>107648.56489764713</v>
      </c>
      <c r="F34" s="34" t="s">
        <v>29</v>
      </c>
    </row>
    <row r="35" spans="2:6" ht="16.2" thickBot="1" x14ac:dyDescent="0.35">
      <c r="B35" s="35" t="s">
        <v>36</v>
      </c>
      <c r="C35" s="36"/>
      <c r="D35" s="67"/>
      <c r="E35" s="68">
        <f>E33-E34/2</f>
        <v>4252118.3134570615</v>
      </c>
      <c r="F35" s="34" t="s">
        <v>37</v>
      </c>
    </row>
    <row r="36" spans="2:6" ht="26.4" x14ac:dyDescent="0.3">
      <c r="B36" s="35"/>
      <c r="C36" s="69" t="s">
        <v>38</v>
      </c>
      <c r="D36" s="67"/>
      <c r="E36" s="57"/>
      <c r="F36" s="34"/>
    </row>
    <row r="37" spans="2:6" ht="15.6" x14ac:dyDescent="0.3">
      <c r="B37" s="35" t="s">
        <v>39</v>
      </c>
      <c r="C37" s="70">
        <v>0.04</v>
      </c>
      <c r="D37" s="67" t="s">
        <v>40</v>
      </c>
      <c r="E37" s="57">
        <f>E35*C37</f>
        <v>170084.73253828246</v>
      </c>
      <c r="F37" s="34" t="s">
        <v>41</v>
      </c>
    </row>
    <row r="38" spans="2:6" ht="15.6" x14ac:dyDescent="0.3">
      <c r="B38" s="35" t="s">
        <v>42</v>
      </c>
      <c r="C38" s="70">
        <v>0.56000000000000005</v>
      </c>
      <c r="D38" s="67" t="s">
        <v>43</v>
      </c>
      <c r="E38" s="57">
        <f>E35*C38</f>
        <v>2381186.2555359546</v>
      </c>
      <c r="F38" s="34" t="s">
        <v>44</v>
      </c>
    </row>
    <row r="39" spans="2:6" ht="15.6" x14ac:dyDescent="0.3">
      <c r="B39" s="35"/>
      <c r="C39" s="71" t="s">
        <v>45</v>
      </c>
      <c r="D39" s="67"/>
      <c r="E39" s="57"/>
      <c r="F39" s="34"/>
    </row>
    <row r="40" spans="2:6" ht="15.6" x14ac:dyDescent="0.3">
      <c r="B40" s="35" t="s">
        <v>46</v>
      </c>
      <c r="C40" s="72">
        <v>2.8199999999999999E-2</v>
      </c>
      <c r="D40" s="67" t="s">
        <v>47</v>
      </c>
      <c r="E40" s="57">
        <f>E37*C40</f>
        <v>4796.3894575795657</v>
      </c>
      <c r="F40" s="34" t="s">
        <v>48</v>
      </c>
    </row>
    <row r="41" spans="2:6" ht="15.6" x14ac:dyDescent="0.3">
      <c r="B41" s="35" t="s">
        <v>49</v>
      </c>
      <c r="C41" s="72">
        <v>4.3671879168917439E-2</v>
      </c>
      <c r="D41" s="67" t="s">
        <v>50</v>
      </c>
      <c r="E41" s="57">
        <f>E38*C41</f>
        <v>103990.87843045317</v>
      </c>
      <c r="F41" s="34" t="s">
        <v>51</v>
      </c>
    </row>
    <row r="42" spans="2:6" ht="15.6" x14ac:dyDescent="0.3">
      <c r="B42" s="35"/>
      <c r="C42" s="36"/>
      <c r="D42" s="67"/>
      <c r="E42" s="57"/>
      <c r="F42" s="34"/>
    </row>
    <row r="43" spans="2:6" ht="16.2" thickBot="1" x14ac:dyDescent="0.35">
      <c r="B43" s="35" t="s">
        <v>52</v>
      </c>
      <c r="C43" s="36"/>
      <c r="D43" s="67"/>
      <c r="E43" s="38">
        <f>SUM(E40:E41)</f>
        <v>108787.26788803274</v>
      </c>
      <c r="F43" s="34" t="s">
        <v>53</v>
      </c>
    </row>
    <row r="44" spans="2:6" ht="15.6" x14ac:dyDescent="0.3">
      <c r="B44" s="35"/>
      <c r="C44" s="36"/>
      <c r="D44" s="67"/>
      <c r="E44" s="57"/>
      <c r="F44" s="34"/>
    </row>
    <row r="45" spans="2:6" ht="26.4" x14ac:dyDescent="0.3">
      <c r="B45" s="35"/>
      <c r="C45" s="73" t="str">
        <f>C36</f>
        <v>% of capital structure</v>
      </c>
      <c r="D45" s="67"/>
      <c r="E45" s="57"/>
      <c r="F45" s="34"/>
    </row>
    <row r="46" spans="2:6" ht="15.6" x14ac:dyDescent="0.3">
      <c r="B46" s="35" t="s">
        <v>54</v>
      </c>
      <c r="C46" s="72">
        <f>'[2]5. Rev_Requ_Check'!C38</f>
        <v>0.39999999999999991</v>
      </c>
      <c r="D46" s="67" t="s">
        <v>55</v>
      </c>
      <c r="E46" s="57">
        <f>E35*C46</f>
        <v>1700847.3253828243</v>
      </c>
      <c r="F46" s="34" t="s">
        <v>56</v>
      </c>
    </row>
    <row r="47" spans="2:6" ht="15.6" x14ac:dyDescent="0.3">
      <c r="B47" s="35"/>
      <c r="C47" s="74" t="str">
        <f>C39</f>
        <v>Rate (%)</v>
      </c>
      <c r="D47" s="67"/>
      <c r="E47" s="57"/>
      <c r="F47" s="34"/>
    </row>
    <row r="48" spans="2:6" ht="15.6" x14ac:dyDescent="0.3">
      <c r="B48" s="35" t="s">
        <v>57</v>
      </c>
      <c r="C48" s="72">
        <f>'[2]5. Rev_Requ_Check'!C42</f>
        <v>8.9800000000000005E-2</v>
      </c>
      <c r="D48" s="67" t="s">
        <v>58</v>
      </c>
      <c r="E48" s="57">
        <f>E46*C48</f>
        <v>152736.08981937764</v>
      </c>
      <c r="F48" s="34" t="s">
        <v>59</v>
      </c>
    </row>
    <row r="49" spans="2:6" ht="15.6" x14ac:dyDescent="0.3">
      <c r="B49" s="35"/>
      <c r="C49" s="36"/>
      <c r="D49" s="37"/>
      <c r="E49" s="57"/>
      <c r="F49" s="34"/>
    </row>
    <row r="50" spans="2:6" ht="16.2" thickBot="1" x14ac:dyDescent="0.35">
      <c r="B50" s="35" t="s">
        <v>60</v>
      </c>
      <c r="C50" s="60"/>
      <c r="D50" s="37"/>
      <c r="E50" s="38">
        <f>E43+E48</f>
        <v>261523.35770741038</v>
      </c>
      <c r="F50" s="34" t="s">
        <v>61</v>
      </c>
    </row>
    <row r="51" spans="2:6" ht="16.2" thickBot="1" x14ac:dyDescent="0.35">
      <c r="B51" s="75"/>
      <c r="C51" s="40"/>
      <c r="D51" s="41"/>
      <c r="E51" s="42"/>
      <c r="F51" s="34"/>
    </row>
    <row r="52" spans="2:6" ht="15.6" x14ac:dyDescent="0.3">
      <c r="B52" s="22"/>
      <c r="C52" s="60"/>
      <c r="D52" s="61"/>
      <c r="E52" s="62"/>
      <c r="F52" s="34"/>
    </row>
    <row r="53" spans="2:6" ht="16.2" thickBot="1" x14ac:dyDescent="0.35">
      <c r="B53" s="22"/>
      <c r="C53" s="21"/>
      <c r="D53" s="22"/>
      <c r="E53" s="76"/>
      <c r="F53" s="34"/>
    </row>
    <row r="54" spans="2:6" ht="18" thickBot="1" x14ac:dyDescent="0.35">
      <c r="B54" s="63" t="s">
        <v>62</v>
      </c>
      <c r="C54" s="31"/>
      <c r="D54" s="32"/>
      <c r="E54" s="33"/>
      <c r="F54" s="34"/>
    </row>
    <row r="55" spans="2:6" ht="17.399999999999999" x14ac:dyDescent="0.3">
      <c r="B55" s="77"/>
      <c r="C55" s="78"/>
      <c r="D55" s="43"/>
      <c r="E55" s="79"/>
      <c r="F55" s="34"/>
    </row>
    <row r="56" spans="2:6" ht="15.6" x14ac:dyDescent="0.3">
      <c r="B56" s="35" t="s">
        <v>63</v>
      </c>
      <c r="C56" s="78"/>
      <c r="D56" s="34" t="s">
        <v>29</v>
      </c>
      <c r="E56" s="57">
        <f>E34</f>
        <v>107648.56489764713</v>
      </c>
      <c r="F56" s="34" t="s">
        <v>64</v>
      </c>
    </row>
    <row r="57" spans="2:6" ht="16.2" thickBot="1" x14ac:dyDescent="0.35">
      <c r="B57" s="39"/>
      <c r="C57" s="80"/>
      <c r="D57" s="81"/>
      <c r="E57" s="42"/>
      <c r="F57" s="34"/>
    </row>
    <row r="58" spans="2:6" ht="16.2" thickBot="1" x14ac:dyDescent="0.35">
      <c r="B58" s="22"/>
      <c r="C58" s="21"/>
      <c r="D58" s="22"/>
      <c r="E58" s="62"/>
      <c r="F58" s="34"/>
    </row>
    <row r="59" spans="2:6" ht="18" thickBot="1" x14ac:dyDescent="0.35">
      <c r="B59" s="29" t="s">
        <v>65</v>
      </c>
      <c r="C59" s="31"/>
      <c r="D59" s="32"/>
      <c r="E59" s="66"/>
      <c r="F59" s="34"/>
    </row>
    <row r="60" spans="2:6" ht="17.399999999999999" x14ac:dyDescent="0.3">
      <c r="B60" s="82"/>
      <c r="C60" s="78"/>
      <c r="D60" s="43"/>
      <c r="E60" s="57"/>
      <c r="F60" s="34"/>
    </row>
    <row r="61" spans="2:6" ht="15.6" x14ac:dyDescent="0.3">
      <c r="B61" s="35" t="s">
        <v>66</v>
      </c>
      <c r="C61" s="78"/>
      <c r="D61" s="34" t="s">
        <v>58</v>
      </c>
      <c r="E61" s="57">
        <f>E48</f>
        <v>152736.08981937764</v>
      </c>
      <c r="F61" s="34" t="s">
        <v>67</v>
      </c>
    </row>
    <row r="62" spans="2:6" ht="15.6" x14ac:dyDescent="0.3">
      <c r="B62" s="35"/>
      <c r="C62" s="78"/>
      <c r="D62" s="43"/>
      <c r="E62" s="57"/>
      <c r="F62" s="34"/>
    </row>
    <row r="63" spans="2:6" ht="15.6" x14ac:dyDescent="0.3">
      <c r="B63" s="35" t="s">
        <v>68</v>
      </c>
      <c r="C63" s="78"/>
      <c r="D63" s="34" t="s">
        <v>64</v>
      </c>
      <c r="E63" s="57">
        <f>E56</f>
        <v>107648.56489764713</v>
      </c>
      <c r="F63" s="34" t="s">
        <v>69</v>
      </c>
    </row>
    <row r="64" spans="2:6" ht="15.6" x14ac:dyDescent="0.3">
      <c r="B64" s="35"/>
      <c r="C64" s="78"/>
      <c r="D64" s="34"/>
      <c r="E64" s="57"/>
      <c r="F64" s="34"/>
    </row>
    <row r="65" spans="2:6" ht="15.6" x14ac:dyDescent="0.3">
      <c r="B65" s="35" t="s">
        <v>113</v>
      </c>
      <c r="C65" s="78"/>
      <c r="D65" s="34" t="s">
        <v>114</v>
      </c>
      <c r="E65" s="57">
        <f>E27</f>
        <v>311603.26739499718</v>
      </c>
      <c r="F65" s="34"/>
    </row>
    <row r="66" spans="2:6" ht="15.6" x14ac:dyDescent="0.3">
      <c r="B66" s="35"/>
      <c r="C66" s="78"/>
      <c r="D66" s="43"/>
      <c r="E66" s="57"/>
      <c r="F66" s="34"/>
    </row>
    <row r="67" spans="2:6" ht="15.6" x14ac:dyDescent="0.3">
      <c r="B67" s="35" t="s">
        <v>70</v>
      </c>
      <c r="C67" s="78"/>
      <c r="D67" s="83" t="s">
        <v>31</v>
      </c>
      <c r="E67" s="57">
        <f>E28</f>
        <v>330565.92152893671</v>
      </c>
      <c r="F67" s="34" t="s">
        <v>31</v>
      </c>
    </row>
    <row r="68" spans="2:6" ht="15.6" x14ac:dyDescent="0.3">
      <c r="B68" s="35"/>
      <c r="C68" s="78"/>
      <c r="D68" s="83"/>
      <c r="E68" s="57"/>
      <c r="F68" s="34"/>
    </row>
    <row r="69" spans="2:6" ht="16.2" thickBot="1" x14ac:dyDescent="0.35">
      <c r="B69" s="35" t="s">
        <v>71</v>
      </c>
      <c r="C69" s="78"/>
      <c r="D69" s="83"/>
      <c r="E69" s="38">
        <f>E61+E63+E65-E67</f>
        <v>241422.00058308523</v>
      </c>
      <c r="F69" s="34" t="s">
        <v>72</v>
      </c>
    </row>
    <row r="70" spans="2:6" ht="15.6" x14ac:dyDescent="0.3">
      <c r="B70" s="35"/>
      <c r="C70" s="78"/>
      <c r="D70" s="83"/>
      <c r="E70" s="79"/>
      <c r="F70" s="34"/>
    </row>
    <row r="71" spans="2:6" ht="15.6" x14ac:dyDescent="0.3">
      <c r="B71" s="35" t="s">
        <v>73</v>
      </c>
      <c r="C71" s="84">
        <v>0.26500000000000001</v>
      </c>
      <c r="D71" s="83" t="s">
        <v>74</v>
      </c>
      <c r="E71" s="79"/>
      <c r="F71" s="34"/>
    </row>
    <row r="72" spans="2:6" ht="15.6" x14ac:dyDescent="0.3">
      <c r="B72" s="35"/>
      <c r="C72" s="78"/>
      <c r="D72" s="43"/>
      <c r="E72" s="79"/>
      <c r="F72" s="34"/>
    </row>
    <row r="73" spans="2:6" ht="15.6" x14ac:dyDescent="0.3">
      <c r="B73" s="35" t="s">
        <v>75</v>
      </c>
      <c r="C73" s="78"/>
      <c r="D73" s="43"/>
      <c r="E73" s="57">
        <f>E69*C71</f>
        <v>63976.830154517593</v>
      </c>
      <c r="F73" s="34" t="s">
        <v>76</v>
      </c>
    </row>
    <row r="74" spans="2:6" ht="15.6" x14ac:dyDescent="0.3">
      <c r="B74" s="35"/>
      <c r="C74" s="78"/>
      <c r="D74" s="43"/>
      <c r="E74" s="57"/>
      <c r="F74" s="34"/>
    </row>
    <row r="75" spans="2:6" ht="15.6" x14ac:dyDescent="0.3">
      <c r="B75" s="35" t="s">
        <v>77</v>
      </c>
      <c r="C75" s="78"/>
      <c r="D75" s="43"/>
      <c r="E75" s="57">
        <f>E73/(1-C71)</f>
        <v>87043.306332676992</v>
      </c>
      <c r="F75" s="34" t="s">
        <v>78</v>
      </c>
    </row>
    <row r="76" spans="2:6" ht="16.2" thickBot="1" x14ac:dyDescent="0.35">
      <c r="B76" s="75"/>
      <c r="C76" s="80"/>
      <c r="D76" s="81"/>
      <c r="E76" s="85"/>
      <c r="F76" s="34"/>
    </row>
    <row r="77" spans="2:6" ht="15.6" hidden="1" x14ac:dyDescent="0.3">
      <c r="B77" s="22"/>
      <c r="C77" s="21"/>
      <c r="D77" s="22"/>
      <c r="E77" s="76"/>
      <c r="F77" s="34"/>
    </row>
    <row r="78" spans="2:6" ht="17.399999999999999" hidden="1" x14ac:dyDescent="0.3">
      <c r="B78" s="29" t="s">
        <v>79</v>
      </c>
      <c r="C78" s="21"/>
      <c r="D78" s="22"/>
      <c r="E78" s="76"/>
      <c r="F78" s="34"/>
    </row>
    <row r="79" spans="2:6" ht="15.6" hidden="1" x14ac:dyDescent="0.3">
      <c r="B79" s="35" t="s">
        <v>80</v>
      </c>
      <c r="C79" s="31"/>
      <c r="D79" s="32"/>
      <c r="E79" s="66"/>
      <c r="F79" s="34" t="s">
        <v>81</v>
      </c>
    </row>
    <row r="80" spans="2:6" ht="15.6" hidden="1" x14ac:dyDescent="0.3">
      <c r="B80" s="35"/>
      <c r="C80" s="78"/>
      <c r="D80" s="43"/>
      <c r="E80" s="79"/>
      <c r="F80" s="34"/>
    </row>
    <row r="81" spans="2:6" ht="15.6" hidden="1" x14ac:dyDescent="0.3">
      <c r="B81" s="35" t="s">
        <v>82</v>
      </c>
      <c r="C81" s="78"/>
      <c r="D81" s="43"/>
      <c r="E81" s="86"/>
      <c r="F81" s="34" t="s">
        <v>83</v>
      </c>
    </row>
    <row r="82" spans="2:6" ht="15.6" hidden="1" x14ac:dyDescent="0.3">
      <c r="B82" s="35"/>
      <c r="C82" s="78"/>
      <c r="D82" s="43"/>
      <c r="E82" s="79"/>
      <c r="F82" s="34"/>
    </row>
    <row r="83" spans="2:6" ht="15.6" hidden="1" x14ac:dyDescent="0.3">
      <c r="B83" s="35" t="s">
        <v>84</v>
      </c>
      <c r="C83" s="78"/>
      <c r="D83" s="43"/>
      <c r="E83" s="87"/>
      <c r="F83" s="34" t="s">
        <v>85</v>
      </c>
    </row>
    <row r="84" spans="2:6" ht="15.6" hidden="1" x14ac:dyDescent="0.3">
      <c r="B84" s="35"/>
      <c r="C84" s="78"/>
      <c r="D84" s="43"/>
      <c r="E84" s="79"/>
      <c r="F84" s="34"/>
    </row>
    <row r="85" spans="2:6" ht="15.6" hidden="1" x14ac:dyDescent="0.3">
      <c r="B85" s="35" t="s">
        <v>86</v>
      </c>
      <c r="C85" s="84"/>
      <c r="D85" s="34" t="s">
        <v>87</v>
      </c>
      <c r="E85" s="79"/>
      <c r="F85" s="34"/>
    </row>
    <row r="86" spans="2:6" ht="15.6" hidden="1" x14ac:dyDescent="0.3">
      <c r="B86" s="88"/>
      <c r="C86" s="78"/>
      <c r="D86" s="43"/>
      <c r="E86" s="79"/>
      <c r="F86" s="34"/>
    </row>
    <row r="87" spans="2:6" ht="16.2" hidden="1" thickBot="1" x14ac:dyDescent="0.35">
      <c r="B87" s="35" t="s">
        <v>88</v>
      </c>
      <c r="C87" s="78"/>
      <c r="D87" s="43"/>
      <c r="E87" s="38"/>
      <c r="F87" s="34" t="s">
        <v>89</v>
      </c>
    </row>
    <row r="88" spans="2:6" ht="16.2" hidden="1" thickBot="1" x14ac:dyDescent="0.35">
      <c r="B88" s="75"/>
      <c r="C88" s="80"/>
      <c r="D88" s="81"/>
      <c r="E88" s="85"/>
      <c r="F88" s="34"/>
    </row>
    <row r="89" spans="2:6" ht="16.2" thickBot="1" x14ac:dyDescent="0.35">
      <c r="B89" s="22"/>
      <c r="C89" s="21"/>
      <c r="D89" s="22"/>
      <c r="E89" s="76"/>
      <c r="F89" s="34"/>
    </row>
    <row r="90" spans="2:6" ht="18" thickBot="1" x14ac:dyDescent="0.35">
      <c r="B90" s="29" t="s">
        <v>90</v>
      </c>
      <c r="C90" s="21"/>
      <c r="D90" s="22"/>
      <c r="E90" s="76"/>
      <c r="F90" s="34"/>
    </row>
    <row r="91" spans="2:6" ht="15.6" x14ac:dyDescent="0.3">
      <c r="B91" s="89" t="s">
        <v>60</v>
      </c>
      <c r="C91" s="31"/>
      <c r="D91" s="90" t="s">
        <v>91</v>
      </c>
      <c r="E91" s="91">
        <f>E50</f>
        <v>261523.35770741038</v>
      </c>
      <c r="F91" s="34" t="s">
        <v>81</v>
      </c>
    </row>
    <row r="92" spans="2:6" ht="15.6" x14ac:dyDescent="0.3">
      <c r="B92" s="35" t="s">
        <v>92</v>
      </c>
      <c r="C92" s="78"/>
      <c r="D92" s="83" t="s">
        <v>64</v>
      </c>
      <c r="E92" s="92">
        <f>E56</f>
        <v>107648.56489764713</v>
      </c>
      <c r="F92" s="34" t="s">
        <v>83</v>
      </c>
    </row>
    <row r="93" spans="2:6" ht="15.6" x14ac:dyDescent="0.3">
      <c r="B93" s="35" t="str">
        <f>B75</f>
        <v>Grossed-Up Taxes/PILs</v>
      </c>
      <c r="C93" s="78"/>
      <c r="D93" s="83" t="s">
        <v>93</v>
      </c>
      <c r="E93" s="92">
        <f>E75</f>
        <v>87043.306332676992</v>
      </c>
      <c r="F93" s="34" t="s">
        <v>94</v>
      </c>
    </row>
    <row r="94" spans="2:6" ht="15.6" x14ac:dyDescent="0.3">
      <c r="B94" s="35"/>
      <c r="C94" s="78"/>
      <c r="D94" s="83"/>
      <c r="E94" s="79"/>
      <c r="F94" s="34"/>
    </row>
    <row r="95" spans="2:6" ht="15.6" x14ac:dyDescent="0.3">
      <c r="B95" s="35"/>
      <c r="C95" s="78"/>
      <c r="D95" s="43"/>
      <c r="E95" s="79"/>
      <c r="F95" s="34"/>
    </row>
    <row r="96" spans="2:6" ht="16.2" thickBot="1" x14ac:dyDescent="0.35">
      <c r="B96" s="35" t="s">
        <v>90</v>
      </c>
      <c r="C96" s="78"/>
      <c r="D96" s="43"/>
      <c r="E96" s="93">
        <f>SUM(E91:E93)</f>
        <v>456215.2289377345</v>
      </c>
      <c r="F96" s="34" t="s">
        <v>95</v>
      </c>
    </row>
    <row r="97" spans="2:6" ht="16.2" thickBot="1" x14ac:dyDescent="0.35">
      <c r="B97" s="75"/>
      <c r="C97" s="80"/>
      <c r="D97" s="81"/>
      <c r="E97" s="85"/>
      <c r="F97" s="34"/>
    </row>
    <row r="98" spans="2:6" ht="15.6" x14ac:dyDescent="0.3">
      <c r="E98" s="95"/>
    </row>
    <row r="99" spans="2:6" ht="15.6" x14ac:dyDescent="0.3">
      <c r="E99" s="95"/>
    </row>
  </sheetData>
  <mergeCells count="3">
    <mergeCell ref="F23:H24"/>
    <mergeCell ref="C24:E24"/>
    <mergeCell ref="B30:F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8153-0AD5-417C-B367-14898BD82714}">
  <dimension ref="A12:Z50"/>
  <sheetViews>
    <sheetView showGridLines="0" topLeftCell="A7" zoomScaleNormal="100" workbookViewId="0">
      <selection activeCell="A17" sqref="A17"/>
    </sheetView>
  </sheetViews>
  <sheetFormatPr defaultRowHeight="14.4" x14ac:dyDescent="0.3"/>
  <cols>
    <col min="1" max="1" width="49.33203125" customWidth="1"/>
    <col min="2" max="2" width="4.109375" customWidth="1"/>
    <col min="3" max="3" width="19.88671875" customWidth="1"/>
    <col min="4" max="4" width="22" customWidth="1"/>
    <col min="5" max="5" width="18.33203125" customWidth="1"/>
    <col min="6" max="7" width="22" customWidth="1"/>
    <col min="8" max="8" width="27.6640625" customWidth="1"/>
    <col min="9" max="9" width="15.44140625" bestFit="1" customWidth="1"/>
    <col min="10" max="10" width="3.44140625" customWidth="1"/>
    <col min="11" max="11" width="22" customWidth="1"/>
    <col min="12" max="12" width="17.44140625" customWidth="1"/>
    <col min="13" max="13" width="11.6640625" bestFit="1" customWidth="1"/>
    <col min="14" max="14" width="2.33203125" customWidth="1"/>
    <col min="15" max="15" width="20.33203125" customWidth="1"/>
    <col min="16" max="16" width="24.6640625" customWidth="1"/>
    <col min="17" max="17" width="22.5546875" customWidth="1"/>
    <col min="18" max="18" width="18.6640625" customWidth="1"/>
    <col min="19" max="20" width="20" customWidth="1"/>
  </cols>
  <sheetData>
    <row r="12" spans="1:25" ht="15" thickBot="1" x14ac:dyDescent="0.35"/>
    <row r="13" spans="1:25" ht="22.2" thickTop="1" thickBot="1" x14ac:dyDescent="0.35">
      <c r="A13" s="156" t="s">
        <v>116</v>
      </c>
      <c r="B13" s="156"/>
      <c r="C13" s="156"/>
      <c r="D13" s="156"/>
      <c r="E13" s="157" t="s">
        <v>150</v>
      </c>
      <c r="F13" s="158"/>
    </row>
    <row r="14" spans="1:25" ht="43.5" customHeight="1" x14ac:dyDescent="0.3"/>
    <row r="15" spans="1:25" s="117" customFormat="1" ht="46.8" x14ac:dyDescent="0.3">
      <c r="A15" s="115" t="s">
        <v>117</v>
      </c>
      <c r="B15" s="116"/>
      <c r="C15" s="116" t="s">
        <v>118</v>
      </c>
      <c r="D15" s="116" t="s">
        <v>119</v>
      </c>
      <c r="E15" s="116" t="s">
        <v>120</v>
      </c>
      <c r="F15" s="116" t="s">
        <v>121</v>
      </c>
      <c r="G15" s="116" t="s">
        <v>122</v>
      </c>
      <c r="H15" s="116" t="s">
        <v>123</v>
      </c>
      <c r="I15" s="116" t="s">
        <v>124</v>
      </c>
      <c r="J15" s="116"/>
      <c r="K15" s="116" t="s">
        <v>125</v>
      </c>
      <c r="L15" s="116" t="s">
        <v>126</v>
      </c>
      <c r="M15" s="116" t="s">
        <v>127</v>
      </c>
      <c r="N15" s="116"/>
      <c r="O15" s="116" t="s">
        <v>128</v>
      </c>
      <c r="P15"/>
      <c r="Q15"/>
      <c r="R15"/>
      <c r="S15"/>
      <c r="T15"/>
      <c r="U15"/>
      <c r="V15"/>
      <c r="W15"/>
      <c r="X15"/>
      <c r="Y15"/>
    </row>
    <row r="16" spans="1:25" s="117" customFormat="1" ht="17.25" customHeight="1" x14ac:dyDescent="0.35">
      <c r="A16" s="116"/>
      <c r="B16" s="116"/>
      <c r="C16" s="118" t="s">
        <v>129</v>
      </c>
      <c r="D16" s="118" t="s">
        <v>129</v>
      </c>
      <c r="E16" s="118" t="s">
        <v>129</v>
      </c>
      <c r="F16" s="119" t="s">
        <v>130</v>
      </c>
      <c r="G16" s="119" t="s">
        <v>131</v>
      </c>
      <c r="H16" s="119" t="s">
        <v>132</v>
      </c>
      <c r="I16" s="120" t="s">
        <v>133</v>
      </c>
      <c r="J16" s="121"/>
      <c r="K16" s="118" t="s">
        <v>134</v>
      </c>
      <c r="L16" s="118" t="s">
        <v>134</v>
      </c>
      <c r="M16" s="118" t="s">
        <v>134</v>
      </c>
      <c r="N16" s="121"/>
      <c r="O16" s="119" t="s">
        <v>152</v>
      </c>
      <c r="P16"/>
      <c r="Q16"/>
      <c r="R16"/>
      <c r="S16"/>
      <c r="T16"/>
      <c r="U16"/>
      <c r="V16"/>
      <c r="W16"/>
      <c r="X16"/>
      <c r="Y16"/>
    </row>
    <row r="17" spans="1:26" x14ac:dyDescent="0.3">
      <c r="A17" s="122" t="s">
        <v>135</v>
      </c>
      <c r="B17" s="122"/>
      <c r="C17" s="123">
        <v>0.52756621889826338</v>
      </c>
      <c r="D17" s="123">
        <v>3.4859364137143994E-2</v>
      </c>
      <c r="E17" s="123">
        <v>0</v>
      </c>
      <c r="F17" s="124">
        <f>ROUND(C17*I27, 2)</f>
        <v>240683.74</v>
      </c>
      <c r="G17" s="124">
        <f>ROUND(D17*I27, 2)</f>
        <v>15903.37</v>
      </c>
      <c r="H17" s="124">
        <f>ROUND(E17*I27, 2)</f>
        <v>0</v>
      </c>
      <c r="I17" s="124">
        <f>ROUND(F17+G17+H17, 2)</f>
        <v>256587.11</v>
      </c>
      <c r="J17" s="125"/>
      <c r="K17" s="126">
        <v>58677.228383541995</v>
      </c>
      <c r="L17" s="126">
        <v>461453715.88431847</v>
      </c>
      <c r="M17" s="126">
        <v>0</v>
      </c>
      <c r="N17" s="125"/>
      <c r="O17" s="127">
        <f t="shared" ref="O17:O25" si="0">IF(ISERROR(ROUND(I17 / K17 / 12, 2)),0,ROUND(I17 / K17 / 12, 2))</f>
        <v>0.36</v>
      </c>
    </row>
    <row r="18" spans="1:26" x14ac:dyDescent="0.3">
      <c r="A18" s="128" t="s">
        <v>136</v>
      </c>
      <c r="B18" s="128"/>
      <c r="C18" s="129">
        <v>3.3277406634957131E-2</v>
      </c>
      <c r="D18" s="129">
        <v>8.9066040184144532E-2</v>
      </c>
      <c r="E18" s="129">
        <v>0</v>
      </c>
      <c r="F18" s="130">
        <f>ROUND(C18*I27, 2)</f>
        <v>15181.66</v>
      </c>
      <c r="G18" s="130">
        <f>ROUND(D18*I27, 2)</f>
        <v>40633.279999999999</v>
      </c>
      <c r="H18" s="130">
        <f>ROUND(E18*I27, 2)</f>
        <v>0</v>
      </c>
      <c r="I18" s="130">
        <f t="shared" ref="I18:I25" si="1">ROUND(F18+G18+H18, 2)</f>
        <v>55814.94</v>
      </c>
      <c r="J18" s="131"/>
      <c r="K18" s="132">
        <v>6450.8004596378669</v>
      </c>
      <c r="L18" s="132">
        <v>193967011.30428866</v>
      </c>
      <c r="M18" s="132">
        <v>0</v>
      </c>
      <c r="N18" s="131"/>
      <c r="O18" s="133">
        <f t="shared" si="0"/>
        <v>0.72</v>
      </c>
    </row>
    <row r="19" spans="1:26" x14ac:dyDescent="0.3">
      <c r="A19" s="128" t="s">
        <v>137</v>
      </c>
      <c r="B19" s="128"/>
      <c r="C19" s="129">
        <v>2.8240524407436053E-2</v>
      </c>
      <c r="D19" s="129">
        <v>0</v>
      </c>
      <c r="E19" s="129">
        <v>0.17012776976559049</v>
      </c>
      <c r="F19" s="130">
        <f>ROUND(C19*I27, 2)</f>
        <v>12883.76</v>
      </c>
      <c r="G19" s="130">
        <f>ROUND(D19*I27, 2)</f>
        <v>0</v>
      </c>
      <c r="H19" s="130">
        <f>ROUND(E19*I27, 2)</f>
        <v>77614.880000000005</v>
      </c>
      <c r="I19" s="130">
        <f t="shared" si="1"/>
        <v>90498.64</v>
      </c>
      <c r="J19" s="131"/>
      <c r="K19" s="132">
        <v>800.39940723505379</v>
      </c>
      <c r="L19" s="132">
        <v>490088356.1165024</v>
      </c>
      <c r="M19" s="132">
        <v>1564768.8659615966</v>
      </c>
      <c r="N19" s="131"/>
      <c r="O19" s="133">
        <f t="shared" si="0"/>
        <v>9.42</v>
      </c>
    </row>
    <row r="20" spans="1:26" x14ac:dyDescent="0.3">
      <c r="A20" s="128" t="s">
        <v>138</v>
      </c>
      <c r="B20" s="128"/>
      <c r="C20" s="129">
        <v>8.0451358038350646E-3</v>
      </c>
      <c r="D20" s="129">
        <v>0</v>
      </c>
      <c r="E20" s="129">
        <v>6.0525882376547165E-2</v>
      </c>
      <c r="F20" s="130">
        <f>ROUND(C20*I27, 2)</f>
        <v>3670.31</v>
      </c>
      <c r="G20" s="130">
        <f>ROUND(D20*I27, 2)</f>
        <v>0</v>
      </c>
      <c r="H20" s="130">
        <f>ROUND(E20*I27, 2)</f>
        <v>27612.83</v>
      </c>
      <c r="I20" s="130">
        <f t="shared" si="1"/>
        <v>31283.14</v>
      </c>
      <c r="J20" s="131"/>
      <c r="K20" s="132">
        <v>26.996108365352548</v>
      </c>
      <c r="L20" s="132">
        <v>214108990.23506707</v>
      </c>
      <c r="M20" s="132">
        <v>552368.59617165977</v>
      </c>
      <c r="N20" s="131"/>
      <c r="O20" s="133">
        <f t="shared" si="0"/>
        <v>96.57</v>
      </c>
    </row>
    <row r="21" spans="1:26" x14ac:dyDescent="0.3">
      <c r="A21" s="128" t="s">
        <v>139</v>
      </c>
      <c r="B21" s="128"/>
      <c r="C21" s="129">
        <v>6.1891451807660827E-3</v>
      </c>
      <c r="D21" s="129">
        <v>0</v>
      </c>
      <c r="E21" s="129">
        <v>1.5848858433119766E-2</v>
      </c>
      <c r="F21" s="130">
        <f>ROUND(C21*I27, 2)</f>
        <v>2823.58</v>
      </c>
      <c r="G21" s="130">
        <f>ROUND(D21*I27, 2)</f>
        <v>0</v>
      </c>
      <c r="H21" s="130">
        <f>ROUND(E21*I27, 2)</f>
        <v>7230.49</v>
      </c>
      <c r="I21" s="130">
        <f t="shared" si="1"/>
        <v>10054.07</v>
      </c>
      <c r="J21" s="131"/>
      <c r="K21" s="132">
        <v>2</v>
      </c>
      <c r="L21" s="132">
        <v>145141006.46077192</v>
      </c>
      <c r="M21" s="132">
        <v>330833.23069675616</v>
      </c>
      <c r="N21" s="131"/>
      <c r="O21" s="133">
        <f t="shared" si="0"/>
        <v>418.92</v>
      </c>
    </row>
    <row r="22" spans="1:26" x14ac:dyDescent="0.3">
      <c r="A22" s="128" t="s">
        <v>140</v>
      </c>
      <c r="B22" s="128"/>
      <c r="C22" s="129">
        <v>1.065558239429136E-2</v>
      </c>
      <c r="D22" s="129">
        <v>0</v>
      </c>
      <c r="E22" s="129">
        <v>4.8138893268278599E-3</v>
      </c>
      <c r="F22" s="130">
        <f>ROUND(C22*I27, 2)</f>
        <v>4861.24</v>
      </c>
      <c r="G22" s="130">
        <f>ROUND(D22*I27, 2)</f>
        <v>0</v>
      </c>
      <c r="H22" s="130">
        <f>ROUND(E22*I27, 2)</f>
        <v>2196.17</v>
      </c>
      <c r="I22" s="130">
        <f t="shared" si="1"/>
        <v>7057.41</v>
      </c>
      <c r="J22" s="131"/>
      <c r="K22" s="132">
        <v>16259.561065048532</v>
      </c>
      <c r="L22" s="132">
        <v>3798280.8279070691</v>
      </c>
      <c r="M22" s="132">
        <v>10945.463296866632</v>
      </c>
      <c r="N22" s="131"/>
      <c r="O22" s="133">
        <f t="shared" si="0"/>
        <v>0.04</v>
      </c>
    </row>
    <row r="23" spans="1:26" x14ac:dyDescent="0.3">
      <c r="A23" s="128" t="s">
        <v>141</v>
      </c>
      <c r="B23" s="128"/>
      <c r="C23" s="129">
        <v>1.0013502647361618E-3</v>
      </c>
      <c r="D23" s="129">
        <v>9.361854768187239E-4</v>
      </c>
      <c r="E23" s="129">
        <v>0</v>
      </c>
      <c r="F23" s="130">
        <f>ROUND(C23*I27, 2)</f>
        <v>456.83</v>
      </c>
      <c r="G23" s="130">
        <f>ROUND(D23*I27, 2)</f>
        <v>427.1</v>
      </c>
      <c r="H23" s="130">
        <f>ROUND(E23*I27, 2)</f>
        <v>0</v>
      </c>
      <c r="I23" s="130">
        <f t="shared" si="1"/>
        <v>883.93</v>
      </c>
      <c r="J23" s="131"/>
      <c r="K23" s="132">
        <v>499</v>
      </c>
      <c r="L23" s="132">
        <v>2273987.9970972422</v>
      </c>
      <c r="M23" s="132">
        <v>0</v>
      </c>
      <c r="N23" s="131"/>
      <c r="O23" s="133">
        <f t="shared" si="0"/>
        <v>0.15</v>
      </c>
    </row>
    <row r="24" spans="1:26" x14ac:dyDescent="0.3">
      <c r="A24" s="128" t="s">
        <v>142</v>
      </c>
      <c r="B24" s="128"/>
      <c r="C24" s="129">
        <v>1.631267507888054E-4</v>
      </c>
      <c r="D24" s="129">
        <v>0</v>
      </c>
      <c r="E24" s="129">
        <v>4.1489386488878879E-4</v>
      </c>
      <c r="F24" s="130">
        <f>ROUND(C24*I27, 2)</f>
        <v>74.42</v>
      </c>
      <c r="G24" s="130">
        <f>ROUND(D24*I27, 2)</f>
        <v>0</v>
      </c>
      <c r="H24" s="130">
        <f>ROUND(E24*I27, 2)</f>
        <v>189.28</v>
      </c>
      <c r="I24" s="130">
        <f t="shared" si="1"/>
        <v>263.7</v>
      </c>
      <c r="J24" s="131"/>
      <c r="K24" s="132">
        <v>168</v>
      </c>
      <c r="L24" s="132">
        <v>126989.00000000001</v>
      </c>
      <c r="M24" s="132">
        <v>342.92000000000007</v>
      </c>
      <c r="N24" s="131"/>
      <c r="O24" s="133">
        <f t="shared" si="0"/>
        <v>0.13</v>
      </c>
    </row>
    <row r="25" spans="1:26" x14ac:dyDescent="0.3">
      <c r="A25" s="128" t="s">
        <v>143</v>
      </c>
      <c r="B25" s="128"/>
      <c r="C25" s="129">
        <v>1.2030948781175367E-4</v>
      </c>
      <c r="D25" s="129">
        <v>0</v>
      </c>
      <c r="E25" s="129">
        <v>8.1483166120329947E-3</v>
      </c>
      <c r="F25" s="130">
        <f>ROUND(C25*I27, 2)</f>
        <v>54.89</v>
      </c>
      <c r="G25" s="130">
        <f>ROUND(D25*I27, 2)</f>
        <v>0</v>
      </c>
      <c r="H25" s="130">
        <f>ROUND(E25*I27, 2)</f>
        <v>3717.39</v>
      </c>
      <c r="I25" s="130">
        <f t="shared" si="1"/>
        <v>3772.28</v>
      </c>
      <c r="J25" s="131"/>
      <c r="K25" s="132">
        <v>5</v>
      </c>
      <c r="L25" s="132">
        <v>126523142.21807548</v>
      </c>
      <c r="M25" s="132">
        <v>272102.98667387018</v>
      </c>
      <c r="N25" s="131"/>
      <c r="O25" s="133">
        <f t="shared" si="0"/>
        <v>62.87</v>
      </c>
    </row>
    <row r="26" spans="1:26" x14ac:dyDescent="0.3">
      <c r="A26" s="134" t="s">
        <v>144</v>
      </c>
      <c r="B26" s="134"/>
      <c r="C26" s="135">
        <f t="shared" ref="C26:I26" si="2">SUM(C17:C25)</f>
        <v>0.61525879982288567</v>
      </c>
      <c r="D26" s="135">
        <f t="shared" si="2"/>
        <v>0.12486158979810726</v>
      </c>
      <c r="E26" s="135">
        <f t="shared" si="2"/>
        <v>0.25987961037900703</v>
      </c>
      <c r="F26" s="136">
        <f t="shared" si="2"/>
        <v>280690.43</v>
      </c>
      <c r="G26" s="136">
        <f t="shared" si="2"/>
        <v>56963.75</v>
      </c>
      <c r="H26" s="136">
        <f t="shared" si="2"/>
        <v>118561.04000000001</v>
      </c>
      <c r="I26" s="136">
        <f t="shared" si="2"/>
        <v>456215.22000000003</v>
      </c>
      <c r="J26" s="137"/>
      <c r="K26" s="136">
        <f>SUM(K17:K25)</f>
        <v>82888.985423828795</v>
      </c>
      <c r="L26" s="136">
        <f>SUM(L17:L25)</f>
        <v>1637481480.0440283</v>
      </c>
      <c r="M26" s="136">
        <f>SUM(M17:M25)</f>
        <v>2731362.0628007487</v>
      </c>
      <c r="N26" s="137"/>
      <c r="O26" s="137"/>
      <c r="Z26" s="138"/>
    </row>
    <row r="27" spans="1:26" x14ac:dyDescent="0.3">
      <c r="C27" s="139"/>
      <c r="D27" s="139"/>
      <c r="E27" s="139"/>
      <c r="F27" s="139"/>
      <c r="G27" s="139"/>
      <c r="H27" s="139"/>
      <c r="I27" s="140">
        <f>'10. Incremental Capital Adj.'!E96</f>
        <v>456215.2289377345</v>
      </c>
      <c r="J27" s="139"/>
      <c r="K27" s="139"/>
      <c r="L27" s="139"/>
      <c r="M27" s="139"/>
      <c r="N27" s="139"/>
      <c r="O27" s="139"/>
    </row>
    <row r="28" spans="1:26" x14ac:dyDescent="0.3">
      <c r="C28" s="139"/>
      <c r="D28" s="139"/>
      <c r="E28" s="139"/>
      <c r="F28" s="139"/>
      <c r="G28" s="139"/>
      <c r="H28" s="139"/>
      <c r="I28" s="141" t="s">
        <v>151</v>
      </c>
      <c r="J28" s="139"/>
      <c r="K28" s="139"/>
      <c r="L28" s="139"/>
      <c r="M28" s="139"/>
      <c r="N28" s="139"/>
      <c r="O28" s="139"/>
    </row>
    <row r="29" spans="1:26" x14ac:dyDescent="0.3">
      <c r="C29" s="139"/>
      <c r="D29" s="139"/>
      <c r="E29" s="139"/>
      <c r="F29" s="139"/>
      <c r="G29" s="139"/>
      <c r="H29" s="139"/>
      <c r="I29" s="139"/>
      <c r="J29" s="139"/>
      <c r="K29" s="139"/>
      <c r="L29" s="139"/>
      <c r="M29" s="139"/>
      <c r="N29" s="139"/>
      <c r="O29" s="139"/>
    </row>
    <row r="30" spans="1:26" x14ac:dyDescent="0.3">
      <c r="C30" s="139"/>
      <c r="D30" s="139"/>
      <c r="E30" s="139"/>
      <c r="F30" s="139"/>
      <c r="G30" s="139"/>
      <c r="H30" s="139"/>
      <c r="I30" s="139"/>
      <c r="J30" s="139"/>
      <c r="K30" s="139"/>
      <c r="L30" s="139"/>
      <c r="M30" s="139"/>
      <c r="N30" s="139"/>
      <c r="O30" s="139"/>
      <c r="P30" s="139"/>
      <c r="Q30" s="139"/>
    </row>
    <row r="31" spans="1:26" x14ac:dyDescent="0.3">
      <c r="C31" s="139"/>
      <c r="D31" s="139"/>
      <c r="E31" s="139"/>
      <c r="F31" s="139"/>
      <c r="G31" s="139"/>
      <c r="H31" s="139"/>
      <c r="I31" s="139"/>
      <c r="J31" s="139"/>
      <c r="K31" s="139"/>
      <c r="L31" s="139"/>
      <c r="M31" s="139"/>
      <c r="N31" s="139"/>
      <c r="O31" s="139"/>
      <c r="P31" s="139"/>
      <c r="Q31" s="139"/>
    </row>
    <row r="32" spans="1:26" x14ac:dyDescent="0.3">
      <c r="C32" s="139"/>
      <c r="D32" s="139"/>
      <c r="E32" s="139"/>
      <c r="F32" s="139"/>
      <c r="G32" s="139"/>
      <c r="H32" s="139"/>
      <c r="I32" s="139"/>
      <c r="J32" s="139"/>
      <c r="K32" s="139"/>
      <c r="L32" s="139"/>
      <c r="M32" s="139"/>
      <c r="N32" s="139"/>
      <c r="O32" s="139"/>
      <c r="P32" s="139"/>
      <c r="Q32" s="139"/>
    </row>
    <row r="33" spans="3:17" x14ac:dyDescent="0.3">
      <c r="C33" s="139"/>
      <c r="D33" s="139"/>
      <c r="E33" s="139"/>
      <c r="F33" s="139"/>
      <c r="G33" s="139"/>
      <c r="H33" s="139"/>
      <c r="I33" s="139"/>
      <c r="J33" s="139"/>
      <c r="K33" s="139"/>
      <c r="L33" s="139"/>
      <c r="M33" s="139"/>
      <c r="N33" s="139"/>
      <c r="O33" s="139"/>
      <c r="P33" s="139"/>
      <c r="Q33" s="139"/>
    </row>
    <row r="34" spans="3:17" x14ac:dyDescent="0.3">
      <c r="C34" s="139"/>
      <c r="D34" s="139"/>
      <c r="E34" s="139"/>
      <c r="F34" s="139"/>
      <c r="G34" s="139"/>
      <c r="H34" s="139"/>
      <c r="I34" s="139"/>
      <c r="J34" s="139"/>
      <c r="K34" s="139"/>
      <c r="L34" s="139"/>
      <c r="M34" s="139"/>
      <c r="N34" s="139"/>
      <c r="O34" s="139"/>
      <c r="P34" s="139"/>
      <c r="Q34" s="139"/>
    </row>
    <row r="35" spans="3:17" x14ac:dyDescent="0.3">
      <c r="C35" s="139"/>
      <c r="D35" s="139"/>
      <c r="E35" s="139"/>
      <c r="F35" s="139"/>
      <c r="G35" s="139"/>
      <c r="H35" s="139"/>
      <c r="I35" s="139"/>
      <c r="J35" s="139"/>
      <c r="K35" s="139"/>
      <c r="L35" s="139"/>
      <c r="M35" s="139"/>
      <c r="N35" s="139"/>
      <c r="O35" s="139"/>
      <c r="P35" s="139"/>
      <c r="Q35" s="139"/>
    </row>
    <row r="36" spans="3:17" x14ac:dyDescent="0.3">
      <c r="C36" s="139"/>
      <c r="D36" s="139"/>
      <c r="E36" s="139"/>
      <c r="F36" s="139"/>
      <c r="G36" s="139"/>
      <c r="H36" s="139"/>
      <c r="I36" s="139"/>
      <c r="J36" s="139"/>
      <c r="K36" s="139"/>
      <c r="L36" s="139"/>
      <c r="M36" s="139"/>
      <c r="N36" s="139"/>
      <c r="O36" s="139"/>
      <c r="P36" s="139"/>
      <c r="Q36" s="139"/>
    </row>
    <row r="37" spans="3:17" x14ac:dyDescent="0.3">
      <c r="C37" s="139"/>
      <c r="D37" s="139"/>
      <c r="E37" s="139"/>
      <c r="F37" s="139"/>
      <c r="G37" s="139"/>
      <c r="H37" s="139"/>
      <c r="I37" s="139"/>
      <c r="J37" s="139"/>
      <c r="K37" s="139"/>
      <c r="L37" s="139"/>
      <c r="M37" s="139"/>
      <c r="N37" s="139"/>
      <c r="O37" s="139"/>
      <c r="P37" s="139"/>
      <c r="Q37" s="139"/>
    </row>
    <row r="38" spans="3:17" x14ac:dyDescent="0.3">
      <c r="C38" s="139"/>
      <c r="D38" s="139"/>
      <c r="E38" s="139"/>
      <c r="F38" s="139"/>
      <c r="G38" s="139"/>
      <c r="H38" s="139"/>
      <c r="I38" s="139"/>
      <c r="J38" s="139"/>
      <c r="K38" s="139"/>
      <c r="L38" s="139"/>
      <c r="M38" s="139"/>
      <c r="N38" s="139"/>
      <c r="O38" s="139"/>
      <c r="P38" s="139"/>
      <c r="Q38" s="139"/>
    </row>
    <row r="39" spans="3:17" x14ac:dyDescent="0.3">
      <c r="C39" s="139"/>
      <c r="D39" s="139"/>
      <c r="E39" s="139"/>
      <c r="F39" s="139"/>
      <c r="G39" s="139"/>
      <c r="H39" s="139"/>
      <c r="I39" s="139"/>
      <c r="J39" s="139"/>
      <c r="K39" s="139"/>
      <c r="L39" s="139"/>
      <c r="M39" s="139"/>
      <c r="N39" s="139"/>
      <c r="O39" s="139"/>
      <c r="P39" s="139"/>
      <c r="Q39" s="139"/>
    </row>
    <row r="40" spans="3:17" x14ac:dyDescent="0.3">
      <c r="C40" s="139"/>
      <c r="D40" s="139"/>
      <c r="E40" s="139"/>
      <c r="F40" s="139"/>
      <c r="G40" s="139"/>
      <c r="H40" s="139"/>
      <c r="I40" s="139"/>
      <c r="J40" s="139"/>
      <c r="K40" s="139"/>
      <c r="L40" s="139"/>
      <c r="M40" s="139"/>
      <c r="N40" s="139"/>
      <c r="O40" s="139"/>
      <c r="P40" s="139"/>
      <c r="Q40" s="139"/>
    </row>
    <row r="41" spans="3:17" x14ac:dyDescent="0.3">
      <c r="C41" s="139"/>
      <c r="D41" s="139"/>
      <c r="E41" s="139"/>
      <c r="F41" s="139"/>
      <c r="G41" s="139"/>
      <c r="H41" s="139"/>
      <c r="I41" s="139"/>
      <c r="J41" s="139"/>
      <c r="K41" s="139"/>
      <c r="L41" s="139"/>
      <c r="M41" s="139"/>
      <c r="N41" s="139"/>
      <c r="O41" s="139"/>
      <c r="P41" s="139"/>
      <c r="Q41" s="139"/>
    </row>
    <row r="42" spans="3:17" x14ac:dyDescent="0.3">
      <c r="C42" s="139"/>
      <c r="D42" s="139"/>
      <c r="E42" s="139"/>
      <c r="F42" s="139"/>
      <c r="G42" s="139"/>
      <c r="H42" s="139"/>
      <c r="I42" s="139"/>
      <c r="J42" s="139"/>
      <c r="K42" s="139"/>
      <c r="L42" s="139"/>
      <c r="M42" s="139"/>
      <c r="N42" s="139"/>
      <c r="O42" s="139"/>
      <c r="P42" s="139"/>
      <c r="Q42" s="139"/>
    </row>
    <row r="43" spans="3:17" x14ac:dyDescent="0.3">
      <c r="C43" s="139"/>
      <c r="D43" s="139"/>
      <c r="E43" s="139"/>
      <c r="F43" s="139"/>
      <c r="G43" s="139"/>
      <c r="H43" s="139"/>
      <c r="I43" s="139"/>
      <c r="J43" s="139"/>
      <c r="K43" s="139"/>
      <c r="L43" s="139"/>
      <c r="M43" s="139"/>
      <c r="N43" s="139"/>
      <c r="O43" s="139"/>
      <c r="P43" s="139"/>
      <c r="Q43" s="139"/>
    </row>
    <row r="44" spans="3:17" x14ac:dyDescent="0.3">
      <c r="C44" s="139"/>
      <c r="D44" s="139"/>
      <c r="E44" s="139"/>
      <c r="F44" s="139"/>
      <c r="G44" s="139"/>
      <c r="H44" s="139"/>
      <c r="I44" s="139"/>
      <c r="J44" s="139"/>
      <c r="K44" s="139"/>
      <c r="L44" s="139"/>
      <c r="M44" s="139"/>
      <c r="N44" s="139"/>
      <c r="O44" s="139"/>
      <c r="P44" s="139"/>
      <c r="Q44" s="139"/>
    </row>
    <row r="45" spans="3:17" x14ac:dyDescent="0.3">
      <c r="C45" s="139"/>
      <c r="D45" s="139"/>
      <c r="E45" s="139"/>
      <c r="F45" s="139"/>
      <c r="G45" s="139"/>
      <c r="H45" s="139"/>
      <c r="I45" s="139"/>
      <c r="J45" s="139"/>
      <c r="K45" s="139"/>
      <c r="L45" s="139"/>
      <c r="M45" s="139"/>
      <c r="N45" s="139"/>
      <c r="O45" s="139"/>
      <c r="P45" s="139"/>
      <c r="Q45" s="139"/>
    </row>
    <row r="46" spans="3:17" x14ac:dyDescent="0.3">
      <c r="C46" s="139"/>
      <c r="D46" s="139"/>
      <c r="E46" s="139"/>
      <c r="F46" s="139"/>
      <c r="G46" s="139"/>
      <c r="H46" s="139"/>
      <c r="I46" s="139"/>
      <c r="J46" s="139"/>
      <c r="K46" s="139"/>
      <c r="L46" s="139"/>
      <c r="M46" s="139"/>
      <c r="N46" s="139"/>
      <c r="O46" s="139"/>
      <c r="P46" s="139"/>
      <c r="Q46" s="139"/>
    </row>
    <row r="47" spans="3:17" x14ac:dyDescent="0.3">
      <c r="C47" s="139"/>
      <c r="D47" s="139"/>
      <c r="E47" s="139"/>
      <c r="F47" s="139"/>
      <c r="G47" s="139"/>
      <c r="H47" s="139"/>
      <c r="I47" s="139"/>
      <c r="J47" s="139"/>
      <c r="K47" s="139"/>
      <c r="L47" s="139"/>
      <c r="M47" s="139"/>
      <c r="N47" s="139"/>
      <c r="O47" s="139"/>
      <c r="P47" s="139"/>
      <c r="Q47" s="139"/>
    </row>
    <row r="48" spans="3:17" x14ac:dyDescent="0.3">
      <c r="C48" s="139"/>
      <c r="D48" s="139"/>
      <c r="E48" s="139"/>
      <c r="F48" s="139"/>
      <c r="G48" s="139"/>
      <c r="H48" s="139"/>
      <c r="I48" s="139"/>
      <c r="J48" s="139"/>
      <c r="K48" s="139"/>
      <c r="L48" s="139"/>
      <c r="M48" s="139"/>
      <c r="N48" s="139"/>
      <c r="O48" s="139"/>
      <c r="P48" s="139"/>
      <c r="Q48" s="139"/>
    </row>
    <row r="49" spans="3:17" x14ac:dyDescent="0.3">
      <c r="C49" s="139"/>
      <c r="D49" s="139"/>
      <c r="E49" s="139"/>
      <c r="F49" s="139"/>
      <c r="G49" s="139"/>
      <c r="H49" s="139"/>
      <c r="I49" s="139"/>
      <c r="J49" s="139"/>
      <c r="K49" s="139"/>
      <c r="L49" s="139"/>
      <c r="M49" s="139"/>
      <c r="N49" s="139"/>
      <c r="O49" s="139"/>
      <c r="P49" s="139"/>
      <c r="Q49" s="139"/>
    </row>
    <row r="50" spans="3:17" x14ac:dyDescent="0.3">
      <c r="C50" s="139"/>
      <c r="D50" s="139"/>
      <c r="E50" s="139"/>
      <c r="F50" s="139"/>
      <c r="G50" s="139"/>
      <c r="H50" s="139"/>
      <c r="I50" s="139"/>
      <c r="J50" s="139"/>
      <c r="K50" s="139"/>
      <c r="L50" s="139"/>
      <c r="M50" s="139"/>
      <c r="N50" s="139"/>
      <c r="O50" s="139"/>
      <c r="P50" s="139"/>
      <c r="Q50" s="139"/>
    </row>
  </sheetData>
  <mergeCells count="2">
    <mergeCell ref="A13:D13"/>
    <mergeCell ref="E13:F13"/>
  </mergeCells>
  <dataValidations count="1">
    <dataValidation type="list" allowBlank="1" showInputMessage="1" showErrorMessage="1" sqref="E13:F13" xr:uid="{F102502A-7191-4714-8B9C-52DC793B50D1}">
      <formula1>"Fixed and Variable Rate Riders, Variable Only Rate Rider, Fixed Only Rate Rider"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ROU Asset Schedules</vt:lpstr>
      <vt:lpstr>9b. Proposed ACM ICM Projects</vt:lpstr>
      <vt:lpstr>10. Incremental Capital Adj.</vt:lpstr>
      <vt:lpstr>11. Rate Rider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Molon</dc:creator>
  <cp:lastModifiedBy>Dan Molon</cp:lastModifiedBy>
  <cp:lastPrinted>2019-10-31T17:55:00Z</cp:lastPrinted>
  <dcterms:created xsi:type="dcterms:W3CDTF">2019-10-30T17:41:05Z</dcterms:created>
  <dcterms:modified xsi:type="dcterms:W3CDTF">2019-11-05T16:33:43Z</dcterms:modified>
</cp:coreProperties>
</file>