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EB Rate Applications\2020 IRM Application\04 - Interrogatories\4 - Submission to OEB\Models\"/>
    </mc:Choice>
  </mc:AlternateContent>
  <xr:revisionPtr revIDLastSave="0" documentId="13_ncr:1_{459EE190-4133-48C0-96AE-31EA26C19923}" xr6:coauthVersionLast="41" xr6:coauthVersionMax="41" xr10:uidLastSave="{00000000-0000-0000-0000-000000000000}"/>
  <bookViews>
    <workbookView xWindow="20052" yWindow="-108" windowWidth="20376" windowHeight="12816" tabRatio="798" xr2:uid="{D62153A7-4926-4653-A77E-F22510DDD2A1}"/>
  </bookViews>
  <sheets>
    <sheet name="Summary" sheetId="7" r:id="rId1"/>
    <sheet name="Inputs &gt;&gt;" sheetId="10" r:id="rId2"/>
    <sheet name="Consumption and Rates" sheetId="1" r:id="rId3"/>
    <sheet name="Calculations &gt;&gt;" sheetId="11" r:id="rId4"/>
    <sheet name="OEB Model (CND)" sheetId="2" r:id="rId5"/>
    <sheet name="OEB Model (BCP)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7" i="2" l="1"/>
  <c r="D187" i="2"/>
  <c r="E187" i="2"/>
  <c r="F187" i="2"/>
  <c r="G187" i="2"/>
  <c r="H187" i="2"/>
  <c r="I187" i="2"/>
  <c r="J187" i="2"/>
  <c r="K187" i="2"/>
  <c r="L187" i="2"/>
  <c r="M187" i="2"/>
  <c r="N187" i="2"/>
  <c r="C103" i="2" l="1"/>
  <c r="D103" i="2"/>
  <c r="E103" i="2"/>
  <c r="F103" i="2"/>
  <c r="G103" i="2"/>
  <c r="H103" i="2"/>
  <c r="I103" i="2"/>
  <c r="J103" i="2"/>
  <c r="K103" i="2"/>
  <c r="L103" i="2"/>
  <c r="M103" i="2"/>
  <c r="N103" i="2"/>
  <c r="N273" i="2"/>
  <c r="M273" i="2"/>
  <c r="L273" i="2"/>
  <c r="K273" i="2"/>
  <c r="J273" i="2"/>
  <c r="I273" i="2"/>
  <c r="H273" i="2"/>
  <c r="G273" i="2"/>
  <c r="F273" i="2"/>
  <c r="E273" i="2"/>
  <c r="D273" i="2"/>
  <c r="C273" i="2"/>
  <c r="D273" i="6"/>
  <c r="E273" i="6"/>
  <c r="F273" i="6"/>
  <c r="G273" i="6"/>
  <c r="H273" i="6"/>
  <c r="I273" i="6"/>
  <c r="J273" i="6"/>
  <c r="K273" i="6"/>
  <c r="L273" i="6"/>
  <c r="M273" i="6"/>
  <c r="N273" i="6"/>
  <c r="C273" i="6"/>
  <c r="O273" i="2" l="1"/>
  <c r="F45" i="1" l="1"/>
  <c r="G45" i="1"/>
  <c r="H45" i="1"/>
  <c r="I45" i="1"/>
  <c r="J45" i="1"/>
  <c r="K45" i="1"/>
  <c r="L45" i="1"/>
  <c r="M45" i="1"/>
  <c r="N45" i="1"/>
  <c r="O45" i="1"/>
  <c r="P45" i="1"/>
  <c r="E45" i="1"/>
  <c r="F44" i="1" l="1"/>
  <c r="D7" i="6" s="1"/>
  <c r="G44" i="1"/>
  <c r="E7" i="6" s="1"/>
  <c r="H44" i="1"/>
  <c r="F7" i="6" s="1"/>
  <c r="I44" i="1"/>
  <c r="J44" i="1"/>
  <c r="H7" i="6" s="1"/>
  <c r="K44" i="1"/>
  <c r="I7" i="6" s="1"/>
  <c r="L44" i="1"/>
  <c r="M44" i="1"/>
  <c r="N44" i="1"/>
  <c r="L7" i="6" s="1"/>
  <c r="O44" i="1"/>
  <c r="M7" i="6" s="1"/>
  <c r="P44" i="1"/>
  <c r="N7" i="6" s="1"/>
  <c r="D54" i="6"/>
  <c r="D312" i="6" s="1"/>
  <c r="E54" i="6"/>
  <c r="E312" i="6" s="1"/>
  <c r="F54" i="6"/>
  <c r="F312" i="6" s="1"/>
  <c r="G54" i="6"/>
  <c r="G312" i="6" s="1"/>
  <c r="H54" i="6"/>
  <c r="H312" i="6" s="1"/>
  <c r="I54" i="6"/>
  <c r="I312" i="6" s="1"/>
  <c r="J54" i="6"/>
  <c r="J312" i="6" s="1"/>
  <c r="K54" i="6"/>
  <c r="K312" i="6" s="1"/>
  <c r="L54" i="6"/>
  <c r="L312" i="6" s="1"/>
  <c r="N54" i="6"/>
  <c r="N312" i="6" s="1"/>
  <c r="F46" i="1"/>
  <c r="G46" i="1"/>
  <c r="H46" i="1"/>
  <c r="I46" i="1"/>
  <c r="J46" i="1"/>
  <c r="K46" i="1"/>
  <c r="L46" i="1"/>
  <c r="M46" i="1"/>
  <c r="N46" i="1"/>
  <c r="O46" i="1"/>
  <c r="P46" i="1"/>
  <c r="F47" i="1"/>
  <c r="G47" i="1"/>
  <c r="H47" i="1"/>
  <c r="I47" i="1"/>
  <c r="J47" i="1"/>
  <c r="K47" i="1"/>
  <c r="L47" i="1"/>
  <c r="M47" i="1"/>
  <c r="N47" i="1"/>
  <c r="O47" i="1"/>
  <c r="P47" i="1"/>
  <c r="F48" i="1"/>
  <c r="G48" i="1"/>
  <c r="H48" i="1"/>
  <c r="I48" i="1"/>
  <c r="J48" i="1"/>
  <c r="K48" i="1"/>
  <c r="L48" i="1"/>
  <c r="M48" i="1"/>
  <c r="N48" i="1"/>
  <c r="O48" i="1"/>
  <c r="P48" i="1"/>
  <c r="F49" i="1"/>
  <c r="G49" i="1"/>
  <c r="H49" i="1"/>
  <c r="I49" i="1"/>
  <c r="J49" i="1"/>
  <c r="K49" i="1"/>
  <c r="L49" i="1"/>
  <c r="M49" i="1"/>
  <c r="N49" i="1"/>
  <c r="O49" i="1"/>
  <c r="P49" i="1"/>
  <c r="F50" i="1"/>
  <c r="G50" i="1"/>
  <c r="H50" i="1"/>
  <c r="I50" i="1"/>
  <c r="J50" i="1"/>
  <c r="K50" i="1"/>
  <c r="L50" i="1"/>
  <c r="M50" i="1"/>
  <c r="N50" i="1"/>
  <c r="O50" i="1"/>
  <c r="P50" i="1"/>
  <c r="E50" i="1"/>
  <c r="E49" i="1"/>
  <c r="E48" i="1"/>
  <c r="E47" i="1"/>
  <c r="E46" i="1"/>
  <c r="C54" i="6"/>
  <c r="C312" i="6" s="1"/>
  <c r="E44" i="1"/>
  <c r="C7" i="6" s="1"/>
  <c r="C85" i="6" l="1"/>
  <c r="E84" i="6"/>
  <c r="D83" i="6"/>
  <c r="G85" i="6"/>
  <c r="M84" i="6"/>
  <c r="I84" i="6"/>
  <c r="L83" i="6"/>
  <c r="H83" i="6"/>
  <c r="K85" i="6"/>
  <c r="N291" i="6"/>
  <c r="J291" i="6"/>
  <c r="F291" i="6"/>
  <c r="M290" i="6"/>
  <c r="I290" i="6"/>
  <c r="E290" i="6"/>
  <c r="K291" i="6"/>
  <c r="G291" i="6"/>
  <c r="N290" i="6"/>
  <c r="J290" i="6"/>
  <c r="F290" i="6"/>
  <c r="C291" i="6"/>
  <c r="M291" i="6"/>
  <c r="I291" i="6"/>
  <c r="E291" i="6"/>
  <c r="L290" i="6"/>
  <c r="H290" i="6"/>
  <c r="D290" i="6"/>
  <c r="C290" i="6"/>
  <c r="L291" i="6"/>
  <c r="H291" i="6"/>
  <c r="D291" i="6"/>
  <c r="K290" i="6"/>
  <c r="G290" i="6"/>
  <c r="C83" i="6"/>
  <c r="L84" i="6"/>
  <c r="H84" i="6"/>
  <c r="D84" i="6"/>
  <c r="K83" i="6"/>
  <c r="G83" i="6"/>
  <c r="N85" i="6"/>
  <c r="J85" i="6"/>
  <c r="F85" i="6"/>
  <c r="C84" i="6"/>
  <c r="K84" i="6"/>
  <c r="G84" i="6"/>
  <c r="N83" i="6"/>
  <c r="J83" i="6"/>
  <c r="F83" i="6"/>
  <c r="M85" i="6"/>
  <c r="I85" i="6"/>
  <c r="E85" i="6"/>
  <c r="N84" i="6"/>
  <c r="J84" i="6"/>
  <c r="F84" i="6"/>
  <c r="M83" i="6"/>
  <c r="I83" i="6"/>
  <c r="E83" i="6"/>
  <c r="L85" i="6"/>
  <c r="H85" i="6"/>
  <c r="D85" i="6"/>
  <c r="N82" i="6"/>
  <c r="J82" i="6"/>
  <c r="F82" i="6"/>
  <c r="Q50" i="1"/>
  <c r="M53" i="6"/>
  <c r="I81" i="6"/>
  <c r="E53" i="6"/>
  <c r="M82" i="6"/>
  <c r="I82" i="6"/>
  <c r="E82" i="6"/>
  <c r="L53" i="6"/>
  <c r="H53" i="6"/>
  <c r="D53" i="6"/>
  <c r="C81" i="6"/>
  <c r="L82" i="6"/>
  <c r="H82" i="6"/>
  <c r="D82" i="6"/>
  <c r="K81" i="6"/>
  <c r="G81" i="6"/>
  <c r="F51" i="1"/>
  <c r="C82" i="6"/>
  <c r="K82" i="6"/>
  <c r="G82" i="6"/>
  <c r="J81" i="6"/>
  <c r="F53" i="6"/>
  <c r="M51" i="1"/>
  <c r="G53" i="6"/>
  <c r="M81" i="6"/>
  <c r="E81" i="6"/>
  <c r="N51" i="1"/>
  <c r="L51" i="1"/>
  <c r="J53" i="6"/>
  <c r="L81" i="6"/>
  <c r="H81" i="6"/>
  <c r="D81" i="6"/>
  <c r="I51" i="1"/>
  <c r="N53" i="6"/>
  <c r="Q46" i="1"/>
  <c r="K7" i="6"/>
  <c r="G7" i="6"/>
  <c r="C53" i="6"/>
  <c r="I53" i="6"/>
  <c r="K53" i="6"/>
  <c r="Q47" i="1"/>
  <c r="P51" i="1"/>
  <c r="H51" i="1"/>
  <c r="O51" i="1"/>
  <c r="K51" i="1"/>
  <c r="G51" i="1"/>
  <c r="J51" i="1"/>
  <c r="Q44" i="1"/>
  <c r="J7" i="6"/>
  <c r="N81" i="6"/>
  <c r="F81" i="6"/>
  <c r="M54" i="6"/>
  <c r="M312" i="6" s="1"/>
  <c r="Q48" i="1"/>
  <c r="Q49" i="1"/>
  <c r="E51" i="1"/>
  <c r="Q45" i="1"/>
  <c r="O312" i="6" l="1"/>
  <c r="O290" i="6"/>
  <c r="O291" i="6"/>
  <c r="Q51" i="1"/>
  <c r="O260" i="6" l="1"/>
  <c r="O245" i="6"/>
  <c r="N187" i="6"/>
  <c r="N101" i="6" s="1"/>
  <c r="M187" i="6"/>
  <c r="M101" i="6" s="1"/>
  <c r="L187" i="6"/>
  <c r="L101" i="6" s="1"/>
  <c r="K187" i="6"/>
  <c r="K101" i="6" s="1"/>
  <c r="J187" i="6"/>
  <c r="J101" i="6" s="1"/>
  <c r="I187" i="6"/>
  <c r="I101" i="6" s="1"/>
  <c r="H187" i="6"/>
  <c r="H101" i="6" s="1"/>
  <c r="H255" i="6" s="1"/>
  <c r="G187" i="6"/>
  <c r="G101" i="6" s="1"/>
  <c r="F187" i="6"/>
  <c r="F101" i="6" s="1"/>
  <c r="E187" i="6"/>
  <c r="E101" i="6" s="1"/>
  <c r="D187" i="6"/>
  <c r="D101" i="6" s="1"/>
  <c r="D255" i="6" s="1"/>
  <c r="C187" i="6"/>
  <c r="C101" i="6" s="1"/>
  <c r="C255" i="6" s="1"/>
  <c r="N147" i="6"/>
  <c r="M147" i="6"/>
  <c r="L147" i="6"/>
  <c r="K147" i="6"/>
  <c r="J147" i="6"/>
  <c r="I147" i="6"/>
  <c r="H147" i="6"/>
  <c r="G147" i="6"/>
  <c r="F147" i="6"/>
  <c r="E147" i="6"/>
  <c r="D147" i="6"/>
  <c r="C147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G36" i="6"/>
  <c r="L92" i="6"/>
  <c r="L153" i="6" s="1"/>
  <c r="D92" i="6"/>
  <c r="D153" i="6" s="1"/>
  <c r="D161" i="6" s="1"/>
  <c r="C35" i="6"/>
  <c r="L90" i="6"/>
  <c r="L151" i="6" s="1"/>
  <c r="K33" i="6"/>
  <c r="D90" i="6"/>
  <c r="D151" i="6" s="1"/>
  <c r="D159" i="6" s="1"/>
  <c r="H34" i="6"/>
  <c r="D33" i="6"/>
  <c r="D32" i="6"/>
  <c r="G62" i="6"/>
  <c r="G173" i="6" s="1"/>
  <c r="P22" i="1"/>
  <c r="N136" i="6" s="1"/>
  <c r="P21" i="1"/>
  <c r="N132" i="6" s="1"/>
  <c r="P20" i="1"/>
  <c r="N131" i="6" s="1"/>
  <c r="O22" i="1"/>
  <c r="M136" i="6" s="1"/>
  <c r="O21" i="1"/>
  <c r="M132" i="6" s="1"/>
  <c r="M261" i="6" s="1"/>
  <c r="O20" i="1"/>
  <c r="M131" i="6" s="1"/>
  <c r="N22" i="1"/>
  <c r="L136" i="6" s="1"/>
  <c r="N21" i="1"/>
  <c r="L132" i="6" s="1"/>
  <c r="L178" i="6" s="1"/>
  <c r="N20" i="1"/>
  <c r="L131" i="6" s="1"/>
  <c r="M22" i="1"/>
  <c r="K136" i="6" s="1"/>
  <c r="M21" i="1"/>
  <c r="K132" i="6" s="1"/>
  <c r="K261" i="6" s="1"/>
  <c r="M20" i="1"/>
  <c r="K131" i="6" s="1"/>
  <c r="L22" i="1"/>
  <c r="J136" i="6" s="1"/>
  <c r="L21" i="1"/>
  <c r="J132" i="6" s="1"/>
  <c r="L20" i="1"/>
  <c r="J131" i="6" s="1"/>
  <c r="K22" i="1"/>
  <c r="I136" i="6" s="1"/>
  <c r="K21" i="1"/>
  <c r="I132" i="6" s="1"/>
  <c r="I246" i="6" s="1"/>
  <c r="K20" i="1"/>
  <c r="I131" i="6" s="1"/>
  <c r="J22" i="1"/>
  <c r="H136" i="6" s="1"/>
  <c r="J21" i="1"/>
  <c r="H132" i="6" s="1"/>
  <c r="H178" i="6" s="1"/>
  <c r="J20" i="1"/>
  <c r="H131" i="6" s="1"/>
  <c r="I22" i="1"/>
  <c r="G136" i="6" s="1"/>
  <c r="I21" i="1"/>
  <c r="G132" i="6" s="1"/>
  <c r="I20" i="1"/>
  <c r="G131" i="6" s="1"/>
  <c r="H22" i="1"/>
  <c r="F136" i="6" s="1"/>
  <c r="H21" i="1"/>
  <c r="F132" i="6" s="1"/>
  <c r="H20" i="1"/>
  <c r="F131" i="6" s="1"/>
  <c r="G22" i="1"/>
  <c r="E136" i="6" s="1"/>
  <c r="G21" i="1"/>
  <c r="E132" i="6" s="1"/>
  <c r="G20" i="1"/>
  <c r="E131" i="6" s="1"/>
  <c r="F22" i="1"/>
  <c r="D136" i="6" s="1"/>
  <c r="F21" i="1"/>
  <c r="D132" i="6" s="1"/>
  <c r="D261" i="6" s="1"/>
  <c r="F20" i="1"/>
  <c r="D131" i="6" s="1"/>
  <c r="E22" i="1"/>
  <c r="C136" i="6" s="1"/>
  <c r="E21" i="1"/>
  <c r="C132" i="6" s="1"/>
  <c r="C246" i="6" s="1"/>
  <c r="E20" i="1"/>
  <c r="C131" i="6" s="1"/>
  <c r="E54" i="1"/>
  <c r="F54" i="1"/>
  <c r="G54" i="1"/>
  <c r="H54" i="1"/>
  <c r="I54" i="1"/>
  <c r="J54" i="1"/>
  <c r="K54" i="1"/>
  <c r="L54" i="1"/>
  <c r="M54" i="1"/>
  <c r="N54" i="1"/>
  <c r="O54" i="1"/>
  <c r="P54" i="1"/>
  <c r="E55" i="1"/>
  <c r="F55" i="1"/>
  <c r="G55" i="1"/>
  <c r="H55" i="1"/>
  <c r="I55" i="1"/>
  <c r="G174" i="6" s="1"/>
  <c r="J55" i="1"/>
  <c r="K55" i="1"/>
  <c r="L55" i="1"/>
  <c r="M55" i="1"/>
  <c r="K174" i="6" s="1"/>
  <c r="N55" i="1"/>
  <c r="O55" i="1"/>
  <c r="P55" i="1"/>
  <c r="E56" i="1"/>
  <c r="F56" i="1"/>
  <c r="G56" i="1"/>
  <c r="H56" i="1"/>
  <c r="I56" i="1"/>
  <c r="J56" i="1"/>
  <c r="K56" i="1"/>
  <c r="L56" i="1"/>
  <c r="M56" i="1"/>
  <c r="N56" i="1"/>
  <c r="O56" i="1"/>
  <c r="P56" i="1"/>
  <c r="E57" i="1"/>
  <c r="F57" i="1"/>
  <c r="G57" i="1"/>
  <c r="H57" i="1"/>
  <c r="I57" i="1"/>
  <c r="J57" i="1"/>
  <c r="K57" i="1"/>
  <c r="L57" i="1"/>
  <c r="M57" i="1"/>
  <c r="N57" i="1"/>
  <c r="O57" i="1"/>
  <c r="P57" i="1"/>
  <c r="E58" i="1"/>
  <c r="F58" i="1"/>
  <c r="G58" i="1"/>
  <c r="H58" i="1"/>
  <c r="I58" i="1"/>
  <c r="J58" i="1"/>
  <c r="K58" i="1"/>
  <c r="L58" i="1"/>
  <c r="M58" i="1"/>
  <c r="N58" i="1"/>
  <c r="O58" i="1"/>
  <c r="P58" i="1"/>
  <c r="E59" i="1"/>
  <c r="F59" i="1"/>
  <c r="G59" i="1"/>
  <c r="H59" i="1"/>
  <c r="I59" i="1"/>
  <c r="J59" i="1"/>
  <c r="K59" i="1"/>
  <c r="L59" i="1"/>
  <c r="M59" i="1"/>
  <c r="N59" i="1"/>
  <c r="O59" i="1"/>
  <c r="P59" i="1"/>
  <c r="E60" i="1"/>
  <c r="F60" i="1"/>
  <c r="G60" i="1"/>
  <c r="H60" i="1"/>
  <c r="I60" i="1"/>
  <c r="J60" i="1"/>
  <c r="K60" i="1"/>
  <c r="L60" i="1"/>
  <c r="M60" i="1"/>
  <c r="N60" i="1"/>
  <c r="O60" i="1"/>
  <c r="P60" i="1"/>
  <c r="D290" i="2"/>
  <c r="H290" i="2"/>
  <c r="L290" i="2"/>
  <c r="D291" i="2"/>
  <c r="E291" i="2"/>
  <c r="H291" i="2"/>
  <c r="I291" i="2"/>
  <c r="L291" i="2"/>
  <c r="M291" i="2"/>
  <c r="C290" i="2" l="1"/>
  <c r="K290" i="2"/>
  <c r="G290" i="2"/>
  <c r="C291" i="2"/>
  <c r="K291" i="2"/>
  <c r="G291" i="2"/>
  <c r="N290" i="2"/>
  <c r="J290" i="2"/>
  <c r="F290" i="2"/>
  <c r="N291" i="2"/>
  <c r="J291" i="2"/>
  <c r="F291" i="2"/>
  <c r="M290" i="2"/>
  <c r="I290" i="2"/>
  <c r="E290" i="2"/>
  <c r="F113" i="6"/>
  <c r="F114" i="6" s="1"/>
  <c r="F316" i="6"/>
  <c r="N113" i="6"/>
  <c r="N114" i="6" s="1"/>
  <c r="N316" i="6"/>
  <c r="C113" i="6"/>
  <c r="C114" i="6" s="1"/>
  <c r="C316" i="6"/>
  <c r="G113" i="6"/>
  <c r="G114" i="6" s="1"/>
  <c r="G316" i="6"/>
  <c r="E113" i="6"/>
  <c r="E316" i="6"/>
  <c r="I113" i="6"/>
  <c r="I114" i="6" s="1"/>
  <c r="I316" i="6"/>
  <c r="M113" i="6"/>
  <c r="M114" i="6" s="1"/>
  <c r="M316" i="6"/>
  <c r="J113" i="6"/>
  <c r="J316" i="6"/>
  <c r="K113" i="6"/>
  <c r="K114" i="6" s="1"/>
  <c r="K316" i="6"/>
  <c r="D113" i="6"/>
  <c r="D316" i="6"/>
  <c r="H113" i="6"/>
  <c r="H114" i="6" s="1"/>
  <c r="H316" i="6"/>
  <c r="L113" i="6"/>
  <c r="L114" i="6" s="1"/>
  <c r="L316" i="6"/>
  <c r="K247" i="6"/>
  <c r="D247" i="6"/>
  <c r="H247" i="6"/>
  <c r="L247" i="6"/>
  <c r="C34" i="6"/>
  <c r="M35" i="6"/>
  <c r="I92" i="6"/>
  <c r="I153" i="6" s="1"/>
  <c r="I161" i="6" s="1"/>
  <c r="E35" i="6"/>
  <c r="M34" i="6"/>
  <c r="E34" i="6"/>
  <c r="M93" i="6"/>
  <c r="M154" i="6" s="1"/>
  <c r="M162" i="6" s="1"/>
  <c r="I36" i="6"/>
  <c r="E93" i="6"/>
  <c r="E154" i="6" s="1"/>
  <c r="E162" i="6" s="1"/>
  <c r="M33" i="6"/>
  <c r="I33" i="6"/>
  <c r="E90" i="6"/>
  <c r="E151" i="6" s="1"/>
  <c r="E159" i="6" s="1"/>
  <c r="M32" i="6"/>
  <c r="I32" i="6"/>
  <c r="O273" i="6"/>
  <c r="G170" i="6"/>
  <c r="G179" i="6" s="1"/>
  <c r="G255" i="6"/>
  <c r="K170" i="6"/>
  <c r="K179" i="6" s="1"/>
  <c r="K255" i="6"/>
  <c r="L170" i="6"/>
  <c r="L255" i="6"/>
  <c r="L161" i="6"/>
  <c r="E170" i="6"/>
  <c r="E255" i="6"/>
  <c r="I170" i="6"/>
  <c r="I255" i="6"/>
  <c r="M170" i="6"/>
  <c r="M255" i="6"/>
  <c r="L159" i="6"/>
  <c r="F170" i="6"/>
  <c r="F255" i="6"/>
  <c r="J170" i="6"/>
  <c r="J255" i="6"/>
  <c r="N170" i="6"/>
  <c r="N255" i="6"/>
  <c r="J114" i="6"/>
  <c r="I261" i="6"/>
  <c r="I274" i="6" s="1"/>
  <c r="E114" i="6"/>
  <c r="L261" i="6"/>
  <c r="D246" i="6"/>
  <c r="D178" i="6"/>
  <c r="H246" i="6"/>
  <c r="H248" i="6" s="1"/>
  <c r="H298" i="6" s="1"/>
  <c r="H261" i="6"/>
  <c r="L246" i="6"/>
  <c r="Q20" i="1"/>
  <c r="Q22" i="1"/>
  <c r="I178" i="6"/>
  <c r="M246" i="6"/>
  <c r="M274" i="6" s="1"/>
  <c r="K36" i="6"/>
  <c r="I91" i="6"/>
  <c r="I152" i="6" s="1"/>
  <c r="I160" i="6" s="1"/>
  <c r="I34" i="6"/>
  <c r="K35" i="6"/>
  <c r="E86" i="6"/>
  <c r="E89" i="6"/>
  <c r="E150" i="6" s="1"/>
  <c r="E158" i="6" s="1"/>
  <c r="I35" i="6"/>
  <c r="M36" i="6"/>
  <c r="G89" i="6"/>
  <c r="G150" i="6" s="1"/>
  <c r="G158" i="6" s="1"/>
  <c r="G34" i="6"/>
  <c r="G86" i="6"/>
  <c r="E32" i="6"/>
  <c r="E33" i="6"/>
  <c r="L35" i="6"/>
  <c r="H89" i="6"/>
  <c r="H150" i="6" s="1"/>
  <c r="H32" i="6"/>
  <c r="H91" i="6"/>
  <c r="H152" i="6" s="1"/>
  <c r="H160" i="6" s="1"/>
  <c r="H93" i="6"/>
  <c r="H154" i="6" s="1"/>
  <c r="H162" i="6" s="1"/>
  <c r="I86" i="6"/>
  <c r="D174" i="6"/>
  <c r="K61" i="6"/>
  <c r="K190" i="6" s="1"/>
  <c r="C91" i="6"/>
  <c r="C152" i="6" s="1"/>
  <c r="C160" i="6" s="1"/>
  <c r="E36" i="6"/>
  <c r="L174" i="6"/>
  <c r="F91" i="6"/>
  <c r="F152" i="6" s="1"/>
  <c r="F160" i="6" s="1"/>
  <c r="F36" i="6"/>
  <c r="N33" i="6"/>
  <c r="Q57" i="1"/>
  <c r="N89" i="6"/>
  <c r="N150" i="6" s="1"/>
  <c r="N158" i="6" s="1"/>
  <c r="N55" i="6"/>
  <c r="N51" i="6" s="1"/>
  <c r="F32" i="6"/>
  <c r="L33" i="6"/>
  <c r="D35" i="6"/>
  <c r="H36" i="6"/>
  <c r="E55" i="6"/>
  <c r="E51" i="6" s="1"/>
  <c r="D89" i="6"/>
  <c r="D150" i="6" s="1"/>
  <c r="L89" i="6"/>
  <c r="L150" i="6" s="1"/>
  <c r="L32" i="6"/>
  <c r="H90" i="6"/>
  <c r="H151" i="6" s="1"/>
  <c r="H159" i="6" s="1"/>
  <c r="H33" i="6"/>
  <c r="D91" i="6"/>
  <c r="D152" i="6" s="1"/>
  <c r="D160" i="6" s="1"/>
  <c r="D34" i="6"/>
  <c r="L91" i="6"/>
  <c r="L152" i="6" s="1"/>
  <c r="L160" i="6" s="1"/>
  <c r="L34" i="6"/>
  <c r="H92" i="6"/>
  <c r="H153" i="6" s="1"/>
  <c r="H161" i="6" s="1"/>
  <c r="H35" i="6"/>
  <c r="D93" i="6"/>
  <c r="D154" i="6" s="1"/>
  <c r="D162" i="6" s="1"/>
  <c r="D36" i="6"/>
  <c r="L93" i="6"/>
  <c r="L154" i="6" s="1"/>
  <c r="L162" i="6" s="1"/>
  <c r="L36" i="6"/>
  <c r="K90" i="6"/>
  <c r="K151" i="6" s="1"/>
  <c r="K159" i="6" s="1"/>
  <c r="C170" i="6"/>
  <c r="E240" i="6"/>
  <c r="I240" i="6"/>
  <c r="M62" i="6"/>
  <c r="D170" i="6"/>
  <c r="D241" i="6"/>
  <c r="H241" i="6"/>
  <c r="H240" i="6"/>
  <c r="H268" i="6" s="1"/>
  <c r="H170" i="6"/>
  <c r="M240" i="6"/>
  <c r="F240" i="6"/>
  <c r="J240" i="6"/>
  <c r="N240" i="6"/>
  <c r="F33" i="6"/>
  <c r="I55" i="6"/>
  <c r="I51" i="6" s="1"/>
  <c r="I61" i="6"/>
  <c r="E247" i="6"/>
  <c r="E241" i="6"/>
  <c r="E62" i="6"/>
  <c r="E174" i="6"/>
  <c r="I247" i="6"/>
  <c r="I241" i="6"/>
  <c r="I174" i="6"/>
  <c r="I62" i="6"/>
  <c r="M247" i="6"/>
  <c r="M241" i="6"/>
  <c r="M174" i="6"/>
  <c r="M55" i="6"/>
  <c r="M51" i="6" s="1"/>
  <c r="M61" i="6"/>
  <c r="N62" i="6"/>
  <c r="F93" i="6"/>
  <c r="F154" i="6" s="1"/>
  <c r="F162" i="6" s="1"/>
  <c r="C240" i="6"/>
  <c r="C268" i="6" s="1"/>
  <c r="C62" i="6"/>
  <c r="G240" i="6"/>
  <c r="K62" i="6"/>
  <c r="E61" i="6"/>
  <c r="F62" i="6"/>
  <c r="I89" i="6"/>
  <c r="M86" i="6"/>
  <c r="M89" i="6"/>
  <c r="I90" i="6"/>
  <c r="I151" i="6" s="1"/>
  <c r="I159" i="6" s="1"/>
  <c r="M90" i="6"/>
  <c r="M151" i="6" s="1"/>
  <c r="M159" i="6" s="1"/>
  <c r="E91" i="6"/>
  <c r="E152" i="6" s="1"/>
  <c r="E160" i="6" s="1"/>
  <c r="M91" i="6"/>
  <c r="M152" i="6" s="1"/>
  <c r="M160" i="6" s="1"/>
  <c r="E92" i="6"/>
  <c r="E153" i="6" s="1"/>
  <c r="E161" i="6" s="1"/>
  <c r="M92" i="6"/>
  <c r="M153" i="6" s="1"/>
  <c r="M161" i="6" s="1"/>
  <c r="I93" i="6"/>
  <c r="I154" i="6" s="1"/>
  <c r="I162" i="6" s="1"/>
  <c r="G191" i="6"/>
  <c r="G196" i="6" s="1"/>
  <c r="F89" i="6"/>
  <c r="J91" i="6"/>
  <c r="J152" i="6" s="1"/>
  <c r="J160" i="6" s="1"/>
  <c r="J34" i="6"/>
  <c r="F92" i="6"/>
  <c r="F153" i="6" s="1"/>
  <c r="F161" i="6" s="1"/>
  <c r="F35" i="6"/>
  <c r="J92" i="6"/>
  <c r="J153" i="6" s="1"/>
  <c r="J161" i="6" s="1"/>
  <c r="J35" i="6"/>
  <c r="N92" i="6"/>
  <c r="N153" i="6" s="1"/>
  <c r="N161" i="6" s="1"/>
  <c r="N35" i="6"/>
  <c r="J93" i="6"/>
  <c r="J154" i="6" s="1"/>
  <c r="J162" i="6" s="1"/>
  <c r="J36" i="6"/>
  <c r="N93" i="6"/>
  <c r="N154" i="6" s="1"/>
  <c r="N162" i="6" s="1"/>
  <c r="N36" i="6"/>
  <c r="G246" i="6"/>
  <c r="G261" i="6"/>
  <c r="G178" i="6"/>
  <c r="K246" i="6"/>
  <c r="K178" i="6"/>
  <c r="C178" i="6"/>
  <c r="K240" i="6"/>
  <c r="C261" i="6"/>
  <c r="C274" i="6" s="1"/>
  <c r="F174" i="6"/>
  <c r="F241" i="6"/>
  <c r="J174" i="6"/>
  <c r="J247" i="6"/>
  <c r="J62" i="6"/>
  <c r="N247" i="6"/>
  <c r="N174" i="6"/>
  <c r="N241" i="6"/>
  <c r="N61" i="6"/>
  <c r="C86" i="6"/>
  <c r="K86" i="6"/>
  <c r="G93" i="6"/>
  <c r="G154" i="6" s="1"/>
  <c r="G162" i="6" s="1"/>
  <c r="D114" i="6"/>
  <c r="F247" i="6"/>
  <c r="C32" i="6"/>
  <c r="G32" i="6"/>
  <c r="C33" i="6"/>
  <c r="G33" i="6"/>
  <c r="K34" i="6"/>
  <c r="G35" i="6"/>
  <c r="C36" i="6"/>
  <c r="K55" i="6"/>
  <c r="K68" i="6" s="1"/>
  <c r="F246" i="6"/>
  <c r="F178" i="6"/>
  <c r="F261" i="6"/>
  <c r="J246" i="6"/>
  <c r="J261" i="6"/>
  <c r="J178" i="6"/>
  <c r="N246" i="6"/>
  <c r="N178" i="6"/>
  <c r="N261" i="6"/>
  <c r="J241" i="6"/>
  <c r="C247" i="6"/>
  <c r="C174" i="6"/>
  <c r="C241" i="6"/>
  <c r="G241" i="6"/>
  <c r="G247" i="6"/>
  <c r="K241" i="6"/>
  <c r="E261" i="6"/>
  <c r="E246" i="6"/>
  <c r="E178" i="6"/>
  <c r="M178" i="6"/>
  <c r="D240" i="6"/>
  <c r="D268" i="6" s="1"/>
  <c r="L241" i="6"/>
  <c r="D55" i="6"/>
  <c r="D51" i="6" s="1"/>
  <c r="H55" i="6"/>
  <c r="H51" i="6" s="1"/>
  <c r="L55" i="6"/>
  <c r="L51" i="6" s="1"/>
  <c r="D61" i="6"/>
  <c r="H61" i="6"/>
  <c r="L61" i="6"/>
  <c r="D62" i="6"/>
  <c r="H62" i="6"/>
  <c r="L62" i="6"/>
  <c r="D86" i="6"/>
  <c r="H86" i="6"/>
  <c r="L86" i="6"/>
  <c r="H174" i="6"/>
  <c r="L240" i="6"/>
  <c r="Q21" i="1"/>
  <c r="M61" i="1"/>
  <c r="I61" i="1"/>
  <c r="E61" i="1"/>
  <c r="Q58" i="1"/>
  <c r="P61" i="1"/>
  <c r="L61" i="1"/>
  <c r="H61" i="1"/>
  <c r="Q60" i="1"/>
  <c r="Q59" i="1"/>
  <c r="O61" i="1"/>
  <c r="K61" i="1"/>
  <c r="Q54" i="1"/>
  <c r="Q56" i="1"/>
  <c r="N61" i="1"/>
  <c r="J61" i="1"/>
  <c r="F61" i="1"/>
  <c r="G61" i="1"/>
  <c r="Q55" i="1"/>
  <c r="O290" i="2" l="1"/>
  <c r="O291" i="2"/>
  <c r="H68" i="6"/>
  <c r="K248" i="6"/>
  <c r="K298" i="6" s="1"/>
  <c r="K10" i="7"/>
  <c r="K6" i="7"/>
  <c r="K7" i="7"/>
  <c r="K11" i="7"/>
  <c r="L248" i="6"/>
  <c r="L298" i="6" s="1"/>
  <c r="D248" i="6"/>
  <c r="D298" i="6" s="1"/>
  <c r="M37" i="6"/>
  <c r="G274" i="6"/>
  <c r="N274" i="6"/>
  <c r="M268" i="6"/>
  <c r="I179" i="6"/>
  <c r="H274" i="6"/>
  <c r="L274" i="6"/>
  <c r="I268" i="6"/>
  <c r="E268" i="6"/>
  <c r="K274" i="6"/>
  <c r="F274" i="6"/>
  <c r="J179" i="6"/>
  <c r="N268" i="6"/>
  <c r="F268" i="6"/>
  <c r="K268" i="6"/>
  <c r="D274" i="6"/>
  <c r="E274" i="6"/>
  <c r="J274" i="6"/>
  <c r="F179" i="6"/>
  <c r="J268" i="6"/>
  <c r="L268" i="6"/>
  <c r="G268" i="6"/>
  <c r="N179" i="6"/>
  <c r="O255" i="6"/>
  <c r="L179" i="6"/>
  <c r="E179" i="6"/>
  <c r="M179" i="6"/>
  <c r="I248" i="6"/>
  <c r="I298" i="6" s="1"/>
  <c r="M248" i="6"/>
  <c r="I37" i="6"/>
  <c r="N248" i="6"/>
  <c r="N298" i="6" s="1"/>
  <c r="F248" i="6"/>
  <c r="F298" i="6" s="1"/>
  <c r="L68" i="6"/>
  <c r="M68" i="6"/>
  <c r="N67" i="6"/>
  <c r="N24" i="6" s="1"/>
  <c r="N25" i="6" s="1"/>
  <c r="N68" i="6"/>
  <c r="L37" i="6"/>
  <c r="H37" i="6"/>
  <c r="E37" i="6"/>
  <c r="L94" i="6"/>
  <c r="D37" i="6"/>
  <c r="D179" i="6"/>
  <c r="I67" i="6"/>
  <c r="I24" i="6" s="1"/>
  <c r="I25" i="6" s="1"/>
  <c r="D94" i="6"/>
  <c r="G248" i="6"/>
  <c r="G298" i="6" s="1"/>
  <c r="E94" i="6"/>
  <c r="F86" i="6"/>
  <c r="D67" i="6"/>
  <c r="D24" i="6" s="1"/>
  <c r="N90" i="6"/>
  <c r="N151" i="6" s="1"/>
  <c r="N159" i="6" s="1"/>
  <c r="E67" i="6"/>
  <c r="E24" i="6" s="1"/>
  <c r="E25" i="6" s="1"/>
  <c r="H179" i="6"/>
  <c r="J55" i="6"/>
  <c r="J61" i="6"/>
  <c r="F90" i="6"/>
  <c r="F151" i="6" s="1"/>
  <c r="F159" i="6" s="1"/>
  <c r="K32" i="6"/>
  <c r="K37" i="6" s="1"/>
  <c r="K89" i="6"/>
  <c r="G61" i="6"/>
  <c r="G55" i="6"/>
  <c r="C90" i="6"/>
  <c r="C151" i="6" s="1"/>
  <c r="C159" i="6" s="1"/>
  <c r="G92" i="6"/>
  <c r="G153" i="6" s="1"/>
  <c r="G161" i="6" s="1"/>
  <c r="C93" i="6"/>
  <c r="C154" i="6" s="1"/>
  <c r="C162" i="6" s="1"/>
  <c r="E248" i="6"/>
  <c r="E298" i="6" s="1"/>
  <c r="D68" i="6"/>
  <c r="J86" i="6"/>
  <c r="J89" i="6"/>
  <c r="J150" i="6" s="1"/>
  <c r="J158" i="6" s="1"/>
  <c r="J32" i="6"/>
  <c r="N34" i="6"/>
  <c r="N91" i="6"/>
  <c r="N152" i="6" s="1"/>
  <c r="N160" i="6" s="1"/>
  <c r="C89" i="6"/>
  <c r="E68" i="6"/>
  <c r="K91" i="6"/>
  <c r="K152" i="6" s="1"/>
  <c r="K160" i="6" s="1"/>
  <c r="H94" i="6"/>
  <c r="F34" i="6"/>
  <c r="F37" i="6" s="1"/>
  <c r="N86" i="6"/>
  <c r="N32" i="6"/>
  <c r="N37" i="6" s="1"/>
  <c r="F61" i="6"/>
  <c r="F190" i="6" s="1"/>
  <c r="F55" i="6"/>
  <c r="J90" i="6"/>
  <c r="J151" i="6" s="1"/>
  <c r="J159" i="6" s="1"/>
  <c r="J33" i="6"/>
  <c r="G91" i="6"/>
  <c r="G152" i="6" s="1"/>
  <c r="G160" i="6" s="1"/>
  <c r="K92" i="6"/>
  <c r="K153" i="6" s="1"/>
  <c r="K161" i="6" s="1"/>
  <c r="K93" i="6"/>
  <c r="K154" i="6" s="1"/>
  <c r="K162" i="6" s="1"/>
  <c r="G90" i="6"/>
  <c r="G151" i="6" s="1"/>
  <c r="G159" i="6" s="1"/>
  <c r="C55" i="6"/>
  <c r="C61" i="6"/>
  <c r="C190" i="6" s="1"/>
  <c r="C92" i="6"/>
  <c r="C153" i="6" s="1"/>
  <c r="C161" i="6" s="1"/>
  <c r="D63" i="6"/>
  <c r="D59" i="6" s="1"/>
  <c r="D190" i="6"/>
  <c r="L158" i="6"/>
  <c r="L163" i="6" s="1"/>
  <c r="L239" i="6" s="1"/>
  <c r="L242" i="6" s="1"/>
  <c r="L297" i="6" s="1"/>
  <c r="L155" i="6"/>
  <c r="D191" i="6"/>
  <c r="D196" i="6" s="1"/>
  <c r="D173" i="6"/>
  <c r="O241" i="6"/>
  <c r="J248" i="6"/>
  <c r="J298" i="6" s="1"/>
  <c r="L67" i="6"/>
  <c r="L24" i="6" s="1"/>
  <c r="E190" i="6"/>
  <c r="E63" i="6"/>
  <c r="E59" i="6" s="1"/>
  <c r="N191" i="6"/>
  <c r="N196" i="6" s="1"/>
  <c r="N173" i="6"/>
  <c r="I191" i="6"/>
  <c r="I196" i="6" s="1"/>
  <c r="I173" i="6"/>
  <c r="M173" i="6"/>
  <c r="M191" i="6"/>
  <c r="M196" i="6" s="1"/>
  <c r="E163" i="6"/>
  <c r="E239" i="6" s="1"/>
  <c r="E242" i="6" s="1"/>
  <c r="E297" i="6" s="1"/>
  <c r="L63" i="6"/>
  <c r="L59" i="6" s="1"/>
  <c r="L190" i="6"/>
  <c r="H158" i="6"/>
  <c r="H163" i="6" s="1"/>
  <c r="H239" i="6" s="1"/>
  <c r="H242" i="6" s="1"/>
  <c r="H155" i="6"/>
  <c r="G37" i="6"/>
  <c r="O261" i="6"/>
  <c r="F150" i="6"/>
  <c r="M94" i="6"/>
  <c r="M150" i="6"/>
  <c r="K191" i="6"/>
  <c r="K63" i="6"/>
  <c r="K59" i="6" s="1"/>
  <c r="K173" i="6"/>
  <c r="C173" i="6"/>
  <c r="C191" i="6"/>
  <c r="C196" i="6" s="1"/>
  <c r="M190" i="6"/>
  <c r="M63" i="6"/>
  <c r="M59" i="6" s="1"/>
  <c r="I68" i="6"/>
  <c r="M67" i="6"/>
  <c r="M24" i="6" s="1"/>
  <c r="E155" i="6"/>
  <c r="L191" i="6"/>
  <c r="L196" i="6" s="1"/>
  <c r="L173" i="6"/>
  <c r="H63" i="6"/>
  <c r="H59" i="6" s="1"/>
  <c r="H190" i="6"/>
  <c r="O247" i="6"/>
  <c r="K67" i="6"/>
  <c r="K24" i="6" s="1"/>
  <c r="K51" i="6"/>
  <c r="C37" i="6"/>
  <c r="N190" i="6"/>
  <c r="N63" i="6"/>
  <c r="N59" i="6" s="1"/>
  <c r="J191" i="6"/>
  <c r="J173" i="6"/>
  <c r="C248" i="6"/>
  <c r="C298" i="6" s="1"/>
  <c r="O246" i="6"/>
  <c r="O240" i="6"/>
  <c r="E191" i="6"/>
  <c r="E196" i="6" s="1"/>
  <c r="E173" i="6"/>
  <c r="I190" i="6"/>
  <c r="I63" i="6"/>
  <c r="I59" i="6" s="1"/>
  <c r="H67" i="6"/>
  <c r="H24" i="6" s="1"/>
  <c r="C179" i="6"/>
  <c r="H191" i="6"/>
  <c r="H196" i="6" s="1"/>
  <c r="H173" i="6"/>
  <c r="D158" i="6"/>
  <c r="D163" i="6" s="1"/>
  <c r="D239" i="6" s="1"/>
  <c r="D242" i="6" s="1"/>
  <c r="D155" i="6"/>
  <c r="I150" i="6"/>
  <c r="I94" i="6"/>
  <c r="F191" i="6"/>
  <c r="F173" i="6"/>
  <c r="Q61" i="1"/>
  <c r="K14" i="7" l="1"/>
  <c r="K15" i="7"/>
  <c r="J37" i="6"/>
  <c r="O274" i="6"/>
  <c r="M298" i="6"/>
  <c r="O298" i="6" s="1"/>
  <c r="D297" i="6"/>
  <c r="H297" i="6"/>
  <c r="I192" i="6"/>
  <c r="G163" i="6"/>
  <c r="G239" i="6" s="1"/>
  <c r="G242" i="6" s="1"/>
  <c r="C63" i="6"/>
  <c r="C59" i="6" s="1"/>
  <c r="N94" i="6"/>
  <c r="N163" i="6"/>
  <c r="N239" i="6" s="1"/>
  <c r="N242" i="6" s="1"/>
  <c r="N155" i="6"/>
  <c r="J94" i="6"/>
  <c r="J155" i="6"/>
  <c r="H192" i="6"/>
  <c r="D25" i="6"/>
  <c r="J163" i="6"/>
  <c r="J239" i="6" s="1"/>
  <c r="J242" i="6" s="1"/>
  <c r="F94" i="6"/>
  <c r="G155" i="6"/>
  <c r="C192" i="6"/>
  <c r="C68" i="6"/>
  <c r="C51" i="6"/>
  <c r="K150" i="6"/>
  <c r="K94" i="6"/>
  <c r="J51" i="6"/>
  <c r="J67" i="6"/>
  <c r="J24" i="6" s="1"/>
  <c r="J68" i="6"/>
  <c r="C67" i="6"/>
  <c r="C24" i="6" s="1"/>
  <c r="G51" i="6"/>
  <c r="G68" i="6"/>
  <c r="G67" i="6"/>
  <c r="G24" i="6" s="1"/>
  <c r="F63" i="6"/>
  <c r="F59" i="6" s="1"/>
  <c r="G94" i="6"/>
  <c r="O248" i="6"/>
  <c r="M192" i="6"/>
  <c r="F51" i="6"/>
  <c r="F68" i="6"/>
  <c r="F67" i="6"/>
  <c r="F24" i="6" s="1"/>
  <c r="C150" i="6"/>
  <c r="C94" i="6"/>
  <c r="G190" i="6"/>
  <c r="G192" i="6" s="1"/>
  <c r="G63" i="6"/>
  <c r="G59" i="6" s="1"/>
  <c r="J190" i="6"/>
  <c r="J192" i="6" s="1"/>
  <c r="J63" i="6"/>
  <c r="J59" i="6" s="1"/>
  <c r="F196" i="6"/>
  <c r="F192" i="6"/>
  <c r="L25" i="6"/>
  <c r="E26" i="6"/>
  <c r="J196" i="6"/>
  <c r="M25" i="6"/>
  <c r="F155" i="6"/>
  <c r="F158" i="6"/>
  <c r="F163" i="6" s="1"/>
  <c r="F239" i="6" s="1"/>
  <c r="I158" i="6"/>
  <c r="I163" i="6" s="1"/>
  <c r="I239" i="6" s="1"/>
  <c r="I242" i="6" s="1"/>
  <c r="I155" i="6"/>
  <c r="K25" i="6"/>
  <c r="M155" i="6"/>
  <c r="M158" i="6"/>
  <c r="M163" i="6" s="1"/>
  <c r="M239" i="6" s="1"/>
  <c r="M242" i="6" s="1"/>
  <c r="D192" i="6"/>
  <c r="I26" i="6"/>
  <c r="H25" i="6"/>
  <c r="N192" i="6"/>
  <c r="K196" i="6"/>
  <c r="K192" i="6"/>
  <c r="L192" i="6"/>
  <c r="E192" i="6"/>
  <c r="N26" i="6"/>
  <c r="L7" i="7" l="1"/>
  <c r="M7" i="7" s="1"/>
  <c r="M297" i="6"/>
  <c r="I297" i="6"/>
  <c r="J297" i="6"/>
  <c r="G297" i="6"/>
  <c r="N297" i="6"/>
  <c r="D26" i="6"/>
  <c r="H26" i="6"/>
  <c r="C25" i="6"/>
  <c r="C158" i="6"/>
  <c r="C163" i="6" s="1"/>
  <c r="C239" i="6" s="1"/>
  <c r="C155" i="6"/>
  <c r="G25" i="6"/>
  <c r="K158" i="6"/>
  <c r="K163" i="6" s="1"/>
  <c r="K239" i="6" s="1"/>
  <c r="K242" i="6" s="1"/>
  <c r="K155" i="6"/>
  <c r="M26" i="6"/>
  <c r="F25" i="6"/>
  <c r="J25" i="6"/>
  <c r="K26" i="6"/>
  <c r="L26" i="6"/>
  <c r="F242" i="6"/>
  <c r="K297" i="6" l="1"/>
  <c r="F297" i="6"/>
  <c r="C242" i="6"/>
  <c r="F26" i="6"/>
  <c r="O239" i="6"/>
  <c r="O242" i="6" s="1"/>
  <c r="J26" i="6"/>
  <c r="G26" i="6"/>
  <c r="C26" i="6"/>
  <c r="L6" i="7" l="1"/>
  <c r="M6" i="7" s="1"/>
  <c r="C297" i="6"/>
  <c r="O297" i="6" s="1"/>
  <c r="O260" i="2"/>
  <c r="O245" i="2"/>
  <c r="G10" i="7" l="1"/>
  <c r="C10" i="7"/>
  <c r="G11" i="7"/>
  <c r="C11" i="7"/>
  <c r="D102" i="2"/>
  <c r="E102" i="2"/>
  <c r="F102" i="2"/>
  <c r="G102" i="2"/>
  <c r="H102" i="2"/>
  <c r="I102" i="2"/>
  <c r="J102" i="2"/>
  <c r="K102" i="2"/>
  <c r="L102" i="2"/>
  <c r="M102" i="2"/>
  <c r="N102" i="2"/>
  <c r="D101" i="2"/>
  <c r="E101" i="2"/>
  <c r="F101" i="2"/>
  <c r="G101" i="2"/>
  <c r="H101" i="2"/>
  <c r="I101" i="2"/>
  <c r="J101" i="2"/>
  <c r="K101" i="2"/>
  <c r="L101" i="2"/>
  <c r="M101" i="2"/>
  <c r="N101" i="2"/>
  <c r="C101" i="2"/>
  <c r="G7" i="7" l="1"/>
  <c r="G15" i="7" s="1"/>
  <c r="C7" i="7"/>
  <c r="G6" i="7"/>
  <c r="G14" i="7" s="1"/>
  <c r="C6" i="7"/>
  <c r="D170" i="2"/>
  <c r="E170" i="2"/>
  <c r="F170" i="2"/>
  <c r="G170" i="2"/>
  <c r="H170" i="2"/>
  <c r="I170" i="2"/>
  <c r="J170" i="2"/>
  <c r="K170" i="2"/>
  <c r="L170" i="2"/>
  <c r="M170" i="2"/>
  <c r="N170" i="2"/>
  <c r="C170" i="2"/>
  <c r="D143" i="2"/>
  <c r="E143" i="2"/>
  <c r="F143" i="2"/>
  <c r="G143" i="2"/>
  <c r="H143" i="2"/>
  <c r="I143" i="2"/>
  <c r="J143" i="2"/>
  <c r="K143" i="2"/>
  <c r="L143" i="2"/>
  <c r="M143" i="2"/>
  <c r="N143" i="2"/>
  <c r="D144" i="2"/>
  <c r="E144" i="2"/>
  <c r="F144" i="2"/>
  <c r="G144" i="2"/>
  <c r="H144" i="2"/>
  <c r="I144" i="2"/>
  <c r="J144" i="2"/>
  <c r="K144" i="2"/>
  <c r="L144" i="2"/>
  <c r="M144" i="2"/>
  <c r="N144" i="2"/>
  <c r="D145" i="2"/>
  <c r="E145" i="2"/>
  <c r="F145" i="2"/>
  <c r="G145" i="2"/>
  <c r="H145" i="2"/>
  <c r="I145" i="2"/>
  <c r="J145" i="2"/>
  <c r="K145" i="2"/>
  <c r="L145" i="2"/>
  <c r="M145" i="2"/>
  <c r="N145" i="2"/>
  <c r="D146" i="2"/>
  <c r="E146" i="2"/>
  <c r="F146" i="2"/>
  <c r="G146" i="2"/>
  <c r="H146" i="2"/>
  <c r="I146" i="2"/>
  <c r="J146" i="2"/>
  <c r="K146" i="2"/>
  <c r="L146" i="2"/>
  <c r="M146" i="2"/>
  <c r="N146" i="2"/>
  <c r="D147" i="2"/>
  <c r="E147" i="2"/>
  <c r="F147" i="2"/>
  <c r="G147" i="2"/>
  <c r="H147" i="2"/>
  <c r="I147" i="2"/>
  <c r="J147" i="2"/>
  <c r="K147" i="2"/>
  <c r="L147" i="2"/>
  <c r="M147" i="2"/>
  <c r="N147" i="2"/>
  <c r="C144" i="2"/>
  <c r="C145" i="2"/>
  <c r="C146" i="2"/>
  <c r="C147" i="2"/>
  <c r="C143" i="2"/>
  <c r="O17" i="1"/>
  <c r="O16" i="1"/>
  <c r="O15" i="1"/>
  <c r="N17" i="1"/>
  <c r="N16" i="1"/>
  <c r="N15" i="1"/>
  <c r="M17" i="1"/>
  <c r="M16" i="1"/>
  <c r="M15" i="1"/>
  <c r="L17" i="1"/>
  <c r="L16" i="1"/>
  <c r="L15" i="1"/>
  <c r="K17" i="1"/>
  <c r="K16" i="1"/>
  <c r="K15" i="1"/>
  <c r="J17" i="1"/>
  <c r="J16" i="1"/>
  <c r="J15" i="1"/>
  <c r="I17" i="1"/>
  <c r="I16" i="1"/>
  <c r="I15" i="1"/>
  <c r="H17" i="1"/>
  <c r="H16" i="1"/>
  <c r="H15" i="1"/>
  <c r="G17" i="1"/>
  <c r="G16" i="1"/>
  <c r="G15" i="1"/>
  <c r="F17" i="1"/>
  <c r="F16" i="1"/>
  <c r="F15" i="1"/>
  <c r="E17" i="1"/>
  <c r="E16" i="1"/>
  <c r="E15" i="1"/>
  <c r="P17" i="1"/>
  <c r="P16" i="1"/>
  <c r="P15" i="1"/>
  <c r="D104" i="2"/>
  <c r="E104" i="2"/>
  <c r="F104" i="2"/>
  <c r="G104" i="2"/>
  <c r="H104" i="2"/>
  <c r="I104" i="2"/>
  <c r="J104" i="2"/>
  <c r="K104" i="2"/>
  <c r="L104" i="2"/>
  <c r="M104" i="2"/>
  <c r="N104" i="2"/>
  <c r="C104" i="2"/>
  <c r="C102" i="2"/>
  <c r="N113" i="2" l="1"/>
  <c r="N316" i="2"/>
  <c r="J113" i="2"/>
  <c r="J114" i="2" s="1"/>
  <c r="J316" i="2"/>
  <c r="M113" i="2"/>
  <c r="M114" i="2" s="1"/>
  <c r="M316" i="2"/>
  <c r="E113" i="2"/>
  <c r="E114" i="2" s="1"/>
  <c r="E316" i="2"/>
  <c r="L113" i="2"/>
  <c r="L114" i="2" s="1"/>
  <c r="L316" i="2"/>
  <c r="D113" i="2"/>
  <c r="D114" i="2" s="1"/>
  <c r="D316" i="2"/>
  <c r="C113" i="2"/>
  <c r="C114" i="2" s="1"/>
  <c r="C316" i="2"/>
  <c r="K113" i="2"/>
  <c r="K114" i="2" s="1"/>
  <c r="K316" i="2"/>
  <c r="G113" i="2"/>
  <c r="G114" i="2" s="1"/>
  <c r="G316" i="2"/>
  <c r="F113" i="2"/>
  <c r="F114" i="2" s="1"/>
  <c r="F316" i="2"/>
  <c r="I113" i="2"/>
  <c r="I114" i="2" s="1"/>
  <c r="I316" i="2"/>
  <c r="H113" i="2"/>
  <c r="H114" i="2" s="1"/>
  <c r="H316" i="2"/>
  <c r="C14" i="7"/>
  <c r="C15" i="7"/>
  <c r="M54" i="2"/>
  <c r="I54" i="2"/>
  <c r="E54" i="2"/>
  <c r="N132" i="2"/>
  <c r="N246" i="2" s="1"/>
  <c r="C136" i="2"/>
  <c r="E131" i="2"/>
  <c r="F132" i="2"/>
  <c r="F246" i="2" s="1"/>
  <c r="G136" i="2"/>
  <c r="J132" i="2"/>
  <c r="J246" i="2" s="1"/>
  <c r="K136" i="2"/>
  <c r="M131" i="2"/>
  <c r="C54" i="2"/>
  <c r="H54" i="2"/>
  <c r="D54" i="2"/>
  <c r="K7" i="2"/>
  <c r="K255" i="2" s="1"/>
  <c r="D131" i="2"/>
  <c r="E132" i="2"/>
  <c r="E246" i="2" s="1"/>
  <c r="F136" i="2"/>
  <c r="H131" i="2"/>
  <c r="I132" i="2"/>
  <c r="I246" i="2" s="1"/>
  <c r="J136" i="2"/>
  <c r="L131" i="2"/>
  <c r="M132" i="2"/>
  <c r="M246" i="2" s="1"/>
  <c r="K54" i="2"/>
  <c r="G54" i="2"/>
  <c r="F7" i="2"/>
  <c r="F255" i="2" s="1"/>
  <c r="C131" i="2"/>
  <c r="D132" i="2"/>
  <c r="D246" i="2" s="1"/>
  <c r="E136" i="2"/>
  <c r="G131" i="2"/>
  <c r="H132" i="2"/>
  <c r="H246" i="2" s="1"/>
  <c r="I136" i="2"/>
  <c r="K131" i="2"/>
  <c r="L132" i="2"/>
  <c r="L246" i="2" s="1"/>
  <c r="M136" i="2"/>
  <c r="N54" i="2"/>
  <c r="J54" i="2"/>
  <c r="F54" i="2"/>
  <c r="M7" i="2"/>
  <c r="M255" i="2" s="1"/>
  <c r="I7" i="2"/>
  <c r="I255" i="2" s="1"/>
  <c r="E7" i="2"/>
  <c r="E255" i="2" s="1"/>
  <c r="Q16" i="1"/>
  <c r="D136" i="2"/>
  <c r="F131" i="2"/>
  <c r="G132" i="2"/>
  <c r="G246" i="2" s="1"/>
  <c r="H136" i="2"/>
  <c r="J131" i="2"/>
  <c r="K132" i="2"/>
  <c r="K246" i="2" s="1"/>
  <c r="L136" i="2"/>
  <c r="I131" i="2"/>
  <c r="C132" i="2"/>
  <c r="Q17" i="1"/>
  <c r="Q15" i="1"/>
  <c r="N131" i="2"/>
  <c r="N136" i="2"/>
  <c r="L84" i="2"/>
  <c r="D84" i="2"/>
  <c r="N85" i="2"/>
  <c r="H84" i="2"/>
  <c r="J85" i="2"/>
  <c r="N114" i="2"/>
  <c r="C84" i="2"/>
  <c r="K84" i="2"/>
  <c r="G84" i="2"/>
  <c r="N83" i="2"/>
  <c r="J83" i="2"/>
  <c r="F83" i="2"/>
  <c r="M82" i="2"/>
  <c r="I82" i="2"/>
  <c r="E82" i="2"/>
  <c r="K53" i="2"/>
  <c r="K61" i="2" s="1"/>
  <c r="K190" i="2" s="1"/>
  <c r="G53" i="2"/>
  <c r="G61" i="2" s="1"/>
  <c r="G190" i="2" s="1"/>
  <c r="C7" i="2"/>
  <c r="N7" i="2"/>
  <c r="J7" i="2"/>
  <c r="C83" i="2"/>
  <c r="C82" i="2"/>
  <c r="C53" i="2"/>
  <c r="C61" i="2" s="1"/>
  <c r="C190" i="2" s="1"/>
  <c r="L53" i="2"/>
  <c r="L61" i="2" s="1"/>
  <c r="L190" i="2" s="1"/>
  <c r="L85" i="2"/>
  <c r="L83" i="2"/>
  <c r="L82" i="2"/>
  <c r="H53" i="2"/>
  <c r="H61" i="2" s="1"/>
  <c r="H190" i="2" s="1"/>
  <c r="H85" i="2"/>
  <c r="H83" i="2"/>
  <c r="H82" i="2"/>
  <c r="D53" i="2"/>
  <c r="D85" i="2"/>
  <c r="D83" i="2"/>
  <c r="D82" i="2"/>
  <c r="D81" i="2"/>
  <c r="K82" i="2"/>
  <c r="G82" i="2"/>
  <c r="L54" i="2"/>
  <c r="L81" i="2"/>
  <c r="K83" i="2"/>
  <c r="G83" i="2"/>
  <c r="N82" i="2"/>
  <c r="N81" i="2"/>
  <c r="N84" i="2"/>
  <c r="N53" i="2"/>
  <c r="N61" i="2" s="1"/>
  <c r="N190" i="2" s="1"/>
  <c r="J82" i="2"/>
  <c r="J81" i="2"/>
  <c r="J84" i="2"/>
  <c r="J53" i="2"/>
  <c r="J61" i="2" s="1"/>
  <c r="J190" i="2" s="1"/>
  <c r="F82" i="2"/>
  <c r="F81" i="2"/>
  <c r="F84" i="2"/>
  <c r="F53" i="2"/>
  <c r="F61" i="2" s="1"/>
  <c r="F190" i="2" s="1"/>
  <c r="M81" i="2"/>
  <c r="M84" i="2"/>
  <c r="M53" i="2"/>
  <c r="M85" i="2"/>
  <c r="M83" i="2"/>
  <c r="I81" i="2"/>
  <c r="I84" i="2"/>
  <c r="I53" i="2"/>
  <c r="I85" i="2"/>
  <c r="I83" i="2"/>
  <c r="E81" i="2"/>
  <c r="E84" i="2"/>
  <c r="E53" i="2"/>
  <c r="E85" i="2"/>
  <c r="E83" i="2"/>
  <c r="C85" i="2"/>
  <c r="K85" i="2"/>
  <c r="K81" i="2"/>
  <c r="G85" i="2"/>
  <c r="G81" i="2"/>
  <c r="C81" i="2"/>
  <c r="H81" i="2"/>
  <c r="F85" i="2"/>
  <c r="G7" i="2"/>
  <c r="L7" i="2"/>
  <c r="H7" i="2"/>
  <c r="D7" i="2"/>
  <c r="F247" i="2" l="1"/>
  <c r="F248" i="2" s="1"/>
  <c r="F298" i="2" s="1"/>
  <c r="F312" i="2"/>
  <c r="I247" i="2"/>
  <c r="I248" i="2" s="1"/>
  <c r="I298" i="2" s="1"/>
  <c r="I312" i="2"/>
  <c r="N247" i="2"/>
  <c r="N248" i="2" s="1"/>
  <c r="N298" i="2" s="1"/>
  <c r="N312" i="2"/>
  <c r="K247" i="2"/>
  <c r="K248" i="2" s="1"/>
  <c r="K298" i="2" s="1"/>
  <c r="K312" i="2"/>
  <c r="C247" i="2"/>
  <c r="C312" i="2"/>
  <c r="D247" i="2"/>
  <c r="D248" i="2" s="1"/>
  <c r="D298" i="2" s="1"/>
  <c r="D312" i="2"/>
  <c r="J247" i="2"/>
  <c r="J248" i="2" s="1"/>
  <c r="J298" i="2" s="1"/>
  <c r="J312" i="2"/>
  <c r="G247" i="2"/>
  <c r="G248" i="2" s="1"/>
  <c r="G298" i="2" s="1"/>
  <c r="G312" i="2"/>
  <c r="H247" i="2"/>
  <c r="H248" i="2" s="1"/>
  <c r="H298" i="2" s="1"/>
  <c r="H312" i="2"/>
  <c r="M247" i="2"/>
  <c r="M248" i="2" s="1"/>
  <c r="M298" i="2" s="1"/>
  <c r="M312" i="2"/>
  <c r="L247" i="2"/>
  <c r="L312" i="2"/>
  <c r="E247" i="2"/>
  <c r="E248" i="2" s="1"/>
  <c r="E298" i="2" s="1"/>
  <c r="E312" i="2"/>
  <c r="F240" i="2"/>
  <c r="F268" i="2" s="1"/>
  <c r="M174" i="2"/>
  <c r="M179" i="2" s="1"/>
  <c r="K178" i="2"/>
  <c r="F178" i="2"/>
  <c r="E241" i="2"/>
  <c r="J174" i="2"/>
  <c r="J179" i="2" s="1"/>
  <c r="M241" i="2"/>
  <c r="F261" i="2"/>
  <c r="F274" i="2" s="1"/>
  <c r="E240" i="2"/>
  <c r="E268" i="2" s="1"/>
  <c r="E174" i="2"/>
  <c r="E179" i="2" s="1"/>
  <c r="J178" i="2"/>
  <c r="G241" i="2"/>
  <c r="I240" i="2"/>
  <c r="I268" i="2" s="1"/>
  <c r="M240" i="2"/>
  <c r="M268" i="2" s="1"/>
  <c r="K174" i="2"/>
  <c r="K179" i="2" s="1"/>
  <c r="I174" i="2"/>
  <c r="I179" i="2" s="1"/>
  <c r="I178" i="2"/>
  <c r="N178" i="2"/>
  <c r="C241" i="2"/>
  <c r="G174" i="2"/>
  <c r="G179" i="2" s="1"/>
  <c r="F241" i="2"/>
  <c r="N174" i="2"/>
  <c r="N179" i="2" s="1"/>
  <c r="L178" i="2"/>
  <c r="N241" i="2"/>
  <c r="C174" i="2"/>
  <c r="C179" i="2" s="1"/>
  <c r="G261" i="2"/>
  <c r="G274" i="2" s="1"/>
  <c r="F174" i="2"/>
  <c r="F179" i="2" s="1"/>
  <c r="D174" i="2"/>
  <c r="D179" i="2" s="1"/>
  <c r="K261" i="2"/>
  <c r="K274" i="2" s="1"/>
  <c r="D178" i="2"/>
  <c r="K240" i="2"/>
  <c r="K268" i="2" s="1"/>
  <c r="H241" i="2"/>
  <c r="H261" i="2"/>
  <c r="H274" i="2" s="1"/>
  <c r="M261" i="2"/>
  <c r="M274" i="2" s="1"/>
  <c r="E261" i="2"/>
  <c r="E274" i="2" s="1"/>
  <c r="H174" i="2"/>
  <c r="H179" i="2" s="1"/>
  <c r="G178" i="2"/>
  <c r="H178" i="2"/>
  <c r="M178" i="2"/>
  <c r="E178" i="2"/>
  <c r="J241" i="2"/>
  <c r="K241" i="2"/>
  <c r="D241" i="2"/>
  <c r="I241" i="2"/>
  <c r="L261" i="2"/>
  <c r="L274" i="2" s="1"/>
  <c r="D261" i="2"/>
  <c r="D274" i="2" s="1"/>
  <c r="I261" i="2"/>
  <c r="I274" i="2" s="1"/>
  <c r="J261" i="2"/>
  <c r="J274" i="2" s="1"/>
  <c r="N261" i="2"/>
  <c r="N274" i="2" s="1"/>
  <c r="K34" i="2"/>
  <c r="F34" i="2"/>
  <c r="E33" i="2"/>
  <c r="M34" i="2"/>
  <c r="F33" i="2"/>
  <c r="J33" i="2"/>
  <c r="N33" i="2"/>
  <c r="G33" i="2"/>
  <c r="D34" i="2"/>
  <c r="H34" i="2"/>
  <c r="L34" i="2"/>
  <c r="C33" i="2"/>
  <c r="I33" i="2"/>
  <c r="N34" i="2"/>
  <c r="E34" i="2"/>
  <c r="I34" i="2"/>
  <c r="D33" i="2"/>
  <c r="H33" i="2"/>
  <c r="L33" i="2"/>
  <c r="J34" i="2"/>
  <c r="G34" i="2"/>
  <c r="K33" i="2"/>
  <c r="C34" i="2"/>
  <c r="M33" i="2"/>
  <c r="K36" i="2"/>
  <c r="M36" i="2"/>
  <c r="D36" i="2"/>
  <c r="H36" i="2"/>
  <c r="L36" i="2"/>
  <c r="N36" i="2"/>
  <c r="F36" i="2"/>
  <c r="G36" i="2"/>
  <c r="C36" i="2"/>
  <c r="E36" i="2"/>
  <c r="J36" i="2"/>
  <c r="I36" i="2"/>
  <c r="C261" i="2"/>
  <c r="C246" i="2"/>
  <c r="O246" i="2" s="1"/>
  <c r="H35" i="2"/>
  <c r="C178" i="2"/>
  <c r="E35" i="2"/>
  <c r="G35" i="2"/>
  <c r="I35" i="2"/>
  <c r="F35" i="2"/>
  <c r="J35" i="2"/>
  <c r="N35" i="2"/>
  <c r="K35" i="2"/>
  <c r="D35" i="2"/>
  <c r="M35" i="2"/>
  <c r="C35" i="2"/>
  <c r="L35" i="2"/>
  <c r="H255" i="2"/>
  <c r="H240" i="2"/>
  <c r="L255" i="2"/>
  <c r="L240" i="2"/>
  <c r="N240" i="2"/>
  <c r="N255" i="2"/>
  <c r="G240" i="2"/>
  <c r="G255" i="2"/>
  <c r="L174" i="2"/>
  <c r="L179" i="2" s="1"/>
  <c r="L241" i="2"/>
  <c r="D255" i="2"/>
  <c r="D240" i="2"/>
  <c r="J240" i="2"/>
  <c r="J255" i="2"/>
  <c r="C240" i="2"/>
  <c r="C255" i="2"/>
  <c r="D92" i="2"/>
  <c r="I92" i="2"/>
  <c r="D90" i="2"/>
  <c r="M92" i="2"/>
  <c r="J89" i="2"/>
  <c r="J150" i="2" s="1"/>
  <c r="G89" i="2"/>
  <c r="G150" i="2" s="1"/>
  <c r="C90" i="2"/>
  <c r="E89" i="2"/>
  <c r="E150" i="2" s="1"/>
  <c r="C92" i="2"/>
  <c r="I61" i="2"/>
  <c r="I190" i="2" s="1"/>
  <c r="I91" i="2"/>
  <c r="C93" i="2"/>
  <c r="C154" i="2" s="1"/>
  <c r="C162" i="2" s="1"/>
  <c r="J91" i="2"/>
  <c r="I89" i="2"/>
  <c r="I150" i="2" s="1"/>
  <c r="K90" i="2"/>
  <c r="G92" i="2"/>
  <c r="E92" i="2"/>
  <c r="F93" i="2"/>
  <c r="F154" i="2" s="1"/>
  <c r="F162" i="2" s="1"/>
  <c r="E61" i="2"/>
  <c r="E190" i="2" s="1"/>
  <c r="H89" i="2"/>
  <c r="H150" i="2" s="1"/>
  <c r="G91" i="2"/>
  <c r="I90" i="2"/>
  <c r="M61" i="2"/>
  <c r="M190" i="2" s="1"/>
  <c r="M91" i="2"/>
  <c r="D93" i="2"/>
  <c r="D154" i="2" s="1"/>
  <c r="D162" i="2" s="1"/>
  <c r="N92" i="2"/>
  <c r="L92" i="2"/>
  <c r="H91" i="2"/>
  <c r="L90" i="2"/>
  <c r="K92" i="2"/>
  <c r="D61" i="2"/>
  <c r="D190" i="2" s="1"/>
  <c r="M90" i="2"/>
  <c r="F92" i="2"/>
  <c r="F91" i="2"/>
  <c r="G93" i="2"/>
  <c r="G154" i="2" s="1"/>
  <c r="G162" i="2" s="1"/>
  <c r="L89" i="2"/>
  <c r="L150" i="2" s="1"/>
  <c r="K91" i="2"/>
  <c r="H90" i="2"/>
  <c r="H92" i="2"/>
  <c r="E91" i="2"/>
  <c r="M89" i="2"/>
  <c r="M150" i="2" s="1"/>
  <c r="N90" i="2"/>
  <c r="F89" i="2"/>
  <c r="F150" i="2" s="1"/>
  <c r="M93" i="2"/>
  <c r="M154" i="2" s="1"/>
  <c r="M162" i="2" s="1"/>
  <c r="N89" i="2"/>
  <c r="N150" i="2" s="1"/>
  <c r="I93" i="2"/>
  <c r="I154" i="2" s="1"/>
  <c r="I162" i="2" s="1"/>
  <c r="J92" i="2"/>
  <c r="K93" i="2"/>
  <c r="K154" i="2" s="1"/>
  <c r="K162" i="2" s="1"/>
  <c r="N91" i="2"/>
  <c r="H93" i="2"/>
  <c r="H154" i="2" s="1"/>
  <c r="H162" i="2" s="1"/>
  <c r="E32" i="2"/>
  <c r="E86" i="2"/>
  <c r="C32" i="2"/>
  <c r="C86" i="2"/>
  <c r="K32" i="2"/>
  <c r="K86" i="2"/>
  <c r="M32" i="2"/>
  <c r="M86" i="2"/>
  <c r="D32" i="2"/>
  <c r="D86" i="2"/>
  <c r="K89" i="2"/>
  <c r="K150" i="2" s="1"/>
  <c r="L91" i="2"/>
  <c r="E90" i="2"/>
  <c r="G32" i="2"/>
  <c r="G86" i="2"/>
  <c r="E93" i="2"/>
  <c r="E154" i="2" s="1"/>
  <c r="E162" i="2" s="1"/>
  <c r="F90" i="2"/>
  <c r="J90" i="2"/>
  <c r="N93" i="2"/>
  <c r="N154" i="2" s="1"/>
  <c r="N162" i="2" s="1"/>
  <c r="C91" i="2"/>
  <c r="J93" i="2"/>
  <c r="J154" i="2" s="1"/>
  <c r="J162" i="2" s="1"/>
  <c r="C89" i="2"/>
  <c r="C150" i="2" s="1"/>
  <c r="D89" i="2"/>
  <c r="D150" i="2" s="1"/>
  <c r="L93" i="2"/>
  <c r="L154" i="2" s="1"/>
  <c r="L162" i="2" s="1"/>
  <c r="D91" i="2"/>
  <c r="G90" i="2"/>
  <c r="H32" i="2"/>
  <c r="H86" i="2"/>
  <c r="I32" i="2"/>
  <c r="I86" i="2"/>
  <c r="F32" i="2"/>
  <c r="F86" i="2"/>
  <c r="J32" i="2"/>
  <c r="J86" i="2"/>
  <c r="N32" i="2"/>
  <c r="N86" i="2"/>
  <c r="L32" i="2"/>
  <c r="L86" i="2"/>
  <c r="O247" i="2" l="1"/>
  <c r="O248" i="2" s="1"/>
  <c r="O312" i="2"/>
  <c r="D268" i="2"/>
  <c r="L268" i="2"/>
  <c r="C274" i="2"/>
  <c r="O274" i="2" s="1"/>
  <c r="G268" i="2"/>
  <c r="N268" i="2"/>
  <c r="C268" i="2"/>
  <c r="H268" i="2"/>
  <c r="J268" i="2"/>
  <c r="O261" i="2"/>
  <c r="O241" i="2"/>
  <c r="L153" i="2"/>
  <c r="L161" i="2" s="1"/>
  <c r="I152" i="2"/>
  <c r="I160" i="2" s="1"/>
  <c r="D151" i="2"/>
  <c r="D159" i="2" s="1"/>
  <c r="F152" i="2"/>
  <c r="F160" i="2" s="1"/>
  <c r="I153" i="2"/>
  <c r="I161" i="2" s="1"/>
  <c r="K152" i="2"/>
  <c r="K160" i="2" s="1"/>
  <c r="F153" i="2"/>
  <c r="F161" i="2" s="1"/>
  <c r="L151" i="2"/>
  <c r="L159" i="2" s="1"/>
  <c r="G152" i="2"/>
  <c r="G160" i="2" s="1"/>
  <c r="E153" i="2"/>
  <c r="E161" i="2" s="1"/>
  <c r="J152" i="2"/>
  <c r="J160" i="2" s="1"/>
  <c r="C153" i="2"/>
  <c r="C161" i="2" s="1"/>
  <c r="D153" i="2"/>
  <c r="D161" i="2" s="1"/>
  <c r="C152" i="2"/>
  <c r="C160" i="2" s="1"/>
  <c r="L152" i="2"/>
  <c r="L160" i="2" s="1"/>
  <c r="H153" i="2"/>
  <c r="H161" i="2" s="1"/>
  <c r="K151" i="2"/>
  <c r="K159" i="2" s="1"/>
  <c r="C151" i="2"/>
  <c r="C159" i="2" s="1"/>
  <c r="N152" i="2"/>
  <c r="N160" i="2" s="1"/>
  <c r="N151" i="2"/>
  <c r="N159" i="2" s="1"/>
  <c r="H151" i="2"/>
  <c r="H159" i="2" s="1"/>
  <c r="K153" i="2"/>
  <c r="K161" i="2" s="1"/>
  <c r="N153" i="2"/>
  <c r="N161" i="2" s="1"/>
  <c r="I151" i="2"/>
  <c r="I159" i="2" s="1"/>
  <c r="G151" i="2"/>
  <c r="G159" i="2" s="1"/>
  <c r="J151" i="2"/>
  <c r="J159" i="2" s="1"/>
  <c r="D152" i="2"/>
  <c r="D160" i="2" s="1"/>
  <c r="F151" i="2"/>
  <c r="F159" i="2" s="1"/>
  <c r="E151" i="2"/>
  <c r="E159" i="2" s="1"/>
  <c r="J153" i="2"/>
  <c r="J161" i="2" s="1"/>
  <c r="E152" i="2"/>
  <c r="E160" i="2" s="1"/>
  <c r="M151" i="2"/>
  <c r="M159" i="2" s="1"/>
  <c r="H152" i="2"/>
  <c r="H160" i="2" s="1"/>
  <c r="M152" i="2"/>
  <c r="M160" i="2" s="1"/>
  <c r="G153" i="2"/>
  <c r="G161" i="2" s="1"/>
  <c r="M153" i="2"/>
  <c r="M161" i="2" s="1"/>
  <c r="N37" i="2"/>
  <c r="C37" i="2"/>
  <c r="O240" i="2"/>
  <c r="G37" i="2"/>
  <c r="O255" i="2"/>
  <c r="J37" i="2"/>
  <c r="H37" i="2"/>
  <c r="M37" i="2"/>
  <c r="C248" i="2"/>
  <c r="C298" i="2" s="1"/>
  <c r="F37" i="2"/>
  <c r="L37" i="2"/>
  <c r="I37" i="2"/>
  <c r="K37" i="2"/>
  <c r="D37" i="2"/>
  <c r="E37" i="2"/>
  <c r="L248" i="2"/>
  <c r="L298" i="2" s="1"/>
  <c r="F158" i="2"/>
  <c r="L158" i="2"/>
  <c r="H158" i="2"/>
  <c r="E158" i="2"/>
  <c r="D158" i="2"/>
  <c r="K158" i="2"/>
  <c r="N158" i="2"/>
  <c r="I158" i="2"/>
  <c r="G158" i="2"/>
  <c r="C158" i="2"/>
  <c r="M158" i="2"/>
  <c r="J158" i="2"/>
  <c r="H94" i="2"/>
  <c r="I94" i="2"/>
  <c r="J94" i="2"/>
  <c r="F94" i="2"/>
  <c r="E94" i="2"/>
  <c r="G94" i="2"/>
  <c r="D94" i="2"/>
  <c r="K94" i="2"/>
  <c r="M94" i="2"/>
  <c r="C94" i="2"/>
  <c r="L94" i="2"/>
  <c r="N94" i="2"/>
  <c r="D7" i="7" l="1"/>
  <c r="H7" i="7"/>
  <c r="O268" i="2"/>
  <c r="C163" i="2"/>
  <c r="C239" i="2" s="1"/>
  <c r="G163" i="2"/>
  <c r="G239" i="2" s="1"/>
  <c r="E155" i="2"/>
  <c r="I155" i="2"/>
  <c r="D155" i="2"/>
  <c r="L163" i="2"/>
  <c r="L239" i="2" s="1"/>
  <c r="L155" i="2"/>
  <c r="G155" i="2"/>
  <c r="K163" i="2"/>
  <c r="K239" i="2" s="1"/>
  <c r="E163" i="2"/>
  <c r="E239" i="2" s="1"/>
  <c r="J163" i="2"/>
  <c r="J239" i="2" s="1"/>
  <c r="D163" i="2"/>
  <c r="D239" i="2" s="1"/>
  <c r="J155" i="2"/>
  <c r="M155" i="2"/>
  <c r="N163" i="2"/>
  <c r="N239" i="2" s="1"/>
  <c r="H163" i="2"/>
  <c r="H239" i="2" s="1"/>
  <c r="F163" i="2"/>
  <c r="F239" i="2" s="1"/>
  <c r="C155" i="2"/>
  <c r="I163" i="2"/>
  <c r="I239" i="2" s="1"/>
  <c r="K155" i="2"/>
  <c r="M163" i="2"/>
  <c r="M239" i="2" s="1"/>
  <c r="N155" i="2"/>
  <c r="H155" i="2"/>
  <c r="F155" i="2"/>
  <c r="O298" i="2"/>
  <c r="D55" i="2"/>
  <c r="E55" i="2"/>
  <c r="F55" i="2"/>
  <c r="G55" i="2"/>
  <c r="H55" i="2"/>
  <c r="I55" i="2"/>
  <c r="J55" i="2"/>
  <c r="K55" i="2"/>
  <c r="L55" i="2"/>
  <c r="M55" i="2"/>
  <c r="N55" i="2"/>
  <c r="C55" i="2"/>
  <c r="I7" i="7" l="1"/>
  <c r="E7" i="7"/>
  <c r="L242" i="2"/>
  <c r="L297" i="2" s="1"/>
  <c r="I242" i="2"/>
  <c r="I297" i="2" s="1"/>
  <c r="N242" i="2"/>
  <c r="N297" i="2" s="1"/>
  <c r="J242" i="2"/>
  <c r="J297" i="2" s="1"/>
  <c r="E242" i="2"/>
  <c r="E297" i="2" s="1"/>
  <c r="G242" i="2"/>
  <c r="G297" i="2" s="1"/>
  <c r="M242" i="2"/>
  <c r="M297" i="2" s="1"/>
  <c r="F242" i="2"/>
  <c r="F297" i="2" s="1"/>
  <c r="K242" i="2"/>
  <c r="K297" i="2" s="1"/>
  <c r="C242" i="2"/>
  <c r="C297" i="2" s="1"/>
  <c r="H242" i="2"/>
  <c r="H297" i="2" s="1"/>
  <c r="D242" i="2"/>
  <c r="D297" i="2" s="1"/>
  <c r="O239" i="2"/>
  <c r="O242" i="2" s="1"/>
  <c r="N51" i="2"/>
  <c r="N67" i="2"/>
  <c r="N68" i="2"/>
  <c r="F51" i="2"/>
  <c r="F68" i="2"/>
  <c r="F67" i="2"/>
  <c r="M51" i="2"/>
  <c r="M68" i="2"/>
  <c r="M67" i="2"/>
  <c r="I51" i="2"/>
  <c r="I68" i="2"/>
  <c r="I67" i="2"/>
  <c r="E51" i="2"/>
  <c r="E67" i="2"/>
  <c r="E68" i="2"/>
  <c r="L51" i="2"/>
  <c r="L67" i="2"/>
  <c r="L68" i="2"/>
  <c r="H51" i="2"/>
  <c r="H68" i="2"/>
  <c r="H67" i="2"/>
  <c r="D51" i="2"/>
  <c r="D68" i="2"/>
  <c r="D67" i="2"/>
  <c r="J51" i="2"/>
  <c r="J68" i="2"/>
  <c r="J67" i="2"/>
  <c r="C51" i="2"/>
  <c r="C67" i="2"/>
  <c r="C68" i="2"/>
  <c r="K51" i="2"/>
  <c r="K68" i="2"/>
  <c r="K67" i="2"/>
  <c r="G51" i="2"/>
  <c r="G68" i="2"/>
  <c r="G67" i="2"/>
  <c r="C62" i="2"/>
  <c r="D62" i="2"/>
  <c r="E62" i="2"/>
  <c r="F62" i="2"/>
  <c r="G62" i="2"/>
  <c r="H62" i="2"/>
  <c r="I62" i="2"/>
  <c r="J62" i="2"/>
  <c r="K62" i="2"/>
  <c r="L62" i="2"/>
  <c r="M62" i="2"/>
  <c r="D6" i="7" l="1"/>
  <c r="H6" i="7"/>
  <c r="O297" i="2"/>
  <c r="E24" i="2"/>
  <c r="E25" i="2" s="1"/>
  <c r="N24" i="2"/>
  <c r="N25" i="2" s="1"/>
  <c r="K24" i="2"/>
  <c r="K25" i="2" s="1"/>
  <c r="H24" i="2"/>
  <c r="H25" i="2" s="1"/>
  <c r="G24" i="2"/>
  <c r="G25" i="2" s="1"/>
  <c r="I24" i="2"/>
  <c r="I25" i="2" s="1"/>
  <c r="F24" i="2"/>
  <c r="F25" i="2" s="1"/>
  <c r="C24" i="2"/>
  <c r="C25" i="2" s="1"/>
  <c r="L24" i="2"/>
  <c r="L25" i="2" s="1"/>
  <c r="M24" i="2"/>
  <c r="M25" i="2" s="1"/>
  <c r="D24" i="2"/>
  <c r="D25" i="2" s="1"/>
  <c r="J24" i="2"/>
  <c r="J25" i="2" s="1"/>
  <c r="J63" i="2"/>
  <c r="J59" i="2" s="1"/>
  <c r="J191" i="2"/>
  <c r="J173" i="2"/>
  <c r="I63" i="2"/>
  <c r="I59" i="2" s="1"/>
  <c r="I191" i="2"/>
  <c r="I173" i="2"/>
  <c r="L63" i="2"/>
  <c r="L59" i="2" s="1"/>
  <c r="L173" i="2"/>
  <c r="L191" i="2"/>
  <c r="H63" i="2"/>
  <c r="H59" i="2" s="1"/>
  <c r="H173" i="2"/>
  <c r="H191" i="2"/>
  <c r="D63" i="2"/>
  <c r="D59" i="2" s="1"/>
  <c r="D173" i="2"/>
  <c r="D191" i="2"/>
  <c r="F63" i="2"/>
  <c r="F59" i="2" s="1"/>
  <c r="F173" i="2"/>
  <c r="F191" i="2"/>
  <c r="M63" i="2"/>
  <c r="M59" i="2" s="1"/>
  <c r="M191" i="2"/>
  <c r="M173" i="2"/>
  <c r="E63" i="2"/>
  <c r="E59" i="2" s="1"/>
  <c r="E191" i="2"/>
  <c r="E173" i="2"/>
  <c r="K63" i="2"/>
  <c r="K59" i="2" s="1"/>
  <c r="K173" i="2"/>
  <c r="K191" i="2"/>
  <c r="G63" i="2"/>
  <c r="G59" i="2" s="1"/>
  <c r="G173" i="2"/>
  <c r="G191" i="2"/>
  <c r="C63" i="2"/>
  <c r="C59" i="2" s="1"/>
  <c r="C191" i="2"/>
  <c r="C173" i="2"/>
  <c r="I6" i="7" l="1"/>
  <c r="E6" i="7"/>
  <c r="C196" i="2"/>
  <c r="C192" i="2"/>
  <c r="M196" i="2"/>
  <c r="M192" i="2"/>
  <c r="H196" i="2"/>
  <c r="H192" i="2"/>
  <c r="K196" i="2"/>
  <c r="K192" i="2"/>
  <c r="E196" i="2"/>
  <c r="E192" i="2"/>
  <c r="D196" i="2"/>
  <c r="D192" i="2"/>
  <c r="G196" i="2"/>
  <c r="G192" i="2"/>
  <c r="F196" i="2"/>
  <c r="F192" i="2"/>
  <c r="J196" i="2"/>
  <c r="J192" i="2"/>
  <c r="L196" i="2"/>
  <c r="L192" i="2"/>
  <c r="I196" i="2"/>
  <c r="I192" i="2"/>
  <c r="F26" i="2"/>
  <c r="J26" i="2"/>
  <c r="M26" i="2"/>
  <c r="E26" i="2"/>
  <c r="I26" i="2"/>
  <c r="H26" i="2"/>
  <c r="C26" i="2"/>
  <c r="N26" i="2"/>
  <c r="G26" i="2"/>
  <c r="L26" i="2"/>
  <c r="K26" i="2"/>
  <c r="D26" i="2"/>
  <c r="N62" i="2"/>
  <c r="N63" i="2" l="1"/>
  <c r="N59" i="2" s="1"/>
  <c r="N191" i="2"/>
  <c r="N173" i="2"/>
  <c r="N196" i="2" l="1"/>
  <c r="N192" i="2"/>
  <c r="Q29" i="1" l="1"/>
  <c r="C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C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C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C29" i="1"/>
  <c r="C28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C34" i="1"/>
  <c r="C35" i="1"/>
  <c r="L6" i="2" l="1"/>
  <c r="L16" i="2" s="1"/>
  <c r="H6" i="2"/>
  <c r="H120" i="2" s="1"/>
  <c r="H110" i="2" s="1"/>
  <c r="D6" i="2"/>
  <c r="D126" i="2" s="1"/>
  <c r="D116" i="2" s="1"/>
  <c r="M5" i="2"/>
  <c r="M121" i="2" s="1"/>
  <c r="M111" i="2" s="1"/>
  <c r="I5" i="2"/>
  <c r="I15" i="2" s="1"/>
  <c r="E5" i="2"/>
  <c r="E121" i="2" s="1"/>
  <c r="E111" i="2" s="1"/>
  <c r="K6" i="2"/>
  <c r="K120" i="2" s="1"/>
  <c r="K110" i="2" s="1"/>
  <c r="G6" i="2"/>
  <c r="G16" i="2" s="1"/>
  <c r="C6" i="2"/>
  <c r="C120" i="2" s="1"/>
  <c r="C110" i="2" s="1"/>
  <c r="L5" i="2"/>
  <c r="L121" i="2" s="1"/>
  <c r="L111" i="2" s="1"/>
  <c r="H5" i="2"/>
  <c r="H121" i="2" s="1"/>
  <c r="H111" i="2" s="1"/>
  <c r="D5" i="2"/>
  <c r="D121" i="2" s="1"/>
  <c r="D111" i="2" s="1"/>
  <c r="N6" i="2"/>
  <c r="N126" i="2" s="1"/>
  <c r="N116" i="2" s="1"/>
  <c r="J6" i="2"/>
  <c r="J120" i="2" s="1"/>
  <c r="J110" i="2" s="1"/>
  <c r="F6" i="2"/>
  <c r="F126" i="2" s="1"/>
  <c r="F116" i="2" s="1"/>
  <c r="K5" i="2"/>
  <c r="K121" i="2" s="1"/>
  <c r="K111" i="2" s="1"/>
  <c r="G5" i="2"/>
  <c r="G121" i="2" s="1"/>
  <c r="G111" i="2" s="1"/>
  <c r="C5" i="2"/>
  <c r="C121" i="2" s="1"/>
  <c r="C111" i="2" s="1"/>
  <c r="M6" i="2"/>
  <c r="M16" i="2" s="1"/>
  <c r="I6" i="2"/>
  <c r="I120" i="2" s="1"/>
  <c r="I110" i="2" s="1"/>
  <c r="E6" i="2"/>
  <c r="E120" i="2" s="1"/>
  <c r="E110" i="2" s="1"/>
  <c r="N5" i="2"/>
  <c r="N121" i="2" s="1"/>
  <c r="N111" i="2" s="1"/>
  <c r="J5" i="2"/>
  <c r="J121" i="2" s="1"/>
  <c r="J111" i="2" s="1"/>
  <c r="F5" i="2"/>
  <c r="F121" i="2" s="1"/>
  <c r="F111" i="2" s="1"/>
  <c r="K16" i="2" l="1"/>
  <c r="I121" i="2"/>
  <c r="I111" i="2" s="1"/>
  <c r="M126" i="2"/>
  <c r="M116" i="2" s="1"/>
  <c r="D120" i="2"/>
  <c r="D110" i="2" s="1"/>
  <c r="F120" i="2"/>
  <c r="F110" i="2" s="1"/>
  <c r="D16" i="2"/>
  <c r="C126" i="2"/>
  <c r="C116" i="2" s="1"/>
  <c r="L120" i="2"/>
  <c r="L110" i="2" s="1"/>
  <c r="C16" i="2"/>
  <c r="J16" i="2"/>
  <c r="K15" i="2"/>
  <c r="N16" i="2"/>
  <c r="D15" i="2"/>
  <c r="J8" i="2"/>
  <c r="J11" i="2" s="1"/>
  <c r="J313" i="2" s="1"/>
  <c r="J314" i="2" s="1"/>
  <c r="J318" i="2" s="1"/>
  <c r="E15" i="2"/>
  <c r="G126" i="2"/>
  <c r="G116" i="2" s="1"/>
  <c r="G8" i="2"/>
  <c r="G11" i="2" s="1"/>
  <c r="G313" i="2" s="1"/>
  <c r="G314" i="2" s="1"/>
  <c r="G318" i="2" s="1"/>
  <c r="M8" i="2"/>
  <c r="M11" i="2" s="1"/>
  <c r="M313" i="2" s="1"/>
  <c r="M314" i="2" s="1"/>
  <c r="M318" i="2" s="1"/>
  <c r="F16" i="2"/>
  <c r="E16" i="2"/>
  <c r="J15" i="2"/>
  <c r="M120" i="2"/>
  <c r="M110" i="2" s="1"/>
  <c r="E126" i="2"/>
  <c r="E116" i="2" s="1"/>
  <c r="H8" i="2"/>
  <c r="H10" i="2" s="1"/>
  <c r="H253" i="2" s="1"/>
  <c r="C8" i="2"/>
  <c r="C10" i="2" s="1"/>
  <c r="H15" i="2"/>
  <c r="L126" i="2"/>
  <c r="L116" i="2" s="1"/>
  <c r="N120" i="2"/>
  <c r="N110" i="2" s="1"/>
  <c r="K126" i="2"/>
  <c r="K116" i="2" s="1"/>
  <c r="N15" i="2"/>
  <c r="G15" i="2"/>
  <c r="G17" i="2" s="1"/>
  <c r="L8" i="2"/>
  <c r="L10" i="2" s="1"/>
  <c r="L253" i="2" s="1"/>
  <c r="H126" i="2"/>
  <c r="H116" i="2" s="1"/>
  <c r="G120" i="2"/>
  <c r="G110" i="2" s="1"/>
  <c r="F15" i="2"/>
  <c r="F17" i="2" s="1"/>
  <c r="I16" i="2"/>
  <c r="I17" i="2" s="1"/>
  <c r="I8" i="2"/>
  <c r="I10" i="2" s="1"/>
  <c r="I253" i="2" s="1"/>
  <c r="D8" i="2"/>
  <c r="D11" i="2" s="1"/>
  <c r="D313" i="2" s="1"/>
  <c r="D314" i="2" s="1"/>
  <c r="D318" i="2" s="1"/>
  <c r="L15" i="2"/>
  <c r="L17" i="2" s="1"/>
  <c r="M15" i="2"/>
  <c r="M17" i="2" s="1"/>
  <c r="H16" i="2"/>
  <c r="I126" i="2"/>
  <c r="I116" i="2" s="1"/>
  <c r="J126" i="2"/>
  <c r="J116" i="2" s="1"/>
  <c r="F8" i="2"/>
  <c r="F10" i="2" s="1"/>
  <c r="F253" i="2" s="1"/>
  <c r="N8" i="2"/>
  <c r="N11" i="2" s="1"/>
  <c r="N313" i="2" s="1"/>
  <c r="N314" i="2" s="1"/>
  <c r="N318" i="2" s="1"/>
  <c r="C15" i="2"/>
  <c r="K8" i="2"/>
  <c r="K11" i="2" s="1"/>
  <c r="K313" i="2" s="1"/>
  <c r="K314" i="2" s="1"/>
  <c r="K318" i="2" s="1"/>
  <c r="E8" i="2"/>
  <c r="E11" i="2" s="1"/>
  <c r="E313" i="2" s="1"/>
  <c r="E314" i="2" s="1"/>
  <c r="E318" i="2" s="1"/>
  <c r="C11" i="2"/>
  <c r="C262" i="2" l="1"/>
  <c r="C275" i="2" s="1"/>
  <c r="C313" i="2"/>
  <c r="C314" i="2" s="1"/>
  <c r="C318" i="2" s="1"/>
  <c r="K17" i="2"/>
  <c r="C17" i="2"/>
  <c r="J17" i="2"/>
  <c r="D17" i="2"/>
  <c r="J10" i="2"/>
  <c r="J253" i="2" s="1"/>
  <c r="M10" i="2"/>
  <c r="M253" i="2" s="1"/>
  <c r="G10" i="2"/>
  <c r="G253" i="2" s="1"/>
  <c r="N10" i="2"/>
  <c r="N253" i="2" s="1"/>
  <c r="E17" i="2"/>
  <c r="N17" i="2"/>
  <c r="H17" i="2"/>
  <c r="D10" i="2"/>
  <c r="D253" i="2" s="1"/>
  <c r="E10" i="2"/>
  <c r="E253" i="2" s="1"/>
  <c r="H11" i="2"/>
  <c r="I11" i="2"/>
  <c r="L11" i="2"/>
  <c r="F11" i="2"/>
  <c r="K10" i="2"/>
  <c r="K253" i="2" s="1"/>
  <c r="C253" i="2"/>
  <c r="D262" i="2"/>
  <c r="D256" i="2"/>
  <c r="D269" i="2" s="1"/>
  <c r="I19" i="2"/>
  <c r="L19" i="2"/>
  <c r="E256" i="2"/>
  <c r="E269" i="2" s="1"/>
  <c r="E262" i="2"/>
  <c r="K256" i="2"/>
  <c r="K269" i="2" s="1"/>
  <c r="K262" i="2"/>
  <c r="M256" i="2"/>
  <c r="M269" i="2" s="1"/>
  <c r="M262" i="2"/>
  <c r="G256" i="2"/>
  <c r="G269" i="2" s="1"/>
  <c r="G262" i="2"/>
  <c r="C256" i="2"/>
  <c r="C269" i="2" s="1"/>
  <c r="F19" i="2"/>
  <c r="C19" i="2"/>
  <c r="N256" i="2"/>
  <c r="N269" i="2" s="1"/>
  <c r="N262" i="2"/>
  <c r="J256" i="2"/>
  <c r="J269" i="2" s="1"/>
  <c r="J262" i="2"/>
  <c r="H19" i="2"/>
  <c r="K124" i="2"/>
  <c r="K134" i="2" s="1"/>
  <c r="K20" i="2"/>
  <c r="G124" i="2"/>
  <c r="G134" i="2" s="1"/>
  <c r="G20" i="2"/>
  <c r="N124" i="2"/>
  <c r="N134" i="2" s="1"/>
  <c r="N20" i="2"/>
  <c r="D124" i="2"/>
  <c r="D134" i="2" s="1"/>
  <c r="D20" i="2"/>
  <c r="E124" i="2"/>
  <c r="E134" i="2" s="1"/>
  <c r="E20" i="2"/>
  <c r="M124" i="2"/>
  <c r="M134" i="2" s="1"/>
  <c r="M20" i="2"/>
  <c r="C124" i="2"/>
  <c r="C134" i="2" s="1"/>
  <c r="C20" i="2"/>
  <c r="J124" i="2"/>
  <c r="J134" i="2" s="1"/>
  <c r="J20" i="2"/>
  <c r="L44" i="2"/>
  <c r="L123" i="2"/>
  <c r="L133" i="2" s="1"/>
  <c r="F44" i="2"/>
  <c r="F123" i="2"/>
  <c r="F133" i="2" s="1"/>
  <c r="I44" i="2"/>
  <c r="I123" i="2"/>
  <c r="I133" i="2" s="1"/>
  <c r="C44" i="2"/>
  <c r="C123" i="2"/>
  <c r="C133" i="2" s="1"/>
  <c r="H44" i="2"/>
  <c r="H123" i="2"/>
  <c r="H133" i="2" s="1"/>
  <c r="C12" i="2"/>
  <c r="C43" i="2"/>
  <c r="C40" i="2"/>
  <c r="C203" i="2" s="1"/>
  <c r="C42" i="2"/>
  <c r="C41" i="2"/>
  <c r="H43" i="2"/>
  <c r="H41" i="2"/>
  <c r="H42" i="2"/>
  <c r="H40" i="2"/>
  <c r="I40" i="2"/>
  <c r="I42" i="2"/>
  <c r="I43" i="2"/>
  <c r="I41" i="2"/>
  <c r="L43" i="2"/>
  <c r="L41" i="2"/>
  <c r="L42" i="2"/>
  <c r="L40" i="2"/>
  <c r="F41" i="2"/>
  <c r="F43" i="2"/>
  <c r="F42" i="2"/>
  <c r="F40" i="2"/>
  <c r="L262" i="2" l="1"/>
  <c r="L275" i="2" s="1"/>
  <c r="L276" i="2" s="1"/>
  <c r="L306" i="2" s="1"/>
  <c r="L313" i="2"/>
  <c r="L314" i="2" s="1"/>
  <c r="L318" i="2" s="1"/>
  <c r="I262" i="2"/>
  <c r="I263" i="2" s="1"/>
  <c r="I302" i="2" s="1"/>
  <c r="I313" i="2"/>
  <c r="I314" i="2" s="1"/>
  <c r="I318" i="2" s="1"/>
  <c r="H256" i="2"/>
  <c r="H269" i="2" s="1"/>
  <c r="H313" i="2"/>
  <c r="H314" i="2" s="1"/>
  <c r="H318" i="2" s="1"/>
  <c r="F124" i="2"/>
  <c r="F134" i="2" s="1"/>
  <c r="F313" i="2"/>
  <c r="F314" i="2" s="1"/>
  <c r="F318" i="2" s="1"/>
  <c r="M43" i="2"/>
  <c r="M206" i="2" s="1"/>
  <c r="M44" i="2"/>
  <c r="M223" i="2" s="1"/>
  <c r="M42" i="2"/>
  <c r="M221" i="2" s="1"/>
  <c r="J263" i="2"/>
  <c r="J302" i="2" s="1"/>
  <c r="J275" i="2"/>
  <c r="J276" i="2" s="1"/>
  <c r="J306" i="2" s="1"/>
  <c r="G263" i="2"/>
  <c r="G302" i="2" s="1"/>
  <c r="G275" i="2"/>
  <c r="G276" i="2" s="1"/>
  <c r="G306" i="2" s="1"/>
  <c r="K263" i="2"/>
  <c r="K302" i="2" s="1"/>
  <c r="K275" i="2"/>
  <c r="K276" i="2" s="1"/>
  <c r="K306" i="2" s="1"/>
  <c r="D263" i="2"/>
  <c r="D302" i="2" s="1"/>
  <c r="D275" i="2"/>
  <c r="D276" i="2" s="1"/>
  <c r="D306" i="2" s="1"/>
  <c r="N263" i="2"/>
  <c r="N302" i="2" s="1"/>
  <c r="N275" i="2"/>
  <c r="N276" i="2" s="1"/>
  <c r="N306" i="2" s="1"/>
  <c r="C276" i="2"/>
  <c r="C306" i="2" s="1"/>
  <c r="M263" i="2"/>
  <c r="M302" i="2" s="1"/>
  <c r="M275" i="2"/>
  <c r="M276" i="2" s="1"/>
  <c r="M306" i="2" s="1"/>
  <c r="E263" i="2"/>
  <c r="E302" i="2" s="1"/>
  <c r="E275" i="2"/>
  <c r="E276" i="2" s="1"/>
  <c r="E306" i="2" s="1"/>
  <c r="E12" i="2"/>
  <c r="J41" i="2"/>
  <c r="J220" i="2" s="1"/>
  <c r="J123" i="2"/>
  <c r="J133" i="2" s="1"/>
  <c r="F256" i="2"/>
  <c r="F269" i="2" s="1"/>
  <c r="D19" i="2"/>
  <c r="D186" i="2" s="1"/>
  <c r="D195" i="2" s="1"/>
  <c r="D197" i="2" s="1"/>
  <c r="J42" i="2"/>
  <c r="J221" i="2" s="1"/>
  <c r="J44" i="2"/>
  <c r="J207" i="2" s="1"/>
  <c r="J40" i="2"/>
  <c r="J203" i="2" s="1"/>
  <c r="J19" i="2"/>
  <c r="J186" i="2" s="1"/>
  <c r="J100" i="2" s="1"/>
  <c r="J12" i="2"/>
  <c r="J43" i="2"/>
  <c r="J222" i="2" s="1"/>
  <c r="N43" i="2"/>
  <c r="N206" i="2" s="1"/>
  <c r="E41" i="2"/>
  <c r="E204" i="2" s="1"/>
  <c r="I124" i="2"/>
  <c r="I134" i="2" s="1"/>
  <c r="N44" i="2"/>
  <c r="N223" i="2" s="1"/>
  <c r="N12" i="2"/>
  <c r="G42" i="2"/>
  <c r="G221" i="2" s="1"/>
  <c r="G44" i="2"/>
  <c r="G207" i="2" s="1"/>
  <c r="G19" i="2"/>
  <c r="G21" i="2" s="1"/>
  <c r="N41" i="2"/>
  <c r="N204" i="2" s="1"/>
  <c r="N40" i="2"/>
  <c r="N203" i="2" s="1"/>
  <c r="E44" i="2"/>
  <c r="E207" i="2" s="1"/>
  <c r="G41" i="2"/>
  <c r="G204" i="2" s="1"/>
  <c r="G12" i="2"/>
  <c r="M12" i="2"/>
  <c r="D43" i="2"/>
  <c r="D222" i="2" s="1"/>
  <c r="E40" i="2"/>
  <c r="E203" i="2" s="1"/>
  <c r="G40" i="2"/>
  <c r="G219" i="2" s="1"/>
  <c r="D12" i="2"/>
  <c r="M41" i="2"/>
  <c r="M204" i="2" s="1"/>
  <c r="M123" i="2"/>
  <c r="M133" i="2" s="1"/>
  <c r="E123" i="2"/>
  <c r="E133" i="2" s="1"/>
  <c r="G123" i="2"/>
  <c r="G133" i="2" s="1"/>
  <c r="I20" i="2"/>
  <c r="I186" i="2" s="1"/>
  <c r="I256" i="2"/>
  <c r="I269" i="2" s="1"/>
  <c r="E43" i="2"/>
  <c r="E206" i="2" s="1"/>
  <c r="E42" i="2"/>
  <c r="E221" i="2" s="1"/>
  <c r="G43" i="2"/>
  <c r="G206" i="2" s="1"/>
  <c r="I12" i="2"/>
  <c r="M40" i="2"/>
  <c r="M219" i="2" s="1"/>
  <c r="H20" i="2"/>
  <c r="H186" i="2" s="1"/>
  <c r="H100" i="2" s="1"/>
  <c r="E19" i="2"/>
  <c r="E21" i="2" s="1"/>
  <c r="N42" i="2"/>
  <c r="N205" i="2" s="1"/>
  <c r="N123" i="2"/>
  <c r="N133" i="2" s="1"/>
  <c r="K44" i="2"/>
  <c r="K223" i="2" s="1"/>
  <c r="M19" i="2"/>
  <c r="M21" i="2" s="1"/>
  <c r="N19" i="2"/>
  <c r="N186" i="2" s="1"/>
  <c r="N100" i="2" s="1"/>
  <c r="K43" i="2"/>
  <c r="K206" i="2" s="1"/>
  <c r="D123" i="2"/>
  <c r="D133" i="2" s="1"/>
  <c r="E186" i="2"/>
  <c r="E195" i="2" s="1"/>
  <c r="E197" i="2" s="1"/>
  <c r="K42" i="2"/>
  <c r="K221" i="2" s="1"/>
  <c r="D42" i="2"/>
  <c r="D221" i="2" s="1"/>
  <c r="H124" i="2"/>
  <c r="H134" i="2" s="1"/>
  <c r="D41" i="2"/>
  <c r="D204" i="2" s="1"/>
  <c r="H12" i="2"/>
  <c r="H262" i="2"/>
  <c r="D40" i="2"/>
  <c r="D219" i="2" s="1"/>
  <c r="D44" i="2"/>
  <c r="D207" i="2" s="1"/>
  <c r="F12" i="2"/>
  <c r="K41" i="2"/>
  <c r="K220" i="2" s="1"/>
  <c r="L256" i="2"/>
  <c r="L269" i="2" s="1"/>
  <c r="F262" i="2"/>
  <c r="K12" i="2"/>
  <c r="L20" i="2"/>
  <c r="L186" i="2" s="1"/>
  <c r="L195" i="2" s="1"/>
  <c r="L197" i="2" s="1"/>
  <c r="F20" i="2"/>
  <c r="F186" i="2" s="1"/>
  <c r="F100" i="2" s="1"/>
  <c r="F215" i="2" s="1"/>
  <c r="L12" i="2"/>
  <c r="K40" i="2"/>
  <c r="K203" i="2" s="1"/>
  <c r="K123" i="2"/>
  <c r="K133" i="2" s="1"/>
  <c r="L124" i="2"/>
  <c r="L134" i="2" s="1"/>
  <c r="K19" i="2"/>
  <c r="K186" i="2" s="1"/>
  <c r="K195" i="2" s="1"/>
  <c r="K197" i="2" s="1"/>
  <c r="O253" i="2"/>
  <c r="F203" i="2"/>
  <c r="F219" i="2"/>
  <c r="I205" i="2"/>
  <c r="I221" i="2"/>
  <c r="C207" i="2"/>
  <c r="C223" i="2"/>
  <c r="L207" i="2"/>
  <c r="L223" i="2"/>
  <c r="F205" i="2"/>
  <c r="F221" i="2"/>
  <c r="L205" i="2"/>
  <c r="L221" i="2"/>
  <c r="I203" i="2"/>
  <c r="I219" i="2"/>
  <c r="C206" i="2"/>
  <c r="C222" i="2"/>
  <c r="F206" i="2"/>
  <c r="F222" i="2"/>
  <c r="I204" i="2"/>
  <c r="I220" i="2"/>
  <c r="H206" i="2"/>
  <c r="H222" i="2"/>
  <c r="C204" i="2"/>
  <c r="C220" i="2"/>
  <c r="H207" i="2"/>
  <c r="H223" i="2"/>
  <c r="F207" i="2"/>
  <c r="F223" i="2"/>
  <c r="L203" i="2"/>
  <c r="L219" i="2"/>
  <c r="H205" i="2"/>
  <c r="H221" i="2"/>
  <c r="C219" i="2"/>
  <c r="I207" i="2"/>
  <c r="I223" i="2"/>
  <c r="H204" i="2"/>
  <c r="H220" i="2"/>
  <c r="L204" i="2"/>
  <c r="L220" i="2"/>
  <c r="F204" i="2"/>
  <c r="F220" i="2"/>
  <c r="L206" i="2"/>
  <c r="L222" i="2"/>
  <c r="I206" i="2"/>
  <c r="I222" i="2"/>
  <c r="H203" i="2"/>
  <c r="H219" i="2"/>
  <c r="C205" i="2"/>
  <c r="C221" i="2"/>
  <c r="C263" i="2"/>
  <c r="C302" i="2" s="1"/>
  <c r="C186" i="2"/>
  <c r="C195" i="2" s="1"/>
  <c r="C197" i="2" s="1"/>
  <c r="C21" i="2"/>
  <c r="F45" i="2"/>
  <c r="L45" i="2"/>
  <c r="I45" i="2"/>
  <c r="C45" i="2"/>
  <c r="H45" i="2"/>
  <c r="L263" i="2" l="1"/>
  <c r="L302" i="2" s="1"/>
  <c r="I275" i="2"/>
  <c r="I276" i="2" s="1"/>
  <c r="I306" i="2" s="1"/>
  <c r="O313" i="2"/>
  <c r="O314" i="2"/>
  <c r="O318" i="2"/>
  <c r="M222" i="2"/>
  <c r="M207" i="2"/>
  <c r="J205" i="2"/>
  <c r="M205" i="2"/>
  <c r="O269" i="2"/>
  <c r="F263" i="2"/>
  <c r="F302" i="2" s="1"/>
  <c r="F275" i="2"/>
  <c r="H263" i="2"/>
  <c r="H302" i="2" s="1"/>
  <c r="H275" i="2"/>
  <c r="H276" i="2" s="1"/>
  <c r="H306" i="2" s="1"/>
  <c r="D21" i="2"/>
  <c r="J204" i="2"/>
  <c r="E219" i="2"/>
  <c r="J223" i="2"/>
  <c r="N207" i="2"/>
  <c r="N208" i="2" s="1"/>
  <c r="N21" i="2"/>
  <c r="G220" i="2"/>
  <c r="G222" i="2"/>
  <c r="G203" i="2"/>
  <c r="J219" i="2"/>
  <c r="M203" i="2"/>
  <c r="E222" i="2"/>
  <c r="N214" i="2"/>
  <c r="J206" i="2"/>
  <c r="N45" i="2"/>
  <c r="J45" i="2"/>
  <c r="G186" i="2"/>
  <c r="G100" i="2" s="1"/>
  <c r="G213" i="2" s="1"/>
  <c r="N221" i="2"/>
  <c r="O221" i="2" s="1"/>
  <c r="K205" i="2"/>
  <c r="O256" i="2"/>
  <c r="N222" i="2"/>
  <c r="N220" i="2"/>
  <c r="G205" i="2"/>
  <c r="N219" i="2"/>
  <c r="J21" i="2"/>
  <c r="E220" i="2"/>
  <c r="D206" i="2"/>
  <c r="G223" i="2"/>
  <c r="I21" i="2"/>
  <c r="I195" i="2"/>
  <c r="I197" i="2" s="1"/>
  <c r="I100" i="2"/>
  <c r="I215" i="2" s="1"/>
  <c r="I231" i="2" s="1"/>
  <c r="E223" i="2"/>
  <c r="M220" i="2"/>
  <c r="E100" i="2"/>
  <c r="E211" i="2" s="1"/>
  <c r="G45" i="2"/>
  <c r="M45" i="2"/>
  <c r="H21" i="2"/>
  <c r="E205" i="2"/>
  <c r="E208" i="2" s="1"/>
  <c r="K207" i="2"/>
  <c r="E45" i="2"/>
  <c r="D205" i="2"/>
  <c r="F21" i="2"/>
  <c r="M186" i="2"/>
  <c r="M195" i="2" s="1"/>
  <c r="M197" i="2" s="1"/>
  <c r="D220" i="2"/>
  <c r="D223" i="2"/>
  <c r="L21" i="2"/>
  <c r="K222" i="2"/>
  <c r="O262" i="2"/>
  <c r="O263" i="2" s="1"/>
  <c r="K219" i="2"/>
  <c r="K45" i="2"/>
  <c r="K21" i="2"/>
  <c r="K204" i="2"/>
  <c r="D203" i="2"/>
  <c r="D45" i="2"/>
  <c r="J195" i="2"/>
  <c r="J197" i="2" s="1"/>
  <c r="F211" i="2"/>
  <c r="F227" i="2" s="1"/>
  <c r="H224" i="2"/>
  <c r="N212" i="2"/>
  <c r="F212" i="2"/>
  <c r="F228" i="2" s="1"/>
  <c r="F231" i="2"/>
  <c r="J213" i="2"/>
  <c r="J212" i="2"/>
  <c r="J228" i="2" s="1"/>
  <c r="J211" i="2"/>
  <c r="J215" i="2"/>
  <c r="J214" i="2"/>
  <c r="H213" i="2"/>
  <c r="H229" i="2" s="1"/>
  <c r="I208" i="2"/>
  <c r="K100" i="2"/>
  <c r="K252" i="2" s="1"/>
  <c r="L224" i="2"/>
  <c r="F214" i="2"/>
  <c r="F230" i="2" s="1"/>
  <c r="F213" i="2"/>
  <c r="N215" i="2"/>
  <c r="F224" i="2"/>
  <c r="H212" i="2"/>
  <c r="H228" i="2" s="1"/>
  <c r="H208" i="2"/>
  <c r="C224" i="2"/>
  <c r="H215" i="2"/>
  <c r="H231" i="2" s="1"/>
  <c r="H195" i="2"/>
  <c r="H197" i="2" s="1"/>
  <c r="H211" i="2"/>
  <c r="H227" i="2" s="1"/>
  <c r="C208" i="2"/>
  <c r="L208" i="2"/>
  <c r="N213" i="2"/>
  <c r="H214" i="2"/>
  <c r="H230" i="2" s="1"/>
  <c r="N211" i="2"/>
  <c r="I224" i="2"/>
  <c r="F208" i="2"/>
  <c r="L100" i="2"/>
  <c r="C100" i="2"/>
  <c r="D100" i="2"/>
  <c r="F195" i="2"/>
  <c r="F197" i="2" s="1"/>
  <c r="N169" i="2"/>
  <c r="N177" i="2" s="1"/>
  <c r="N180" i="2" s="1"/>
  <c r="N252" i="2"/>
  <c r="J169" i="2"/>
  <c r="J177" i="2" s="1"/>
  <c r="J180" i="2" s="1"/>
  <c r="J252" i="2"/>
  <c r="H169" i="2"/>
  <c r="H177" i="2" s="1"/>
  <c r="H180" i="2" s="1"/>
  <c r="H252" i="2"/>
  <c r="F169" i="2"/>
  <c r="F177" i="2" s="1"/>
  <c r="F180" i="2" s="1"/>
  <c r="F252" i="2"/>
  <c r="N195" i="2"/>
  <c r="N197" i="2" s="1"/>
  <c r="M224" i="2" l="1"/>
  <c r="J229" i="2"/>
  <c r="M208" i="2"/>
  <c r="O302" i="2"/>
  <c r="H11" i="7"/>
  <c r="J208" i="2"/>
  <c r="J230" i="2"/>
  <c r="O204" i="2"/>
  <c r="F276" i="2"/>
  <c r="F306" i="2" s="1"/>
  <c r="O306" i="2" s="1"/>
  <c r="O275" i="2"/>
  <c r="O276" i="2" s="1"/>
  <c r="O206" i="2"/>
  <c r="E227" i="2"/>
  <c r="J231" i="2"/>
  <c r="G214" i="2"/>
  <c r="G230" i="2" s="1"/>
  <c r="N227" i="2"/>
  <c r="N231" i="2"/>
  <c r="G169" i="2"/>
  <c r="G177" i="2" s="1"/>
  <c r="G180" i="2" s="1"/>
  <c r="J224" i="2"/>
  <c r="O207" i="2"/>
  <c r="E169" i="2"/>
  <c r="E177" i="2" s="1"/>
  <c r="E180" i="2" s="1"/>
  <c r="N229" i="2"/>
  <c r="J227" i="2"/>
  <c r="N228" i="2"/>
  <c r="O223" i="2"/>
  <c r="G224" i="2"/>
  <c r="N230" i="2"/>
  <c r="O222" i="2"/>
  <c r="N224" i="2"/>
  <c r="G252" i="2"/>
  <c r="G215" i="2"/>
  <c r="G231" i="2" s="1"/>
  <c r="G212" i="2"/>
  <c r="G228" i="2" s="1"/>
  <c r="G195" i="2"/>
  <c r="G197" i="2" s="1"/>
  <c r="G211" i="2"/>
  <c r="G227" i="2" s="1"/>
  <c r="E252" i="2"/>
  <c r="E215" i="2"/>
  <c r="E231" i="2" s="1"/>
  <c r="I214" i="2"/>
  <c r="I230" i="2" s="1"/>
  <c r="E214" i="2"/>
  <c r="E230" i="2" s="1"/>
  <c r="E212" i="2"/>
  <c r="E228" i="2" s="1"/>
  <c r="I212" i="2"/>
  <c r="I228" i="2" s="1"/>
  <c r="E213" i="2"/>
  <c r="E229" i="2" s="1"/>
  <c r="G229" i="2"/>
  <c r="O219" i="2"/>
  <c r="I252" i="2"/>
  <c r="I213" i="2"/>
  <c r="I229" i="2" s="1"/>
  <c r="I211" i="2"/>
  <c r="I227" i="2" s="1"/>
  <c r="I169" i="2"/>
  <c r="I177" i="2" s="1"/>
  <c r="I180" i="2" s="1"/>
  <c r="G208" i="2"/>
  <c r="E224" i="2"/>
  <c r="M100" i="2"/>
  <c r="M214" i="2" s="1"/>
  <c r="M230" i="2" s="1"/>
  <c r="K208" i="2"/>
  <c r="O205" i="2"/>
  <c r="D208" i="2"/>
  <c r="D224" i="2"/>
  <c r="O220" i="2"/>
  <c r="K224" i="2"/>
  <c r="O203" i="2"/>
  <c r="F216" i="2"/>
  <c r="H232" i="2"/>
  <c r="F229" i="2"/>
  <c r="F232" i="2" s="1"/>
  <c r="J216" i="2"/>
  <c r="K212" i="2"/>
  <c r="K228" i="2" s="1"/>
  <c r="K211" i="2"/>
  <c r="K227" i="2" s="1"/>
  <c r="K214" i="2"/>
  <c r="K230" i="2" s="1"/>
  <c r="K213" i="2"/>
  <c r="K229" i="2" s="1"/>
  <c r="K215" i="2"/>
  <c r="K231" i="2" s="1"/>
  <c r="K169" i="2"/>
  <c r="K177" i="2" s="1"/>
  <c r="K180" i="2" s="1"/>
  <c r="C252" i="2"/>
  <c r="C212" i="2"/>
  <c r="C214" i="2"/>
  <c r="C230" i="2" s="1"/>
  <c r="C215" i="2"/>
  <c r="C211" i="2"/>
  <c r="C227" i="2" s="1"/>
  <c r="C213" i="2"/>
  <c r="C229" i="2" s="1"/>
  <c r="H216" i="2"/>
  <c r="D169" i="2"/>
  <c r="D177" i="2" s="1"/>
  <c r="D180" i="2" s="1"/>
  <c r="D215" i="2"/>
  <c r="D231" i="2" s="1"/>
  <c r="D212" i="2"/>
  <c r="D228" i="2" s="1"/>
  <c r="D214" i="2"/>
  <c r="D230" i="2" s="1"/>
  <c r="D213" i="2"/>
  <c r="D229" i="2" s="1"/>
  <c r="D211" i="2"/>
  <c r="D227" i="2" s="1"/>
  <c r="N216" i="2"/>
  <c r="L169" i="2"/>
  <c r="L177" i="2" s="1"/>
  <c r="L180" i="2" s="1"/>
  <c r="L212" i="2"/>
  <c r="L228" i="2" s="1"/>
  <c r="L214" i="2"/>
  <c r="L230" i="2" s="1"/>
  <c r="L215" i="2"/>
  <c r="L231" i="2" s="1"/>
  <c r="L211" i="2"/>
  <c r="L213" i="2"/>
  <c r="L229" i="2" s="1"/>
  <c r="L252" i="2"/>
  <c r="D252" i="2"/>
  <c r="C169" i="2"/>
  <c r="C177" i="2" s="1"/>
  <c r="C180" i="2" s="1"/>
  <c r="F28" i="1"/>
  <c r="D5" i="6" s="1"/>
  <c r="G28" i="1"/>
  <c r="E5" i="6" s="1"/>
  <c r="H28" i="1"/>
  <c r="F5" i="6" s="1"/>
  <c r="I28" i="1"/>
  <c r="G5" i="6" s="1"/>
  <c r="J28" i="1"/>
  <c r="H5" i="6" s="1"/>
  <c r="K28" i="1"/>
  <c r="I5" i="6" s="1"/>
  <c r="L28" i="1"/>
  <c r="J5" i="6" s="1"/>
  <c r="M28" i="1"/>
  <c r="K5" i="6" s="1"/>
  <c r="N28" i="1"/>
  <c r="L5" i="6" s="1"/>
  <c r="O28" i="1"/>
  <c r="M5" i="6" s="1"/>
  <c r="P28" i="1"/>
  <c r="N5" i="6" s="1"/>
  <c r="Q28" i="1"/>
  <c r="F29" i="1"/>
  <c r="D6" i="6" s="1"/>
  <c r="G29" i="1"/>
  <c r="E6" i="6" s="1"/>
  <c r="H29" i="1"/>
  <c r="F6" i="6" s="1"/>
  <c r="I29" i="1"/>
  <c r="G6" i="6" s="1"/>
  <c r="J29" i="1"/>
  <c r="H6" i="6" s="1"/>
  <c r="K29" i="1"/>
  <c r="I6" i="6" s="1"/>
  <c r="L29" i="1"/>
  <c r="J6" i="6" s="1"/>
  <c r="M29" i="1"/>
  <c r="K6" i="6" s="1"/>
  <c r="N29" i="1"/>
  <c r="L6" i="6" s="1"/>
  <c r="O29" i="1"/>
  <c r="M6" i="6" s="1"/>
  <c r="P29" i="1"/>
  <c r="N6" i="6" s="1"/>
  <c r="E29" i="1"/>
  <c r="C6" i="6" s="1"/>
  <c r="E28" i="1"/>
  <c r="C5" i="6" s="1"/>
  <c r="I11" i="7" l="1"/>
  <c r="H15" i="7"/>
  <c r="I15" i="7" s="1"/>
  <c r="I22" i="7" s="1"/>
  <c r="I24" i="7" s="1"/>
  <c r="G126" i="6"/>
  <c r="G116" i="6" s="1"/>
  <c r="G120" i="6"/>
  <c r="G110" i="6" s="1"/>
  <c r="G16" i="6"/>
  <c r="K121" i="6"/>
  <c r="K111" i="6" s="1"/>
  <c r="K15" i="6"/>
  <c r="K8" i="6"/>
  <c r="G15" i="6"/>
  <c r="G121" i="6"/>
  <c r="G111" i="6" s="1"/>
  <c r="G8" i="6"/>
  <c r="C15" i="6"/>
  <c r="C121" i="6"/>
  <c r="C111" i="6" s="1"/>
  <c r="C8" i="6"/>
  <c r="L126" i="6"/>
  <c r="L116" i="6" s="1"/>
  <c r="L120" i="6"/>
  <c r="L110" i="6" s="1"/>
  <c r="L16" i="6"/>
  <c r="H126" i="6"/>
  <c r="H116" i="6" s="1"/>
  <c r="H16" i="6"/>
  <c r="H120" i="6"/>
  <c r="H110" i="6" s="1"/>
  <c r="D126" i="6"/>
  <c r="D116" i="6" s="1"/>
  <c r="D16" i="6"/>
  <c r="D120" i="6"/>
  <c r="D110" i="6" s="1"/>
  <c r="L121" i="6"/>
  <c r="L111" i="6" s="1"/>
  <c r="L8" i="6"/>
  <c r="L15" i="6"/>
  <c r="H121" i="6"/>
  <c r="H111" i="6" s="1"/>
  <c r="H15" i="6"/>
  <c r="H8" i="6"/>
  <c r="D121" i="6"/>
  <c r="D111" i="6" s="1"/>
  <c r="D8" i="6"/>
  <c r="D15" i="6"/>
  <c r="J232" i="2"/>
  <c r="J254" i="2" s="1"/>
  <c r="K16" i="6"/>
  <c r="K126" i="6"/>
  <c r="K116" i="6" s="1"/>
  <c r="K120" i="6"/>
  <c r="K110" i="6" s="1"/>
  <c r="N126" i="6"/>
  <c r="N116" i="6" s="1"/>
  <c r="N16" i="6"/>
  <c r="N120" i="6"/>
  <c r="N110" i="6" s="1"/>
  <c r="J16" i="6"/>
  <c r="J120" i="6"/>
  <c r="J110" i="6" s="1"/>
  <c r="J126" i="6"/>
  <c r="J116" i="6" s="1"/>
  <c r="F126" i="6"/>
  <c r="F116" i="6" s="1"/>
  <c r="F16" i="6"/>
  <c r="F120" i="6"/>
  <c r="F110" i="6" s="1"/>
  <c r="N121" i="6"/>
  <c r="N111" i="6" s="1"/>
  <c r="N15" i="6"/>
  <c r="N8" i="6"/>
  <c r="J121" i="6"/>
  <c r="J111" i="6" s="1"/>
  <c r="J15" i="6"/>
  <c r="J8" i="6"/>
  <c r="F15" i="6"/>
  <c r="F17" i="6" s="1"/>
  <c r="F8" i="6"/>
  <c r="F121" i="6"/>
  <c r="F111" i="6" s="1"/>
  <c r="C126" i="6"/>
  <c r="C116" i="6" s="1"/>
  <c r="C120" i="6"/>
  <c r="C110" i="6" s="1"/>
  <c r="C16" i="6"/>
  <c r="M16" i="6"/>
  <c r="M120" i="6"/>
  <c r="M110" i="6" s="1"/>
  <c r="M126" i="6"/>
  <c r="M116" i="6" s="1"/>
  <c r="I16" i="6"/>
  <c r="I120" i="6"/>
  <c r="I110" i="6" s="1"/>
  <c r="I126" i="6"/>
  <c r="I116" i="6" s="1"/>
  <c r="E120" i="6"/>
  <c r="E110" i="6" s="1"/>
  <c r="E126" i="6"/>
  <c r="E116" i="6" s="1"/>
  <c r="E16" i="6"/>
  <c r="M121" i="6"/>
  <c r="M111" i="6" s="1"/>
  <c r="M8" i="6"/>
  <c r="M15" i="6"/>
  <c r="I121" i="6"/>
  <c r="I111" i="6" s="1"/>
  <c r="I15" i="6"/>
  <c r="I8" i="6"/>
  <c r="E15" i="6"/>
  <c r="E8" i="6"/>
  <c r="E121" i="6"/>
  <c r="E111" i="6" s="1"/>
  <c r="M169" i="2"/>
  <c r="M177" i="2" s="1"/>
  <c r="M180" i="2" s="1"/>
  <c r="N232" i="2"/>
  <c r="N254" i="2" s="1"/>
  <c r="O224" i="2"/>
  <c r="M212" i="2"/>
  <c r="M228" i="2" s="1"/>
  <c r="M213" i="2"/>
  <c r="M229" i="2" s="1"/>
  <c r="O229" i="2" s="1"/>
  <c r="I232" i="2"/>
  <c r="I254" i="2" s="1"/>
  <c r="I257" i="2" s="1"/>
  <c r="I301" i="2" s="1"/>
  <c r="M211" i="2"/>
  <c r="M227" i="2" s="1"/>
  <c r="G216" i="2"/>
  <c r="E216" i="2"/>
  <c r="M215" i="2"/>
  <c r="M231" i="2" s="1"/>
  <c r="M252" i="2"/>
  <c r="E232" i="2"/>
  <c r="E135" i="2" s="1"/>
  <c r="E137" i="2" s="1"/>
  <c r="I216" i="2"/>
  <c r="G232" i="2"/>
  <c r="G135" i="2" s="1"/>
  <c r="G137" i="2" s="1"/>
  <c r="O208" i="2"/>
  <c r="C228" i="2"/>
  <c r="L216" i="2"/>
  <c r="L227" i="2"/>
  <c r="L232" i="2" s="1"/>
  <c r="F135" i="2"/>
  <c r="F137" i="2" s="1"/>
  <c r="F254" i="2"/>
  <c r="C231" i="2"/>
  <c r="D232" i="2"/>
  <c r="O230" i="2"/>
  <c r="K232" i="2"/>
  <c r="H135" i="2"/>
  <c r="H137" i="2" s="1"/>
  <c r="H254" i="2"/>
  <c r="O214" i="2"/>
  <c r="K216" i="2"/>
  <c r="D216" i="2"/>
  <c r="C216" i="2"/>
  <c r="F257" i="2" l="1"/>
  <c r="F301" i="2" s="1"/>
  <c r="F267" i="2"/>
  <c r="F270" i="2" s="1"/>
  <c r="F305" i="2" s="1"/>
  <c r="O252" i="2"/>
  <c r="I267" i="2"/>
  <c r="I270" i="2" s="1"/>
  <c r="I305" i="2" s="1"/>
  <c r="H257" i="2"/>
  <c r="H301" i="2" s="1"/>
  <c r="H267" i="2"/>
  <c r="H270" i="2" s="1"/>
  <c r="H305" i="2" s="1"/>
  <c r="N257" i="2"/>
  <c r="N301" i="2" s="1"/>
  <c r="N267" i="2"/>
  <c r="N270" i="2" s="1"/>
  <c r="N305" i="2" s="1"/>
  <c r="J257" i="2"/>
  <c r="J301" i="2" s="1"/>
  <c r="J267" i="2"/>
  <c r="J270" i="2" s="1"/>
  <c r="J305" i="2" s="1"/>
  <c r="C17" i="6"/>
  <c r="H17" i="6"/>
  <c r="J135" i="2"/>
  <c r="J137" i="2" s="1"/>
  <c r="E17" i="6"/>
  <c r="M17" i="6"/>
  <c r="D17" i="6"/>
  <c r="F10" i="6"/>
  <c r="F11" i="6"/>
  <c r="H10" i="6"/>
  <c r="H11" i="6"/>
  <c r="E11" i="6"/>
  <c r="E10" i="6"/>
  <c r="J17" i="6"/>
  <c r="N17" i="6"/>
  <c r="L17" i="6"/>
  <c r="C10" i="6"/>
  <c r="C11" i="6"/>
  <c r="N135" i="2"/>
  <c r="N137" i="2" s="1"/>
  <c r="I10" i="6"/>
  <c r="I11" i="6"/>
  <c r="M10" i="6"/>
  <c r="M11" i="6"/>
  <c r="N11" i="6"/>
  <c r="N10" i="6"/>
  <c r="K10" i="6"/>
  <c r="K11" i="6"/>
  <c r="L10" i="6"/>
  <c r="L11" i="6"/>
  <c r="G17" i="6"/>
  <c r="I17" i="6"/>
  <c r="J10" i="6"/>
  <c r="J11" i="6"/>
  <c r="D10" i="6"/>
  <c r="D11" i="6"/>
  <c r="G10" i="6"/>
  <c r="G11" i="6"/>
  <c r="K17" i="6"/>
  <c r="O231" i="2"/>
  <c r="O212" i="2"/>
  <c r="O228" i="2"/>
  <c r="O215" i="2"/>
  <c r="O213" i="2"/>
  <c r="I135" i="2"/>
  <c r="I137" i="2" s="1"/>
  <c r="M232" i="2"/>
  <c r="M254" i="2" s="1"/>
  <c r="M257" i="2" s="1"/>
  <c r="M301" i="2" s="1"/>
  <c r="O211" i="2"/>
  <c r="G254" i="2"/>
  <c r="M216" i="2"/>
  <c r="E254" i="2"/>
  <c r="D135" i="2"/>
  <c r="D137" i="2" s="1"/>
  <c r="D254" i="2"/>
  <c r="L135" i="2"/>
  <c r="L137" i="2" s="1"/>
  <c r="L254" i="2"/>
  <c r="K135" i="2"/>
  <c r="K137" i="2" s="1"/>
  <c r="K254" i="2"/>
  <c r="O227" i="2"/>
  <c r="C232" i="2"/>
  <c r="D256" i="6" l="1"/>
  <c r="D269" i="6" s="1"/>
  <c r="D313" i="6"/>
  <c r="D314" i="6" s="1"/>
  <c r="D318" i="6" s="1"/>
  <c r="K256" i="6"/>
  <c r="K269" i="6" s="1"/>
  <c r="K313" i="6"/>
  <c r="K314" i="6" s="1"/>
  <c r="K318" i="6" s="1"/>
  <c r="G256" i="6"/>
  <c r="G269" i="6" s="1"/>
  <c r="G313" i="6"/>
  <c r="G314" i="6" s="1"/>
  <c r="G318" i="6" s="1"/>
  <c r="J256" i="6"/>
  <c r="J269" i="6" s="1"/>
  <c r="J313" i="6"/>
  <c r="J314" i="6" s="1"/>
  <c r="J318" i="6" s="1"/>
  <c r="L256" i="6"/>
  <c r="L269" i="6" s="1"/>
  <c r="L313" i="6"/>
  <c r="L314" i="6" s="1"/>
  <c r="L318" i="6" s="1"/>
  <c r="I256" i="6"/>
  <c r="I269" i="6" s="1"/>
  <c r="I313" i="6"/>
  <c r="I314" i="6" s="1"/>
  <c r="I318" i="6" s="1"/>
  <c r="F256" i="6"/>
  <c r="F269" i="6" s="1"/>
  <c r="F313" i="6"/>
  <c r="F314" i="6" s="1"/>
  <c r="F318" i="6" s="1"/>
  <c r="M256" i="6"/>
  <c r="M269" i="6" s="1"/>
  <c r="M313" i="6"/>
  <c r="M314" i="6" s="1"/>
  <c r="M318" i="6" s="1"/>
  <c r="H256" i="6"/>
  <c r="H269" i="6" s="1"/>
  <c r="H313" i="6"/>
  <c r="H314" i="6" s="1"/>
  <c r="H318" i="6" s="1"/>
  <c r="C256" i="6"/>
  <c r="C269" i="6" s="1"/>
  <c r="C313" i="6"/>
  <c r="N256" i="6"/>
  <c r="N269" i="6" s="1"/>
  <c r="N313" i="6"/>
  <c r="N314" i="6" s="1"/>
  <c r="N318" i="6" s="1"/>
  <c r="E256" i="6"/>
  <c r="E269" i="6" s="1"/>
  <c r="E313" i="6"/>
  <c r="E314" i="6" s="1"/>
  <c r="E318" i="6" s="1"/>
  <c r="M267" i="2"/>
  <c r="M270" i="2" s="1"/>
  <c r="M305" i="2" s="1"/>
  <c r="L257" i="2"/>
  <c r="L301" i="2" s="1"/>
  <c r="L267" i="2"/>
  <c r="L270" i="2" s="1"/>
  <c r="L305" i="2" s="1"/>
  <c r="E257" i="2"/>
  <c r="E301" i="2" s="1"/>
  <c r="E267" i="2"/>
  <c r="E270" i="2" s="1"/>
  <c r="E305" i="2" s="1"/>
  <c r="K257" i="2"/>
  <c r="K301" i="2" s="1"/>
  <c r="K267" i="2"/>
  <c r="K270" i="2" s="1"/>
  <c r="K305" i="2" s="1"/>
  <c r="D257" i="2"/>
  <c r="D301" i="2" s="1"/>
  <c r="D267" i="2"/>
  <c r="D270" i="2" s="1"/>
  <c r="D305" i="2" s="1"/>
  <c r="G257" i="2"/>
  <c r="G301" i="2" s="1"/>
  <c r="G267" i="2"/>
  <c r="G270" i="2" s="1"/>
  <c r="G305" i="2" s="1"/>
  <c r="M41" i="6"/>
  <c r="M253" i="6"/>
  <c r="M42" i="6"/>
  <c r="M43" i="6"/>
  <c r="M19" i="6"/>
  <c r="M44" i="6"/>
  <c r="M40" i="6"/>
  <c r="M123" i="6"/>
  <c r="M133" i="6" s="1"/>
  <c r="M12" i="6"/>
  <c r="D262" i="6"/>
  <c r="D275" i="6" s="1"/>
  <c r="D124" i="6"/>
  <c r="D134" i="6" s="1"/>
  <c r="D20" i="6"/>
  <c r="K262" i="6"/>
  <c r="K275" i="6" s="1"/>
  <c r="K124" i="6"/>
  <c r="K134" i="6" s="1"/>
  <c r="K20" i="6"/>
  <c r="M124" i="6"/>
  <c r="M134" i="6" s="1"/>
  <c r="M20" i="6"/>
  <c r="M262" i="6"/>
  <c r="M275" i="6" s="1"/>
  <c r="H124" i="6"/>
  <c r="H134" i="6" s="1"/>
  <c r="H20" i="6"/>
  <c r="H262" i="6"/>
  <c r="H275" i="6" s="1"/>
  <c r="D123" i="6"/>
  <c r="D133" i="6" s="1"/>
  <c r="D41" i="6"/>
  <c r="D43" i="6"/>
  <c r="D19" i="6"/>
  <c r="D44" i="6"/>
  <c r="D253" i="6"/>
  <c r="D40" i="6"/>
  <c r="D42" i="6"/>
  <c r="D12" i="6"/>
  <c r="G124" i="6"/>
  <c r="G134" i="6" s="1"/>
  <c r="G20" i="6"/>
  <c r="G262" i="6"/>
  <c r="G275" i="6" s="1"/>
  <c r="J262" i="6"/>
  <c r="J275" i="6" s="1"/>
  <c r="J124" i="6"/>
  <c r="J134" i="6" s="1"/>
  <c r="J20" i="6"/>
  <c r="L124" i="6"/>
  <c r="L134" i="6" s="1"/>
  <c r="L20" i="6"/>
  <c r="L262" i="6"/>
  <c r="L275" i="6" s="1"/>
  <c r="N43" i="6"/>
  <c r="N19" i="6"/>
  <c r="N42" i="6"/>
  <c r="N44" i="6"/>
  <c r="N12" i="6"/>
  <c r="N41" i="6"/>
  <c r="N40" i="6"/>
  <c r="N253" i="6"/>
  <c r="N123" i="6"/>
  <c r="N133" i="6" s="1"/>
  <c r="I262" i="6"/>
  <c r="I275" i="6" s="1"/>
  <c r="I124" i="6"/>
  <c r="I134" i="6" s="1"/>
  <c r="I20" i="6"/>
  <c r="C43" i="6"/>
  <c r="C44" i="6"/>
  <c r="C41" i="6"/>
  <c r="C40" i="6"/>
  <c r="C123" i="6"/>
  <c r="C133" i="6" s="1"/>
  <c r="C42" i="6"/>
  <c r="C19" i="6"/>
  <c r="C253" i="6"/>
  <c r="E253" i="6"/>
  <c r="E42" i="6"/>
  <c r="E123" i="6"/>
  <c r="E133" i="6" s="1"/>
  <c r="E19" i="6"/>
  <c r="E41" i="6"/>
  <c r="E40" i="6"/>
  <c r="E12" i="6"/>
  <c r="E44" i="6"/>
  <c r="E43" i="6"/>
  <c r="F262" i="6"/>
  <c r="F275" i="6" s="1"/>
  <c r="F124" i="6"/>
  <c r="F134" i="6" s="1"/>
  <c r="F20" i="6"/>
  <c r="K12" i="6"/>
  <c r="K44" i="6"/>
  <c r="K253" i="6"/>
  <c r="K123" i="6"/>
  <c r="K133" i="6" s="1"/>
  <c r="K40" i="6"/>
  <c r="K42" i="6"/>
  <c r="K19" i="6"/>
  <c r="K41" i="6"/>
  <c r="K43" i="6"/>
  <c r="C12" i="6"/>
  <c r="C20" i="6"/>
  <c r="C262" i="6"/>
  <c r="C275" i="6" s="1"/>
  <c r="C124" i="6"/>
  <c r="C134" i="6" s="1"/>
  <c r="H253" i="6"/>
  <c r="H42" i="6"/>
  <c r="H123" i="6"/>
  <c r="H133" i="6" s="1"/>
  <c r="H40" i="6"/>
  <c r="H41" i="6"/>
  <c r="H44" i="6"/>
  <c r="H12" i="6"/>
  <c r="H43" i="6"/>
  <c r="H19" i="6"/>
  <c r="G41" i="6"/>
  <c r="G19" i="6"/>
  <c r="G123" i="6"/>
  <c r="G133" i="6" s="1"/>
  <c r="G12" i="6"/>
  <c r="G42" i="6"/>
  <c r="G40" i="6"/>
  <c r="G43" i="6"/>
  <c r="G253" i="6"/>
  <c r="G44" i="6"/>
  <c r="J253" i="6"/>
  <c r="J42" i="6"/>
  <c r="J40" i="6"/>
  <c r="J19" i="6"/>
  <c r="J44" i="6"/>
  <c r="J43" i="6"/>
  <c r="J41" i="6"/>
  <c r="J123" i="6"/>
  <c r="J133" i="6" s="1"/>
  <c r="J12" i="6"/>
  <c r="L123" i="6"/>
  <c r="L133" i="6" s="1"/>
  <c r="L42" i="6"/>
  <c r="L19" i="6"/>
  <c r="L21" i="6" s="1"/>
  <c r="L41" i="6"/>
  <c r="L40" i="6"/>
  <c r="L253" i="6"/>
  <c r="L43" i="6"/>
  <c r="L44" i="6"/>
  <c r="L12" i="6"/>
  <c r="N262" i="6"/>
  <c r="N275" i="6" s="1"/>
  <c r="N20" i="6"/>
  <c r="N124" i="6"/>
  <c r="N134" i="6" s="1"/>
  <c r="I40" i="6"/>
  <c r="I41" i="6"/>
  <c r="I44" i="6"/>
  <c r="I19" i="6"/>
  <c r="I21" i="6" s="1"/>
  <c r="I42" i="6"/>
  <c r="I43" i="6"/>
  <c r="I253" i="6"/>
  <c r="I12" i="6"/>
  <c r="I123" i="6"/>
  <c r="I133" i="6" s="1"/>
  <c r="E20" i="6"/>
  <c r="E262" i="6"/>
  <c r="E275" i="6" s="1"/>
  <c r="E124" i="6"/>
  <c r="E134" i="6" s="1"/>
  <c r="F41" i="6"/>
  <c r="F40" i="6"/>
  <c r="F253" i="6"/>
  <c r="F42" i="6"/>
  <c r="F123" i="6"/>
  <c r="F133" i="6" s="1"/>
  <c r="F19" i="6"/>
  <c r="F43" i="6"/>
  <c r="F44" i="6"/>
  <c r="F12" i="6"/>
  <c r="O232" i="2"/>
  <c r="O216" i="2"/>
  <c r="M135" i="2"/>
  <c r="M137" i="2" s="1"/>
  <c r="C135" i="2"/>
  <c r="C137" i="2" s="1"/>
  <c r="C254" i="2"/>
  <c r="C267" i="2" s="1"/>
  <c r="O256" i="6" l="1"/>
  <c r="O313" i="6"/>
  <c r="C314" i="6"/>
  <c r="C318" i="6" s="1"/>
  <c r="N186" i="6"/>
  <c r="N100" i="6" s="1"/>
  <c r="N212" i="6" s="1"/>
  <c r="C270" i="2"/>
  <c r="C305" i="2" s="1"/>
  <c r="O305" i="2" s="1"/>
  <c r="O267" i="2"/>
  <c r="O270" i="2" s="1"/>
  <c r="C276" i="6"/>
  <c r="C306" i="6" s="1"/>
  <c r="H21" i="6"/>
  <c r="D21" i="6"/>
  <c r="O268" i="6"/>
  <c r="N263" i="6"/>
  <c r="N302" i="6" s="1"/>
  <c r="N276" i="6"/>
  <c r="N306" i="6" s="1"/>
  <c r="I263" i="6"/>
  <c r="I302" i="6" s="1"/>
  <c r="I276" i="6"/>
  <c r="I306" i="6" s="1"/>
  <c r="H263" i="6"/>
  <c r="H302" i="6" s="1"/>
  <c r="H276" i="6"/>
  <c r="H306" i="6" s="1"/>
  <c r="J263" i="6"/>
  <c r="J302" i="6" s="1"/>
  <c r="J276" i="6"/>
  <c r="J306" i="6" s="1"/>
  <c r="D263" i="6"/>
  <c r="D302" i="6" s="1"/>
  <c r="L263" i="6"/>
  <c r="L302" i="6" s="1"/>
  <c r="L276" i="6"/>
  <c r="L306" i="6" s="1"/>
  <c r="K263" i="6"/>
  <c r="K302" i="6" s="1"/>
  <c r="K276" i="6"/>
  <c r="K306" i="6" s="1"/>
  <c r="E263" i="6"/>
  <c r="E302" i="6" s="1"/>
  <c r="E276" i="6"/>
  <c r="E306" i="6" s="1"/>
  <c r="F263" i="6"/>
  <c r="F302" i="6" s="1"/>
  <c r="F276" i="6"/>
  <c r="F306" i="6" s="1"/>
  <c r="G263" i="6"/>
  <c r="G302" i="6" s="1"/>
  <c r="G276" i="6"/>
  <c r="G306" i="6" s="1"/>
  <c r="M263" i="6"/>
  <c r="M302" i="6" s="1"/>
  <c r="M276" i="6"/>
  <c r="M306" i="6" s="1"/>
  <c r="J21" i="6"/>
  <c r="C186" i="6"/>
  <c r="C100" i="6" s="1"/>
  <c r="M186" i="6"/>
  <c r="M100" i="6" s="1"/>
  <c r="M212" i="6" s="1"/>
  <c r="K21" i="6"/>
  <c r="E21" i="6"/>
  <c r="F21" i="6"/>
  <c r="G21" i="6"/>
  <c r="F203" i="6"/>
  <c r="F45" i="6"/>
  <c r="F219" i="6"/>
  <c r="I207" i="6"/>
  <c r="I223" i="6"/>
  <c r="G223" i="6"/>
  <c r="G207" i="6"/>
  <c r="K221" i="6"/>
  <c r="K205" i="6"/>
  <c r="K207" i="6"/>
  <c r="K223" i="6"/>
  <c r="C206" i="6"/>
  <c r="C222" i="6"/>
  <c r="N205" i="6"/>
  <c r="N221" i="6"/>
  <c r="E186" i="6"/>
  <c r="I220" i="6"/>
  <c r="I204" i="6"/>
  <c r="F223" i="6"/>
  <c r="F207" i="6"/>
  <c r="F205" i="6"/>
  <c r="F221" i="6"/>
  <c r="I205" i="6"/>
  <c r="I221" i="6"/>
  <c r="I203" i="6"/>
  <c r="I45" i="6"/>
  <c r="I219" i="6"/>
  <c r="L222" i="6"/>
  <c r="L206" i="6"/>
  <c r="J207" i="6"/>
  <c r="J223" i="6"/>
  <c r="G206" i="6"/>
  <c r="G222" i="6"/>
  <c r="F206" i="6"/>
  <c r="F222" i="6"/>
  <c r="L205" i="6"/>
  <c r="L221" i="6"/>
  <c r="G203" i="6"/>
  <c r="G45" i="6"/>
  <c r="G219" i="6"/>
  <c r="H206" i="6"/>
  <c r="H222" i="6"/>
  <c r="H219" i="6"/>
  <c r="H203" i="6"/>
  <c r="H45" i="6"/>
  <c r="E222" i="6"/>
  <c r="E206" i="6"/>
  <c r="E204" i="6"/>
  <c r="E220" i="6"/>
  <c r="C205" i="6"/>
  <c r="C221" i="6"/>
  <c r="C207" i="6"/>
  <c r="C223" i="6"/>
  <c r="N223" i="6"/>
  <c r="N207" i="6"/>
  <c r="J186" i="6"/>
  <c r="D204" i="6"/>
  <c r="D220" i="6"/>
  <c r="H186" i="6"/>
  <c r="M206" i="6"/>
  <c r="M222" i="6"/>
  <c r="J220" i="6"/>
  <c r="J204" i="6"/>
  <c r="G205" i="6"/>
  <c r="G221" i="6"/>
  <c r="G204" i="6"/>
  <c r="G220" i="6"/>
  <c r="O262" i="6"/>
  <c r="O263" i="6" s="1"/>
  <c r="C263" i="6"/>
  <c r="C302" i="6" s="1"/>
  <c r="E207" i="6"/>
  <c r="E223" i="6"/>
  <c r="M45" i="6"/>
  <c r="M219" i="6"/>
  <c r="M203" i="6"/>
  <c r="I222" i="6"/>
  <c r="I206" i="6"/>
  <c r="L207" i="6"/>
  <c r="L223" i="6"/>
  <c r="L204" i="6"/>
  <c r="L220" i="6"/>
  <c r="J222" i="6"/>
  <c r="J206" i="6"/>
  <c r="J221" i="6"/>
  <c r="J205" i="6"/>
  <c r="H223" i="6"/>
  <c r="H207" i="6"/>
  <c r="H221" i="6"/>
  <c r="H205" i="6"/>
  <c r="K206" i="6"/>
  <c r="K222" i="6"/>
  <c r="K219" i="6"/>
  <c r="K45" i="6"/>
  <c r="K203" i="6"/>
  <c r="O253" i="6"/>
  <c r="C203" i="6"/>
  <c r="C45" i="6"/>
  <c r="C219" i="6"/>
  <c r="N220" i="6"/>
  <c r="N204" i="6"/>
  <c r="N21" i="6"/>
  <c r="L186" i="6"/>
  <c r="G186" i="6"/>
  <c r="D221" i="6"/>
  <c r="D205" i="6"/>
  <c r="K186" i="6"/>
  <c r="D186" i="6"/>
  <c r="M207" i="6"/>
  <c r="M223" i="6"/>
  <c r="L219" i="6"/>
  <c r="L203" i="6"/>
  <c r="L45" i="6"/>
  <c r="J219" i="6"/>
  <c r="J203" i="6"/>
  <c r="J45" i="6"/>
  <c r="N219" i="6"/>
  <c r="N45" i="6"/>
  <c r="N203" i="6"/>
  <c r="D207" i="6"/>
  <c r="D223" i="6"/>
  <c r="M205" i="6"/>
  <c r="M221" i="6"/>
  <c r="F220" i="6"/>
  <c r="F204" i="6"/>
  <c r="H220" i="6"/>
  <c r="H204" i="6"/>
  <c r="K204" i="6"/>
  <c r="K220" i="6"/>
  <c r="F186" i="6"/>
  <c r="E203" i="6"/>
  <c r="E45" i="6"/>
  <c r="E219" i="6"/>
  <c r="E221" i="6"/>
  <c r="E205" i="6"/>
  <c r="C21" i="6"/>
  <c r="C204" i="6"/>
  <c r="C220" i="6"/>
  <c r="I186" i="6"/>
  <c r="N206" i="6"/>
  <c r="N222" i="6"/>
  <c r="D219" i="6"/>
  <c r="D45" i="6"/>
  <c r="D203" i="6"/>
  <c r="D206" i="6"/>
  <c r="D222" i="6"/>
  <c r="M21" i="6"/>
  <c r="M204" i="6"/>
  <c r="M220" i="6"/>
  <c r="O254" i="2"/>
  <c r="O257" i="2" s="1"/>
  <c r="C257" i="2"/>
  <c r="C301" i="2" s="1"/>
  <c r="O301" i="2" s="1"/>
  <c r="O318" i="6" l="1"/>
  <c r="O314" i="6"/>
  <c r="L11" i="7"/>
  <c r="D11" i="7"/>
  <c r="H10" i="7"/>
  <c r="N195" i="6"/>
  <c r="N197" i="6" s="1"/>
  <c r="M195" i="6"/>
  <c r="M197" i="6" s="1"/>
  <c r="C195" i="6"/>
  <c r="C197" i="6" s="1"/>
  <c r="O302" i="6"/>
  <c r="D276" i="6"/>
  <c r="D306" i="6" s="1"/>
  <c r="O306" i="6" s="1"/>
  <c r="O275" i="6"/>
  <c r="O276" i="6" s="1"/>
  <c r="C213" i="6"/>
  <c r="C229" i="6" s="1"/>
  <c r="C212" i="6"/>
  <c r="M228" i="6"/>
  <c r="J224" i="6"/>
  <c r="O204" i="6"/>
  <c r="L224" i="6"/>
  <c r="I208" i="6"/>
  <c r="N228" i="6"/>
  <c r="F224" i="6"/>
  <c r="C224" i="6"/>
  <c r="O219" i="6"/>
  <c r="N215" i="6"/>
  <c r="N231" i="6" s="1"/>
  <c r="N169" i="6"/>
  <c r="N177" i="6" s="1"/>
  <c r="N180" i="6" s="1"/>
  <c r="N252" i="6"/>
  <c r="M169" i="6"/>
  <c r="M177" i="6" s="1"/>
  <c r="M180" i="6" s="1"/>
  <c r="M252" i="6"/>
  <c r="D208" i="6"/>
  <c r="C228" i="6"/>
  <c r="E224" i="6"/>
  <c r="M213" i="6"/>
  <c r="M229" i="6" s="1"/>
  <c r="J208" i="6"/>
  <c r="L208" i="6"/>
  <c r="C211" i="6"/>
  <c r="C227" i="6" s="1"/>
  <c r="M224" i="6"/>
  <c r="M214" i="6"/>
  <c r="M230" i="6" s="1"/>
  <c r="H100" i="6"/>
  <c r="H195" i="6"/>
  <c r="H197" i="6" s="1"/>
  <c r="J195" i="6"/>
  <c r="J197" i="6" s="1"/>
  <c r="J100" i="6"/>
  <c r="O223" i="6"/>
  <c r="O205" i="6"/>
  <c r="N213" i="6"/>
  <c r="N229" i="6" s="1"/>
  <c r="O222" i="6"/>
  <c r="D224" i="6"/>
  <c r="G208" i="6"/>
  <c r="N224" i="6"/>
  <c r="I195" i="6"/>
  <c r="I197" i="6" s="1"/>
  <c r="I100" i="6"/>
  <c r="F100" i="6"/>
  <c r="F195" i="6"/>
  <c r="F197" i="6" s="1"/>
  <c r="N211" i="6"/>
  <c r="M215" i="6"/>
  <c r="M231" i="6" s="1"/>
  <c r="K100" i="6"/>
  <c r="K195" i="6"/>
  <c r="K197" i="6" s="1"/>
  <c r="G195" i="6"/>
  <c r="G197" i="6" s="1"/>
  <c r="G100" i="6"/>
  <c r="M211" i="6"/>
  <c r="M227" i="6" s="1"/>
  <c r="H224" i="6"/>
  <c r="E208" i="6"/>
  <c r="D100" i="6"/>
  <c r="D195" i="6"/>
  <c r="D197" i="6" s="1"/>
  <c r="K224" i="6"/>
  <c r="O207" i="6"/>
  <c r="H208" i="6"/>
  <c r="O206" i="6"/>
  <c r="N214" i="6"/>
  <c r="N230" i="6" s="1"/>
  <c r="C169" i="6"/>
  <c r="C177" i="6" s="1"/>
  <c r="C180" i="6" s="1"/>
  <c r="C252" i="6"/>
  <c r="O220" i="6"/>
  <c r="N208" i="6"/>
  <c r="N227" i="6"/>
  <c r="L100" i="6"/>
  <c r="L195" i="6"/>
  <c r="L197" i="6" s="1"/>
  <c r="O203" i="6"/>
  <c r="C208" i="6"/>
  <c r="K208" i="6"/>
  <c r="M208" i="6"/>
  <c r="C215" i="6"/>
  <c r="O221" i="6"/>
  <c r="G224" i="6"/>
  <c r="I224" i="6"/>
  <c r="E100" i="6"/>
  <c r="E195" i="6"/>
  <c r="E197" i="6" s="1"/>
  <c r="C214" i="6"/>
  <c r="F208" i="6"/>
  <c r="D15" i="7" l="1"/>
  <c r="E15" i="7" s="1"/>
  <c r="D22" i="7" s="1"/>
  <c r="E24" i="7" s="1"/>
  <c r="M11" i="7"/>
  <c r="L15" i="7"/>
  <c r="M15" i="7" s="1"/>
  <c r="L22" i="7" s="1"/>
  <c r="M24" i="7" s="1"/>
  <c r="I10" i="7"/>
  <c r="H14" i="7"/>
  <c r="I14" i="7" s="1"/>
  <c r="E11" i="7"/>
  <c r="M232" i="6"/>
  <c r="M254" i="6" s="1"/>
  <c r="M267" i="6" s="1"/>
  <c r="E215" i="6"/>
  <c r="E231" i="6" s="1"/>
  <c r="E169" i="6"/>
  <c r="E177" i="6" s="1"/>
  <c r="E180" i="6" s="1"/>
  <c r="E252" i="6"/>
  <c r="E213" i="6"/>
  <c r="E229" i="6" s="1"/>
  <c r="E211" i="6"/>
  <c r="E212" i="6"/>
  <c r="E228" i="6" s="1"/>
  <c r="E214" i="6"/>
  <c r="E230" i="6" s="1"/>
  <c r="C231" i="6"/>
  <c r="O208" i="6"/>
  <c r="M216" i="6"/>
  <c r="K169" i="6"/>
  <c r="K177" i="6" s="1"/>
  <c r="K180" i="6" s="1"/>
  <c r="K252" i="6"/>
  <c r="K215" i="6"/>
  <c r="K231" i="6" s="1"/>
  <c r="K214" i="6"/>
  <c r="K230" i="6" s="1"/>
  <c r="K211" i="6"/>
  <c r="K213" i="6"/>
  <c r="K229" i="6" s="1"/>
  <c r="K212" i="6"/>
  <c r="K228" i="6" s="1"/>
  <c r="J169" i="6"/>
  <c r="J177" i="6" s="1"/>
  <c r="J180" i="6" s="1"/>
  <c r="J252" i="6"/>
  <c r="J214" i="6"/>
  <c r="J230" i="6" s="1"/>
  <c r="J211" i="6"/>
  <c r="J215" i="6"/>
  <c r="J231" i="6" s="1"/>
  <c r="J213" i="6"/>
  <c r="J229" i="6" s="1"/>
  <c r="J212" i="6"/>
  <c r="J228" i="6" s="1"/>
  <c r="O224" i="6"/>
  <c r="F169" i="6"/>
  <c r="F177" i="6" s="1"/>
  <c r="F180" i="6" s="1"/>
  <c r="F252" i="6"/>
  <c r="F215" i="6"/>
  <c r="F231" i="6" s="1"/>
  <c r="F213" i="6"/>
  <c r="F229" i="6" s="1"/>
  <c r="F214" i="6"/>
  <c r="F230" i="6" s="1"/>
  <c r="F212" i="6"/>
  <c r="F228" i="6" s="1"/>
  <c r="F211" i="6"/>
  <c r="C230" i="6"/>
  <c r="L169" i="6"/>
  <c r="L177" i="6" s="1"/>
  <c r="L180" i="6" s="1"/>
  <c r="L252" i="6"/>
  <c r="L214" i="6"/>
  <c r="L230" i="6" s="1"/>
  <c r="L213" i="6"/>
  <c r="L229" i="6" s="1"/>
  <c r="L212" i="6"/>
  <c r="L228" i="6" s="1"/>
  <c r="L211" i="6"/>
  <c r="L215" i="6"/>
  <c r="L231" i="6" s="1"/>
  <c r="N216" i="6"/>
  <c r="I252" i="6"/>
  <c r="I169" i="6"/>
  <c r="I177" i="6" s="1"/>
  <c r="I180" i="6" s="1"/>
  <c r="I215" i="6"/>
  <c r="I231" i="6" s="1"/>
  <c r="I213" i="6"/>
  <c r="I229" i="6" s="1"/>
  <c r="I211" i="6"/>
  <c r="I214" i="6"/>
  <c r="I230" i="6" s="1"/>
  <c r="I212" i="6"/>
  <c r="I228" i="6" s="1"/>
  <c r="G169" i="6"/>
  <c r="G177" i="6" s="1"/>
  <c r="G180" i="6" s="1"/>
  <c r="G252" i="6"/>
  <c r="G212" i="6"/>
  <c r="G228" i="6" s="1"/>
  <c r="G214" i="6"/>
  <c r="G230" i="6" s="1"/>
  <c r="G211" i="6"/>
  <c r="G213" i="6"/>
  <c r="G229" i="6" s="1"/>
  <c r="G215" i="6"/>
  <c r="G231" i="6" s="1"/>
  <c r="N232" i="6"/>
  <c r="D211" i="6"/>
  <c r="D169" i="6"/>
  <c r="D177" i="6" s="1"/>
  <c r="D180" i="6" s="1"/>
  <c r="D252" i="6"/>
  <c r="D213" i="6"/>
  <c r="D215" i="6"/>
  <c r="D231" i="6" s="1"/>
  <c r="D212" i="6"/>
  <c r="D214" i="6"/>
  <c r="D230" i="6" s="1"/>
  <c r="H169" i="6"/>
  <c r="H177" i="6" s="1"/>
  <c r="H180" i="6" s="1"/>
  <c r="H252" i="6"/>
  <c r="H214" i="6"/>
  <c r="H230" i="6" s="1"/>
  <c r="H211" i="6"/>
  <c r="H213" i="6"/>
  <c r="H229" i="6" s="1"/>
  <c r="H215" i="6"/>
  <c r="H231" i="6" s="1"/>
  <c r="H212" i="6"/>
  <c r="H228" i="6" s="1"/>
  <c r="C216" i="6"/>
  <c r="H21" i="7" l="1"/>
  <c r="I23" i="7"/>
  <c r="M257" i="6"/>
  <c r="M301" i="6" s="1"/>
  <c r="M270" i="6"/>
  <c r="M305" i="6" s="1"/>
  <c r="C232" i="6"/>
  <c r="C254" i="6" s="1"/>
  <c r="C267" i="6" s="1"/>
  <c r="M135" i="6"/>
  <c r="M137" i="6" s="1"/>
  <c r="O252" i="6"/>
  <c r="D229" i="6"/>
  <c r="O229" i="6" s="1"/>
  <c r="O213" i="6"/>
  <c r="E216" i="6"/>
  <c r="E227" i="6"/>
  <c r="E232" i="6" s="1"/>
  <c r="O211" i="6"/>
  <c r="H216" i="6"/>
  <c r="H227" i="6"/>
  <c r="H232" i="6" s="1"/>
  <c r="D216" i="6"/>
  <c r="D227" i="6"/>
  <c r="G216" i="6"/>
  <c r="G227" i="6"/>
  <c r="G232" i="6" s="1"/>
  <c r="O230" i="6"/>
  <c r="J216" i="6"/>
  <c r="J227" i="6"/>
  <c r="J232" i="6" s="1"/>
  <c r="F216" i="6"/>
  <c r="F227" i="6"/>
  <c r="F232" i="6" s="1"/>
  <c r="O215" i="6"/>
  <c r="C135" i="6"/>
  <c r="C137" i="6" s="1"/>
  <c r="K216" i="6"/>
  <c r="K227" i="6"/>
  <c r="K232" i="6" s="1"/>
  <c r="O231" i="6"/>
  <c r="N135" i="6"/>
  <c r="N137" i="6" s="1"/>
  <c r="N254" i="6"/>
  <c r="N267" i="6" s="1"/>
  <c r="D228" i="6"/>
  <c r="O228" i="6" s="1"/>
  <c r="O212" i="6"/>
  <c r="I227" i="6"/>
  <c r="I232" i="6" s="1"/>
  <c r="I216" i="6"/>
  <c r="L216" i="6"/>
  <c r="L227" i="6"/>
  <c r="L232" i="6" s="1"/>
  <c r="O214" i="6"/>
  <c r="N257" i="6" l="1"/>
  <c r="N301" i="6" s="1"/>
  <c r="N270" i="6"/>
  <c r="N305" i="6" s="1"/>
  <c r="J135" i="6"/>
  <c r="J137" i="6" s="1"/>
  <c r="J254" i="6"/>
  <c r="J267" i="6" s="1"/>
  <c r="I135" i="6"/>
  <c r="I137" i="6" s="1"/>
  <c r="I254" i="6"/>
  <c r="I267" i="6" s="1"/>
  <c r="C257" i="6"/>
  <c r="C301" i="6" s="1"/>
  <c r="G135" i="6"/>
  <c r="G137" i="6" s="1"/>
  <c r="G254" i="6"/>
  <c r="G267" i="6" s="1"/>
  <c r="E135" i="6"/>
  <c r="E137" i="6" s="1"/>
  <c r="E254" i="6"/>
  <c r="E267" i="6" s="1"/>
  <c r="H135" i="6"/>
  <c r="H137" i="6" s="1"/>
  <c r="H254" i="6"/>
  <c r="H267" i="6" s="1"/>
  <c r="K135" i="6"/>
  <c r="K137" i="6" s="1"/>
  <c r="K254" i="6"/>
  <c r="K267" i="6" s="1"/>
  <c r="D232" i="6"/>
  <c r="O227" i="6"/>
  <c r="O232" i="6" s="1"/>
  <c r="L135" i="6"/>
  <c r="L137" i="6" s="1"/>
  <c r="L254" i="6"/>
  <c r="L267" i="6" s="1"/>
  <c r="F135" i="6"/>
  <c r="F137" i="6" s="1"/>
  <c r="F254" i="6"/>
  <c r="F267" i="6" s="1"/>
  <c r="O216" i="6"/>
  <c r="F257" i="6" l="1"/>
  <c r="F301" i="6" s="1"/>
  <c r="F270" i="6"/>
  <c r="F305" i="6" s="1"/>
  <c r="J257" i="6"/>
  <c r="J301" i="6" s="1"/>
  <c r="J270" i="6"/>
  <c r="J305" i="6" s="1"/>
  <c r="C270" i="6"/>
  <c r="C305" i="6" s="1"/>
  <c r="L257" i="6"/>
  <c r="L301" i="6" s="1"/>
  <c r="L270" i="6"/>
  <c r="L305" i="6" s="1"/>
  <c r="K257" i="6"/>
  <c r="K301" i="6" s="1"/>
  <c r="K270" i="6"/>
  <c r="K305" i="6" s="1"/>
  <c r="E257" i="6"/>
  <c r="E301" i="6" s="1"/>
  <c r="E270" i="6"/>
  <c r="E305" i="6" s="1"/>
  <c r="I257" i="6"/>
  <c r="I301" i="6" s="1"/>
  <c r="I270" i="6"/>
  <c r="I305" i="6" s="1"/>
  <c r="H257" i="6"/>
  <c r="H301" i="6" s="1"/>
  <c r="H270" i="6"/>
  <c r="H305" i="6" s="1"/>
  <c r="G257" i="6"/>
  <c r="G301" i="6" s="1"/>
  <c r="G270" i="6"/>
  <c r="G305" i="6" s="1"/>
  <c r="D135" i="6"/>
  <c r="D137" i="6" s="1"/>
  <c r="D254" i="6"/>
  <c r="D267" i="6" l="1"/>
  <c r="O267" i="6" s="1"/>
  <c r="O269" i="6"/>
  <c r="D257" i="6"/>
  <c r="D301" i="6" s="1"/>
  <c r="O301" i="6" s="1"/>
  <c r="O254" i="6"/>
  <c r="O257" i="6" s="1"/>
  <c r="L10" i="7" l="1"/>
  <c r="D10" i="7"/>
  <c r="O270" i="6"/>
  <c r="D270" i="6"/>
  <c r="D305" i="6" s="1"/>
  <c r="O305" i="6" s="1"/>
  <c r="D14" i="7" l="1"/>
  <c r="E14" i="7" s="1"/>
  <c r="L14" i="7"/>
  <c r="M14" i="7" s="1"/>
  <c r="M10" i="7"/>
  <c r="E10" i="7"/>
  <c r="M23" i="7" l="1"/>
  <c r="L21" i="7"/>
  <c r="D21" i="7"/>
  <c r="E23" i="7"/>
</calcChain>
</file>

<file path=xl/sharedStrings.xml><?xml version="1.0" encoding="utf-8"?>
<sst xmlns="http://schemas.openxmlformats.org/spreadsheetml/2006/main" count="1569" uniqueCount="131">
  <si>
    <t>BCP</t>
  </si>
  <si>
    <t>CND</t>
  </si>
  <si>
    <t>Purchase Quantities</t>
  </si>
  <si>
    <t>Sales Quantities</t>
  </si>
  <si>
    <t>Table 1: Wholesale Volume data used for Cost of Power Accrual:</t>
  </si>
  <si>
    <t>GA RPP/non-RPP Ratios</t>
  </si>
  <si>
    <t>GA Volumes</t>
  </si>
  <si>
    <t>Energy Volumes</t>
  </si>
  <si>
    <t>Class A customer Volumes for GA  (TLF included)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</si>
  <si>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</si>
  <si>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</si>
  <si>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</si>
  <si>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</si>
  <si>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</si>
  <si>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</si>
  <si>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</si>
  <si>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</si>
  <si>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</si>
  <si>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</si>
  <si>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</si>
  <si>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</si>
  <si>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Total</t>
  </si>
  <si>
    <t>Estimated RPP Quantity Proportion</t>
  </si>
  <si>
    <t>Estimated non-RPP Quantity Proportion</t>
  </si>
  <si>
    <t xml:space="preserve">Wholesale kWh Volumes </t>
  </si>
  <si>
    <t>Estimated Retail Revenue Data (Net of Retail Billed/Unbilled)</t>
  </si>
  <si>
    <t>Estimated RPP Quantities</t>
  </si>
  <si>
    <t xml:space="preserve">Estimated non-RPP Quantities </t>
  </si>
  <si>
    <t xml:space="preserve">Estimated Retail Revenue kWh Volumes </t>
  </si>
  <si>
    <t>RPP/non-RPP Ratios</t>
  </si>
  <si>
    <t>Total Billed Class A kWh</t>
  </si>
  <si>
    <t>Class B Non-RPP kWh</t>
  </si>
  <si>
    <t>Total Billed kWh</t>
  </si>
  <si>
    <t>N:\Nastaran\2018\2018 COP\2018 UlkWh &amp; $ Summary.xlsx</t>
  </si>
  <si>
    <t>Sales Quantities ULkWh</t>
  </si>
  <si>
    <t>Table 4: Estimated RPP Revenue Volume and Price Data</t>
  </si>
  <si>
    <t>Tier 1</t>
  </si>
  <si>
    <t>Tier 2</t>
  </si>
  <si>
    <t>TOU Off-peak</t>
  </si>
  <si>
    <t>TOU Mid-peak</t>
  </si>
  <si>
    <t>TOU On-peak</t>
  </si>
  <si>
    <t>Estimated %</t>
  </si>
  <si>
    <t>kWh Volumes</t>
  </si>
  <si>
    <t>RPP Price/kWh</t>
  </si>
  <si>
    <t>RPP - Block 1</t>
  </si>
  <si>
    <t>RPP - Block 2</t>
  </si>
  <si>
    <t>RPP - On Peak</t>
  </si>
  <si>
    <t>RPP - Off Peak</t>
  </si>
  <si>
    <t>RPP - Mid Peak</t>
  </si>
  <si>
    <t>Table 2: Estimated Volumes purchased for RPP Customers (TLF Included)</t>
  </si>
  <si>
    <t>Table 5: Commodity Price Data:</t>
  </si>
  <si>
    <t>Estimated Average Energy Price for RPP customers</t>
  </si>
  <si>
    <t>Estimated Average Energy Price for non-RPP customers</t>
  </si>
  <si>
    <t>GA 1st estimate</t>
  </si>
  <si>
    <t>GA 2nd estimate</t>
  </si>
  <si>
    <t>Commodity Prices - Wholesale per kWh</t>
  </si>
  <si>
    <t>GA Pricing</t>
  </si>
  <si>
    <t>Actual Rate (¢/kWh)</t>
  </si>
  <si>
    <t>1st Estimate (¢/kWh)</t>
  </si>
  <si>
    <t>2nd Estimate (¢/kWh)</t>
  </si>
  <si>
    <t>GA Final</t>
  </si>
  <si>
    <t>Table 6: Commodity Cost of Power Accrual</t>
  </si>
  <si>
    <t>Charge Type 101 - 4705</t>
  </si>
  <si>
    <r>
      <t>Charge Type 147 - non-RPP Class A - 4707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</si>
  <si>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>Charge Type 148 - RPP - 4705</t>
  </si>
  <si>
    <t>Charge Type 148 - non-RPP Class B - 4707</t>
  </si>
  <si>
    <t>Charge Type 1142 - RPP - 4705 - RPP Settlement - Day 4 Settlement</t>
  </si>
  <si>
    <r>
      <t>Charge Type 1412 - FIT Program Settlement Amount - 4705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</si>
  <si>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Commodity cost of power accrual</t>
  </si>
  <si>
    <r>
      <t>AQEW</t>
    </r>
    <r>
      <rPr>
        <b/>
        <vertAlign val="superscript"/>
        <sz val="9"/>
        <color theme="1"/>
        <rFont val="Arial"/>
        <family val="2"/>
      </rPr>
      <t>1</t>
    </r>
  </si>
  <si>
    <r>
      <t>Embedded Generation</t>
    </r>
    <r>
      <rPr>
        <b/>
        <vertAlign val="superscript"/>
        <sz val="9"/>
        <color theme="1"/>
        <rFont val="Arial"/>
        <family val="2"/>
      </rPr>
      <t>2</t>
    </r>
  </si>
  <si>
    <t>Cost/kWh</t>
  </si>
  <si>
    <t>Amount</t>
  </si>
  <si>
    <r>
      <t>Estimated Payments to Embedded Generators - 4705</t>
    </r>
    <r>
      <rPr>
        <b/>
        <vertAlign val="superscript"/>
        <sz val="9"/>
        <color theme="1"/>
        <rFont val="Arial"/>
        <family val="2"/>
      </rPr>
      <t>4</t>
    </r>
  </si>
  <si>
    <r>
      <t>Charge Type 147 - non-RPP Class A - 4707</t>
    </r>
    <r>
      <rPr>
        <b/>
        <vertAlign val="superscript"/>
        <sz val="9"/>
        <color theme="1"/>
        <rFont val="Arial"/>
        <family val="2"/>
      </rPr>
      <t>5</t>
    </r>
  </si>
  <si>
    <r>
      <t>Charge Type 1412 - FIT Program Settlement Amount - 4705</t>
    </r>
    <r>
      <rPr>
        <b/>
        <vertAlign val="superscript"/>
        <sz val="9"/>
        <color theme="1"/>
        <rFont val="Arial"/>
        <family val="2"/>
      </rPr>
      <t>6</t>
    </r>
  </si>
  <si>
    <t>IESO Invoice Details</t>
  </si>
  <si>
    <t>M:\Regulatory\2018 IESO Power Bill\Cambridge\IESO Power Bill Allocation CND 201812.xls</t>
  </si>
  <si>
    <t>Table 7: RPP Commodity Revenue</t>
  </si>
  <si>
    <t>Total Estimated Revenue</t>
  </si>
  <si>
    <t>Total Volumes</t>
  </si>
  <si>
    <t>Table 8: non-RPP Energy and GA Revenue Accrual</t>
  </si>
  <si>
    <t>Estimated non-RPP Energy Revenue</t>
  </si>
  <si>
    <t>Estimated Class A non-RPP GA Revenue at PDF</t>
  </si>
  <si>
    <t>Class B non-RPP GA Revenue at 1st estimate</t>
  </si>
  <si>
    <t>Estimated RPP power sales volumes and revenues</t>
  </si>
  <si>
    <t>Estimated Non-RPP power sales volumes and revenues</t>
  </si>
  <si>
    <t>Commodity Pricing</t>
  </si>
  <si>
    <t>Revenue</t>
  </si>
  <si>
    <t>Energy Sales</t>
  </si>
  <si>
    <t>Global Adjustment</t>
  </si>
  <si>
    <t>Class B - RPP</t>
  </si>
  <si>
    <t xml:space="preserve">Class A - Non-RPP </t>
  </si>
  <si>
    <t>Class B - Non-RPP</t>
  </si>
  <si>
    <t>Commodity Costs</t>
  </si>
  <si>
    <t>Class B - RPP - Commodity</t>
  </si>
  <si>
    <t>Class B - RPP - GA</t>
  </si>
  <si>
    <t>Class B - RPP - IESO Settlement</t>
  </si>
  <si>
    <t>Table NEW: RPP Settlement</t>
  </si>
  <si>
    <t>RPP Revenue</t>
  </si>
  <si>
    <t>RPP Energy</t>
  </si>
  <si>
    <t>RPP GA</t>
  </si>
  <si>
    <t>RPP Final Settlement</t>
  </si>
  <si>
    <t>GA and Commodity Pricing</t>
  </si>
  <si>
    <t>Variance Accounts</t>
  </si>
  <si>
    <t>Energy Sales - 1588</t>
  </si>
  <si>
    <t>Global Adjustment - 1589</t>
  </si>
  <si>
    <t>Commodity</t>
  </si>
  <si>
    <t>2018 Revised</t>
  </si>
  <si>
    <t>Difference</t>
  </si>
  <si>
    <t>2018 Actual</t>
  </si>
  <si>
    <t>Expense</t>
  </si>
  <si>
    <t>DVAs</t>
  </si>
  <si>
    <t>Energy+</t>
  </si>
  <si>
    <t>Correcting Entry</t>
  </si>
  <si>
    <t>DVA 1588</t>
  </si>
  <si>
    <t>GA Expense</t>
  </si>
  <si>
    <t>DVA 1589</t>
  </si>
  <si>
    <t>Commodity Expense</t>
  </si>
  <si>
    <t>Non-RPP Global Adjustment kWh difference</t>
  </si>
  <si>
    <t>Table 3: Estimated Retail Volume Revenue Data (TLF Included)</t>
  </si>
  <si>
    <t>Table 9: Estimated average unit cost of power sold for RPP &amp; non-RPP for Settlement</t>
  </si>
  <si>
    <t>Table 10: RPP Settlement</t>
  </si>
  <si>
    <t>Table 11: Expected Account Balances</t>
  </si>
  <si>
    <t>Table 12: Account Balances per General Ledger</t>
  </si>
  <si>
    <t>Table 13: Account Balances Variances</t>
  </si>
  <si>
    <t>Table 14: GA Workform TLF Reconciliation</t>
  </si>
  <si>
    <t>GA Rate</t>
  </si>
  <si>
    <t>Impact of Losses</t>
  </si>
  <si>
    <t>Energy+ Average Hourly Pirce</t>
  </si>
  <si>
    <t>Revenue (TLF included)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</si>
</sst>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  <numFmt numFmtId="167" formatCode="_(* #,##0.0000_);_(* \(#,##0.0000\);_(* &quot;-&quot;??_);_(@_)"/>
    <numFmt numFmtId="168" formatCode="_(&quot;$&quot;* #,##0_);_(&quot;$&quot;* \(#,##0\);_(&quot;$&quot;* &quot;-&quot;??_);_(@_)"/>
    <numFmt numFmtId="169" formatCode="_(* #,##0.00000_);_(* \(#,##0.00000\);_(* &quot;-&quot;??_);_(@_)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i/>
      <sz val="9"/>
      <color theme="1"/>
      <name val="Arial"/>
      <family val="2"/>
    </font>
    <font>
      <sz val="11"/>
      <color rgb="FF000000"/>
      <name val="Calibri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Alignment="0"/>
    <xf numFmtId="0" fontId="22" fillId="0" borderId="0"/>
    <xf numFmtId="43" fontId="22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0" fontId="0" fillId="0" borderId="1" xfId="0" applyBorder="1"/>
    <xf numFmtId="0" fontId="4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center" wrapText="1"/>
    </xf>
    <xf numFmtId="43" fontId="0" fillId="0" borderId="0" xfId="1" applyFont="1"/>
    <xf numFmtId="0" fontId="0" fillId="0" borderId="0" xfId="0" applyFont="1"/>
    <xf numFmtId="0" fontId="6" fillId="0" borderId="0" xfId="0" applyFont="1" applyProtection="1"/>
    <xf numFmtId="164" fontId="0" fillId="0" borderId="0" xfId="1" applyNumberFormat="1" applyFont="1" applyAlignment="1">
      <alignment horizontal="left"/>
    </xf>
    <xf numFmtId="0" fontId="7" fillId="0" borderId="0" xfId="0" applyFont="1" applyAlignment="1" applyProtection="1">
      <alignment horizontal="left" wrapText="1"/>
    </xf>
    <xf numFmtId="0" fontId="8" fillId="0" borderId="0" xfId="0" applyFont="1" applyProtection="1"/>
    <xf numFmtId="0" fontId="2" fillId="0" borderId="0" xfId="0" applyFont="1" applyProtection="1"/>
    <xf numFmtId="167" fontId="0" fillId="0" borderId="0" xfId="1" applyNumberFormat="1" applyFont="1"/>
    <xf numFmtId="0" fontId="10" fillId="0" borderId="0" xfId="0" applyFont="1" applyFill="1" applyProtection="1"/>
    <xf numFmtId="164" fontId="11" fillId="0" borderId="0" xfId="1" applyNumberFormat="1" applyFont="1"/>
    <xf numFmtId="0" fontId="11" fillId="0" borderId="0" xfId="0" applyFont="1"/>
    <xf numFmtId="164" fontId="2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0" xfId="0" applyFont="1" applyProtection="1"/>
    <xf numFmtId="0" fontId="13" fillId="0" borderId="0" xfId="0" applyFont="1" applyAlignment="1" applyProtection="1">
      <alignment horizontal="left"/>
    </xf>
    <xf numFmtId="164" fontId="13" fillId="0" borderId="0" xfId="1" applyNumberFormat="1" applyFont="1" applyAlignment="1">
      <alignment horizontal="center"/>
    </xf>
    <xf numFmtId="0" fontId="11" fillId="0" borderId="0" xfId="0" applyFont="1" applyProtection="1"/>
    <xf numFmtId="164" fontId="11" fillId="2" borderId="0" xfId="1" applyNumberFormat="1" applyFont="1" applyFill="1" applyProtection="1"/>
    <xf numFmtId="0" fontId="11" fillId="0" borderId="2" xfId="0" applyFont="1" applyBorder="1" applyProtection="1"/>
    <xf numFmtId="164" fontId="11" fillId="0" borderId="2" xfId="1" applyNumberFormat="1" applyFont="1" applyFill="1" applyBorder="1" applyProtection="1"/>
    <xf numFmtId="164" fontId="11" fillId="0" borderId="0" xfId="1" applyNumberFormat="1" applyFont="1" applyFill="1" applyBorder="1" applyProtection="1"/>
    <xf numFmtId="164" fontId="11" fillId="0" borderId="2" xfId="1" applyNumberFormat="1" applyFont="1" applyBorder="1"/>
    <xf numFmtId="164" fontId="11" fillId="0" borderId="0" xfId="1" applyNumberFormat="1" applyFont="1" applyFill="1" applyProtection="1"/>
    <xf numFmtId="0" fontId="15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/>
    </xf>
    <xf numFmtId="9" fontId="11" fillId="0" borderId="0" xfId="3" applyFont="1"/>
    <xf numFmtId="0" fontId="11" fillId="0" borderId="2" xfId="0" applyFont="1" applyBorder="1" applyAlignment="1" applyProtection="1">
      <alignment horizontal="left"/>
    </xf>
    <xf numFmtId="9" fontId="11" fillId="0" borderId="2" xfId="3" applyFont="1" applyBorder="1"/>
    <xf numFmtId="0" fontId="11" fillId="0" borderId="0" xfId="0" applyFont="1" applyAlignment="1" applyProtection="1">
      <alignment horizontal="left" wrapText="1"/>
    </xf>
    <xf numFmtId="164" fontId="16" fillId="2" borderId="0" xfId="1" applyNumberFormat="1" applyFont="1" applyFill="1"/>
    <xf numFmtId="0" fontId="11" fillId="0" borderId="0" xfId="0" applyFont="1" applyAlignment="1">
      <alignment horizontal="left"/>
    </xf>
    <xf numFmtId="0" fontId="13" fillId="0" borderId="0" xfId="0" applyFont="1" applyAlignment="1" applyProtection="1">
      <alignment horizontal="left" wrapText="1"/>
    </xf>
    <xf numFmtId="10" fontId="11" fillId="0" borderId="0" xfId="3" applyNumberFormat="1" applyFont="1"/>
    <xf numFmtId="166" fontId="11" fillId="2" borderId="0" xfId="1" applyNumberFormat="1" applyFont="1" applyFill="1"/>
    <xf numFmtId="165" fontId="11" fillId="2" borderId="0" xfId="3" applyNumberFormat="1" applyFont="1" applyFill="1"/>
    <xf numFmtId="9" fontId="11" fillId="0" borderId="2" xfId="3" applyFont="1" applyBorder="1" applyProtection="1"/>
    <xf numFmtId="0" fontId="13" fillId="0" borderId="0" xfId="0" applyFont="1" applyProtection="1"/>
    <xf numFmtId="168" fontId="13" fillId="0" borderId="0" xfId="2" applyNumberFormat="1" applyFont="1" applyBorder="1" applyAlignment="1" applyProtection="1">
      <alignment horizontal="left"/>
    </xf>
    <xf numFmtId="164" fontId="11" fillId="2" borderId="0" xfId="1" applyNumberFormat="1" applyFont="1" applyFill="1"/>
    <xf numFmtId="166" fontId="11" fillId="0" borderId="0" xfId="1" applyNumberFormat="1" applyFont="1"/>
    <xf numFmtId="167" fontId="11" fillId="0" borderId="0" xfId="1" applyNumberFormat="1" applyFont="1"/>
    <xf numFmtId="169" fontId="11" fillId="0" borderId="0" xfId="1" applyNumberFormat="1" applyFont="1"/>
    <xf numFmtId="43" fontId="2" fillId="0" borderId="0" xfId="1" applyFont="1"/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</xf>
    <xf numFmtId="164" fontId="13" fillId="0" borderId="0" xfId="1" applyNumberFormat="1" applyFont="1" applyBorder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10" fontId="11" fillId="0" borderId="2" xfId="3" applyNumberFormat="1" applyFont="1" applyBorder="1"/>
    <xf numFmtId="0" fontId="11" fillId="0" borderId="2" xfId="0" applyFont="1" applyFill="1" applyBorder="1" applyAlignment="1" applyProtection="1">
      <alignment horizontal="left"/>
    </xf>
    <xf numFmtId="167" fontId="11" fillId="2" borderId="0" xfId="1" applyNumberFormat="1" applyFont="1" applyFill="1"/>
    <xf numFmtId="169" fontId="11" fillId="2" borderId="0" xfId="1" applyNumberFormat="1" applyFont="1" applyFill="1"/>
    <xf numFmtId="169" fontId="11" fillId="0" borderId="0" xfId="1" applyNumberFormat="1" applyFont="1" applyFill="1"/>
    <xf numFmtId="164" fontId="13" fillId="0" borderId="0" xfId="1" applyNumberFormat="1" applyFont="1"/>
    <xf numFmtId="164" fontId="17" fillId="0" borderId="0" xfId="1" applyNumberFormat="1" applyFont="1"/>
    <xf numFmtId="164" fontId="3" fillId="0" borderId="0" xfId="1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9" fillId="0" borderId="0" xfId="0" applyFont="1"/>
    <xf numFmtId="43" fontId="19" fillId="0" borderId="0" xfId="1" applyFont="1"/>
    <xf numFmtId="0" fontId="0" fillId="0" borderId="0" xfId="0" applyBorder="1"/>
    <xf numFmtId="164" fontId="0" fillId="0" borderId="0" xfId="1" applyNumberFormat="1" applyFont="1" applyBorder="1" applyAlignment="1">
      <alignment horizontal="center"/>
    </xf>
    <xf numFmtId="164" fontId="11" fillId="0" borderId="0" xfId="1" applyNumberFormat="1" applyFont="1" applyFill="1"/>
    <xf numFmtId="10" fontId="11" fillId="2" borderId="0" xfId="3" applyNumberFormat="1" applyFont="1" applyFill="1"/>
    <xf numFmtId="164" fontId="0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21" fillId="0" borderId="0" xfId="0" applyFont="1"/>
    <xf numFmtId="166" fontId="0" fillId="0" borderId="0" xfId="1" applyNumberFormat="1" applyFont="1" applyAlignment="1">
      <alignment horizontal="center"/>
    </xf>
    <xf numFmtId="164" fontId="11" fillId="0" borderId="0" xfId="0" applyNumberFormat="1" applyFont="1"/>
    <xf numFmtId="0" fontId="0" fillId="0" borderId="3" xfId="0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7">
    <cellStyle name="Comma" xfId="1" builtinId="3"/>
    <cellStyle name="Comma 2" xfId="6" xr:uid="{AD19A65A-86BE-43E3-B574-607CEB73CCCF}"/>
    <cellStyle name="Currency" xfId="2" builtinId="4"/>
    <cellStyle name="Normal" xfId="0" builtinId="0"/>
    <cellStyle name="Normal 2" xfId="4" xr:uid="{45EFF3E6-4853-4950-B4FA-7B99FE065409}"/>
    <cellStyle name="Normal 3" xfId="5" xr:uid="{1110FC50-40B4-46C9-B334-4F3C789F6DE6}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Paris/IESO%20Power%20Bill%20Allocation%20Paris%202018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venue%20and%20Variance%20Reporting/2018%20Revenue%20and%20Variance/2018%20Quantities%20Analysis/2018%20kWh%20BCP%20Analysi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venue%20and%20Variance%20Reporting/2018%20Revenue%20and%20Variance/2018%20Quantities%20Analysis/2018%20kWh%20CND%20Analysis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Nastaran\2018\2018%20COP\2018%20UlkWh%20&amp;%20$%20Summ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8%20IESO%20Power%20Bill/Cambridge/IESO%20Power%20Bill%20Allocation%20CND%20201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3968098.2</v>
          </cell>
        </row>
        <row r="33">
          <cell r="C33">
            <v>1410768.3</v>
          </cell>
        </row>
        <row r="58">
          <cell r="C58">
            <v>-188491.71</v>
          </cell>
        </row>
      </sheetData>
      <sheetData sheetId="2"/>
      <sheetData sheetId="3"/>
      <sheetData sheetId="4">
        <row r="15">
          <cell r="J15">
            <v>0.54659999999999997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A32">
            <v>101</v>
          </cell>
          <cell r="C32">
            <v>1540157.98</v>
          </cell>
        </row>
        <row r="34">
          <cell r="C34">
            <v>2061487.62</v>
          </cell>
        </row>
        <row r="59">
          <cell r="C59">
            <v>-750836.93</v>
          </cell>
        </row>
      </sheetData>
      <sheetData sheetId="2"/>
      <sheetData sheetId="3"/>
      <sheetData sheetId="4">
        <row r="15">
          <cell r="J15">
            <v>0.55594330094565536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2912020.59</v>
          </cell>
        </row>
        <row r="34">
          <cell r="C34">
            <v>1700290.06</v>
          </cell>
        </row>
        <row r="59">
          <cell r="C59">
            <v>-616904.27</v>
          </cell>
        </row>
      </sheetData>
      <sheetData sheetId="2"/>
      <sheetData sheetId="3"/>
      <sheetData sheetId="4">
        <row r="15">
          <cell r="J15">
            <v>0.52412962703818677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3247390.64</v>
          </cell>
        </row>
        <row r="34">
          <cell r="C34">
            <v>1549295.14</v>
          </cell>
        </row>
        <row r="59">
          <cell r="C59">
            <v>-196969.86</v>
          </cell>
        </row>
      </sheetData>
      <sheetData sheetId="2"/>
      <sheetData sheetId="3">
        <row r="88">
          <cell r="R88">
            <v>5.6060205015485955E-2</v>
          </cell>
        </row>
      </sheetData>
      <sheetData sheetId="4">
        <row r="15">
          <cell r="J15">
            <v>0.53646235372589557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867338.02</v>
          </cell>
        </row>
        <row r="32">
          <cell r="C32">
            <v>42055.53</v>
          </cell>
        </row>
        <row r="56">
          <cell r="C56">
            <v>-43994.95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434055.82</v>
          </cell>
        </row>
        <row r="32">
          <cell r="C32">
            <v>42561.15</v>
          </cell>
        </row>
        <row r="57">
          <cell r="C57">
            <v>-53886.73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406096.4</v>
          </cell>
        </row>
        <row r="32">
          <cell r="C32">
            <v>51460.46</v>
          </cell>
        </row>
        <row r="56">
          <cell r="C56">
            <v>-68770.39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640330.43000000005</v>
          </cell>
        </row>
        <row r="32">
          <cell r="C32">
            <v>50269.69</v>
          </cell>
        </row>
        <row r="56">
          <cell r="C56">
            <v>-172582.62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283374.17</v>
          </cell>
        </row>
        <row r="33">
          <cell r="C33">
            <v>53508.3</v>
          </cell>
        </row>
        <row r="58">
          <cell r="C58">
            <v>-176518.08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412240.21</v>
          </cell>
        </row>
        <row r="33">
          <cell r="C33">
            <v>61521.39</v>
          </cell>
        </row>
        <row r="58">
          <cell r="C58">
            <v>-250515.06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837900.36</v>
          </cell>
        </row>
        <row r="32">
          <cell r="C32">
            <v>183589.54</v>
          </cell>
        </row>
        <row r="56">
          <cell r="C56">
            <v>-230207.98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2041287.45</v>
          </cell>
        </row>
        <row r="33">
          <cell r="C33">
            <v>1427729.55</v>
          </cell>
        </row>
        <row r="59">
          <cell r="C59">
            <v>-235910.46</v>
          </cell>
        </row>
      </sheetData>
      <sheetData sheetId="2"/>
      <sheetData sheetId="3"/>
      <sheetData sheetId="4">
        <row r="15">
          <cell r="J15">
            <v>0.56030000000000002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911110.12</v>
          </cell>
        </row>
        <row r="32">
          <cell r="C32">
            <v>176471.41</v>
          </cell>
        </row>
        <row r="57">
          <cell r="C57">
            <v>-334198.58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795718.71</v>
          </cell>
        </row>
        <row r="33">
          <cell r="C33">
            <v>170595.12</v>
          </cell>
        </row>
        <row r="57">
          <cell r="C57">
            <v>-225685.11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349873.68</v>
          </cell>
        </row>
        <row r="33">
          <cell r="C33">
            <v>228584.94</v>
          </cell>
        </row>
        <row r="57">
          <cell r="C57">
            <v>-168155.88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 refreshError="1"/>
      <sheetData sheetId="1">
        <row r="31">
          <cell r="C31">
            <v>681145.1</v>
          </cell>
        </row>
        <row r="33">
          <cell r="C33">
            <v>188534.09</v>
          </cell>
        </row>
        <row r="57">
          <cell r="C57">
            <v>-116967.75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as June 2015"/>
      <sheetName val="Wire(THESI)"/>
    </sheetNames>
    <sheetDataSet>
      <sheetData sheetId="0"/>
      <sheetData sheetId="1">
        <row r="31">
          <cell r="C31">
            <v>748080.88</v>
          </cell>
        </row>
        <row r="33">
          <cell r="C33">
            <v>171791.25</v>
          </cell>
        </row>
        <row r="57">
          <cell r="C57">
            <v>-46196.22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O DP"/>
      <sheetName val="Original"/>
      <sheetName val="Energy Totalization"/>
      <sheetName val="Monthly Billing"/>
      <sheetName val="RPP-TOU"/>
      <sheetName val="GL Exp"/>
      <sheetName val="GL Rev"/>
      <sheetName val="COP Adjustment"/>
      <sheetName val="RTSR"/>
      <sheetName val="GL - RTSR Exp"/>
      <sheetName val="BCP Generation"/>
      <sheetName val="Sales Adj DU"/>
      <sheetName val="Check"/>
    </sheetNames>
    <sheetDataSet>
      <sheetData sheetId="0">
        <row r="18">
          <cell r="B18">
            <v>26638460</v>
          </cell>
        </row>
      </sheetData>
      <sheetData sheetId="1"/>
      <sheetData sheetId="2"/>
      <sheetData sheetId="3">
        <row r="3">
          <cell r="B3" t="str">
            <v>Jan</v>
          </cell>
        </row>
        <row r="4">
          <cell r="A4" t="str">
            <v>IESO Purchased ULkWh</v>
          </cell>
          <cell r="B4">
            <v>26638460</v>
          </cell>
          <cell r="D4">
            <v>22525933</v>
          </cell>
          <cell r="F4">
            <v>22824466</v>
          </cell>
          <cell r="H4">
            <v>21201426</v>
          </cell>
          <cell r="J4">
            <v>20761541</v>
          </cell>
          <cell r="L4">
            <v>22411430</v>
          </cell>
          <cell r="N4">
            <v>27183550</v>
          </cell>
          <cell r="P4">
            <v>29800080</v>
          </cell>
          <cell r="R4">
            <v>26664650</v>
          </cell>
          <cell r="T4">
            <v>24653520</v>
          </cell>
          <cell r="V4">
            <v>26490560</v>
          </cell>
          <cell r="X4">
            <v>26180099</v>
          </cell>
          <cell r="Z4">
            <v>297335715</v>
          </cell>
        </row>
        <row r="5">
          <cell r="A5" t="str">
            <v>IESO Generation</v>
          </cell>
          <cell r="B5">
            <v>94511</v>
          </cell>
          <cell r="D5">
            <v>138414</v>
          </cell>
          <cell r="F5">
            <v>397880</v>
          </cell>
          <cell r="H5">
            <v>345816</v>
          </cell>
          <cell r="J5">
            <v>613732</v>
          </cell>
          <cell r="L5">
            <v>578542</v>
          </cell>
          <cell r="N5">
            <v>3063403</v>
          </cell>
          <cell r="P5">
            <v>542385</v>
          </cell>
          <cell r="R5">
            <v>400093</v>
          </cell>
          <cell r="T5">
            <v>265941</v>
          </cell>
          <cell r="V5">
            <v>108313</v>
          </cell>
          <cell r="X5">
            <v>104441</v>
          </cell>
        </row>
        <row r="6">
          <cell r="A6" t="str">
            <v>HON Purchased</v>
          </cell>
          <cell r="B6">
            <v>224171.72</v>
          </cell>
          <cell r="D6">
            <v>327906.73</v>
          </cell>
          <cell r="F6">
            <v>774748.28</v>
          </cell>
          <cell r="H6">
            <v>626542.27</v>
          </cell>
          <cell r="J6">
            <v>912114.67</v>
          </cell>
          <cell r="L6">
            <v>663157.14</v>
          </cell>
          <cell r="N6">
            <v>570476.92307692301</v>
          </cell>
          <cell r="P6">
            <v>379551.28205128206</v>
          </cell>
          <cell r="R6">
            <v>339294.87179487181</v>
          </cell>
          <cell r="T6">
            <v>280579.62</v>
          </cell>
          <cell r="V6">
            <v>121493.45</v>
          </cell>
          <cell r="X6">
            <v>116741.7</v>
          </cell>
          <cell r="Z6">
            <v>5336778.656923078</v>
          </cell>
        </row>
        <row r="8">
          <cell r="A8" t="str">
            <v>Total Purchased kWh</v>
          </cell>
          <cell r="B8">
            <v>26957142.719999999</v>
          </cell>
          <cell r="D8">
            <v>22992253.73</v>
          </cell>
          <cell r="F8">
            <v>23997094.280000001</v>
          </cell>
          <cell r="H8">
            <v>22173784.27</v>
          </cell>
          <cell r="J8">
            <v>22287387.670000002</v>
          </cell>
          <cell r="L8">
            <v>23653129.140000001</v>
          </cell>
          <cell r="N8">
            <v>30817429.923076924</v>
          </cell>
          <cell r="P8">
            <v>30722016.282051284</v>
          </cell>
          <cell r="R8">
            <v>27404037.871794872</v>
          </cell>
          <cell r="T8">
            <v>25200040.620000001</v>
          </cell>
          <cell r="V8">
            <v>26720366.449999999</v>
          </cell>
          <cell r="X8">
            <v>26401281.699999999</v>
          </cell>
          <cell r="Z8">
            <v>302672493.65692306</v>
          </cell>
        </row>
      </sheetData>
      <sheetData sheetId="4">
        <row r="52">
          <cell r="I52">
            <v>-188534.1</v>
          </cell>
        </row>
      </sheetData>
      <sheetData sheetId="5"/>
      <sheetData sheetId="6"/>
      <sheetData sheetId="7"/>
      <sheetData sheetId="8">
        <row r="7">
          <cell r="M7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Adj V1"/>
      <sheetName val="Check"/>
      <sheetName val="IESO DP"/>
      <sheetName val="Original"/>
      <sheetName val="Incremental Sales Adj"/>
      <sheetName val="Energy Totalization"/>
      <sheetName val="Monthly Billing"/>
      <sheetName val="RPP-TOU"/>
      <sheetName val="IESO Adj"/>
      <sheetName val="GL-Exp"/>
      <sheetName val="GL-Rev"/>
      <sheetName val="COP Adjustment"/>
      <sheetName val="RTSR"/>
      <sheetName val="GL - RTSR Exp"/>
      <sheetName val="LTLT"/>
      <sheetName val="CND Generation"/>
      <sheetName val="Sales Adj DNU"/>
    </sheetNames>
    <sheetDataSet>
      <sheetData sheetId="0" refreshError="1"/>
      <sheetData sheetId="1" refreshError="1"/>
      <sheetData sheetId="2">
        <row r="20">
          <cell r="B20">
            <v>123634562</v>
          </cell>
        </row>
      </sheetData>
      <sheetData sheetId="3" refreshError="1"/>
      <sheetData sheetId="4" refreshError="1"/>
      <sheetData sheetId="5" refreshError="1"/>
      <sheetData sheetId="6">
        <row r="4">
          <cell r="A4" t="str">
            <v>IESO Purchased ULkWh</v>
          </cell>
          <cell r="B4">
            <v>123634562</v>
          </cell>
          <cell r="D4">
            <v>106846667</v>
          </cell>
          <cell r="F4">
            <v>114078622</v>
          </cell>
          <cell r="H4">
            <v>107350311</v>
          </cell>
          <cell r="J4">
            <v>110703086</v>
          </cell>
          <cell r="L4">
            <v>115186474</v>
          </cell>
          <cell r="N4">
            <v>130461609</v>
          </cell>
          <cell r="P4">
            <v>131418600</v>
          </cell>
          <cell r="R4">
            <v>115222754</v>
          </cell>
          <cell r="T4">
            <v>110445500</v>
          </cell>
          <cell r="V4">
            <v>113923820</v>
          </cell>
          <cell r="X4">
            <v>113258871</v>
          </cell>
          <cell r="Z4">
            <v>1392530876</v>
          </cell>
        </row>
        <row r="5">
          <cell r="A5" t="str">
            <v>Generation</v>
          </cell>
          <cell r="B5">
            <v>507165</v>
          </cell>
          <cell r="D5">
            <v>695134</v>
          </cell>
          <cell r="F5">
            <v>1602029</v>
          </cell>
          <cell r="H5">
            <v>1548205</v>
          </cell>
          <cell r="J5">
            <v>2282240</v>
          </cell>
          <cell r="L5">
            <v>2116037</v>
          </cell>
          <cell r="N5">
            <v>2550386</v>
          </cell>
          <cell r="P5">
            <v>2070683</v>
          </cell>
          <cell r="R5">
            <v>1590120</v>
          </cell>
          <cell r="T5">
            <v>1034151.0000000001</v>
          </cell>
          <cell r="V5">
            <v>354213</v>
          </cell>
          <cell r="X5">
            <v>461300</v>
          </cell>
          <cell r="Z5">
            <v>16811663</v>
          </cell>
        </row>
        <row r="7">
          <cell r="A7" t="str">
            <v>Total Purchased kWh</v>
          </cell>
          <cell r="B7">
            <v>124141727</v>
          </cell>
          <cell r="D7">
            <v>107541801</v>
          </cell>
          <cell r="F7">
            <v>115680651</v>
          </cell>
          <cell r="H7">
            <v>108898516</v>
          </cell>
          <cell r="J7">
            <v>112985326</v>
          </cell>
          <cell r="L7">
            <v>117302511</v>
          </cell>
          <cell r="N7">
            <v>133011995</v>
          </cell>
          <cell r="P7">
            <v>133489283</v>
          </cell>
          <cell r="R7">
            <v>116812874</v>
          </cell>
          <cell r="T7">
            <v>111479651</v>
          </cell>
          <cell r="V7">
            <v>114278033</v>
          </cell>
          <cell r="X7">
            <v>113720171</v>
          </cell>
          <cell r="Z7">
            <v>1409342539</v>
          </cell>
        </row>
      </sheetData>
      <sheetData sheetId="7">
        <row r="20">
          <cell r="S20">
            <v>-546500.69168277737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D"/>
      <sheetName val="BCP"/>
      <sheetName val="Customer Count"/>
    </sheetNames>
    <sheetDataSet>
      <sheetData sheetId="0">
        <row r="120">
          <cell r="C120">
            <v>54.697959183673476</v>
          </cell>
        </row>
        <row r="163">
          <cell r="F163">
            <v>3004847.8600000017</v>
          </cell>
          <cell r="G163">
            <v>2663362.4129729737</v>
          </cell>
          <cell r="H163">
            <v>2445947.1253786762</v>
          </cell>
          <cell r="I163">
            <v>2741263.4916483532</v>
          </cell>
          <cell r="J163">
            <v>1866792.1504524895</v>
          </cell>
          <cell r="K163">
            <v>2133528.8094323357</v>
          </cell>
          <cell r="L163">
            <v>2271325.820115177</v>
          </cell>
          <cell r="M163">
            <v>2119141.5893492126</v>
          </cell>
          <cell r="N163">
            <v>1984106.31497419</v>
          </cell>
          <cell r="O163">
            <v>2055697.4165906152</v>
          </cell>
          <cell r="P163">
            <v>2630420.3519956968</v>
          </cell>
          <cell r="Q163">
            <v>2905746.0045154626</v>
          </cell>
        </row>
        <row r="164">
          <cell r="F164">
            <v>1948277.4829341774</v>
          </cell>
          <cell r="G164">
            <v>1625225.4228090711</v>
          </cell>
          <cell r="H164">
            <v>1523549.6187644782</v>
          </cell>
          <cell r="I164">
            <v>1758545.7028571428</v>
          </cell>
          <cell r="J164">
            <v>1590768.399208145</v>
          </cell>
          <cell r="K164">
            <v>1648853.1236503616</v>
          </cell>
          <cell r="L164">
            <v>2305063.957641494</v>
          </cell>
          <cell r="M164">
            <v>1896993.4148130931</v>
          </cell>
          <cell r="N164">
            <v>1637638.4254301509</v>
          </cell>
          <cell r="O164">
            <v>1899697.0443114159</v>
          </cell>
          <cell r="P164">
            <v>1619496.7371401971</v>
          </cell>
          <cell r="Q164">
            <v>1774855.209123844</v>
          </cell>
        </row>
        <row r="165">
          <cell r="F165">
            <v>32798207.057844855</v>
          </cell>
          <cell r="G165">
            <v>27243010.403334428</v>
          </cell>
          <cell r="H165">
            <v>28835534.014905646</v>
          </cell>
          <cell r="I165">
            <v>25536109.912019551</v>
          </cell>
          <cell r="J165">
            <v>25789926.737985648</v>
          </cell>
          <cell r="K165">
            <v>30309300.983699147</v>
          </cell>
          <cell r="L165">
            <v>34621225.141552188</v>
          </cell>
          <cell r="M165">
            <v>34055161.514103562</v>
          </cell>
          <cell r="N165">
            <v>28489780.455337755</v>
          </cell>
          <cell r="O165">
            <v>25838849.404559791</v>
          </cell>
          <cell r="P165">
            <v>27092971.635424636</v>
          </cell>
          <cell r="Q165">
            <v>31729095.540538564</v>
          </cell>
        </row>
        <row r="166">
          <cell r="F166">
            <v>9019442.6623892542</v>
          </cell>
          <cell r="G166">
            <v>7624894.1186782401</v>
          </cell>
          <cell r="H166">
            <v>8000958.8118998697</v>
          </cell>
          <cell r="I166">
            <v>7497881.3586595198</v>
          </cell>
          <cell r="J166">
            <v>7726166.0786520522</v>
          </cell>
          <cell r="K166">
            <v>8777553.1269803997</v>
          </cell>
          <cell r="L166">
            <v>10129529.593236521</v>
          </cell>
          <cell r="M166">
            <v>9869350.5857347157</v>
          </cell>
          <cell r="N166">
            <v>8121384.8381450903</v>
          </cell>
          <cell r="O166">
            <v>7714329.5456528654</v>
          </cell>
          <cell r="P166">
            <v>8419792.0564129781</v>
          </cell>
          <cell r="Q166">
            <v>8219866.4525672197</v>
          </cell>
        </row>
        <row r="167">
          <cell r="F167">
            <v>9358176.9841570966</v>
          </cell>
          <cell r="G167">
            <v>7953784.4628512589</v>
          </cell>
          <cell r="H167">
            <v>8160689.3004935998</v>
          </cell>
          <cell r="I167">
            <v>7462438.3483661357</v>
          </cell>
          <cell r="J167">
            <v>8282019.0678229984</v>
          </cell>
          <cell r="K167">
            <v>9698777.7821637914</v>
          </cell>
          <cell r="L167">
            <v>11745631.871909078</v>
          </cell>
          <cell r="M167">
            <v>11428710.766970184</v>
          </cell>
          <cell r="N167">
            <v>8868141.5488136765</v>
          </cell>
          <cell r="O167">
            <v>7887260.8010254595</v>
          </cell>
          <cell r="P167">
            <v>8519090.28117631</v>
          </cell>
          <cell r="Q167">
            <v>8477822.0365938842</v>
          </cell>
        </row>
        <row r="170">
          <cell r="F170">
            <v>43919886.807762392</v>
          </cell>
          <cell r="G170">
            <v>39499485.649350792</v>
          </cell>
          <cell r="H170">
            <v>42270310.928854339</v>
          </cell>
          <cell r="I170">
            <v>42109319.938643366</v>
          </cell>
          <cell r="J170">
            <v>42619390.875073649</v>
          </cell>
          <cell r="K170">
            <v>42741163.493356958</v>
          </cell>
          <cell r="L170">
            <v>44832489.911432788</v>
          </cell>
          <cell r="M170">
            <v>43632588.18715851</v>
          </cell>
          <cell r="N170">
            <v>40714937.83974009</v>
          </cell>
          <cell r="O170">
            <v>41581674.004186049</v>
          </cell>
          <cell r="P170">
            <v>40818017.369882829</v>
          </cell>
          <cell r="Q170">
            <v>39270366.946819223</v>
          </cell>
        </row>
        <row r="172">
          <cell r="F172">
            <v>23622588.340000004</v>
          </cell>
          <cell r="G172">
            <v>21244286.149999999</v>
          </cell>
          <cell r="H172">
            <v>23654049.280000001</v>
          </cell>
          <cell r="I172">
            <v>22981834.260000005</v>
          </cell>
          <cell r="J172">
            <v>25099632.849999994</v>
          </cell>
          <cell r="K172">
            <v>24714480.27</v>
          </cell>
          <cell r="L172">
            <v>27331584.530000001</v>
          </cell>
          <cell r="M172">
            <v>29225085.989999995</v>
          </cell>
          <cell r="N172">
            <v>26295079.689999998</v>
          </cell>
          <cell r="O172">
            <v>26500751.139999993</v>
          </cell>
          <cell r="P172">
            <v>25344086.800000001</v>
          </cell>
          <cell r="Q172">
            <v>22473048.259999998</v>
          </cell>
        </row>
      </sheetData>
      <sheetData sheetId="1">
        <row r="140">
          <cell r="E140">
            <v>710043.35</v>
          </cell>
        </row>
        <row r="163">
          <cell r="F163">
            <v>162901.3537078888</v>
          </cell>
          <cell r="G163">
            <v>149520.97633761706</v>
          </cell>
          <cell r="H163">
            <v>144758.8478847674</v>
          </cell>
          <cell r="I163">
            <v>132618.83218379904</v>
          </cell>
          <cell r="J163">
            <v>100402.7193764156</v>
          </cell>
          <cell r="K163">
            <v>97847.64981903632</v>
          </cell>
          <cell r="L163">
            <v>106893.96733346276</v>
          </cell>
          <cell r="M163">
            <v>102882.99291395632</v>
          </cell>
          <cell r="N163">
            <v>101320.09344603284</v>
          </cell>
          <cell r="O163">
            <v>112598.56530153862</v>
          </cell>
          <cell r="P163">
            <v>142112.7498970021</v>
          </cell>
          <cell r="Q163">
            <v>227270.06332210489</v>
          </cell>
        </row>
        <row r="164">
          <cell r="F164">
            <v>305171.06999999995</v>
          </cell>
          <cell r="G164">
            <v>280798.05999999994</v>
          </cell>
          <cell r="H164">
            <v>288343.24000000005</v>
          </cell>
          <cell r="I164">
            <v>308430.25</v>
          </cell>
          <cell r="J164">
            <v>314365.26999999996</v>
          </cell>
          <cell r="K164">
            <v>302641.37999999995</v>
          </cell>
          <cell r="L164">
            <v>371587.81909090903</v>
          </cell>
          <cell r="M164">
            <v>332739.33090909093</v>
          </cell>
          <cell r="N164">
            <v>311558.31</v>
          </cell>
          <cell r="O164">
            <v>372609.00999999995</v>
          </cell>
          <cell r="P164">
            <v>386483.03810714278</v>
          </cell>
          <cell r="Q164">
            <v>300285.52189285716</v>
          </cell>
        </row>
        <row r="165">
          <cell r="F165">
            <v>7149140.5746995565</v>
          </cell>
          <cell r="G165">
            <v>5989782.5835709907</v>
          </cell>
          <cell r="H165">
            <v>6171094.5702072876</v>
          </cell>
          <cell r="I165">
            <v>5497158.5704870531</v>
          </cell>
          <cell r="J165">
            <v>5395256.6000235677</v>
          </cell>
          <cell r="K165">
            <v>6247061.3813993046</v>
          </cell>
          <cell r="L165">
            <v>7254160.6455311365</v>
          </cell>
          <cell r="M165">
            <v>7445026.7234999575</v>
          </cell>
          <cell r="N165">
            <v>6254455.3332916787</v>
          </cell>
          <cell r="O165">
            <v>5647468.9032232501</v>
          </cell>
          <cell r="P165">
            <v>5911488.5218611117</v>
          </cell>
          <cell r="Q165">
            <v>6920101.3761568265</v>
          </cell>
        </row>
        <row r="166">
          <cell r="F166">
            <v>1916845.0351638917</v>
          </cell>
          <cell r="G166">
            <v>1615222.1053725083</v>
          </cell>
          <cell r="H166">
            <v>1682021.7789668741</v>
          </cell>
          <cell r="I166">
            <v>1558459.1449825093</v>
          </cell>
          <cell r="J166">
            <v>1599685.1959589538</v>
          </cell>
          <cell r="K166">
            <v>1850997.7591086761</v>
          </cell>
          <cell r="L166">
            <v>2151147.9362469385</v>
          </cell>
          <cell r="M166">
            <v>2106935.6339582377</v>
          </cell>
          <cell r="N166">
            <v>1847963.8054632936</v>
          </cell>
          <cell r="O166">
            <v>1669168.7806698214</v>
          </cell>
          <cell r="P166">
            <v>1787791.1999888236</v>
          </cell>
          <cell r="Q166">
            <v>1819811.9003978868</v>
          </cell>
        </row>
        <row r="167">
          <cell r="F167">
            <v>2056195.7201109193</v>
          </cell>
          <cell r="G167">
            <v>1732328.5898770657</v>
          </cell>
          <cell r="H167">
            <v>1770709.0521418981</v>
          </cell>
          <cell r="I167">
            <v>1613896.5434660593</v>
          </cell>
          <cell r="J167">
            <v>1647657.7654491139</v>
          </cell>
          <cell r="K167">
            <v>1998963.7263324081</v>
          </cell>
          <cell r="L167">
            <v>2469378.469996043</v>
          </cell>
          <cell r="M167">
            <v>2404178.6112931208</v>
          </cell>
          <cell r="N167">
            <v>1974515.082015703</v>
          </cell>
          <cell r="O167">
            <v>1649083.8073481908</v>
          </cell>
          <cell r="P167">
            <v>1861986.0028091334</v>
          </cell>
          <cell r="Q167">
            <v>1919119.831506423</v>
          </cell>
        </row>
        <row r="170">
          <cell r="F170">
            <v>13868081.140191851</v>
          </cell>
          <cell r="G170">
            <v>12579780.241999863</v>
          </cell>
          <cell r="H170">
            <v>13042246.502297215</v>
          </cell>
          <cell r="I170">
            <v>12448309.578029867</v>
          </cell>
          <cell r="J170">
            <v>12540324.037721703</v>
          </cell>
          <cell r="K170">
            <v>12666305.669896228</v>
          </cell>
          <cell r="L170">
            <v>12898326.254995357</v>
          </cell>
          <cell r="M170">
            <v>14761541.824039349</v>
          </cell>
          <cell r="N170">
            <v>13903919.146386949</v>
          </cell>
          <cell r="O170">
            <v>13963438.657940388</v>
          </cell>
          <cell r="P170">
            <v>13884715.653470377</v>
          </cell>
          <cell r="Q170">
            <v>13012908.178058915</v>
          </cell>
        </row>
        <row r="172">
          <cell r="F172">
            <v>687587.6</v>
          </cell>
          <cell r="G172">
            <v>650099.65</v>
          </cell>
          <cell r="H172">
            <v>799930</v>
          </cell>
          <cell r="I172">
            <v>767089.13</v>
          </cell>
          <cell r="J172">
            <v>825828.79</v>
          </cell>
          <cell r="K172">
            <v>816458.98</v>
          </cell>
          <cell r="L172">
            <v>3114587.12</v>
          </cell>
          <cell r="M172">
            <v>3143664.9</v>
          </cell>
          <cell r="N172">
            <v>2905294.1900000004</v>
          </cell>
          <cell r="O172">
            <v>2918290.39</v>
          </cell>
          <cell r="P172">
            <v>2780192.98</v>
          </cell>
          <cell r="Q172">
            <v>2204395.3200000003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1986075.4</v>
          </cell>
        </row>
        <row r="33">
          <cell r="C33">
            <v>1726260.05</v>
          </cell>
        </row>
        <row r="59">
          <cell r="C59">
            <v>-314278.31</v>
          </cell>
        </row>
      </sheetData>
      <sheetData sheetId="2"/>
      <sheetData sheetId="3"/>
      <sheetData sheetId="4">
        <row r="15">
          <cell r="J15">
            <v>0.56279999999999997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 refreshError="1"/>
      <sheetData sheetId="1">
        <row r="32">
          <cell r="C32">
            <v>3207096.53</v>
          </cell>
        </row>
        <row r="33">
          <cell r="C33">
            <v>1686315.34</v>
          </cell>
        </row>
        <row r="58">
          <cell r="C58">
            <v>-826535.26</v>
          </cell>
        </row>
      </sheetData>
      <sheetData sheetId="2" refreshError="1"/>
      <sheetData sheetId="3" refreshError="1"/>
      <sheetData sheetId="4">
        <row r="15">
          <cell r="J15">
            <v>0.51870000000000005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1512576.74</v>
          </cell>
        </row>
        <row r="34">
          <cell r="C34">
            <v>1794955.49</v>
          </cell>
        </row>
        <row r="60">
          <cell r="C60">
            <v>-794696.76</v>
          </cell>
        </row>
      </sheetData>
      <sheetData sheetId="2"/>
      <sheetData sheetId="3"/>
      <sheetData sheetId="4">
        <row r="15">
          <cell r="J15">
            <v>0.52090000000000003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2157718.54</v>
          </cell>
        </row>
        <row r="34">
          <cell r="C34">
            <v>2063757.64</v>
          </cell>
        </row>
        <row r="60">
          <cell r="C60">
            <v>-1215917.03</v>
          </cell>
        </row>
      </sheetData>
      <sheetData sheetId="2"/>
      <sheetData sheetId="3"/>
      <sheetData sheetId="4">
        <row r="15">
          <cell r="J15">
            <v>0.50170000000000003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4038299.78</v>
          </cell>
        </row>
        <row r="33">
          <cell r="C33">
            <v>1655841.59</v>
          </cell>
        </row>
        <row r="58">
          <cell r="C58">
            <v>-1085441.48</v>
          </cell>
        </row>
      </sheetData>
      <sheetData sheetId="2"/>
      <sheetData sheetId="3"/>
      <sheetData sheetId="4">
        <row r="15">
          <cell r="J15">
            <v>0.54179999999999995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4064167.02</v>
          </cell>
        </row>
        <row r="33">
          <cell r="C33">
            <v>1591520.55</v>
          </cell>
        </row>
        <row r="59">
          <cell r="C59">
            <v>-1227219.6499999999</v>
          </cell>
        </row>
      </sheetData>
      <sheetData sheetId="2"/>
      <sheetData sheetId="3"/>
      <sheetData sheetId="4">
        <row r="15">
          <cell r="J15">
            <v>0.5675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Bill"/>
      <sheetName val="1598"/>
      <sheetName val="Alloc Payment"/>
      <sheetName val="JE Accrue-GP"/>
      <sheetName val="JE Accrue-CMIC"/>
      <sheetName val="JE Payment"/>
      <sheetName val="JE Payment (THES)"/>
      <sheetName val="Wire"/>
      <sheetName val="WMS Revised March 29 2016"/>
      <sheetName val="Wire(THESI)"/>
    </sheetNames>
    <sheetDataSet>
      <sheetData sheetId="0"/>
      <sheetData sheetId="1">
        <row r="32">
          <cell r="C32">
            <v>3490700.06</v>
          </cell>
        </row>
        <row r="34">
          <cell r="C34">
            <v>1538490.38</v>
          </cell>
        </row>
        <row r="60">
          <cell r="C60">
            <v>-958417.47</v>
          </cell>
        </row>
      </sheetData>
      <sheetData sheetId="2"/>
      <sheetData sheetId="3"/>
      <sheetData sheetId="4">
        <row r="15">
          <cell r="J15">
            <v>0.56469999999999998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1744B-B36A-4AEA-8412-39838B59BBAD}">
  <sheetPr>
    <tabColor theme="6" tint="-0.249977111117893"/>
  </sheetPr>
  <dimension ref="B2:M28"/>
  <sheetViews>
    <sheetView showGridLines="0" tabSelected="1" zoomScaleNormal="100" workbookViewId="0">
      <selection activeCell="E24" sqref="E24"/>
    </sheetView>
  </sheetViews>
  <sheetFormatPr defaultRowHeight="13.2" x14ac:dyDescent="0.25"/>
  <cols>
    <col min="1" max="1" width="2.33203125" customWidth="1"/>
    <col min="2" max="2" width="22.109375" customWidth="1"/>
    <col min="3" max="5" width="14.88671875" customWidth="1"/>
    <col min="6" max="6" width="3.44140625" customWidth="1"/>
    <col min="7" max="9" width="14.88671875" customWidth="1"/>
    <col min="10" max="10" width="3.44140625" customWidth="1"/>
    <col min="11" max="13" width="14.88671875" customWidth="1"/>
  </cols>
  <sheetData>
    <row r="2" spans="2:13" x14ac:dyDescent="0.25">
      <c r="C2" s="82" t="s">
        <v>113</v>
      </c>
      <c r="D2" s="82"/>
      <c r="E2" s="82"/>
      <c r="G2" s="82" t="s">
        <v>1</v>
      </c>
      <c r="H2" s="82"/>
      <c r="I2" s="82"/>
      <c r="K2" s="82" t="s">
        <v>0</v>
      </c>
      <c r="L2" s="82"/>
      <c r="M2" s="82"/>
    </row>
    <row r="3" spans="2:13" x14ac:dyDescent="0.25">
      <c r="C3" s="76"/>
      <c r="D3" s="76"/>
      <c r="E3" s="76"/>
      <c r="G3" s="76"/>
      <c r="H3" s="76"/>
      <c r="I3" s="76"/>
      <c r="K3" s="76"/>
      <c r="L3" s="76"/>
      <c r="M3" s="76"/>
    </row>
    <row r="4" spans="2:13" ht="13.8" x14ac:dyDescent="0.25">
      <c r="B4" s="80"/>
      <c r="C4" s="81" t="s">
        <v>110</v>
      </c>
      <c r="D4" s="81" t="s">
        <v>108</v>
      </c>
      <c r="E4" s="81" t="s">
        <v>109</v>
      </c>
      <c r="F4" s="80"/>
      <c r="G4" s="81" t="s">
        <v>110</v>
      </c>
      <c r="H4" s="81" t="s">
        <v>108</v>
      </c>
      <c r="I4" s="81" t="s">
        <v>109</v>
      </c>
      <c r="J4" s="80"/>
      <c r="K4" s="81" t="s">
        <v>110</v>
      </c>
      <c r="L4" s="81" t="s">
        <v>108</v>
      </c>
      <c r="M4" s="81" t="s">
        <v>109</v>
      </c>
    </row>
    <row r="5" spans="2:13" x14ac:dyDescent="0.25">
      <c r="B5" s="4" t="s">
        <v>88</v>
      </c>
    </row>
    <row r="6" spans="2:13" x14ac:dyDescent="0.25">
      <c r="B6" t="s">
        <v>107</v>
      </c>
      <c r="C6" s="1">
        <f>-'OEB Model (CND)'!$O$282+-'OEB Model (BCP)'!$O$282</f>
        <v>-84899821</v>
      </c>
      <c r="D6" s="1">
        <f>-'OEB Model (CND)'!$O$242+-'OEB Model (BCP)'!$O$242</f>
        <v>-84269753.606188416</v>
      </c>
      <c r="E6" s="75">
        <f>D6-C6</f>
        <v>630067.39381158352</v>
      </c>
      <c r="G6" s="1">
        <f>-'OEB Model (CND)'!$O$282</f>
        <v>-69896945</v>
      </c>
      <c r="H6" s="1">
        <f>-'OEB Model (CND)'!$O$242</f>
        <v>-69517723.236611232</v>
      </c>
      <c r="I6" s="75">
        <f>H6-G6</f>
        <v>379221.76338876784</v>
      </c>
      <c r="K6" s="1">
        <f>-'OEB Model (BCP)'!$O$282</f>
        <v>-15002876</v>
      </c>
      <c r="L6" s="1">
        <f>-'OEB Model (BCP)'!$O$242</f>
        <v>-14752030.369577192</v>
      </c>
      <c r="M6" s="75">
        <f>L6-K6</f>
        <v>250845.63042280823</v>
      </c>
    </row>
    <row r="7" spans="2:13" x14ac:dyDescent="0.25">
      <c r="B7" t="s">
        <v>90</v>
      </c>
      <c r="C7" s="1">
        <f>-'OEB Model (CND)'!$O$283+-'OEB Model (BCP)'!$O$283</f>
        <v>-83516089</v>
      </c>
      <c r="D7" s="1">
        <f>-'OEB Model (CND)'!$O$248+-'OEB Model (BCP)'!$O$248</f>
        <v>-83312834.974098563</v>
      </c>
      <c r="E7" s="75">
        <f>D7-C7</f>
        <v>203254.02590143681</v>
      </c>
      <c r="G7" s="1">
        <f>-'OEB Model (CND)'!$O$283</f>
        <v>-67303481</v>
      </c>
      <c r="H7" s="1">
        <f>-'OEB Model (CND)'!$O$248</f>
        <v>-67077526.080648378</v>
      </c>
      <c r="I7" s="75">
        <f>H7-G7</f>
        <v>225954.91935162246</v>
      </c>
      <c r="K7" s="1">
        <f>-'OEB Model (BCP)'!$O$283</f>
        <v>-16212608</v>
      </c>
      <c r="L7" s="1">
        <f>-'OEB Model (BCP)'!$O$248</f>
        <v>-16235308.893450182</v>
      </c>
      <c r="M7" s="75">
        <f>L7-K7</f>
        <v>-22700.893450181931</v>
      </c>
    </row>
    <row r="9" spans="2:13" x14ac:dyDescent="0.25">
      <c r="B9" s="4" t="s">
        <v>111</v>
      </c>
    </row>
    <row r="10" spans="2:13" x14ac:dyDescent="0.25">
      <c r="B10" t="s">
        <v>107</v>
      </c>
      <c r="C10" s="1">
        <f>'OEB Model (CND)'!$O$286+'OEB Model (BCP)'!$O$286</f>
        <v>83838326</v>
      </c>
      <c r="D10" s="1">
        <f>'OEB Model (CND)'!$O$257+'OEB Model (BCP)'!$O$257</f>
        <v>83878253.705380484</v>
      </c>
      <c r="E10" s="1">
        <f>D10-C10</f>
        <v>39927.705380484462</v>
      </c>
      <c r="G10" s="1">
        <f>'OEB Model (CND)'!$O$286</f>
        <v>69139809</v>
      </c>
      <c r="H10" s="1">
        <f>'OEB Model (CND)'!$O$257</f>
        <v>69282513.073916987</v>
      </c>
      <c r="I10" s="1">
        <f>H10-G10</f>
        <v>142704.07391698658</v>
      </c>
      <c r="K10" s="1">
        <f>'OEB Model (BCP)'!$O$286</f>
        <v>14698517</v>
      </c>
      <c r="L10" s="1">
        <f>'OEB Model (BCP)'!$O$257</f>
        <v>14595740.631463496</v>
      </c>
      <c r="M10" s="1">
        <f>L10-K10</f>
        <v>-102776.36853650399</v>
      </c>
    </row>
    <row r="11" spans="2:13" x14ac:dyDescent="0.25">
      <c r="B11" t="s">
        <v>90</v>
      </c>
      <c r="C11" s="1">
        <f>'OEB Model (CND)'!$O$287+'OEB Model (BCP)'!$O$287</f>
        <v>82173988</v>
      </c>
      <c r="D11" s="1">
        <f>'OEB Model (CND)'!$O$263+'OEB Model (BCP)'!$O$263</f>
        <v>81966192.937848583</v>
      </c>
      <c r="E11" s="1">
        <f>D11-C11</f>
        <v>-207795.06215141714</v>
      </c>
      <c r="G11" s="1">
        <f>'OEB Model (CND)'!$O$287</f>
        <v>66062429</v>
      </c>
      <c r="H11" s="1">
        <f>'OEB Model (CND)'!$O$263</f>
        <v>66189873.26688724</v>
      </c>
      <c r="I11" s="1">
        <f>H11-G11</f>
        <v>127444.26688724011</v>
      </c>
      <c r="K11" s="1">
        <f>'OEB Model (BCP)'!$O$287</f>
        <v>16111559</v>
      </c>
      <c r="L11" s="1">
        <f>'OEB Model (BCP)'!$O$263</f>
        <v>15776319.670961346</v>
      </c>
      <c r="M11" s="1">
        <f>L11-K11</f>
        <v>-335239.32903865352</v>
      </c>
    </row>
    <row r="13" spans="2:13" x14ac:dyDescent="0.25">
      <c r="B13" s="4" t="s">
        <v>112</v>
      </c>
    </row>
    <row r="14" spans="2:13" x14ac:dyDescent="0.25">
      <c r="B14" t="s">
        <v>107</v>
      </c>
      <c r="C14" s="1">
        <f>C6+C10</f>
        <v>-1061495</v>
      </c>
      <c r="D14" s="1">
        <f>D6+D10</f>
        <v>-391499.90080793202</v>
      </c>
      <c r="E14" s="1">
        <f>D14-C14</f>
        <v>669995.09919206798</v>
      </c>
      <c r="G14" s="1">
        <f>G6+G10</f>
        <v>-757136</v>
      </c>
      <c r="H14" s="1">
        <f>H6+H10</f>
        <v>-235210.16269424558</v>
      </c>
      <c r="I14" s="1">
        <f>H14-G14</f>
        <v>521925.83730575442</v>
      </c>
      <c r="K14" s="1">
        <f>K6+K10</f>
        <v>-304359</v>
      </c>
      <c r="L14" s="1">
        <f>L6+L10</f>
        <v>-156289.73811369576</v>
      </c>
      <c r="M14" s="1">
        <f>L14-K14</f>
        <v>148069.26188630424</v>
      </c>
    </row>
    <row r="15" spans="2:13" x14ac:dyDescent="0.25">
      <c r="B15" t="s">
        <v>90</v>
      </c>
      <c r="C15" s="1">
        <f>C7+C11</f>
        <v>-1342101</v>
      </c>
      <c r="D15" s="1">
        <f>D7+D11</f>
        <v>-1346642.0362499803</v>
      </c>
      <c r="E15" s="1">
        <f>D15-C15</f>
        <v>-4541.0362499803305</v>
      </c>
      <c r="G15" s="1">
        <f>G7+G11</f>
        <v>-1241052</v>
      </c>
      <c r="H15" s="1">
        <f>H7+H11</f>
        <v>-887652.81376113743</v>
      </c>
      <c r="I15" s="1">
        <f>H15-G15</f>
        <v>353399.18623886257</v>
      </c>
      <c r="K15" s="1">
        <f>K7+K11</f>
        <v>-101049</v>
      </c>
      <c r="L15" s="1">
        <f>L7+L11</f>
        <v>-458989.22248883545</v>
      </c>
      <c r="M15" s="1">
        <f>L15-K15</f>
        <v>-357940.22248883545</v>
      </c>
    </row>
    <row r="19" spans="3:13" x14ac:dyDescent="0.25">
      <c r="C19" s="77" t="s">
        <v>114</v>
      </c>
      <c r="G19" s="77" t="s">
        <v>114</v>
      </c>
      <c r="K19" s="77" t="s">
        <v>114</v>
      </c>
    </row>
    <row r="21" spans="3:13" x14ac:dyDescent="0.25">
      <c r="C21" t="s">
        <v>115</v>
      </c>
      <c r="D21" s="75">
        <f>E14</f>
        <v>669995.09919206798</v>
      </c>
      <c r="E21" s="75"/>
      <c r="G21" t="s">
        <v>115</v>
      </c>
      <c r="H21" s="75">
        <f>I14</f>
        <v>521925.83730575442</v>
      </c>
      <c r="I21" s="75"/>
      <c r="K21" t="s">
        <v>115</v>
      </c>
      <c r="L21" s="75">
        <f>M14</f>
        <v>148069.26188630424</v>
      </c>
      <c r="M21" s="75"/>
    </row>
    <row r="22" spans="3:13" x14ac:dyDescent="0.25">
      <c r="C22" t="s">
        <v>116</v>
      </c>
      <c r="D22" s="75">
        <f>-E15</f>
        <v>4541.0362499803305</v>
      </c>
      <c r="E22" s="75"/>
      <c r="G22" t="s">
        <v>116</v>
      </c>
      <c r="I22" s="75">
        <f>-I15</f>
        <v>-353399.18623886257</v>
      </c>
      <c r="K22" t="s">
        <v>116</v>
      </c>
      <c r="L22" s="75">
        <f>-M15</f>
        <v>357940.22248883545</v>
      </c>
      <c r="M22" s="75"/>
    </row>
    <row r="23" spans="3:13" x14ac:dyDescent="0.25">
      <c r="C23" t="s">
        <v>118</v>
      </c>
      <c r="D23" s="75"/>
      <c r="E23" s="75">
        <f>-E14</f>
        <v>-669995.09919206798</v>
      </c>
      <c r="G23" t="s">
        <v>118</v>
      </c>
      <c r="H23" s="75"/>
      <c r="I23" s="75">
        <f>-I14</f>
        <v>-521925.83730575442</v>
      </c>
      <c r="K23" t="s">
        <v>118</v>
      </c>
      <c r="L23" s="75"/>
      <c r="M23" s="75">
        <f>-M14</f>
        <v>-148069.26188630424</v>
      </c>
    </row>
    <row r="24" spans="3:13" x14ac:dyDescent="0.25">
      <c r="C24" t="s">
        <v>117</v>
      </c>
      <c r="D24" s="75"/>
      <c r="E24" s="75">
        <f>-D22</f>
        <v>-4541.0362499803305</v>
      </c>
      <c r="G24" t="s">
        <v>117</v>
      </c>
      <c r="H24" s="75"/>
      <c r="I24" s="75">
        <f>-I22</f>
        <v>353399.18623886257</v>
      </c>
      <c r="K24" t="s">
        <v>117</v>
      </c>
      <c r="L24" s="75"/>
      <c r="M24" s="75">
        <f>-L22</f>
        <v>-357940.22248883545</v>
      </c>
    </row>
    <row r="25" spans="3:13" x14ac:dyDescent="0.25">
      <c r="E25" s="75"/>
    </row>
    <row r="27" spans="3:13" x14ac:dyDescent="0.25">
      <c r="C27" s="75"/>
      <c r="D27" s="75"/>
      <c r="E27" s="75"/>
    </row>
    <row r="28" spans="3:13" x14ac:dyDescent="0.25">
      <c r="C28" s="75"/>
      <c r="D28" s="75"/>
      <c r="E28" s="75"/>
    </row>
  </sheetData>
  <mergeCells count="3">
    <mergeCell ref="C2:E2"/>
    <mergeCell ref="G2:I2"/>
    <mergeCell ref="K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5304-A685-470A-B84A-6F9C38F23293}">
  <sheetPr>
    <tabColor theme="4" tint="-0.249977111117893"/>
  </sheetPr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FD59-E380-40E8-A356-0EBCB37AD14B}">
  <sheetPr>
    <tabColor theme="4" tint="0.39997558519241921"/>
  </sheetPr>
  <dimension ref="B2:Q61"/>
  <sheetViews>
    <sheetView showGridLines="0" zoomScale="85" zoomScaleNormal="85" workbookViewId="0">
      <selection activeCell="C69" sqref="C69"/>
    </sheetView>
  </sheetViews>
  <sheetFormatPr defaultRowHeight="17.399999999999999" x14ac:dyDescent="0.3"/>
  <cols>
    <col min="1" max="1" width="1.88671875" customWidth="1"/>
    <col min="2" max="2" width="4.77734375" style="68" customWidth="1"/>
    <col min="3" max="3" width="29.109375" customWidth="1"/>
    <col min="4" max="4" width="14.109375" customWidth="1"/>
    <col min="5" max="5" width="14.109375" style="2" customWidth="1"/>
    <col min="6" max="16" width="14.33203125" style="2" bestFit="1" customWidth="1"/>
    <col min="17" max="17" width="15.44140625" style="2" bestFit="1" customWidth="1"/>
  </cols>
  <sheetData>
    <row r="2" spans="2:17" x14ac:dyDescent="0.3">
      <c r="B2" s="67" t="s">
        <v>103</v>
      </c>
    </row>
    <row r="3" spans="2:17" x14ac:dyDescent="0.3">
      <c r="C3" s="3"/>
      <c r="D3" s="3"/>
      <c r="E3" s="2">
        <v>100</v>
      </c>
    </row>
    <row r="4" spans="2:17" x14ac:dyDescent="0.3">
      <c r="C4" s="4" t="s">
        <v>56</v>
      </c>
      <c r="D4" s="4"/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3" t="s">
        <v>17</v>
      </c>
      <c r="N4" s="23" t="s">
        <v>18</v>
      </c>
      <c r="O4" s="23" t="s">
        <v>19</v>
      </c>
      <c r="P4" s="23" t="s">
        <v>20</v>
      </c>
      <c r="Q4" s="23"/>
    </row>
    <row r="5" spans="2:17" s="12" customFormat="1" x14ac:dyDescent="0.3">
      <c r="B5" s="69"/>
      <c r="C5" s="12" t="s">
        <v>58</v>
      </c>
      <c r="E5" s="78">
        <v>8.7769999999999992</v>
      </c>
      <c r="F5" s="78">
        <v>7.3329999999999993</v>
      </c>
      <c r="G5" s="78">
        <v>7.8769999999999989</v>
      </c>
      <c r="H5" s="78">
        <v>9.8099999999999987</v>
      </c>
      <c r="I5" s="78">
        <v>9.3919999999999995</v>
      </c>
      <c r="J5" s="78">
        <v>13.336</v>
      </c>
      <c r="K5" s="78">
        <v>8.5020000000000007</v>
      </c>
      <c r="L5" s="78">
        <v>7.7900000000000009</v>
      </c>
      <c r="M5" s="78">
        <v>8.4239999999999995</v>
      </c>
      <c r="N5" s="78">
        <v>8.9209999999999994</v>
      </c>
      <c r="O5" s="78">
        <v>12.234999999999999</v>
      </c>
      <c r="P5" s="78">
        <v>9.1980000000000004</v>
      </c>
      <c r="Q5" s="24"/>
    </row>
    <row r="6" spans="2:17" s="12" customFormat="1" x14ac:dyDescent="0.3">
      <c r="B6" s="69"/>
      <c r="C6" s="12" t="s">
        <v>59</v>
      </c>
      <c r="E6" s="78">
        <v>6.37</v>
      </c>
      <c r="F6" s="78">
        <v>7.71</v>
      </c>
      <c r="G6" s="78">
        <v>8.6</v>
      </c>
      <c r="H6" s="78">
        <v>10.07</v>
      </c>
      <c r="I6" s="78">
        <v>13.2</v>
      </c>
      <c r="J6" s="78">
        <v>10.24</v>
      </c>
      <c r="K6" s="78">
        <v>8.1199999999999992</v>
      </c>
      <c r="L6" s="78">
        <v>7.32</v>
      </c>
      <c r="M6" s="78">
        <v>8.66</v>
      </c>
      <c r="N6" s="78">
        <v>12</v>
      </c>
      <c r="O6" s="78">
        <v>10.54</v>
      </c>
      <c r="P6" s="78">
        <v>7.07</v>
      </c>
      <c r="Q6" s="24"/>
    </row>
    <row r="7" spans="2:17" s="12" customFormat="1" x14ac:dyDescent="0.3">
      <c r="B7" s="69"/>
      <c r="C7" s="12" t="s">
        <v>57</v>
      </c>
      <c r="E7" s="78">
        <v>6.7360000000000007</v>
      </c>
      <c r="F7" s="78">
        <v>8.1669999999999998</v>
      </c>
      <c r="G7" s="78">
        <v>9.4809999999999999</v>
      </c>
      <c r="H7" s="78">
        <v>9.9589999999999996</v>
      </c>
      <c r="I7" s="78">
        <v>10.793000000000001</v>
      </c>
      <c r="J7" s="78">
        <v>11.895999999999999</v>
      </c>
      <c r="K7" s="78">
        <v>7.737000000000001</v>
      </c>
      <c r="L7" s="78">
        <v>7.4900000000000011</v>
      </c>
      <c r="M7" s="78">
        <v>8.5839999999999996</v>
      </c>
      <c r="N7" s="78">
        <v>12.059000000000001</v>
      </c>
      <c r="O7" s="78">
        <v>9.8550000000000004</v>
      </c>
      <c r="P7" s="78">
        <v>7.4040000000000008</v>
      </c>
      <c r="Q7" s="24"/>
    </row>
    <row r="8" spans="2:17" s="12" customFormat="1" x14ac:dyDescent="0.3">
      <c r="B8" s="69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2:17" x14ac:dyDescent="0.3">
      <c r="C9" s="4" t="s">
        <v>87</v>
      </c>
      <c r="D9" s="4"/>
      <c r="E9" s="23" t="s">
        <v>9</v>
      </c>
      <c r="F9" s="23" t="s">
        <v>10</v>
      </c>
      <c r="G9" s="23" t="s">
        <v>11</v>
      </c>
      <c r="H9" s="23" t="s">
        <v>12</v>
      </c>
      <c r="I9" s="23" t="s">
        <v>13</v>
      </c>
      <c r="J9" s="23" t="s">
        <v>14</v>
      </c>
      <c r="K9" s="23" t="s">
        <v>15</v>
      </c>
      <c r="L9" s="23" t="s">
        <v>16</v>
      </c>
      <c r="M9" s="23" t="s">
        <v>17</v>
      </c>
      <c r="N9" s="23" t="s">
        <v>18</v>
      </c>
      <c r="O9" s="23" t="s">
        <v>19</v>
      </c>
      <c r="P9" s="23" t="s">
        <v>20</v>
      </c>
      <c r="Q9" s="23"/>
    </row>
    <row r="10" spans="2:17" s="12" customFormat="1" x14ac:dyDescent="0.3">
      <c r="B10" s="69"/>
      <c r="C10" s="12" t="s">
        <v>129</v>
      </c>
      <c r="E10" s="24">
        <v>2.027265640113602</v>
      </c>
      <c r="F10" s="24">
        <v>3.1947010734836572</v>
      </c>
      <c r="G10" s="24">
        <v>1.9313256392928611</v>
      </c>
      <c r="H10" s="24">
        <v>1.758013049064074</v>
      </c>
      <c r="I10" s="24">
        <v>2.9714422556118625</v>
      </c>
      <c r="J10" s="24">
        <v>1.361094860425865</v>
      </c>
      <c r="K10" s="24">
        <v>1.7939624194798771</v>
      </c>
      <c r="L10" s="24">
        <v>3.0637300850248428</v>
      </c>
      <c r="M10" s="24">
        <v>3.064767630943086</v>
      </c>
      <c r="N10" s="24">
        <v>2.9512862822852108</v>
      </c>
      <c r="O10" s="24">
        <v>1.4071701950838604</v>
      </c>
      <c r="P10" s="24">
        <v>2.5717193901436635</v>
      </c>
      <c r="Q10" s="24"/>
    </row>
    <row r="11" spans="2:17" x14ac:dyDescent="0.3">
      <c r="C11" s="3"/>
      <c r="D11" s="3"/>
    </row>
    <row r="12" spans="2:17" x14ac:dyDescent="0.3">
      <c r="B12" s="67" t="s">
        <v>76</v>
      </c>
      <c r="E12" s="66" t="s">
        <v>77</v>
      </c>
    </row>
    <row r="13" spans="2:17" x14ac:dyDescent="0.3">
      <c r="C13" s="4"/>
      <c r="D13" s="4"/>
    </row>
    <row r="14" spans="2:17" x14ac:dyDescent="0.3">
      <c r="C14" s="54" t="s">
        <v>1</v>
      </c>
      <c r="D14" s="54"/>
      <c r="E14" s="23" t="s">
        <v>9</v>
      </c>
      <c r="F14" s="23" t="s">
        <v>10</v>
      </c>
      <c r="G14" s="23" t="s">
        <v>11</v>
      </c>
      <c r="H14" s="23" t="s">
        <v>12</v>
      </c>
      <c r="I14" s="23" t="s">
        <v>13</v>
      </c>
      <c r="J14" s="23" t="s">
        <v>14</v>
      </c>
      <c r="K14" s="23" t="s">
        <v>15</v>
      </c>
      <c r="L14" s="23" t="s">
        <v>16</v>
      </c>
      <c r="M14" s="23" t="s">
        <v>17</v>
      </c>
      <c r="N14" s="23" t="s">
        <v>18</v>
      </c>
      <c r="O14" s="23" t="s">
        <v>19</v>
      </c>
      <c r="P14" s="23" t="s">
        <v>20</v>
      </c>
      <c r="Q14" s="23" t="s">
        <v>21</v>
      </c>
    </row>
    <row r="15" spans="2:17" x14ac:dyDescent="0.3">
      <c r="C15" s="12" t="s">
        <v>62</v>
      </c>
      <c r="D15" s="12"/>
      <c r="E15" s="2">
        <f>[1]Bill!$C$32</f>
        <v>3968098.2</v>
      </c>
      <c r="F15" s="2">
        <f>[2]Bill!$C$32</f>
        <v>2041287.45</v>
      </c>
      <c r="G15" s="2">
        <f>[3]Bill!$C$32</f>
        <v>1986075.4</v>
      </c>
      <c r="H15" s="2">
        <f>[4]Bill!$C$32</f>
        <v>3207096.53</v>
      </c>
      <c r="I15" s="2">
        <f>[5]Bill!$C$32</f>
        <v>1512576.74</v>
      </c>
      <c r="J15" s="2">
        <f>[6]Bill!$C$32</f>
        <v>2157718.54</v>
      </c>
      <c r="K15" s="2">
        <f>[7]Bill!$C$32</f>
        <v>4038299.78</v>
      </c>
      <c r="L15" s="2">
        <f>[8]Bill!$C$32</f>
        <v>4064167.02</v>
      </c>
      <c r="M15" s="2">
        <f>[9]Bill!$C$32</f>
        <v>3490700.06</v>
      </c>
      <c r="N15" s="2">
        <f>[10]Bill!$C$32</f>
        <v>1540157.98</v>
      </c>
      <c r="O15" s="2">
        <f>[11]Bill!$C$32</f>
        <v>2912020.59</v>
      </c>
      <c r="P15" s="2">
        <f>[12]Bill!$C$32</f>
        <v>3247390.64</v>
      </c>
      <c r="Q15" s="2">
        <f>SUM(E15:P15)</f>
        <v>34165588.93</v>
      </c>
    </row>
    <row r="16" spans="2:17" x14ac:dyDescent="0.3">
      <c r="C16" s="12" t="s">
        <v>63</v>
      </c>
      <c r="D16" s="12"/>
      <c r="E16" s="2">
        <f>[1]Bill!$C$33</f>
        <v>1410768.3</v>
      </c>
      <c r="F16" s="2">
        <f>[2]Bill!$C$33</f>
        <v>1427729.55</v>
      </c>
      <c r="G16" s="2">
        <f>[3]Bill!$C$33</f>
        <v>1726260.05</v>
      </c>
      <c r="H16" s="2">
        <f>[4]Bill!$C$33</f>
        <v>1686315.34</v>
      </c>
      <c r="I16" s="2">
        <f>[5]Bill!$C$34</f>
        <v>1794955.49</v>
      </c>
      <c r="J16" s="2">
        <f>[6]Bill!$C$34</f>
        <v>2063757.64</v>
      </c>
      <c r="K16" s="2">
        <f>[7]Bill!$C$33</f>
        <v>1655841.59</v>
      </c>
      <c r="L16" s="2">
        <f>[8]Bill!$C$33</f>
        <v>1591520.55</v>
      </c>
      <c r="M16" s="2">
        <f>[9]Bill!$C$34</f>
        <v>1538490.38</v>
      </c>
      <c r="N16" s="2">
        <f>[10]Bill!$C$34</f>
        <v>2061487.62</v>
      </c>
      <c r="O16" s="2">
        <f>[11]Bill!$C$34</f>
        <v>1700290.06</v>
      </c>
      <c r="P16" s="2">
        <f>[12]Bill!$C$34</f>
        <v>1549295.14</v>
      </c>
      <c r="Q16" s="2">
        <f t="shared" ref="Q16:Q17" si="0">SUM(E16:P16)</f>
        <v>20206711.710000001</v>
      </c>
    </row>
    <row r="17" spans="2:17" x14ac:dyDescent="0.3">
      <c r="C17" s="12" t="s">
        <v>67</v>
      </c>
      <c r="D17" s="12"/>
      <c r="E17" s="2">
        <f>[1]Bill!$C$58</f>
        <v>-188491.71</v>
      </c>
      <c r="F17" s="2">
        <f>[2]Bill!$C$59</f>
        <v>-235910.46</v>
      </c>
      <c r="G17" s="2">
        <f>[3]Bill!$C$59</f>
        <v>-314278.31</v>
      </c>
      <c r="H17" s="2">
        <f>[4]Bill!$C$58</f>
        <v>-826535.26</v>
      </c>
      <c r="I17" s="2">
        <f>[5]Bill!$C$60</f>
        <v>-794696.76</v>
      </c>
      <c r="J17" s="2">
        <f>[6]Bill!$C$60</f>
        <v>-1215917.03</v>
      </c>
      <c r="K17" s="2">
        <f>[7]Bill!$C$58</f>
        <v>-1085441.48</v>
      </c>
      <c r="L17" s="2">
        <f>[8]Bill!$C$59</f>
        <v>-1227219.6499999999</v>
      </c>
      <c r="M17" s="2">
        <f>[9]Bill!$C$60</f>
        <v>-958417.47</v>
      </c>
      <c r="N17" s="2">
        <f>[10]Bill!$C$59</f>
        <v>-750836.93</v>
      </c>
      <c r="O17" s="2">
        <f>[11]Bill!$C$59</f>
        <v>-616904.27</v>
      </c>
      <c r="P17" s="2">
        <f>[12]Bill!$C$59</f>
        <v>-196969.86</v>
      </c>
      <c r="Q17" s="2">
        <f t="shared" si="0"/>
        <v>-8411619.1899999995</v>
      </c>
    </row>
    <row r="18" spans="2:17" x14ac:dyDescent="0.3">
      <c r="C18" s="4"/>
      <c r="D18" s="4"/>
    </row>
    <row r="19" spans="2:17" x14ac:dyDescent="0.3">
      <c r="C19" s="54" t="s">
        <v>0</v>
      </c>
      <c r="D19" s="54"/>
      <c r="E19" s="23" t="s">
        <v>9</v>
      </c>
      <c r="F19" s="23" t="s">
        <v>10</v>
      </c>
      <c r="G19" s="23" t="s">
        <v>11</v>
      </c>
      <c r="H19" s="23" t="s">
        <v>12</v>
      </c>
      <c r="I19" s="23" t="s">
        <v>13</v>
      </c>
      <c r="J19" s="23" t="s">
        <v>14</v>
      </c>
      <c r="K19" s="23" t="s">
        <v>15</v>
      </c>
      <c r="L19" s="23" t="s">
        <v>16</v>
      </c>
      <c r="M19" s="23" t="s">
        <v>17</v>
      </c>
      <c r="N19" s="23" t="s">
        <v>18</v>
      </c>
      <c r="O19" s="23" t="s">
        <v>19</v>
      </c>
      <c r="P19" s="23" t="s">
        <v>20</v>
      </c>
      <c r="Q19" s="23" t="s">
        <v>21</v>
      </c>
    </row>
    <row r="20" spans="2:17" x14ac:dyDescent="0.3">
      <c r="C20" s="12" t="s">
        <v>62</v>
      </c>
      <c r="D20" s="12"/>
      <c r="E20" s="2">
        <f>[13]Bill!$C$31</f>
        <v>867338.02</v>
      </c>
      <c r="F20" s="2">
        <f>[14]Bill!$C$31</f>
        <v>434055.82</v>
      </c>
      <c r="G20" s="2">
        <f>[15]Bill!$C$31</f>
        <v>406096.4</v>
      </c>
      <c r="H20" s="2">
        <f>[16]Bill!$C$31</f>
        <v>640330.43000000005</v>
      </c>
      <c r="I20" s="2">
        <f>[17]Bill!$C$31</f>
        <v>283374.17</v>
      </c>
      <c r="J20" s="2">
        <f>[18]Bill!$C$31</f>
        <v>412240.21</v>
      </c>
      <c r="K20" s="2">
        <f>[19]Bill!$C$31</f>
        <v>837900.36</v>
      </c>
      <c r="L20" s="2">
        <f>[20]Bill!$C$31</f>
        <v>911110.12</v>
      </c>
      <c r="M20" s="2">
        <f>[21]Bill!$C$31</f>
        <v>795718.71</v>
      </c>
      <c r="N20" s="2">
        <f>[22]Bill!$C$31</f>
        <v>349873.68</v>
      </c>
      <c r="O20" s="2">
        <f>[23]Bill!$C$31</f>
        <v>681145.1</v>
      </c>
      <c r="P20" s="2">
        <f>[24]Bill!$C$31</f>
        <v>748080.88</v>
      </c>
      <c r="Q20" s="2">
        <f>SUM(E20:P20)</f>
        <v>7367263.8999999994</v>
      </c>
    </row>
    <row r="21" spans="2:17" x14ac:dyDescent="0.3">
      <c r="C21" s="12" t="s">
        <v>63</v>
      </c>
      <c r="D21" s="12"/>
      <c r="E21" s="2">
        <f>[13]Bill!$C$32</f>
        <v>42055.53</v>
      </c>
      <c r="F21" s="2">
        <f>[14]Bill!$C$32</f>
        <v>42561.15</v>
      </c>
      <c r="G21" s="2">
        <f>[15]Bill!$C$32</f>
        <v>51460.46</v>
      </c>
      <c r="H21" s="2">
        <f>[16]Bill!$C$32</f>
        <v>50269.69</v>
      </c>
      <c r="I21" s="2">
        <f>[17]Bill!$C$33</f>
        <v>53508.3</v>
      </c>
      <c r="J21" s="2">
        <f>[18]Bill!$C$33</f>
        <v>61521.39</v>
      </c>
      <c r="K21" s="2">
        <f>[19]Bill!$C$32</f>
        <v>183589.54</v>
      </c>
      <c r="L21" s="2">
        <f>[20]Bill!$C$32</f>
        <v>176471.41</v>
      </c>
      <c r="M21" s="2">
        <f>[21]Bill!$C$33</f>
        <v>170595.12</v>
      </c>
      <c r="N21" s="2">
        <f>[22]Bill!$C$33</f>
        <v>228584.94</v>
      </c>
      <c r="O21" s="2">
        <f>[23]Bill!$C$33</f>
        <v>188534.09</v>
      </c>
      <c r="P21" s="2">
        <f>[24]Bill!$C$33</f>
        <v>171791.25</v>
      </c>
      <c r="Q21" s="2">
        <f t="shared" ref="Q21:Q22" si="1">SUM(E21:P21)</f>
        <v>1420942.87</v>
      </c>
    </row>
    <row r="22" spans="2:17" x14ac:dyDescent="0.3">
      <c r="C22" s="12" t="s">
        <v>67</v>
      </c>
      <c r="D22" s="12"/>
      <c r="E22" s="2">
        <f>[13]Bill!$C$56</f>
        <v>-43994.95</v>
      </c>
      <c r="F22" s="2">
        <f>[14]Bill!$C$57</f>
        <v>-53886.73</v>
      </c>
      <c r="G22" s="2">
        <f>[15]Bill!$C$56</f>
        <v>-68770.39</v>
      </c>
      <c r="H22" s="2">
        <f>[16]Bill!$C$56</f>
        <v>-172582.62</v>
      </c>
      <c r="I22" s="2">
        <f>[17]Bill!$C$58</f>
        <v>-176518.08</v>
      </c>
      <c r="J22" s="2">
        <f>[18]Bill!$C$58</f>
        <v>-250515.06</v>
      </c>
      <c r="K22" s="2">
        <f>[19]Bill!$C$56</f>
        <v>-230207.98</v>
      </c>
      <c r="L22" s="2">
        <f>[20]Bill!$C$57</f>
        <v>-334198.58</v>
      </c>
      <c r="M22" s="2">
        <f>[21]Bill!$C$57</f>
        <v>-225685.11</v>
      </c>
      <c r="N22" s="2">
        <f>[22]Bill!$C$57</f>
        <v>-168155.88</v>
      </c>
      <c r="O22" s="2">
        <f>[23]Bill!$C$57</f>
        <v>-116967.75</v>
      </c>
      <c r="P22" s="2">
        <f>[24]Bill!$C$57</f>
        <v>-46196.22</v>
      </c>
      <c r="Q22" s="2">
        <f t="shared" si="1"/>
        <v>-1887679.3499999999</v>
      </c>
    </row>
    <row r="23" spans="2:17" x14ac:dyDescent="0.3">
      <c r="C23" s="12"/>
      <c r="D23" s="12"/>
    </row>
    <row r="24" spans="2:17" x14ac:dyDescent="0.3">
      <c r="C24" s="12"/>
      <c r="D24" s="12"/>
    </row>
    <row r="25" spans="2:17" x14ac:dyDescent="0.3">
      <c r="B25" s="67" t="s">
        <v>2</v>
      </c>
      <c r="C25" s="3"/>
      <c r="D25" s="3"/>
    </row>
    <row r="26" spans="2:17" x14ac:dyDescent="0.3">
      <c r="C26" s="4"/>
      <c r="D26" s="4"/>
    </row>
    <row r="27" spans="2:17" x14ac:dyDescent="0.3">
      <c r="C27" s="54" t="s">
        <v>0</v>
      </c>
      <c r="D27" s="54"/>
      <c r="E27" s="23" t="s">
        <v>9</v>
      </c>
      <c r="F27" s="23" t="s">
        <v>10</v>
      </c>
      <c r="G27" s="23" t="s">
        <v>11</v>
      </c>
      <c r="H27" s="23" t="s">
        <v>12</v>
      </c>
      <c r="I27" s="23" t="s">
        <v>13</v>
      </c>
      <c r="J27" s="23" t="s">
        <v>14</v>
      </c>
      <c r="K27" s="23" t="s">
        <v>15</v>
      </c>
      <c r="L27" s="23" t="s">
        <v>16</v>
      </c>
      <c r="M27" s="23" t="s">
        <v>17</v>
      </c>
      <c r="N27" s="23" t="s">
        <v>18</v>
      </c>
      <c r="O27" s="23" t="s">
        <v>19</v>
      </c>
      <c r="P27" s="23" t="s">
        <v>20</v>
      </c>
      <c r="Q27" s="23" t="s">
        <v>21</v>
      </c>
    </row>
    <row r="28" spans="2:17" x14ac:dyDescent="0.3">
      <c r="C28" s="1" t="str">
        <f>'[25]Monthly Billing'!A4</f>
        <v>IESO Purchased ULkWh</v>
      </c>
      <c r="D28" s="1"/>
      <c r="E28" s="2">
        <f>'[25]Monthly Billing'!B4</f>
        <v>26638460</v>
      </c>
      <c r="F28" s="2">
        <f>'[25]Monthly Billing'!D4</f>
        <v>22525933</v>
      </c>
      <c r="G28" s="2">
        <f>'[25]Monthly Billing'!F4</f>
        <v>22824466</v>
      </c>
      <c r="H28" s="2">
        <f>'[25]Monthly Billing'!H4</f>
        <v>21201426</v>
      </c>
      <c r="I28" s="2">
        <f>'[25]Monthly Billing'!J4</f>
        <v>20761541</v>
      </c>
      <c r="J28" s="2">
        <f>'[25]Monthly Billing'!L4</f>
        <v>22411430</v>
      </c>
      <c r="K28" s="2">
        <f>'[25]Monthly Billing'!N4</f>
        <v>27183550</v>
      </c>
      <c r="L28" s="2">
        <f>'[25]Monthly Billing'!P4</f>
        <v>29800080</v>
      </c>
      <c r="M28" s="2">
        <f>'[25]Monthly Billing'!R4</f>
        <v>26664650</v>
      </c>
      <c r="N28" s="2">
        <f>'[25]Monthly Billing'!T4</f>
        <v>24653520</v>
      </c>
      <c r="O28" s="2">
        <f>'[25]Monthly Billing'!V4</f>
        <v>26490560</v>
      </c>
      <c r="P28" s="2">
        <f>'[25]Monthly Billing'!X4</f>
        <v>26180099</v>
      </c>
      <c r="Q28" s="2">
        <f>'[25]Monthly Billing'!Z4</f>
        <v>297335715</v>
      </c>
    </row>
    <row r="29" spans="2:17" x14ac:dyDescent="0.3">
      <c r="C29" s="1" t="str">
        <f>'[25]Monthly Billing'!A5</f>
        <v>IESO Generation</v>
      </c>
      <c r="D29" s="1"/>
      <c r="E29" s="2">
        <f>'[25]Monthly Billing'!B5</f>
        <v>94511</v>
      </c>
      <c r="F29" s="2">
        <f>'[25]Monthly Billing'!D5</f>
        <v>138414</v>
      </c>
      <c r="G29" s="2">
        <f>'[25]Monthly Billing'!F5</f>
        <v>397880</v>
      </c>
      <c r="H29" s="2">
        <f>'[25]Monthly Billing'!H5</f>
        <v>345816</v>
      </c>
      <c r="I29" s="2">
        <f>'[25]Monthly Billing'!J5</f>
        <v>613732</v>
      </c>
      <c r="J29" s="2">
        <f>'[25]Monthly Billing'!L5</f>
        <v>578542</v>
      </c>
      <c r="K29" s="2">
        <f>'[25]Monthly Billing'!N5</f>
        <v>3063403</v>
      </c>
      <c r="L29" s="2">
        <f>'[25]Monthly Billing'!P5</f>
        <v>542385</v>
      </c>
      <c r="M29" s="2">
        <f>'[25]Monthly Billing'!R5</f>
        <v>400093</v>
      </c>
      <c r="N29" s="2">
        <f>'[25]Monthly Billing'!T5</f>
        <v>265941</v>
      </c>
      <c r="O29" s="2">
        <f>'[25]Monthly Billing'!V5</f>
        <v>108313</v>
      </c>
      <c r="P29" s="2">
        <f>'[25]Monthly Billing'!X5</f>
        <v>104441</v>
      </c>
      <c r="Q29" s="2">
        <f>'[25]Monthly Billing'!Z5</f>
        <v>0</v>
      </c>
    </row>
    <row r="30" spans="2:17" x14ac:dyDescent="0.3">
      <c r="C30" s="1" t="str">
        <f>'[25]Monthly Billing'!A6</f>
        <v>HON Purchased</v>
      </c>
      <c r="D30" s="1"/>
      <c r="E30" s="2">
        <f>'[25]Monthly Billing'!B6</f>
        <v>224171.72</v>
      </c>
      <c r="F30" s="2">
        <f>'[25]Monthly Billing'!D6</f>
        <v>327906.73</v>
      </c>
      <c r="G30" s="2">
        <f>'[25]Monthly Billing'!F6</f>
        <v>774748.28</v>
      </c>
      <c r="H30" s="2">
        <f>'[25]Monthly Billing'!H6</f>
        <v>626542.27</v>
      </c>
      <c r="I30" s="2">
        <f>'[25]Monthly Billing'!J6</f>
        <v>912114.67</v>
      </c>
      <c r="J30" s="2">
        <f>'[25]Monthly Billing'!L6</f>
        <v>663157.14</v>
      </c>
      <c r="K30" s="2">
        <f>'[25]Monthly Billing'!N6</f>
        <v>570476.92307692301</v>
      </c>
      <c r="L30" s="2">
        <f>'[25]Monthly Billing'!P6</f>
        <v>379551.28205128206</v>
      </c>
      <c r="M30" s="2">
        <f>'[25]Monthly Billing'!R6</f>
        <v>339294.87179487181</v>
      </c>
      <c r="N30" s="2">
        <f>'[25]Monthly Billing'!T6</f>
        <v>280579.62</v>
      </c>
      <c r="O30" s="2">
        <f>'[25]Monthly Billing'!V6</f>
        <v>121493.45</v>
      </c>
      <c r="P30" s="2">
        <f>'[25]Monthly Billing'!X6</f>
        <v>116741.7</v>
      </c>
      <c r="Q30" s="2">
        <f>'[25]Monthly Billing'!Z6</f>
        <v>5336778.656923078</v>
      </c>
    </row>
    <row r="31" spans="2:17" ht="18" thickBot="1" x14ac:dyDescent="0.35">
      <c r="C31" s="6" t="str">
        <f>'[25]Monthly Billing'!A8</f>
        <v>Total Purchased kWh</v>
      </c>
      <c r="D31" s="6"/>
      <c r="E31" s="7">
        <f>'[25]Monthly Billing'!B8</f>
        <v>26957142.719999999</v>
      </c>
      <c r="F31" s="7">
        <f>'[25]Monthly Billing'!D8</f>
        <v>22992253.73</v>
      </c>
      <c r="G31" s="7">
        <f>'[25]Monthly Billing'!F8</f>
        <v>23997094.280000001</v>
      </c>
      <c r="H31" s="7">
        <f>'[25]Monthly Billing'!H8</f>
        <v>22173784.27</v>
      </c>
      <c r="I31" s="7">
        <f>'[25]Monthly Billing'!J8</f>
        <v>22287387.670000002</v>
      </c>
      <c r="J31" s="7">
        <f>'[25]Monthly Billing'!L8</f>
        <v>23653129.140000001</v>
      </c>
      <c r="K31" s="7">
        <f>'[25]Monthly Billing'!N8</f>
        <v>30817429.923076924</v>
      </c>
      <c r="L31" s="7">
        <f>'[25]Monthly Billing'!P8</f>
        <v>30722016.282051284</v>
      </c>
      <c r="M31" s="7">
        <f>'[25]Monthly Billing'!R8</f>
        <v>27404037.871794872</v>
      </c>
      <c r="N31" s="7">
        <f>'[25]Monthly Billing'!T8</f>
        <v>25200040.620000001</v>
      </c>
      <c r="O31" s="7">
        <f>'[25]Monthly Billing'!V8</f>
        <v>26720366.449999999</v>
      </c>
      <c r="P31" s="7">
        <f>'[25]Monthly Billing'!X8</f>
        <v>26401281.699999999</v>
      </c>
      <c r="Q31" s="7">
        <f>'[25]Monthly Billing'!Z8</f>
        <v>302672493.65692306</v>
      </c>
    </row>
    <row r="33" spans="2:17" x14ac:dyDescent="0.3">
      <c r="C33" s="54" t="s">
        <v>1</v>
      </c>
      <c r="D33" s="54"/>
      <c r="E33" s="23" t="s">
        <v>9</v>
      </c>
      <c r="F33" s="23" t="s">
        <v>10</v>
      </c>
      <c r="G33" s="23" t="s">
        <v>11</v>
      </c>
      <c r="H33" s="23" t="s">
        <v>12</v>
      </c>
      <c r="I33" s="23" t="s">
        <v>13</v>
      </c>
      <c r="J33" s="23" t="s">
        <v>14</v>
      </c>
      <c r="K33" s="23" t="s">
        <v>15</v>
      </c>
      <c r="L33" s="23" t="s">
        <v>16</v>
      </c>
      <c r="M33" s="23" t="s">
        <v>17</v>
      </c>
      <c r="N33" s="23" t="s">
        <v>18</v>
      </c>
      <c r="O33" s="23" t="s">
        <v>19</v>
      </c>
      <c r="P33" s="23" t="s">
        <v>20</v>
      </c>
      <c r="Q33" s="23" t="s">
        <v>21</v>
      </c>
    </row>
    <row r="34" spans="2:17" x14ac:dyDescent="0.3">
      <c r="C34" t="str">
        <f>'[26]Monthly Billing'!A4</f>
        <v>IESO Purchased ULkWh</v>
      </c>
      <c r="E34" s="2">
        <f>'[26]Monthly Billing'!B4</f>
        <v>123634562</v>
      </c>
      <c r="F34" s="2">
        <f>'[26]Monthly Billing'!D4</f>
        <v>106846667</v>
      </c>
      <c r="G34" s="2">
        <f>'[26]Monthly Billing'!F4</f>
        <v>114078622</v>
      </c>
      <c r="H34" s="2">
        <f>'[26]Monthly Billing'!H4</f>
        <v>107350311</v>
      </c>
      <c r="I34" s="2">
        <f>'[26]Monthly Billing'!J4</f>
        <v>110703086</v>
      </c>
      <c r="J34" s="2">
        <f>'[26]Monthly Billing'!L4</f>
        <v>115186474</v>
      </c>
      <c r="K34" s="2">
        <f>'[26]Monthly Billing'!N4</f>
        <v>130461609</v>
      </c>
      <c r="L34" s="2">
        <f>'[26]Monthly Billing'!P4</f>
        <v>131418600</v>
      </c>
      <c r="M34" s="2">
        <f>'[26]Monthly Billing'!R4</f>
        <v>115222754</v>
      </c>
      <c r="N34" s="2">
        <f>'[26]Monthly Billing'!T4</f>
        <v>110445500</v>
      </c>
      <c r="O34" s="2">
        <f>'[26]Monthly Billing'!V4</f>
        <v>113923820</v>
      </c>
      <c r="P34" s="2">
        <f>'[26]Monthly Billing'!X4</f>
        <v>113258871</v>
      </c>
      <c r="Q34" s="2">
        <f>'[26]Monthly Billing'!Z4</f>
        <v>1392530876</v>
      </c>
    </row>
    <row r="35" spans="2:17" x14ac:dyDescent="0.3">
      <c r="C35" t="str">
        <f>'[26]Monthly Billing'!A5</f>
        <v>Generation</v>
      </c>
      <c r="E35" s="2">
        <f>'[26]Monthly Billing'!B5</f>
        <v>507165</v>
      </c>
      <c r="F35" s="2">
        <f>'[26]Monthly Billing'!D5</f>
        <v>695134</v>
      </c>
      <c r="G35" s="2">
        <f>'[26]Monthly Billing'!F5</f>
        <v>1602029</v>
      </c>
      <c r="H35" s="2">
        <f>'[26]Monthly Billing'!H5</f>
        <v>1548205</v>
      </c>
      <c r="I35" s="2">
        <f>'[26]Monthly Billing'!J5</f>
        <v>2282240</v>
      </c>
      <c r="J35" s="2">
        <f>'[26]Monthly Billing'!L5</f>
        <v>2116037</v>
      </c>
      <c r="K35" s="2">
        <f>'[26]Monthly Billing'!N5</f>
        <v>2550386</v>
      </c>
      <c r="L35" s="2">
        <f>'[26]Monthly Billing'!P5</f>
        <v>2070683</v>
      </c>
      <c r="M35" s="2">
        <f>'[26]Monthly Billing'!R5</f>
        <v>1590120</v>
      </c>
      <c r="N35" s="2">
        <f>'[26]Monthly Billing'!T5</f>
        <v>1034151.0000000001</v>
      </c>
      <c r="O35" s="2">
        <f>'[26]Monthly Billing'!V5</f>
        <v>354213</v>
      </c>
      <c r="P35" s="2">
        <f>'[26]Monthly Billing'!X5</f>
        <v>461300</v>
      </c>
      <c r="Q35" s="2">
        <f>'[26]Monthly Billing'!Z5</f>
        <v>16811663</v>
      </c>
    </row>
    <row r="36" spans="2:17" ht="18" thickBot="1" x14ac:dyDescent="0.35">
      <c r="C36" s="8" t="str">
        <f>'[26]Monthly Billing'!A7</f>
        <v>Total Purchased kWh</v>
      </c>
      <c r="D36" s="8"/>
      <c r="E36" s="7">
        <f>'[26]Monthly Billing'!B7</f>
        <v>124141727</v>
      </c>
      <c r="F36" s="7">
        <f>'[26]Monthly Billing'!D7</f>
        <v>107541801</v>
      </c>
      <c r="G36" s="7">
        <f>'[26]Monthly Billing'!F7</f>
        <v>115680651</v>
      </c>
      <c r="H36" s="7">
        <f>'[26]Monthly Billing'!H7</f>
        <v>108898516</v>
      </c>
      <c r="I36" s="7">
        <f>'[26]Monthly Billing'!J7</f>
        <v>112985326</v>
      </c>
      <c r="J36" s="7">
        <f>'[26]Monthly Billing'!L7</f>
        <v>117302511</v>
      </c>
      <c r="K36" s="7">
        <f>'[26]Monthly Billing'!N7</f>
        <v>133011995</v>
      </c>
      <c r="L36" s="7">
        <f>'[26]Monthly Billing'!P7</f>
        <v>133489283</v>
      </c>
      <c r="M36" s="7">
        <f>'[26]Monthly Billing'!R7</f>
        <v>116812874</v>
      </c>
      <c r="N36" s="7">
        <f>'[26]Monthly Billing'!T7</f>
        <v>111479651</v>
      </c>
      <c r="O36" s="7">
        <f>'[26]Monthly Billing'!V7</f>
        <v>114278033</v>
      </c>
      <c r="P36" s="7">
        <f>'[26]Monthly Billing'!X7</f>
        <v>113720171</v>
      </c>
      <c r="Q36" s="7">
        <f>'[26]Monthly Billing'!Z7</f>
        <v>1409342539</v>
      </c>
    </row>
    <row r="38" spans="2:17" x14ac:dyDescent="0.3">
      <c r="C38" s="70"/>
      <c r="D38" s="70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</row>
    <row r="39" spans="2:17" x14ac:dyDescent="0.3">
      <c r="B39" s="67" t="s">
        <v>3</v>
      </c>
      <c r="C39" s="4"/>
      <c r="D39" s="4"/>
    </row>
    <row r="40" spans="2:17" x14ac:dyDescent="0.3">
      <c r="B40" s="67"/>
      <c r="C40" s="4"/>
      <c r="D40" s="4"/>
    </row>
    <row r="41" spans="2:17" x14ac:dyDescent="0.3">
      <c r="C41" s="5" t="s">
        <v>34</v>
      </c>
      <c r="D41" s="5"/>
      <c r="E41" s="15" t="s">
        <v>33</v>
      </c>
    </row>
    <row r="42" spans="2:17" x14ac:dyDescent="0.3">
      <c r="C42" s="5"/>
      <c r="D42" s="5"/>
      <c r="E42" s="15"/>
    </row>
    <row r="43" spans="2:17" x14ac:dyDescent="0.3">
      <c r="C43" s="54" t="s">
        <v>0</v>
      </c>
      <c r="D43" s="54"/>
      <c r="E43" s="23" t="s">
        <v>9</v>
      </c>
      <c r="F43" s="23" t="s">
        <v>10</v>
      </c>
      <c r="G43" s="23" t="s">
        <v>11</v>
      </c>
      <c r="H43" s="23" t="s">
        <v>12</v>
      </c>
      <c r="I43" s="23" t="s">
        <v>13</v>
      </c>
      <c r="J43" s="23" t="s">
        <v>14</v>
      </c>
      <c r="K43" s="23" t="s">
        <v>15</v>
      </c>
      <c r="L43" s="23" t="s">
        <v>16</v>
      </c>
      <c r="M43" s="23" t="s">
        <v>17</v>
      </c>
      <c r="N43" s="23" t="s">
        <v>18</v>
      </c>
      <c r="O43" s="23" t="s">
        <v>19</v>
      </c>
      <c r="P43" s="23" t="s">
        <v>20</v>
      </c>
      <c r="Q43" s="23" t="s">
        <v>21</v>
      </c>
    </row>
    <row r="44" spans="2:17" x14ac:dyDescent="0.3">
      <c r="C44" t="s">
        <v>30</v>
      </c>
      <c r="E44" s="2">
        <f>[27]BCP!F172</f>
        <v>687587.6</v>
      </c>
      <c r="F44" s="2">
        <f>[27]BCP!G172</f>
        <v>650099.65</v>
      </c>
      <c r="G44" s="2">
        <f>[27]BCP!H172</f>
        <v>799930</v>
      </c>
      <c r="H44" s="2">
        <f>[27]BCP!I172</f>
        <v>767089.13</v>
      </c>
      <c r="I44" s="2">
        <f>[27]BCP!J172</f>
        <v>825828.79</v>
      </c>
      <c r="J44" s="2">
        <f>[27]BCP!K172</f>
        <v>816458.98</v>
      </c>
      <c r="K44" s="2">
        <f>[27]BCP!L172</f>
        <v>3114587.12</v>
      </c>
      <c r="L44" s="2">
        <f>[27]BCP!M172</f>
        <v>3143664.9</v>
      </c>
      <c r="M44" s="2">
        <f>[27]BCP!N172</f>
        <v>2905294.1900000004</v>
      </c>
      <c r="N44" s="2">
        <f>[27]BCP!O172</f>
        <v>2918290.39</v>
      </c>
      <c r="O44" s="2">
        <f>[27]BCP!P172</f>
        <v>2780192.98</v>
      </c>
      <c r="P44" s="2">
        <f>[27]BCP!Q172</f>
        <v>2204395.3200000003</v>
      </c>
      <c r="Q44" s="2">
        <f>SUM(E44:P44)</f>
        <v>21613419.050000001</v>
      </c>
    </row>
    <row r="45" spans="2:17" x14ac:dyDescent="0.3">
      <c r="C45" t="s">
        <v>31</v>
      </c>
      <c r="E45" s="2">
        <f>[27]BCP!F170</f>
        <v>13868081.140191851</v>
      </c>
      <c r="F45" s="2">
        <f>[27]BCP!G170</f>
        <v>12579780.241999863</v>
      </c>
      <c r="G45" s="2">
        <f>[27]BCP!H170</f>
        <v>13042246.502297215</v>
      </c>
      <c r="H45" s="2">
        <f>[27]BCP!I170</f>
        <v>12448309.578029867</v>
      </c>
      <c r="I45" s="2">
        <f>[27]BCP!J170</f>
        <v>12540324.037721703</v>
      </c>
      <c r="J45" s="2">
        <f>[27]BCP!K170</f>
        <v>12666305.669896228</v>
      </c>
      <c r="K45" s="2">
        <f>[27]BCP!L170</f>
        <v>12898326.254995357</v>
      </c>
      <c r="L45" s="2">
        <f>[27]BCP!M170</f>
        <v>14761541.824039349</v>
      </c>
      <c r="M45" s="2">
        <f>[27]BCP!N170</f>
        <v>13903919.146386949</v>
      </c>
      <c r="N45" s="2">
        <f>[27]BCP!O170</f>
        <v>13963438.657940388</v>
      </c>
      <c r="O45" s="2">
        <f>[27]BCP!P170</f>
        <v>13884715.653470377</v>
      </c>
      <c r="P45" s="2">
        <f>[27]BCP!Q170</f>
        <v>13012908.178058915</v>
      </c>
      <c r="Q45" s="2">
        <f t="shared" ref="Q45:Q50" si="2">SUM(E45:P45)</f>
        <v>159569896.88502806</v>
      </c>
    </row>
    <row r="46" spans="2:17" x14ac:dyDescent="0.3">
      <c r="C46" t="s">
        <v>44</v>
      </c>
      <c r="E46" s="2">
        <f>[27]BCP!F163</f>
        <v>162901.3537078888</v>
      </c>
      <c r="F46" s="2">
        <f>[27]BCP!G163</f>
        <v>149520.97633761706</v>
      </c>
      <c r="G46" s="2">
        <f>[27]BCP!H163</f>
        <v>144758.8478847674</v>
      </c>
      <c r="H46" s="2">
        <f>[27]BCP!I163</f>
        <v>132618.83218379904</v>
      </c>
      <c r="I46" s="2">
        <f>[27]BCP!J163</f>
        <v>100402.7193764156</v>
      </c>
      <c r="J46" s="2">
        <f>[27]BCP!K163</f>
        <v>97847.64981903632</v>
      </c>
      <c r="K46" s="2">
        <f>[27]BCP!L163</f>
        <v>106893.96733346276</v>
      </c>
      <c r="L46" s="2">
        <f>[27]BCP!M163</f>
        <v>102882.99291395632</v>
      </c>
      <c r="M46" s="2">
        <f>[27]BCP!N163</f>
        <v>101320.09344603284</v>
      </c>
      <c r="N46" s="2">
        <f>[27]BCP!O163</f>
        <v>112598.56530153862</v>
      </c>
      <c r="O46" s="2">
        <f>[27]BCP!P163</f>
        <v>142112.7498970021</v>
      </c>
      <c r="P46" s="2">
        <f>[27]BCP!Q163</f>
        <v>227270.06332210489</v>
      </c>
      <c r="Q46" s="2">
        <f t="shared" si="2"/>
        <v>1581128.8115236219</v>
      </c>
    </row>
    <row r="47" spans="2:17" x14ac:dyDescent="0.3">
      <c r="C47" t="s">
        <v>45</v>
      </c>
      <c r="E47" s="2">
        <f>[27]BCP!F164</f>
        <v>305171.06999999995</v>
      </c>
      <c r="F47" s="2">
        <f>[27]BCP!G164</f>
        <v>280798.05999999994</v>
      </c>
      <c r="G47" s="2">
        <f>[27]BCP!H164</f>
        <v>288343.24000000005</v>
      </c>
      <c r="H47" s="2">
        <f>[27]BCP!I164</f>
        <v>308430.25</v>
      </c>
      <c r="I47" s="2">
        <f>[27]BCP!J164</f>
        <v>314365.26999999996</v>
      </c>
      <c r="J47" s="2">
        <f>[27]BCP!K164</f>
        <v>302641.37999999995</v>
      </c>
      <c r="K47" s="2">
        <f>[27]BCP!L164</f>
        <v>371587.81909090903</v>
      </c>
      <c r="L47" s="2">
        <f>[27]BCP!M164</f>
        <v>332739.33090909093</v>
      </c>
      <c r="M47" s="2">
        <f>[27]BCP!N164</f>
        <v>311558.31</v>
      </c>
      <c r="N47" s="2">
        <f>[27]BCP!O164</f>
        <v>372609.00999999995</v>
      </c>
      <c r="O47" s="2">
        <f>[27]BCP!P164</f>
        <v>386483.03810714278</v>
      </c>
      <c r="P47" s="2">
        <f>[27]BCP!Q164</f>
        <v>300285.52189285716</v>
      </c>
      <c r="Q47" s="2">
        <f t="shared" si="2"/>
        <v>3875012.3</v>
      </c>
    </row>
    <row r="48" spans="2:17" x14ac:dyDescent="0.3">
      <c r="C48" t="s">
        <v>46</v>
      </c>
      <c r="E48" s="2">
        <f>[27]BCP!F167</f>
        <v>2056195.7201109193</v>
      </c>
      <c r="F48" s="2">
        <f>[27]BCP!G167</f>
        <v>1732328.5898770657</v>
      </c>
      <c r="G48" s="2">
        <f>[27]BCP!H167</f>
        <v>1770709.0521418981</v>
      </c>
      <c r="H48" s="2">
        <f>[27]BCP!I167</f>
        <v>1613896.5434660593</v>
      </c>
      <c r="I48" s="2">
        <f>[27]BCP!J167</f>
        <v>1647657.7654491139</v>
      </c>
      <c r="J48" s="2">
        <f>[27]BCP!K167</f>
        <v>1998963.7263324081</v>
      </c>
      <c r="K48" s="2">
        <f>[27]BCP!L167</f>
        <v>2469378.469996043</v>
      </c>
      <c r="L48" s="2">
        <f>[27]BCP!M167</f>
        <v>2404178.6112931208</v>
      </c>
      <c r="M48" s="2">
        <f>[27]BCP!N167</f>
        <v>1974515.082015703</v>
      </c>
      <c r="N48" s="2">
        <f>[27]BCP!O167</f>
        <v>1649083.8073481908</v>
      </c>
      <c r="O48" s="2">
        <f>[27]BCP!P167</f>
        <v>1861986.0028091334</v>
      </c>
      <c r="P48" s="2">
        <f>[27]BCP!Q167</f>
        <v>1919119.831506423</v>
      </c>
      <c r="Q48" s="2">
        <f t="shared" si="2"/>
        <v>23098013.202346079</v>
      </c>
    </row>
    <row r="49" spans="3:17" x14ac:dyDescent="0.3">
      <c r="C49" t="s">
        <v>47</v>
      </c>
      <c r="E49" s="2">
        <f>[27]BCP!F165</f>
        <v>7149140.5746995565</v>
      </c>
      <c r="F49" s="2">
        <f>[27]BCP!G165</f>
        <v>5989782.5835709907</v>
      </c>
      <c r="G49" s="2">
        <f>[27]BCP!H165</f>
        <v>6171094.5702072876</v>
      </c>
      <c r="H49" s="2">
        <f>[27]BCP!I165</f>
        <v>5497158.5704870531</v>
      </c>
      <c r="I49" s="2">
        <f>[27]BCP!J165</f>
        <v>5395256.6000235677</v>
      </c>
      <c r="J49" s="2">
        <f>[27]BCP!K165</f>
        <v>6247061.3813993046</v>
      </c>
      <c r="K49" s="2">
        <f>[27]BCP!L165</f>
        <v>7254160.6455311365</v>
      </c>
      <c r="L49" s="2">
        <f>[27]BCP!M165</f>
        <v>7445026.7234999575</v>
      </c>
      <c r="M49" s="2">
        <f>[27]BCP!N165</f>
        <v>6254455.3332916787</v>
      </c>
      <c r="N49" s="2">
        <f>[27]BCP!O165</f>
        <v>5647468.9032232501</v>
      </c>
      <c r="O49" s="2">
        <f>[27]BCP!P165</f>
        <v>5911488.5218611117</v>
      </c>
      <c r="P49" s="2">
        <f>[27]BCP!Q165</f>
        <v>6920101.3761568265</v>
      </c>
      <c r="Q49" s="2">
        <f t="shared" si="2"/>
        <v>75882195.7839517</v>
      </c>
    </row>
    <row r="50" spans="3:17" x14ac:dyDescent="0.3">
      <c r="C50" t="s">
        <v>48</v>
      </c>
      <c r="E50" s="2">
        <f>[27]BCP!F166</f>
        <v>1916845.0351638917</v>
      </c>
      <c r="F50" s="2">
        <f>[27]BCP!G166</f>
        <v>1615222.1053725083</v>
      </c>
      <c r="G50" s="2">
        <f>[27]BCP!H166</f>
        <v>1682021.7789668741</v>
      </c>
      <c r="H50" s="2">
        <f>[27]BCP!I166</f>
        <v>1558459.1449825093</v>
      </c>
      <c r="I50" s="2">
        <f>[27]BCP!J166</f>
        <v>1599685.1959589538</v>
      </c>
      <c r="J50" s="2">
        <f>[27]BCP!K166</f>
        <v>1850997.7591086761</v>
      </c>
      <c r="K50" s="2">
        <f>[27]BCP!L166</f>
        <v>2151147.9362469385</v>
      </c>
      <c r="L50" s="2">
        <f>[27]BCP!M166</f>
        <v>2106935.6339582377</v>
      </c>
      <c r="M50" s="2">
        <f>[27]BCP!N166</f>
        <v>1847963.8054632936</v>
      </c>
      <c r="N50" s="2">
        <f>[27]BCP!O166</f>
        <v>1669168.7806698214</v>
      </c>
      <c r="O50" s="2">
        <f>[27]BCP!P166</f>
        <v>1787791.1999888236</v>
      </c>
      <c r="P50" s="2">
        <f>[27]BCP!Q166</f>
        <v>1819811.9003978868</v>
      </c>
      <c r="Q50" s="2">
        <f t="shared" si="2"/>
        <v>21606050.276278414</v>
      </c>
    </row>
    <row r="51" spans="3:17" ht="18" thickBot="1" x14ac:dyDescent="0.35">
      <c r="C51" s="8" t="s">
        <v>32</v>
      </c>
      <c r="D51" s="8"/>
      <c r="E51" s="7">
        <f>SUM(E44:E50)</f>
        <v>26145922.493874107</v>
      </c>
      <c r="F51" s="7">
        <f t="shared" ref="F51" si="3">SUM(F44:F50)</f>
        <v>22997532.207158044</v>
      </c>
      <c r="G51" s="7">
        <f t="shared" ref="G51" si="4">SUM(G44:G50)</f>
        <v>23899103.991498042</v>
      </c>
      <c r="H51" s="7">
        <f t="shared" ref="H51" si="5">SUM(H44:H50)</f>
        <v>22325962.04914929</v>
      </c>
      <c r="I51" s="7">
        <f t="shared" ref="I51" si="6">SUM(I44:I50)</f>
        <v>22423520.378529754</v>
      </c>
      <c r="J51" s="7">
        <f t="shared" ref="J51" si="7">SUM(J44:J50)</f>
        <v>23980276.546555657</v>
      </c>
      <c r="K51" s="7">
        <f t="shared" ref="K51" si="8">SUM(K44:K50)</f>
        <v>28366082.213193849</v>
      </c>
      <c r="L51" s="7">
        <f t="shared" ref="L51" si="9">SUM(L44:L50)</f>
        <v>30296970.016613718</v>
      </c>
      <c r="M51" s="7">
        <f t="shared" ref="M51" si="10">SUM(M44:M50)</f>
        <v>27299025.960603654</v>
      </c>
      <c r="N51" s="7">
        <f t="shared" ref="N51" si="11">SUM(N44:N50)</f>
        <v>26332658.114483193</v>
      </c>
      <c r="O51" s="7">
        <f t="shared" ref="O51" si="12">SUM(O44:O50)</f>
        <v>26754770.14613359</v>
      </c>
      <c r="P51" s="7">
        <f t="shared" ref="P51" si="13">SUM(P44:P50)</f>
        <v>26403892.191335011</v>
      </c>
      <c r="Q51" s="7">
        <f t="shared" ref="Q51" si="14">SUM(Q44:Q50)</f>
        <v>307225716.30912793</v>
      </c>
    </row>
    <row r="53" spans="3:17" x14ac:dyDescent="0.3">
      <c r="C53" s="54" t="s">
        <v>1</v>
      </c>
      <c r="D53" s="54"/>
      <c r="E53" s="23" t="s">
        <v>9</v>
      </c>
      <c r="F53" s="23" t="s">
        <v>10</v>
      </c>
      <c r="G53" s="23" t="s">
        <v>11</v>
      </c>
      <c r="H53" s="23" t="s">
        <v>12</v>
      </c>
      <c r="I53" s="23" t="s">
        <v>13</v>
      </c>
      <c r="J53" s="23" t="s">
        <v>14</v>
      </c>
      <c r="K53" s="23" t="s">
        <v>15</v>
      </c>
      <c r="L53" s="23" t="s">
        <v>16</v>
      </c>
      <c r="M53" s="23" t="s">
        <v>17</v>
      </c>
      <c r="N53" s="23" t="s">
        <v>18</v>
      </c>
      <c r="O53" s="23" t="s">
        <v>19</v>
      </c>
      <c r="P53" s="23" t="s">
        <v>20</v>
      </c>
      <c r="Q53" s="23" t="s">
        <v>21</v>
      </c>
    </row>
    <row r="54" spans="3:17" x14ac:dyDescent="0.3">
      <c r="C54" t="s">
        <v>30</v>
      </c>
      <c r="E54" s="2">
        <f>[27]CND!F172</f>
        <v>23622588.340000004</v>
      </c>
      <c r="F54" s="2">
        <f>[27]CND!G172</f>
        <v>21244286.149999999</v>
      </c>
      <c r="G54" s="2">
        <f>[27]CND!H172</f>
        <v>23654049.280000001</v>
      </c>
      <c r="H54" s="2">
        <f>[27]CND!I172</f>
        <v>22981834.260000005</v>
      </c>
      <c r="I54" s="2">
        <f>[27]CND!J172</f>
        <v>25099632.849999994</v>
      </c>
      <c r="J54" s="2">
        <f>[27]CND!K172</f>
        <v>24714480.27</v>
      </c>
      <c r="K54" s="2">
        <f>[27]CND!L172</f>
        <v>27331584.530000001</v>
      </c>
      <c r="L54" s="2">
        <f>[27]CND!M172</f>
        <v>29225085.989999995</v>
      </c>
      <c r="M54" s="2">
        <f>[27]CND!N172</f>
        <v>26295079.689999998</v>
      </c>
      <c r="N54" s="2">
        <f>[27]CND!O172</f>
        <v>26500751.139999993</v>
      </c>
      <c r="O54" s="2">
        <f>[27]CND!P172</f>
        <v>25344086.800000001</v>
      </c>
      <c r="P54" s="2">
        <f>[27]CND!Q172</f>
        <v>22473048.259999998</v>
      </c>
      <c r="Q54" s="2">
        <f>SUM(E54:P54)</f>
        <v>298486507.56</v>
      </c>
    </row>
    <row r="55" spans="3:17" x14ac:dyDescent="0.3">
      <c r="C55" t="s">
        <v>31</v>
      </c>
      <c r="E55" s="2">
        <f>[27]CND!F170</f>
        <v>43919886.807762392</v>
      </c>
      <c r="F55" s="2">
        <f>[27]CND!G170</f>
        <v>39499485.649350792</v>
      </c>
      <c r="G55" s="2">
        <f>[27]CND!H170</f>
        <v>42270310.928854339</v>
      </c>
      <c r="H55" s="2">
        <f>[27]CND!I170</f>
        <v>42109319.938643366</v>
      </c>
      <c r="I55" s="2">
        <f>[27]CND!J170</f>
        <v>42619390.875073649</v>
      </c>
      <c r="J55" s="2">
        <f>[27]CND!K170</f>
        <v>42741163.493356958</v>
      </c>
      <c r="K55" s="2">
        <f>[27]CND!L170</f>
        <v>44832489.911432788</v>
      </c>
      <c r="L55" s="2">
        <f>[27]CND!M170</f>
        <v>43632588.18715851</v>
      </c>
      <c r="M55" s="2">
        <f>[27]CND!N170</f>
        <v>40714937.83974009</v>
      </c>
      <c r="N55" s="2">
        <f>[27]CND!O170</f>
        <v>41581674.004186049</v>
      </c>
      <c r="O55" s="2">
        <f>[27]CND!P170</f>
        <v>40818017.369882829</v>
      </c>
      <c r="P55" s="2">
        <f>[27]CND!Q170</f>
        <v>39270366.946819223</v>
      </c>
      <c r="Q55" s="2">
        <f t="shared" ref="Q55:Q60" si="15">SUM(E55:P55)</f>
        <v>504009631.95226103</v>
      </c>
    </row>
    <row r="56" spans="3:17" x14ac:dyDescent="0.3">
      <c r="C56" t="s">
        <v>44</v>
      </c>
      <c r="E56" s="2">
        <f>[27]CND!F163</f>
        <v>3004847.8600000017</v>
      </c>
      <c r="F56" s="2">
        <f>[27]CND!G163</f>
        <v>2663362.4129729737</v>
      </c>
      <c r="G56" s="2">
        <f>[27]CND!H163</f>
        <v>2445947.1253786762</v>
      </c>
      <c r="H56" s="2">
        <f>[27]CND!I163</f>
        <v>2741263.4916483532</v>
      </c>
      <c r="I56" s="2">
        <f>[27]CND!J163</f>
        <v>1866792.1504524895</v>
      </c>
      <c r="J56" s="2">
        <f>[27]CND!K163</f>
        <v>2133528.8094323357</v>
      </c>
      <c r="K56" s="2">
        <f>[27]CND!L163</f>
        <v>2271325.820115177</v>
      </c>
      <c r="L56" s="2">
        <f>[27]CND!M163</f>
        <v>2119141.5893492126</v>
      </c>
      <c r="M56" s="2">
        <f>[27]CND!N163</f>
        <v>1984106.31497419</v>
      </c>
      <c r="N56" s="2">
        <f>[27]CND!O163</f>
        <v>2055697.4165906152</v>
      </c>
      <c r="O56" s="2">
        <f>[27]CND!P163</f>
        <v>2630420.3519956968</v>
      </c>
      <c r="P56" s="2">
        <f>[27]CND!Q163</f>
        <v>2905746.0045154626</v>
      </c>
      <c r="Q56" s="2">
        <f t="shared" si="15"/>
        <v>28822179.347425181</v>
      </c>
    </row>
    <row r="57" spans="3:17" x14ac:dyDescent="0.3">
      <c r="C57" t="s">
        <v>45</v>
      </c>
      <c r="E57" s="2">
        <f>[27]CND!F164</f>
        <v>1948277.4829341774</v>
      </c>
      <c r="F57" s="2">
        <f>[27]CND!G164</f>
        <v>1625225.4228090711</v>
      </c>
      <c r="G57" s="2">
        <f>[27]CND!H164</f>
        <v>1523549.6187644782</v>
      </c>
      <c r="H57" s="2">
        <f>[27]CND!I164</f>
        <v>1758545.7028571428</v>
      </c>
      <c r="I57" s="2">
        <f>[27]CND!J164</f>
        <v>1590768.399208145</v>
      </c>
      <c r="J57" s="2">
        <f>[27]CND!K164</f>
        <v>1648853.1236503616</v>
      </c>
      <c r="K57" s="2">
        <f>[27]CND!L164</f>
        <v>2305063.957641494</v>
      </c>
      <c r="L57" s="2">
        <f>[27]CND!M164</f>
        <v>1896993.4148130931</v>
      </c>
      <c r="M57" s="2">
        <f>[27]CND!N164</f>
        <v>1637638.4254301509</v>
      </c>
      <c r="N57" s="2">
        <f>[27]CND!O164</f>
        <v>1899697.0443114159</v>
      </c>
      <c r="O57" s="2">
        <f>[27]CND!P164</f>
        <v>1619496.7371401971</v>
      </c>
      <c r="P57" s="2">
        <f>[27]CND!Q164</f>
        <v>1774855.209123844</v>
      </c>
      <c r="Q57" s="2">
        <f t="shared" si="15"/>
        <v>21228964.538683571</v>
      </c>
    </row>
    <row r="58" spans="3:17" x14ac:dyDescent="0.3">
      <c r="C58" t="s">
        <v>46</v>
      </c>
      <c r="E58" s="2">
        <f>[27]CND!F167</f>
        <v>9358176.9841570966</v>
      </c>
      <c r="F58" s="2">
        <f>[27]CND!G167</f>
        <v>7953784.4628512589</v>
      </c>
      <c r="G58" s="2">
        <f>[27]CND!H167</f>
        <v>8160689.3004935998</v>
      </c>
      <c r="H58" s="2">
        <f>[27]CND!I167</f>
        <v>7462438.3483661357</v>
      </c>
      <c r="I58" s="2">
        <f>[27]CND!J167</f>
        <v>8282019.0678229984</v>
      </c>
      <c r="J58" s="2">
        <f>[27]CND!K167</f>
        <v>9698777.7821637914</v>
      </c>
      <c r="K58" s="2">
        <f>[27]CND!L167</f>
        <v>11745631.871909078</v>
      </c>
      <c r="L58" s="2">
        <f>[27]CND!M167</f>
        <v>11428710.766970184</v>
      </c>
      <c r="M58" s="2">
        <f>[27]CND!N167</f>
        <v>8868141.5488136765</v>
      </c>
      <c r="N58" s="2">
        <f>[27]CND!O167</f>
        <v>7887260.8010254595</v>
      </c>
      <c r="O58" s="2">
        <f>[27]CND!P167</f>
        <v>8519090.28117631</v>
      </c>
      <c r="P58" s="2">
        <f>[27]CND!Q167</f>
        <v>8477822.0365938842</v>
      </c>
      <c r="Q58" s="2">
        <f t="shared" si="15"/>
        <v>107842543.25234348</v>
      </c>
    </row>
    <row r="59" spans="3:17" x14ac:dyDescent="0.3">
      <c r="C59" t="s">
        <v>47</v>
      </c>
      <c r="E59" s="2">
        <f>[27]CND!F165</f>
        <v>32798207.057844855</v>
      </c>
      <c r="F59" s="2">
        <f>[27]CND!G165</f>
        <v>27243010.403334428</v>
      </c>
      <c r="G59" s="2">
        <f>[27]CND!H165</f>
        <v>28835534.014905646</v>
      </c>
      <c r="H59" s="2">
        <f>[27]CND!I165</f>
        <v>25536109.912019551</v>
      </c>
      <c r="I59" s="2">
        <f>[27]CND!J165</f>
        <v>25789926.737985648</v>
      </c>
      <c r="J59" s="2">
        <f>[27]CND!K165</f>
        <v>30309300.983699147</v>
      </c>
      <c r="K59" s="2">
        <f>[27]CND!L165</f>
        <v>34621225.141552188</v>
      </c>
      <c r="L59" s="2">
        <f>[27]CND!M165</f>
        <v>34055161.514103562</v>
      </c>
      <c r="M59" s="2">
        <f>[27]CND!N165</f>
        <v>28489780.455337755</v>
      </c>
      <c r="N59" s="2">
        <f>[27]CND!O165</f>
        <v>25838849.404559791</v>
      </c>
      <c r="O59" s="2">
        <f>[27]CND!P165</f>
        <v>27092971.635424636</v>
      </c>
      <c r="P59" s="2">
        <f>[27]CND!Q165</f>
        <v>31729095.540538564</v>
      </c>
      <c r="Q59" s="2">
        <f t="shared" si="15"/>
        <v>352339172.80130577</v>
      </c>
    </row>
    <row r="60" spans="3:17" x14ac:dyDescent="0.3">
      <c r="C60" t="s">
        <v>48</v>
      </c>
      <c r="E60" s="2">
        <f>[27]CND!F166</f>
        <v>9019442.6623892542</v>
      </c>
      <c r="F60" s="2">
        <f>[27]CND!G166</f>
        <v>7624894.1186782401</v>
      </c>
      <c r="G60" s="2">
        <f>[27]CND!H166</f>
        <v>8000958.8118998697</v>
      </c>
      <c r="H60" s="2">
        <f>[27]CND!I166</f>
        <v>7497881.3586595198</v>
      </c>
      <c r="I60" s="2">
        <f>[27]CND!J166</f>
        <v>7726166.0786520522</v>
      </c>
      <c r="J60" s="2">
        <f>[27]CND!K166</f>
        <v>8777553.1269803997</v>
      </c>
      <c r="K60" s="2">
        <f>[27]CND!L166</f>
        <v>10129529.593236521</v>
      </c>
      <c r="L60" s="2">
        <f>[27]CND!M166</f>
        <v>9869350.5857347157</v>
      </c>
      <c r="M60" s="2">
        <f>[27]CND!N166</f>
        <v>8121384.8381450903</v>
      </c>
      <c r="N60" s="2">
        <f>[27]CND!O166</f>
        <v>7714329.5456528654</v>
      </c>
      <c r="O60" s="2">
        <f>[27]CND!P166</f>
        <v>8419792.0564129781</v>
      </c>
      <c r="P60" s="2">
        <f>[27]CND!Q166</f>
        <v>8219866.4525672197</v>
      </c>
      <c r="Q60" s="2">
        <f t="shared" si="15"/>
        <v>101121149.22900873</v>
      </c>
    </row>
    <row r="61" spans="3:17" ht="18" thickBot="1" x14ac:dyDescent="0.35">
      <c r="C61" s="8" t="s">
        <v>32</v>
      </c>
      <c r="D61" s="8"/>
      <c r="E61" s="7">
        <f>SUM(E54:E60)</f>
        <v>123671427.19508776</v>
      </c>
      <c r="F61" s="7">
        <f t="shared" ref="F61:Q61" si="16">SUM(F54:F60)</f>
        <v>107854048.61999676</v>
      </c>
      <c r="G61" s="7">
        <f t="shared" si="16"/>
        <v>114891039.08029661</v>
      </c>
      <c r="H61" s="7">
        <f t="shared" si="16"/>
        <v>110087393.01219407</v>
      </c>
      <c r="I61" s="7">
        <f t="shared" si="16"/>
        <v>112974696.15919498</v>
      </c>
      <c r="J61" s="7">
        <f t="shared" si="16"/>
        <v>120023657.58928299</v>
      </c>
      <c r="K61" s="7">
        <f t="shared" si="16"/>
        <v>133236850.82588725</v>
      </c>
      <c r="L61" s="7">
        <f t="shared" si="16"/>
        <v>132227032.04812926</v>
      </c>
      <c r="M61" s="7">
        <f t="shared" si="16"/>
        <v>116111069.11244096</v>
      </c>
      <c r="N61" s="7">
        <f t="shared" si="16"/>
        <v>113478259.35632621</v>
      </c>
      <c r="O61" s="7">
        <f t="shared" si="16"/>
        <v>114443875.23203264</v>
      </c>
      <c r="P61" s="7">
        <f t="shared" si="16"/>
        <v>114850800.45015819</v>
      </c>
      <c r="Q61" s="7">
        <f t="shared" si="16"/>
        <v>1413850148.6810277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C07C-EB3C-4A41-980D-549574CE13BC}">
  <sheetPr>
    <tabColor theme="9" tint="-0.249977111117893"/>
  </sheetPr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CEE98-163D-4AD7-BDF2-4F0FBCF80F65}">
  <sheetPr>
    <tabColor theme="9" tint="0.39997558519241921"/>
  </sheetPr>
  <dimension ref="B2:Q318"/>
  <sheetViews>
    <sheetView showGridLines="0" zoomScaleNormal="100" workbookViewId="0">
      <selection activeCell="B313" sqref="B313"/>
    </sheetView>
  </sheetViews>
  <sheetFormatPr defaultRowHeight="13.2" x14ac:dyDescent="0.25"/>
  <cols>
    <col min="1" max="1" width="3.21875" style="13" customWidth="1"/>
    <col min="2" max="2" width="42.21875" style="13" customWidth="1"/>
    <col min="3" max="3" width="11.44140625" style="1" bestFit="1" customWidth="1"/>
    <col min="4" max="14" width="10.77734375" style="1" bestFit="1" customWidth="1"/>
    <col min="15" max="15" width="11" style="13" customWidth="1"/>
    <col min="16" max="17" width="15.44140625" style="13" customWidth="1"/>
    <col min="18" max="16384" width="8.88671875" style="13"/>
  </cols>
  <sheetData>
    <row r="2" spans="2:14" ht="15.6" x14ac:dyDescent="0.3">
      <c r="B2" s="17" t="s">
        <v>4</v>
      </c>
    </row>
    <row r="4" spans="2:14" x14ac:dyDescent="0.25">
      <c r="B4" s="26" t="s">
        <v>6</v>
      </c>
      <c r="C4" s="27" t="s">
        <v>9</v>
      </c>
      <c r="D4" s="27" t="s">
        <v>10</v>
      </c>
      <c r="E4" s="27" t="s">
        <v>11</v>
      </c>
      <c r="F4" s="27" t="s">
        <v>12</v>
      </c>
      <c r="G4" s="27" t="s">
        <v>13</v>
      </c>
      <c r="H4" s="27" t="s">
        <v>14</v>
      </c>
      <c r="I4" s="27" t="s">
        <v>15</v>
      </c>
      <c r="J4" s="27" t="s">
        <v>16</v>
      </c>
      <c r="K4" s="27" t="s">
        <v>17</v>
      </c>
      <c r="L4" s="27" t="s">
        <v>18</v>
      </c>
      <c r="M4" s="27" t="s">
        <v>19</v>
      </c>
      <c r="N4" s="27" t="s">
        <v>20</v>
      </c>
    </row>
    <row r="5" spans="2:14" ht="13.8" x14ac:dyDescent="0.25">
      <c r="B5" s="28" t="s">
        <v>69</v>
      </c>
      <c r="C5" s="29">
        <f>'Consumption and Rates'!E34</f>
        <v>123634562</v>
      </c>
      <c r="D5" s="29">
        <f>'Consumption and Rates'!F34</f>
        <v>106846667</v>
      </c>
      <c r="E5" s="29">
        <f>'Consumption and Rates'!G34</f>
        <v>114078622</v>
      </c>
      <c r="F5" s="29">
        <f>'Consumption and Rates'!H34</f>
        <v>107350311</v>
      </c>
      <c r="G5" s="29">
        <f>'Consumption and Rates'!I34</f>
        <v>110703086</v>
      </c>
      <c r="H5" s="29">
        <f>'Consumption and Rates'!J34</f>
        <v>115186474</v>
      </c>
      <c r="I5" s="29">
        <f>'Consumption and Rates'!K34</f>
        <v>130461609</v>
      </c>
      <c r="J5" s="29">
        <f>'Consumption and Rates'!L34</f>
        <v>131418600</v>
      </c>
      <c r="K5" s="29">
        <f>'Consumption and Rates'!M34</f>
        <v>115222754</v>
      </c>
      <c r="L5" s="29">
        <f>'Consumption and Rates'!N34</f>
        <v>110445500</v>
      </c>
      <c r="M5" s="29">
        <f>'Consumption and Rates'!O34</f>
        <v>113923820</v>
      </c>
      <c r="N5" s="29">
        <f>'Consumption and Rates'!P34</f>
        <v>113258871</v>
      </c>
    </row>
    <row r="6" spans="2:14" ht="13.8" x14ac:dyDescent="0.25">
      <c r="B6" s="28" t="s">
        <v>70</v>
      </c>
      <c r="C6" s="29">
        <f>'Consumption and Rates'!E35</f>
        <v>507165</v>
      </c>
      <c r="D6" s="29">
        <f>'Consumption and Rates'!F35</f>
        <v>695134</v>
      </c>
      <c r="E6" s="29">
        <f>'Consumption and Rates'!G35</f>
        <v>1602029</v>
      </c>
      <c r="F6" s="29">
        <f>'Consumption and Rates'!H35</f>
        <v>1548205</v>
      </c>
      <c r="G6" s="29">
        <f>'Consumption and Rates'!I35</f>
        <v>2282240</v>
      </c>
      <c r="H6" s="29">
        <f>'Consumption and Rates'!J35</f>
        <v>2116037</v>
      </c>
      <c r="I6" s="29">
        <f>'Consumption and Rates'!K35</f>
        <v>2550386</v>
      </c>
      <c r="J6" s="29">
        <f>'Consumption and Rates'!L35</f>
        <v>2070683</v>
      </c>
      <c r="K6" s="29">
        <f>'Consumption and Rates'!M35</f>
        <v>1590120</v>
      </c>
      <c r="L6" s="29">
        <f>'Consumption and Rates'!N35</f>
        <v>1034151.0000000001</v>
      </c>
      <c r="M6" s="29">
        <f>'Consumption and Rates'!O35</f>
        <v>354213</v>
      </c>
      <c r="N6" s="29">
        <f>'Consumption and Rates'!P35</f>
        <v>461300</v>
      </c>
    </row>
    <row r="7" spans="2:14" x14ac:dyDescent="0.25">
      <c r="B7" s="28" t="s">
        <v>8</v>
      </c>
      <c r="C7" s="29">
        <f>-'Consumption and Rates'!E54</f>
        <v>-23622588.340000004</v>
      </c>
      <c r="D7" s="29">
        <f>-'Consumption and Rates'!F54</f>
        <v>-21244286.149999999</v>
      </c>
      <c r="E7" s="29">
        <f>-'Consumption and Rates'!G54</f>
        <v>-23654049.280000001</v>
      </c>
      <c r="F7" s="29">
        <f>-'Consumption and Rates'!H54</f>
        <v>-22981834.260000005</v>
      </c>
      <c r="G7" s="29">
        <f>-'Consumption and Rates'!I54</f>
        <v>-25099632.849999994</v>
      </c>
      <c r="H7" s="29">
        <f>-'Consumption and Rates'!J54</f>
        <v>-24714480.27</v>
      </c>
      <c r="I7" s="29">
        <f>-'Consumption and Rates'!K54</f>
        <v>-27331584.530000001</v>
      </c>
      <c r="J7" s="29">
        <f>-'Consumption and Rates'!L54</f>
        <v>-29225085.989999995</v>
      </c>
      <c r="K7" s="29">
        <f>-'Consumption and Rates'!M54</f>
        <v>-26295079.689999998</v>
      </c>
      <c r="L7" s="29">
        <f>-'Consumption and Rates'!N54</f>
        <v>-26500751.139999993</v>
      </c>
      <c r="M7" s="29">
        <f>-'Consumption and Rates'!O54</f>
        <v>-25344086.800000001</v>
      </c>
      <c r="N7" s="29">
        <f>-'Consumption and Rates'!P54</f>
        <v>-22473048.259999998</v>
      </c>
    </row>
    <row r="8" spans="2:14" x14ac:dyDescent="0.25">
      <c r="B8" s="30"/>
      <c r="C8" s="31">
        <f>+C5+C6+C7</f>
        <v>100519138.66</v>
      </c>
      <c r="D8" s="31">
        <f t="shared" ref="D8:N8" si="0">+D5+D6+D7</f>
        <v>86297514.849999994</v>
      </c>
      <c r="E8" s="31">
        <f t="shared" si="0"/>
        <v>92026601.719999999</v>
      </c>
      <c r="F8" s="31">
        <f t="shared" si="0"/>
        <v>85916681.739999995</v>
      </c>
      <c r="G8" s="31">
        <f t="shared" si="0"/>
        <v>87885693.150000006</v>
      </c>
      <c r="H8" s="31">
        <f t="shared" si="0"/>
        <v>92588030.730000004</v>
      </c>
      <c r="I8" s="31">
        <f t="shared" si="0"/>
        <v>105680410.47</v>
      </c>
      <c r="J8" s="31">
        <f t="shared" si="0"/>
        <v>104264197.01000001</v>
      </c>
      <c r="K8" s="31">
        <f t="shared" si="0"/>
        <v>90517794.310000002</v>
      </c>
      <c r="L8" s="31">
        <f t="shared" si="0"/>
        <v>84978899.860000014</v>
      </c>
      <c r="M8" s="31">
        <f t="shared" si="0"/>
        <v>88933946.200000003</v>
      </c>
      <c r="N8" s="31">
        <f t="shared" si="0"/>
        <v>91247122.74000001</v>
      </c>
    </row>
    <row r="9" spans="2:14" x14ac:dyDescent="0.25">
      <c r="B9" s="28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5">
      <c r="B10" s="28" t="s">
        <v>22</v>
      </c>
      <c r="C10" s="32">
        <f t="shared" ref="C10:N10" si="1">C24*C8</f>
        <v>56392797.54018531</v>
      </c>
      <c r="D10" s="32">
        <f t="shared" si="1"/>
        <v>46940433.706023283</v>
      </c>
      <c r="E10" s="32">
        <f t="shared" si="1"/>
        <v>49390461.740537472</v>
      </c>
      <c r="F10" s="32">
        <f t="shared" si="1"/>
        <v>44382098.97302901</v>
      </c>
      <c r="G10" s="32">
        <f t="shared" si="1"/>
        <v>45261146.803929821</v>
      </c>
      <c r="H10" s="32">
        <f t="shared" si="1"/>
        <v>51067158.655929103</v>
      </c>
      <c r="I10" s="32">
        <f t="shared" si="1"/>
        <v>60943107.954795949</v>
      </c>
      <c r="J10" s="32">
        <f t="shared" si="1"/>
        <v>60096907.508162037</v>
      </c>
      <c r="K10" s="32">
        <f t="shared" si="1"/>
        <v>49484717.767381549</v>
      </c>
      <c r="L10" s="32">
        <f t="shared" si="1"/>
        <v>44352708.288445875</v>
      </c>
      <c r="M10" s="32">
        <f t="shared" si="1"/>
        <v>48191903.770427302</v>
      </c>
      <c r="N10" s="32">
        <f t="shared" si="1"/>
        <v>52457393.526140511</v>
      </c>
    </row>
    <row r="11" spans="2:14" x14ac:dyDescent="0.25">
      <c r="B11" s="28" t="s">
        <v>23</v>
      </c>
      <c r="C11" s="32">
        <f t="shared" ref="C11:N11" si="2">C25*C8</f>
        <v>44126341.119814686</v>
      </c>
      <c r="D11" s="32">
        <f t="shared" si="2"/>
        <v>39357081.143976711</v>
      </c>
      <c r="E11" s="32">
        <f t="shared" si="2"/>
        <v>42636139.979462527</v>
      </c>
      <c r="F11" s="32">
        <f t="shared" si="2"/>
        <v>41534582.766970985</v>
      </c>
      <c r="G11" s="32">
        <f t="shared" si="2"/>
        <v>42624546.346070185</v>
      </c>
      <c r="H11" s="32">
        <f t="shared" si="2"/>
        <v>41520872.074070901</v>
      </c>
      <c r="I11" s="32">
        <f t="shared" si="2"/>
        <v>44737302.51520405</v>
      </c>
      <c r="J11" s="32">
        <f t="shared" si="2"/>
        <v>44167289.501837969</v>
      </c>
      <c r="K11" s="32">
        <f t="shared" si="2"/>
        <v>41033076.542618454</v>
      </c>
      <c r="L11" s="32">
        <f t="shared" si="2"/>
        <v>40626191.571554139</v>
      </c>
      <c r="M11" s="32">
        <f t="shared" si="2"/>
        <v>40742042.429572701</v>
      </c>
      <c r="N11" s="32">
        <f t="shared" si="2"/>
        <v>38789729.213859499</v>
      </c>
    </row>
    <row r="12" spans="2:14" x14ac:dyDescent="0.25">
      <c r="B12" s="30" t="s">
        <v>24</v>
      </c>
      <c r="C12" s="33">
        <f>SUM(C10:C11)</f>
        <v>100519138.66</v>
      </c>
      <c r="D12" s="33">
        <f t="shared" ref="D12:N12" si="3">SUM(D10:D11)</f>
        <v>86297514.849999994</v>
      </c>
      <c r="E12" s="33">
        <f t="shared" si="3"/>
        <v>92026601.719999999</v>
      </c>
      <c r="F12" s="33">
        <f t="shared" si="3"/>
        <v>85916681.739999995</v>
      </c>
      <c r="G12" s="33">
        <f t="shared" si="3"/>
        <v>87885693.150000006</v>
      </c>
      <c r="H12" s="33">
        <f t="shared" si="3"/>
        <v>92588030.730000004</v>
      </c>
      <c r="I12" s="33">
        <f t="shared" si="3"/>
        <v>105680410.47</v>
      </c>
      <c r="J12" s="33">
        <f t="shared" si="3"/>
        <v>104264197.01000001</v>
      </c>
      <c r="K12" s="33">
        <f t="shared" si="3"/>
        <v>90517794.310000002</v>
      </c>
      <c r="L12" s="33">
        <f t="shared" si="3"/>
        <v>84978899.860000014</v>
      </c>
      <c r="M12" s="33">
        <f t="shared" si="3"/>
        <v>88933946.200000003</v>
      </c>
      <c r="N12" s="33">
        <f t="shared" si="3"/>
        <v>91247122.74000001</v>
      </c>
    </row>
    <row r="13" spans="2:14" x14ac:dyDescent="0.25">
      <c r="B13" s="28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2:14" x14ac:dyDescent="0.25">
      <c r="B14" s="26" t="s">
        <v>7</v>
      </c>
      <c r="C14" s="27" t="s">
        <v>9</v>
      </c>
      <c r="D14" s="27" t="s">
        <v>10</v>
      </c>
      <c r="E14" s="27" t="s">
        <v>11</v>
      </c>
      <c r="F14" s="27" t="s">
        <v>12</v>
      </c>
      <c r="G14" s="27" t="s">
        <v>13</v>
      </c>
      <c r="H14" s="27" t="s">
        <v>14</v>
      </c>
      <c r="I14" s="27" t="s">
        <v>15</v>
      </c>
      <c r="J14" s="27" t="s">
        <v>16</v>
      </c>
      <c r="K14" s="27" t="s">
        <v>17</v>
      </c>
      <c r="L14" s="27" t="s">
        <v>18</v>
      </c>
      <c r="M14" s="27" t="s">
        <v>19</v>
      </c>
      <c r="N14" s="27" t="s">
        <v>20</v>
      </c>
    </row>
    <row r="15" spans="2:14" ht="13.8" x14ac:dyDescent="0.25">
      <c r="B15" s="28" t="s">
        <v>69</v>
      </c>
      <c r="C15" s="34">
        <f>C5</f>
        <v>123634562</v>
      </c>
      <c r="D15" s="34">
        <f t="shared" ref="D15:N15" si="4">D5</f>
        <v>106846667</v>
      </c>
      <c r="E15" s="34">
        <f t="shared" si="4"/>
        <v>114078622</v>
      </c>
      <c r="F15" s="34">
        <f t="shared" si="4"/>
        <v>107350311</v>
      </c>
      <c r="G15" s="34">
        <f t="shared" si="4"/>
        <v>110703086</v>
      </c>
      <c r="H15" s="34">
        <f t="shared" si="4"/>
        <v>115186474</v>
      </c>
      <c r="I15" s="34">
        <f t="shared" si="4"/>
        <v>130461609</v>
      </c>
      <c r="J15" s="34">
        <f t="shared" si="4"/>
        <v>131418600</v>
      </c>
      <c r="K15" s="34">
        <f t="shared" si="4"/>
        <v>115222754</v>
      </c>
      <c r="L15" s="34">
        <f t="shared" si="4"/>
        <v>110445500</v>
      </c>
      <c r="M15" s="34">
        <f t="shared" si="4"/>
        <v>113923820</v>
      </c>
      <c r="N15" s="34">
        <f t="shared" si="4"/>
        <v>113258871</v>
      </c>
    </row>
    <row r="16" spans="2:14" ht="13.8" x14ac:dyDescent="0.25">
      <c r="B16" s="28" t="s">
        <v>70</v>
      </c>
      <c r="C16" s="34">
        <f>C6</f>
        <v>507165</v>
      </c>
      <c r="D16" s="34">
        <f t="shared" ref="D16:N16" si="5">D6</f>
        <v>695134</v>
      </c>
      <c r="E16" s="34">
        <f t="shared" si="5"/>
        <v>1602029</v>
      </c>
      <c r="F16" s="34">
        <f t="shared" si="5"/>
        <v>1548205</v>
      </c>
      <c r="G16" s="34">
        <f t="shared" si="5"/>
        <v>2282240</v>
      </c>
      <c r="H16" s="34">
        <f t="shared" si="5"/>
        <v>2116037</v>
      </c>
      <c r="I16" s="34">
        <f t="shared" si="5"/>
        <v>2550386</v>
      </c>
      <c r="J16" s="34">
        <f t="shared" si="5"/>
        <v>2070683</v>
      </c>
      <c r="K16" s="34">
        <f t="shared" si="5"/>
        <v>1590120</v>
      </c>
      <c r="L16" s="34">
        <f t="shared" si="5"/>
        <v>1034151.0000000001</v>
      </c>
      <c r="M16" s="34">
        <f t="shared" si="5"/>
        <v>354213</v>
      </c>
      <c r="N16" s="34">
        <f t="shared" si="5"/>
        <v>461300</v>
      </c>
    </row>
    <row r="17" spans="2:14" x14ac:dyDescent="0.25">
      <c r="B17" s="30"/>
      <c r="C17" s="31">
        <f>SUM(C15:C16)</f>
        <v>124141727</v>
      </c>
      <c r="D17" s="31">
        <f t="shared" ref="D17:N17" si="6">SUM(D15:D16)</f>
        <v>107541801</v>
      </c>
      <c r="E17" s="31">
        <f t="shared" si="6"/>
        <v>115680651</v>
      </c>
      <c r="F17" s="31">
        <f t="shared" si="6"/>
        <v>108898516</v>
      </c>
      <c r="G17" s="31">
        <f t="shared" si="6"/>
        <v>112985326</v>
      </c>
      <c r="H17" s="31">
        <f t="shared" si="6"/>
        <v>117302511</v>
      </c>
      <c r="I17" s="31">
        <f t="shared" si="6"/>
        <v>133011995</v>
      </c>
      <c r="J17" s="31">
        <f t="shared" si="6"/>
        <v>133489283</v>
      </c>
      <c r="K17" s="31">
        <f t="shared" si="6"/>
        <v>116812874</v>
      </c>
      <c r="L17" s="31">
        <f t="shared" si="6"/>
        <v>111479651</v>
      </c>
      <c r="M17" s="31">
        <f t="shared" si="6"/>
        <v>114278033</v>
      </c>
      <c r="N17" s="31">
        <f t="shared" si="6"/>
        <v>113720171</v>
      </c>
    </row>
    <row r="18" spans="2:14" x14ac:dyDescent="0.25"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2:14" x14ac:dyDescent="0.25">
      <c r="B19" s="28" t="s">
        <v>22</v>
      </c>
      <c r="C19" s="21">
        <f>C10</f>
        <v>56392797.54018531</v>
      </c>
      <c r="D19" s="21">
        <f t="shared" ref="D19:N19" si="7">D10</f>
        <v>46940433.706023283</v>
      </c>
      <c r="E19" s="21">
        <f t="shared" si="7"/>
        <v>49390461.740537472</v>
      </c>
      <c r="F19" s="21">
        <f t="shared" si="7"/>
        <v>44382098.97302901</v>
      </c>
      <c r="G19" s="21">
        <f t="shared" si="7"/>
        <v>45261146.803929821</v>
      </c>
      <c r="H19" s="21">
        <f t="shared" si="7"/>
        <v>51067158.655929103</v>
      </c>
      <c r="I19" s="21">
        <f t="shared" si="7"/>
        <v>60943107.954795949</v>
      </c>
      <c r="J19" s="21">
        <f t="shared" si="7"/>
        <v>60096907.508162037</v>
      </c>
      <c r="K19" s="21">
        <f t="shared" si="7"/>
        <v>49484717.767381549</v>
      </c>
      <c r="L19" s="21">
        <f t="shared" si="7"/>
        <v>44352708.288445875</v>
      </c>
      <c r="M19" s="21">
        <f t="shared" si="7"/>
        <v>48191903.770427302</v>
      </c>
      <c r="N19" s="21">
        <f t="shared" si="7"/>
        <v>52457393.526140511</v>
      </c>
    </row>
    <row r="20" spans="2:14" x14ac:dyDescent="0.25">
      <c r="B20" s="28" t="s">
        <v>23</v>
      </c>
      <c r="C20" s="21">
        <f>C11-C7</f>
        <v>67748929.459814698</v>
      </c>
      <c r="D20" s="21">
        <f t="shared" ref="D20:N20" si="8">D11-D7</f>
        <v>60601367.293976709</v>
      </c>
      <c r="E20" s="21">
        <f t="shared" si="8"/>
        <v>66290189.259462528</v>
      </c>
      <c r="F20" s="21">
        <f t="shared" si="8"/>
        <v>64516417.02697099</v>
      </c>
      <c r="G20" s="21">
        <f t="shared" si="8"/>
        <v>67724179.196070179</v>
      </c>
      <c r="H20" s="21">
        <f t="shared" si="8"/>
        <v>66235352.344070897</v>
      </c>
      <c r="I20" s="21">
        <f t="shared" si="8"/>
        <v>72068887.045204043</v>
      </c>
      <c r="J20" s="21">
        <f t="shared" si="8"/>
        <v>73392375.491837963</v>
      </c>
      <c r="K20" s="21">
        <f t="shared" si="8"/>
        <v>67328156.232618451</v>
      </c>
      <c r="L20" s="21">
        <f t="shared" si="8"/>
        <v>67126942.71155414</v>
      </c>
      <c r="M20" s="21">
        <f t="shared" si="8"/>
        <v>66086129.229572698</v>
      </c>
      <c r="N20" s="21">
        <f t="shared" si="8"/>
        <v>61262777.473859496</v>
      </c>
    </row>
    <row r="21" spans="2:14" x14ac:dyDescent="0.25">
      <c r="B21" s="30" t="s">
        <v>24</v>
      </c>
      <c r="C21" s="33">
        <f>SUM(C19:C20)</f>
        <v>124141727</v>
      </c>
      <c r="D21" s="33">
        <f t="shared" ref="D21:N21" si="9">SUM(D19:D20)</f>
        <v>107541801</v>
      </c>
      <c r="E21" s="33">
        <f t="shared" si="9"/>
        <v>115680651</v>
      </c>
      <c r="F21" s="33">
        <f t="shared" si="9"/>
        <v>108898516</v>
      </c>
      <c r="G21" s="33">
        <f t="shared" si="9"/>
        <v>112985326</v>
      </c>
      <c r="H21" s="33">
        <f t="shared" si="9"/>
        <v>117302511</v>
      </c>
      <c r="I21" s="33">
        <f t="shared" si="9"/>
        <v>133011995</v>
      </c>
      <c r="J21" s="33">
        <f t="shared" si="9"/>
        <v>133489283</v>
      </c>
      <c r="K21" s="33">
        <f t="shared" si="9"/>
        <v>116812874</v>
      </c>
      <c r="L21" s="33">
        <f t="shared" si="9"/>
        <v>111479651.00000001</v>
      </c>
      <c r="M21" s="33">
        <f t="shared" si="9"/>
        <v>114278033</v>
      </c>
      <c r="N21" s="33">
        <f t="shared" si="9"/>
        <v>113720171</v>
      </c>
    </row>
    <row r="22" spans="2:14" x14ac:dyDescent="0.25">
      <c r="B22" s="28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2:14" x14ac:dyDescent="0.25">
      <c r="B23" s="35" t="s">
        <v>5</v>
      </c>
      <c r="C23" s="27" t="s">
        <v>9</v>
      </c>
      <c r="D23" s="27" t="s">
        <v>10</v>
      </c>
      <c r="E23" s="27" t="s">
        <v>11</v>
      </c>
      <c r="F23" s="27" t="s">
        <v>12</v>
      </c>
      <c r="G23" s="27" t="s">
        <v>13</v>
      </c>
      <c r="H23" s="27" t="s">
        <v>14</v>
      </c>
      <c r="I23" s="27" t="s">
        <v>15</v>
      </c>
      <c r="J23" s="27" t="s">
        <v>16</v>
      </c>
      <c r="K23" s="27" t="s">
        <v>17</v>
      </c>
      <c r="L23" s="27" t="s">
        <v>18</v>
      </c>
      <c r="M23" s="27" t="s">
        <v>19</v>
      </c>
      <c r="N23" s="27" t="s">
        <v>20</v>
      </c>
    </row>
    <row r="24" spans="2:14" x14ac:dyDescent="0.25">
      <c r="B24" s="28" t="s">
        <v>22</v>
      </c>
      <c r="C24" s="44">
        <f>C67</f>
        <v>0.56101552691304479</v>
      </c>
      <c r="D24" s="44">
        <f t="shared" ref="D24:N24" si="10">D67</f>
        <v>0.54393725923178526</v>
      </c>
      <c r="E24" s="44">
        <f t="shared" si="10"/>
        <v>0.53669765934433633</v>
      </c>
      <c r="F24" s="44">
        <f t="shared" si="10"/>
        <v>0.5165713814150501</v>
      </c>
      <c r="G24" s="44">
        <f t="shared" si="10"/>
        <v>0.51500016876102683</v>
      </c>
      <c r="H24" s="44">
        <f t="shared" si="10"/>
        <v>0.55155248743596541</v>
      </c>
      <c r="I24" s="44">
        <f t="shared" si="10"/>
        <v>0.57667364920101405</v>
      </c>
      <c r="J24" s="44">
        <f t="shared" si="10"/>
        <v>0.57639064253665262</v>
      </c>
      <c r="K24" s="44">
        <f t="shared" si="10"/>
        <v>0.54668497111086478</v>
      </c>
      <c r="L24" s="44">
        <f t="shared" si="10"/>
        <v>0.52192612944525674</v>
      </c>
      <c r="M24" s="44">
        <f t="shared" si="10"/>
        <v>0.54188423914137862</v>
      </c>
      <c r="N24" s="44">
        <f t="shared" si="10"/>
        <v>0.57489367281873494</v>
      </c>
    </row>
    <row r="25" spans="2:14" x14ac:dyDescent="0.25">
      <c r="B25" s="28" t="s">
        <v>23</v>
      </c>
      <c r="C25" s="44">
        <f>1-C24</f>
        <v>0.43898447308695521</v>
      </c>
      <c r="D25" s="44">
        <f t="shared" ref="D25:N25" si="11">1-D24</f>
        <v>0.45606274076821474</v>
      </c>
      <c r="E25" s="44">
        <f t="shared" si="11"/>
        <v>0.46330234065566367</v>
      </c>
      <c r="F25" s="44">
        <f t="shared" si="11"/>
        <v>0.4834286185849499</v>
      </c>
      <c r="G25" s="44">
        <f t="shared" si="11"/>
        <v>0.48499983123897317</v>
      </c>
      <c r="H25" s="44">
        <f t="shared" si="11"/>
        <v>0.44844751256403459</v>
      </c>
      <c r="I25" s="44">
        <f t="shared" si="11"/>
        <v>0.42332635079898595</v>
      </c>
      <c r="J25" s="44">
        <f t="shared" si="11"/>
        <v>0.42360935746334738</v>
      </c>
      <c r="K25" s="44">
        <f t="shared" si="11"/>
        <v>0.45331502888913522</v>
      </c>
      <c r="L25" s="44">
        <f t="shared" si="11"/>
        <v>0.47807387055474326</v>
      </c>
      <c r="M25" s="44">
        <f t="shared" si="11"/>
        <v>0.45811576085862138</v>
      </c>
      <c r="N25" s="44">
        <f t="shared" si="11"/>
        <v>0.42510632718126506</v>
      </c>
    </row>
    <row r="26" spans="2:14" x14ac:dyDescent="0.25">
      <c r="B26" s="30" t="s">
        <v>24</v>
      </c>
      <c r="C26" s="59">
        <f>SUM(C24:C25)</f>
        <v>1</v>
      </c>
      <c r="D26" s="59">
        <f t="shared" ref="D26:N26" si="12">SUM(D24:D25)</f>
        <v>1</v>
      </c>
      <c r="E26" s="59">
        <f t="shared" si="12"/>
        <v>1</v>
      </c>
      <c r="F26" s="59">
        <f t="shared" si="12"/>
        <v>1</v>
      </c>
      <c r="G26" s="59">
        <f t="shared" si="12"/>
        <v>1</v>
      </c>
      <c r="H26" s="59">
        <f t="shared" si="12"/>
        <v>1</v>
      </c>
      <c r="I26" s="59">
        <f t="shared" si="12"/>
        <v>1</v>
      </c>
      <c r="J26" s="59">
        <f t="shared" si="12"/>
        <v>1</v>
      </c>
      <c r="K26" s="59">
        <f t="shared" si="12"/>
        <v>1</v>
      </c>
      <c r="L26" s="59">
        <f t="shared" si="12"/>
        <v>1</v>
      </c>
      <c r="M26" s="59">
        <f t="shared" si="12"/>
        <v>1</v>
      </c>
      <c r="N26" s="59">
        <f t="shared" si="12"/>
        <v>1</v>
      </c>
    </row>
    <row r="27" spans="2:14" ht="14.4" x14ac:dyDescent="0.3">
      <c r="B27" s="11"/>
    </row>
    <row r="28" spans="2:14" ht="14.4" x14ac:dyDescent="0.3">
      <c r="B28" s="11"/>
    </row>
    <row r="29" spans="2:14" ht="15.6" x14ac:dyDescent="0.3">
      <c r="B29" s="17" t="s">
        <v>49</v>
      </c>
    </row>
    <row r="30" spans="2:14" s="22" customFormat="1" ht="13.8" x14ac:dyDescent="0.3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2:14" x14ac:dyDescent="0.25">
      <c r="B31" s="26" t="s">
        <v>41</v>
      </c>
      <c r="C31" s="27" t="s">
        <v>9</v>
      </c>
      <c r="D31" s="27" t="s">
        <v>10</v>
      </c>
      <c r="E31" s="27" t="s">
        <v>11</v>
      </c>
      <c r="F31" s="27" t="s">
        <v>12</v>
      </c>
      <c r="G31" s="27" t="s">
        <v>13</v>
      </c>
      <c r="H31" s="27" t="s">
        <v>14</v>
      </c>
      <c r="I31" s="27" t="s">
        <v>15</v>
      </c>
      <c r="J31" s="27" t="s">
        <v>16</v>
      </c>
      <c r="K31" s="27" t="s">
        <v>17</v>
      </c>
      <c r="L31" s="27" t="s">
        <v>18</v>
      </c>
      <c r="M31" s="27" t="s">
        <v>19</v>
      </c>
      <c r="N31" s="27" t="s">
        <v>20</v>
      </c>
    </row>
    <row r="32" spans="2:14" x14ac:dyDescent="0.25">
      <c r="B32" s="36" t="s">
        <v>36</v>
      </c>
      <c r="C32" s="37">
        <f>C81</f>
        <v>5.3534722284970693E-2</v>
      </c>
      <c r="D32" s="37">
        <f t="shared" ref="D32:N32" si="13">D81</f>
        <v>5.6534637296076364E-2</v>
      </c>
      <c r="E32" s="37">
        <f t="shared" si="13"/>
        <v>4.9951256277769952E-2</v>
      </c>
      <c r="F32" s="37">
        <f t="shared" si="13"/>
        <v>6.0922058463758005E-2</v>
      </c>
      <c r="G32" s="37">
        <f t="shared" si="13"/>
        <v>4.1249904156655241E-2</v>
      </c>
      <c r="H32" s="37">
        <f t="shared" si="13"/>
        <v>4.0586064683693641E-2</v>
      </c>
      <c r="I32" s="37">
        <f t="shared" si="13"/>
        <v>3.7190479204959201E-2</v>
      </c>
      <c r="J32" s="37">
        <f t="shared" si="13"/>
        <v>3.5694197568294526E-2</v>
      </c>
      <c r="K32" s="37">
        <f t="shared" si="13"/>
        <v>4.0408631811731391E-2</v>
      </c>
      <c r="L32" s="37">
        <f t="shared" si="13"/>
        <v>4.5283833908285415E-2</v>
      </c>
      <c r="M32" s="37">
        <f t="shared" si="13"/>
        <v>5.4480610261991767E-2</v>
      </c>
      <c r="N32" s="37">
        <f t="shared" si="13"/>
        <v>5.4714537181623293E-2</v>
      </c>
    </row>
    <row r="33" spans="2:14" x14ac:dyDescent="0.25">
      <c r="B33" s="36" t="s">
        <v>37</v>
      </c>
      <c r="C33" s="37">
        <f t="shared" ref="C33:N36" si="14">C82</f>
        <v>3.4710740391010297E-2</v>
      </c>
      <c r="D33" s="37">
        <f t="shared" si="14"/>
        <v>3.4498320377026943E-2</v>
      </c>
      <c r="E33" s="37">
        <f t="shared" si="14"/>
        <v>3.1114007604322612E-2</v>
      </c>
      <c r="F33" s="37">
        <f t="shared" si="14"/>
        <v>3.9082059950476422E-2</v>
      </c>
      <c r="G33" s="37">
        <f t="shared" si="14"/>
        <v>3.5150696335886425E-2</v>
      </c>
      <c r="H33" s="37">
        <f t="shared" si="14"/>
        <v>3.1366091348065409E-2</v>
      </c>
      <c r="I33" s="37">
        <f t="shared" si="14"/>
        <v>3.7742904352850541E-2</v>
      </c>
      <c r="J33" s="37">
        <f t="shared" si="14"/>
        <v>3.195239906309727E-2</v>
      </c>
      <c r="K33" s="37">
        <f t="shared" si="14"/>
        <v>3.3352410440169039E-2</v>
      </c>
      <c r="L33" s="37">
        <f t="shared" si="14"/>
        <v>4.1847387040711816E-2</v>
      </c>
      <c r="M33" s="37">
        <f t="shared" si="14"/>
        <v>3.3542612491483166E-2</v>
      </c>
      <c r="N33" s="37">
        <f t="shared" si="14"/>
        <v>3.3420120403055552E-2</v>
      </c>
    </row>
    <row r="34" spans="2:14" x14ac:dyDescent="0.25">
      <c r="B34" s="36" t="s">
        <v>38</v>
      </c>
      <c r="C34" s="37">
        <f t="shared" si="14"/>
        <v>0.58433670791129133</v>
      </c>
      <c r="D34" s="37">
        <f t="shared" si="14"/>
        <v>0.57828168802852886</v>
      </c>
      <c r="E34" s="37">
        <f t="shared" si="14"/>
        <v>0.58888073848362921</v>
      </c>
      <c r="F34" s="37">
        <f t="shared" si="14"/>
        <v>0.56751654327893075</v>
      </c>
      <c r="G34" s="37">
        <f t="shared" si="14"/>
        <v>0.56987169454896591</v>
      </c>
      <c r="H34" s="37">
        <f t="shared" si="14"/>
        <v>0.57657306749434178</v>
      </c>
      <c r="I34" s="37">
        <f t="shared" si="14"/>
        <v>0.5668847429435796</v>
      </c>
      <c r="J34" s="37">
        <f t="shared" si="14"/>
        <v>0.57361512294131056</v>
      </c>
      <c r="K34" s="37">
        <f t="shared" si="14"/>
        <v>0.58022750098034948</v>
      </c>
      <c r="L34" s="37">
        <f t="shared" si="14"/>
        <v>0.56918987949008193</v>
      </c>
      <c r="M34" s="37">
        <f t="shared" si="14"/>
        <v>0.56114287109620953</v>
      </c>
      <c r="N34" s="37">
        <f t="shared" si="14"/>
        <v>0.5974516612925922</v>
      </c>
    </row>
    <row r="35" spans="2:14" x14ac:dyDescent="0.25">
      <c r="B35" s="36" t="s">
        <v>39</v>
      </c>
      <c r="C35" s="37">
        <f t="shared" si="14"/>
        <v>0.1606914494819798</v>
      </c>
      <c r="D35" s="37">
        <f t="shared" si="14"/>
        <v>0.16185203385042832</v>
      </c>
      <c r="E35" s="37">
        <f t="shared" si="14"/>
        <v>0.163395986746532</v>
      </c>
      <c r="F35" s="37">
        <f t="shared" si="14"/>
        <v>0.16663351329714959</v>
      </c>
      <c r="G35" s="37">
        <f t="shared" si="14"/>
        <v>0.17072260035245371</v>
      </c>
      <c r="H35" s="37">
        <f t="shared" si="14"/>
        <v>0.16697517155672706</v>
      </c>
      <c r="I35" s="37">
        <f t="shared" si="14"/>
        <v>0.16585998202326535</v>
      </c>
      <c r="J35" s="37">
        <f t="shared" si="14"/>
        <v>0.16623643811651248</v>
      </c>
      <c r="K35" s="37">
        <f t="shared" si="14"/>
        <v>0.1654014440905863</v>
      </c>
      <c r="L35" s="37">
        <f t="shared" si="14"/>
        <v>0.16993474576550094</v>
      </c>
      <c r="M35" s="37">
        <f t="shared" si="14"/>
        <v>0.17438863304278451</v>
      </c>
      <c r="N35" s="37">
        <f t="shared" si="14"/>
        <v>0.15477821803697636</v>
      </c>
    </row>
    <row r="36" spans="2:14" x14ac:dyDescent="0.25">
      <c r="B36" s="36" t="s">
        <v>40</v>
      </c>
      <c r="C36" s="37">
        <f t="shared" si="14"/>
        <v>0.16672637993074779</v>
      </c>
      <c r="D36" s="37">
        <f t="shared" si="14"/>
        <v>0.16883332044793953</v>
      </c>
      <c r="E36" s="37">
        <f t="shared" si="14"/>
        <v>0.16665801088774623</v>
      </c>
      <c r="F36" s="37">
        <f t="shared" si="14"/>
        <v>0.16584582500968523</v>
      </c>
      <c r="G36" s="37">
        <f t="shared" si="14"/>
        <v>0.18300510460603875</v>
      </c>
      <c r="H36" s="37">
        <f t="shared" si="14"/>
        <v>0.18449960491717204</v>
      </c>
      <c r="I36" s="37">
        <f t="shared" si="14"/>
        <v>0.19232189147534523</v>
      </c>
      <c r="J36" s="37">
        <f t="shared" si="14"/>
        <v>0.1925018423107851</v>
      </c>
      <c r="K36" s="37">
        <f t="shared" si="14"/>
        <v>0.18061001267716378</v>
      </c>
      <c r="L36" s="37">
        <f t="shared" si="14"/>
        <v>0.17374415379541983</v>
      </c>
      <c r="M36" s="37">
        <f t="shared" si="14"/>
        <v>0.17644527310753094</v>
      </c>
      <c r="N36" s="37">
        <f t="shared" si="14"/>
        <v>0.15963546308575266</v>
      </c>
    </row>
    <row r="37" spans="2:14" x14ac:dyDescent="0.25">
      <c r="B37" s="38" t="s">
        <v>21</v>
      </c>
      <c r="C37" s="39">
        <f>SUM(C32:C36)</f>
        <v>0.99999999999999989</v>
      </c>
      <c r="D37" s="39">
        <f t="shared" ref="D37:N37" si="15">SUM(D32:D36)</f>
        <v>1</v>
      </c>
      <c r="E37" s="39">
        <f t="shared" si="15"/>
        <v>1</v>
      </c>
      <c r="F37" s="39">
        <f t="shared" si="15"/>
        <v>1</v>
      </c>
      <c r="G37" s="39">
        <f t="shared" si="15"/>
        <v>1</v>
      </c>
      <c r="H37" s="39">
        <f t="shared" si="15"/>
        <v>1</v>
      </c>
      <c r="I37" s="39">
        <f t="shared" si="15"/>
        <v>1</v>
      </c>
      <c r="J37" s="39">
        <f t="shared" si="15"/>
        <v>1</v>
      </c>
      <c r="K37" s="39">
        <f t="shared" si="15"/>
        <v>1</v>
      </c>
      <c r="L37" s="39">
        <f t="shared" si="15"/>
        <v>1</v>
      </c>
      <c r="M37" s="39">
        <f t="shared" si="15"/>
        <v>1</v>
      </c>
      <c r="N37" s="39">
        <f t="shared" si="15"/>
        <v>1</v>
      </c>
    </row>
    <row r="38" spans="2:14" x14ac:dyDescent="0.25">
      <c r="B38" s="4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2:14" x14ac:dyDescent="0.25">
      <c r="B39" s="26" t="s">
        <v>42</v>
      </c>
      <c r="C39" s="27" t="s">
        <v>9</v>
      </c>
      <c r="D39" s="27" t="s">
        <v>10</v>
      </c>
      <c r="E39" s="27" t="s">
        <v>11</v>
      </c>
      <c r="F39" s="27" t="s">
        <v>12</v>
      </c>
      <c r="G39" s="27" t="s">
        <v>13</v>
      </c>
      <c r="H39" s="27" t="s">
        <v>14</v>
      </c>
      <c r="I39" s="27" t="s">
        <v>15</v>
      </c>
      <c r="J39" s="27" t="s">
        <v>16</v>
      </c>
      <c r="K39" s="27" t="s">
        <v>17</v>
      </c>
      <c r="L39" s="27" t="s">
        <v>18</v>
      </c>
      <c r="M39" s="27" t="s">
        <v>19</v>
      </c>
      <c r="N39" s="27" t="s">
        <v>20</v>
      </c>
    </row>
    <row r="40" spans="2:14" x14ac:dyDescent="0.25">
      <c r="B40" s="36" t="s">
        <v>36</v>
      </c>
      <c r="C40" s="21">
        <f>C32*C$10</f>
        <v>3018972.755186399</v>
      </c>
      <c r="D40" s="21">
        <f t="shared" ref="D40:N40" si="16">D32*D$10</f>
        <v>2653760.394090544</v>
      </c>
      <c r="E40" s="21">
        <f t="shared" si="16"/>
        <v>2467115.6120789791</v>
      </c>
      <c r="F40" s="21">
        <f t="shared" si="16"/>
        <v>2703848.8283791677</v>
      </c>
      <c r="G40" s="21">
        <f t="shared" si="16"/>
        <v>1867017.9676824077</v>
      </c>
      <c r="H40" s="21">
        <f t="shared" si="16"/>
        <v>2072615.0044219843</v>
      </c>
      <c r="I40" s="21">
        <f t="shared" si="16"/>
        <v>2266503.3890784224</v>
      </c>
      <c r="J40" s="21">
        <f t="shared" si="16"/>
        <v>2145110.8898398583</v>
      </c>
      <c r="K40" s="21">
        <f t="shared" si="16"/>
        <v>1999609.7405695636</v>
      </c>
      <c r="L40" s="21">
        <f t="shared" si="16"/>
        <v>2008460.6755166168</v>
      </c>
      <c r="M40" s="21">
        <f t="shared" si="16"/>
        <v>2625524.3271000613</v>
      </c>
      <c r="N40" s="21">
        <f t="shared" si="16"/>
        <v>2870182.0085370601</v>
      </c>
    </row>
    <row r="41" spans="2:14" x14ac:dyDescent="0.25">
      <c r="B41" s="36" t="s">
        <v>37</v>
      </c>
      <c r="C41" s="21">
        <f>C33*C$10</f>
        <v>1957435.7553401764</v>
      </c>
      <c r="D41" s="21">
        <f t="shared" ref="D41:N41" si="17">D33*D$10</f>
        <v>1619366.1206269853</v>
      </c>
      <c r="E41" s="21">
        <f t="shared" si="17"/>
        <v>1536735.202176088</v>
      </c>
      <c r="F41" s="21">
        <f t="shared" si="17"/>
        <v>1734543.8527918977</v>
      </c>
      <c r="G41" s="21">
        <f t="shared" si="17"/>
        <v>1590960.8271189134</v>
      </c>
      <c r="H41" s="21">
        <f t="shared" si="17"/>
        <v>1601777.1632880215</v>
      </c>
      <c r="I41" s="21">
        <f t="shared" si="17"/>
        <v>2300169.8945033085</v>
      </c>
      <c r="J41" s="21">
        <f t="shared" si="17"/>
        <v>1920240.3711588399</v>
      </c>
      <c r="K41" s="21">
        <f t="shared" si="17"/>
        <v>1650434.6174936348</v>
      </c>
      <c r="L41" s="21">
        <f t="shared" si="17"/>
        <v>1856044.9500503815</v>
      </c>
      <c r="M41" s="21">
        <f t="shared" si="17"/>
        <v>1616482.3533982895</v>
      </c>
      <c r="N41" s="21">
        <f t="shared" si="17"/>
        <v>1753132.4076740828</v>
      </c>
    </row>
    <row r="42" spans="2:14" x14ac:dyDescent="0.25">
      <c r="B42" s="36" t="s">
        <v>38</v>
      </c>
      <c r="C42" s="21">
        <f>C34*C$10</f>
        <v>32952381.664539851</v>
      </c>
      <c r="D42" s="21">
        <f t="shared" ref="D42:N42" si="18">D34*D$10</f>
        <v>27144793.240310397</v>
      </c>
      <c r="E42" s="21">
        <f t="shared" si="18"/>
        <v>29085091.583815143</v>
      </c>
      <c r="F42" s="21">
        <f t="shared" si="18"/>
        <v>25187575.392636806</v>
      </c>
      <c r="G42" s="21">
        <f t="shared" si="18"/>
        <v>25793046.426385</v>
      </c>
      <c r="H42" s="21">
        <f t="shared" si="18"/>
        <v>29443948.31446927</v>
      </c>
      <c r="I42" s="21">
        <f t="shared" si="18"/>
        <v>34547718.087137319</v>
      </c>
      <c r="J42" s="21">
        <f t="shared" si="18"/>
        <v>34472494.988686934</v>
      </c>
      <c r="K42" s="21">
        <f t="shared" si="18"/>
        <v>28712394.126885694</v>
      </c>
      <c r="L42" s="21">
        <f t="shared" si="18"/>
        <v>25245112.685759265</v>
      </c>
      <c r="M42" s="21">
        <f t="shared" si="18"/>
        <v>27042543.24532982</v>
      </c>
      <c r="N42" s="21">
        <f t="shared" si="18"/>
        <v>31340756.909271918</v>
      </c>
    </row>
    <row r="43" spans="2:14" x14ac:dyDescent="0.25">
      <c r="B43" s="36" t="s">
        <v>39</v>
      </c>
      <c r="C43" s="21">
        <f>C35*C$10</f>
        <v>9061840.377076203</v>
      </c>
      <c r="D43" s="21">
        <f t="shared" ref="D43:N43" si="19">D35*D$10</f>
        <v>7597404.6651410665</v>
      </c>
      <c r="E43" s="21">
        <f t="shared" si="19"/>
        <v>8070203.2319619562</v>
      </c>
      <c r="F43" s="21">
        <f t="shared" si="19"/>
        <v>7395545.0793776391</v>
      </c>
      <c r="G43" s="21">
        <f t="shared" si="19"/>
        <v>7727100.6773010483</v>
      </c>
      <c r="H43" s="21">
        <f t="shared" si="19"/>
        <v>8526947.5774883609</v>
      </c>
      <c r="I43" s="21">
        <f t="shared" si="19"/>
        <v>10108022.789824376</v>
      </c>
      <c r="J43" s="21">
        <f t="shared" si="19"/>
        <v>9990295.8459743522</v>
      </c>
      <c r="K43" s="21">
        <f t="shared" si="19"/>
        <v>8184843.7791400012</v>
      </c>
      <c r="L43" s="21">
        <f t="shared" si="19"/>
        <v>7537066.2070084764</v>
      </c>
      <c r="M43" s="21">
        <f t="shared" si="19"/>
        <v>8404120.2222542297</v>
      </c>
      <c r="N43" s="21">
        <f t="shared" si="19"/>
        <v>8119261.8928404478</v>
      </c>
    </row>
    <row r="44" spans="2:14" x14ac:dyDescent="0.25">
      <c r="B44" s="36" t="s">
        <v>40</v>
      </c>
      <c r="C44" s="21">
        <f>C36*C$10</f>
        <v>9402166.988042675</v>
      </c>
      <c r="D44" s="21">
        <f t="shared" ref="D44:N44" si="20">D36*D$10</f>
        <v>7925109.2858542902</v>
      </c>
      <c r="E44" s="21">
        <f t="shared" si="20"/>
        <v>8231316.110505308</v>
      </c>
      <c r="F44" s="21">
        <f t="shared" si="20"/>
        <v>7360585.8198434999</v>
      </c>
      <c r="G44" s="21">
        <f t="shared" si="20"/>
        <v>8283020.905442453</v>
      </c>
      <c r="H44" s="21">
        <f t="shared" si="20"/>
        <v>9421870.5962614622</v>
      </c>
      <c r="I44" s="21">
        <f t="shared" si="20"/>
        <v>11720693.794252515</v>
      </c>
      <c r="J44" s="21">
        <f t="shared" si="20"/>
        <v>11568765.412502045</v>
      </c>
      <c r="K44" s="21">
        <f t="shared" si="20"/>
        <v>8937435.5032926537</v>
      </c>
      <c r="L44" s="21">
        <f t="shared" si="20"/>
        <v>7706023.7701111315</v>
      </c>
      <c r="M44" s="21">
        <f t="shared" si="20"/>
        <v>8503233.6223448962</v>
      </c>
      <c r="N44" s="21">
        <f t="shared" si="20"/>
        <v>8374060.3078170037</v>
      </c>
    </row>
    <row r="45" spans="2:14" x14ac:dyDescent="0.25">
      <c r="B45" s="38" t="s">
        <v>21</v>
      </c>
      <c r="C45" s="33">
        <f t="shared" ref="C45:M45" si="21">SUM(C40:C44)</f>
        <v>56392797.540185302</v>
      </c>
      <c r="D45" s="33">
        <f t="shared" si="21"/>
        <v>46940433.706023283</v>
      </c>
      <c r="E45" s="33">
        <f t="shared" si="21"/>
        <v>49390461.740537472</v>
      </c>
      <c r="F45" s="33">
        <f t="shared" si="21"/>
        <v>44382098.97302901</v>
      </c>
      <c r="G45" s="33">
        <f t="shared" si="21"/>
        <v>45261146.803929821</v>
      </c>
      <c r="H45" s="33">
        <f t="shared" si="21"/>
        <v>51067158.655929103</v>
      </c>
      <c r="I45" s="33">
        <f t="shared" si="21"/>
        <v>60943107.954795942</v>
      </c>
      <c r="J45" s="33">
        <f t="shared" si="21"/>
        <v>60096907.508162029</v>
      </c>
      <c r="K45" s="33">
        <f t="shared" si="21"/>
        <v>49484717.767381549</v>
      </c>
      <c r="L45" s="33">
        <f t="shared" si="21"/>
        <v>44352708.288445868</v>
      </c>
      <c r="M45" s="33">
        <f t="shared" si="21"/>
        <v>48191903.770427294</v>
      </c>
      <c r="N45" s="33">
        <f>SUM(N40:N44)</f>
        <v>52457393.526140511</v>
      </c>
    </row>
    <row r="46" spans="2:14" ht="13.8" x14ac:dyDescent="0.25">
      <c r="B46" s="16"/>
    </row>
    <row r="47" spans="2:14" ht="13.8" x14ac:dyDescent="0.25">
      <c r="B47" s="16"/>
    </row>
    <row r="48" spans="2:14" ht="15.6" x14ac:dyDescent="0.3">
      <c r="B48" s="17" t="s">
        <v>120</v>
      </c>
    </row>
    <row r="50" spans="2:14" x14ac:dyDescent="0.25">
      <c r="B50" s="26" t="s">
        <v>6</v>
      </c>
      <c r="C50" s="27" t="s">
        <v>9</v>
      </c>
      <c r="D50" s="27" t="s">
        <v>10</v>
      </c>
      <c r="E50" s="27" t="s">
        <v>11</v>
      </c>
      <c r="F50" s="27" t="s">
        <v>12</v>
      </c>
      <c r="G50" s="27" t="s">
        <v>13</v>
      </c>
      <c r="H50" s="27" t="s">
        <v>14</v>
      </c>
      <c r="I50" s="27" t="s">
        <v>15</v>
      </c>
      <c r="J50" s="27" t="s">
        <v>16</v>
      </c>
      <c r="K50" s="27" t="s">
        <v>17</v>
      </c>
      <c r="L50" s="27" t="s">
        <v>18</v>
      </c>
      <c r="M50" s="27" t="s">
        <v>19</v>
      </c>
      <c r="N50" s="27" t="s">
        <v>20</v>
      </c>
    </row>
    <row r="51" spans="2:14" x14ac:dyDescent="0.25">
      <c r="B51" s="36" t="s">
        <v>25</v>
      </c>
      <c r="C51" s="21">
        <f>C55</f>
        <v>100048838.85508779</v>
      </c>
      <c r="D51" s="21">
        <f t="shared" ref="D51:N51" si="22">D55</f>
        <v>86609762.469996765</v>
      </c>
      <c r="E51" s="21">
        <f t="shared" si="22"/>
        <v>91236989.800296605</v>
      </c>
      <c r="F51" s="21">
        <f t="shared" si="22"/>
        <v>87105558.752194077</v>
      </c>
      <c r="G51" s="21">
        <f t="shared" si="22"/>
        <v>87875063.309194982</v>
      </c>
      <c r="H51" s="21">
        <f t="shared" si="22"/>
        <v>95309177.319282994</v>
      </c>
      <c r="I51" s="21">
        <f t="shared" si="22"/>
        <v>105905266.29588725</v>
      </c>
      <c r="J51" s="21">
        <f t="shared" si="22"/>
        <v>103001946.05812928</v>
      </c>
      <c r="K51" s="21">
        <f t="shared" si="22"/>
        <v>89815989.422440946</v>
      </c>
      <c r="L51" s="21">
        <f t="shared" si="22"/>
        <v>86977508.216326207</v>
      </c>
      <c r="M51" s="21">
        <f t="shared" si="22"/>
        <v>89099788.432032645</v>
      </c>
      <c r="N51" s="21">
        <f t="shared" si="22"/>
        <v>92377752.190158188</v>
      </c>
    </row>
    <row r="52" spans="2:14" x14ac:dyDescent="0.25">
      <c r="B52" s="36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2:14" x14ac:dyDescent="0.25">
      <c r="B53" s="36" t="s">
        <v>26</v>
      </c>
      <c r="C53" s="41">
        <f>SUM('Consumption and Rates'!E56:E60)</f>
        <v>56128952.047325388</v>
      </c>
      <c r="D53" s="41">
        <f>SUM('Consumption and Rates'!F56:F60)</f>
        <v>47110276.820645973</v>
      </c>
      <c r="E53" s="41">
        <f>SUM('Consumption and Rates'!G56:G60)</f>
        <v>48966678.871442273</v>
      </c>
      <c r="F53" s="41">
        <f>SUM('Consumption and Rates'!H56:H60)</f>
        <v>44996238.813550703</v>
      </c>
      <c r="G53" s="41">
        <f>SUM('Consumption and Rates'!I56:I60)</f>
        <v>45255672.434121333</v>
      </c>
      <c r="H53" s="41">
        <f>SUM('Consumption and Rates'!J56:J60)</f>
        <v>52568013.825926036</v>
      </c>
      <c r="I53" s="41">
        <f>SUM('Consumption and Rates'!K56:K60)</f>
        <v>61072776.384454459</v>
      </c>
      <c r="J53" s="41">
        <f>SUM('Consumption and Rates'!L56:L60)</f>
        <v>59369357.870970771</v>
      </c>
      <c r="K53" s="41">
        <f>SUM('Consumption and Rates'!M56:M60)</f>
        <v>49101051.582700863</v>
      </c>
      <c r="L53" s="41">
        <f>SUM('Consumption and Rates'!N56:N60)</f>
        <v>45395834.21214015</v>
      </c>
      <c r="M53" s="41">
        <f>SUM('Consumption and Rates'!O56:O60)</f>
        <v>48281771.062149823</v>
      </c>
      <c r="N53" s="41">
        <f>SUM('Consumption and Rates'!P56:P60)</f>
        <v>53107385.243338972</v>
      </c>
    </row>
    <row r="54" spans="2:14" x14ac:dyDescent="0.25">
      <c r="B54" s="36" t="s">
        <v>27</v>
      </c>
      <c r="C54" s="41">
        <f>'Consumption and Rates'!E55</f>
        <v>43919886.807762392</v>
      </c>
      <c r="D54" s="41">
        <f>'Consumption and Rates'!F55</f>
        <v>39499485.649350792</v>
      </c>
      <c r="E54" s="41">
        <f>'Consumption and Rates'!G55</f>
        <v>42270310.928854339</v>
      </c>
      <c r="F54" s="41">
        <f>'Consumption and Rates'!H55</f>
        <v>42109319.938643366</v>
      </c>
      <c r="G54" s="41">
        <f>'Consumption and Rates'!I55</f>
        <v>42619390.875073649</v>
      </c>
      <c r="H54" s="41">
        <f>'Consumption and Rates'!J55</f>
        <v>42741163.493356958</v>
      </c>
      <c r="I54" s="41">
        <f>'Consumption and Rates'!K55</f>
        <v>44832489.911432788</v>
      </c>
      <c r="J54" s="41">
        <f>'Consumption and Rates'!L55</f>
        <v>43632588.18715851</v>
      </c>
      <c r="K54" s="41">
        <f>'Consumption and Rates'!M55</f>
        <v>40714937.83974009</v>
      </c>
      <c r="L54" s="41">
        <f>'Consumption and Rates'!N55</f>
        <v>41581674.004186049</v>
      </c>
      <c r="M54" s="41">
        <f>'Consumption and Rates'!O55</f>
        <v>40818017.369882829</v>
      </c>
      <c r="N54" s="41">
        <f>'Consumption and Rates'!P55</f>
        <v>39270366.946819223</v>
      </c>
    </row>
    <row r="55" spans="2:14" x14ac:dyDescent="0.25">
      <c r="B55" s="36" t="s">
        <v>28</v>
      </c>
      <c r="C55" s="33">
        <f>SUM(C53:C54)</f>
        <v>100048838.85508779</v>
      </c>
      <c r="D55" s="33">
        <f t="shared" ref="D55:N55" si="23">SUM(D53:D54)</f>
        <v>86609762.469996765</v>
      </c>
      <c r="E55" s="33">
        <f t="shared" si="23"/>
        <v>91236989.800296605</v>
      </c>
      <c r="F55" s="33">
        <f t="shared" si="23"/>
        <v>87105558.752194077</v>
      </c>
      <c r="G55" s="33">
        <f t="shared" si="23"/>
        <v>87875063.309194982</v>
      </c>
      <c r="H55" s="33">
        <f t="shared" si="23"/>
        <v>95309177.319282994</v>
      </c>
      <c r="I55" s="33">
        <f t="shared" si="23"/>
        <v>105905266.29588725</v>
      </c>
      <c r="J55" s="33">
        <f t="shared" si="23"/>
        <v>103001946.05812928</v>
      </c>
      <c r="K55" s="33">
        <f t="shared" si="23"/>
        <v>89815989.422440946</v>
      </c>
      <c r="L55" s="33">
        <f t="shared" si="23"/>
        <v>86977508.216326207</v>
      </c>
      <c r="M55" s="33">
        <f t="shared" si="23"/>
        <v>89099788.432032645</v>
      </c>
      <c r="N55" s="33">
        <f t="shared" si="23"/>
        <v>92377752.190158188</v>
      </c>
    </row>
    <row r="56" spans="2:14" x14ac:dyDescent="0.25">
      <c r="B56" s="4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2:14" x14ac:dyDescent="0.25">
      <c r="B57" s="4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2:14" x14ac:dyDescent="0.25">
      <c r="B58" s="26" t="s">
        <v>7</v>
      </c>
      <c r="C58" s="27" t="s">
        <v>9</v>
      </c>
      <c r="D58" s="27" t="s">
        <v>10</v>
      </c>
      <c r="E58" s="27" t="s">
        <v>11</v>
      </c>
      <c r="F58" s="27" t="s">
        <v>12</v>
      </c>
      <c r="G58" s="27" t="s">
        <v>13</v>
      </c>
      <c r="H58" s="27" t="s">
        <v>14</v>
      </c>
      <c r="I58" s="27" t="s">
        <v>15</v>
      </c>
      <c r="J58" s="27" t="s">
        <v>16</v>
      </c>
      <c r="K58" s="27" t="s">
        <v>17</v>
      </c>
      <c r="L58" s="27" t="s">
        <v>18</v>
      </c>
      <c r="M58" s="27" t="s">
        <v>19</v>
      </c>
      <c r="N58" s="27" t="s">
        <v>20</v>
      </c>
    </row>
    <row r="59" spans="2:14" x14ac:dyDescent="0.25">
      <c r="B59" s="36" t="s">
        <v>25</v>
      </c>
      <c r="C59" s="21">
        <f>C63</f>
        <v>123671427.19508778</v>
      </c>
      <c r="D59" s="21">
        <f t="shared" ref="D59:N59" si="24">D63</f>
        <v>107854048.61999676</v>
      </c>
      <c r="E59" s="21">
        <f t="shared" si="24"/>
        <v>114891039.08029661</v>
      </c>
      <c r="F59" s="21">
        <f t="shared" si="24"/>
        <v>110087393.01219407</v>
      </c>
      <c r="G59" s="21">
        <f t="shared" si="24"/>
        <v>112974696.15919498</v>
      </c>
      <c r="H59" s="21">
        <f t="shared" si="24"/>
        <v>120023657.58928299</v>
      </c>
      <c r="I59" s="21">
        <f t="shared" si="24"/>
        <v>133236850.82588725</v>
      </c>
      <c r="J59" s="21">
        <f t="shared" si="24"/>
        <v>132227032.04812928</v>
      </c>
      <c r="K59" s="21">
        <f t="shared" si="24"/>
        <v>116111069.11244094</v>
      </c>
      <c r="L59" s="21">
        <f t="shared" si="24"/>
        <v>113478259.35632619</v>
      </c>
      <c r="M59" s="21">
        <f t="shared" si="24"/>
        <v>114443875.23203266</v>
      </c>
      <c r="N59" s="21">
        <f t="shared" si="24"/>
        <v>114850800.45015819</v>
      </c>
    </row>
    <row r="60" spans="2:14" x14ac:dyDescent="0.25">
      <c r="B60" s="36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2:14" x14ac:dyDescent="0.25">
      <c r="B61" s="36" t="s">
        <v>26</v>
      </c>
      <c r="C61" s="21">
        <f>C53</f>
        <v>56128952.047325388</v>
      </c>
      <c r="D61" s="21">
        <f t="shared" ref="D61:N61" si="25">D53</f>
        <v>47110276.820645973</v>
      </c>
      <c r="E61" s="21">
        <f t="shared" si="25"/>
        <v>48966678.871442273</v>
      </c>
      <c r="F61" s="21">
        <f t="shared" si="25"/>
        <v>44996238.813550703</v>
      </c>
      <c r="G61" s="21">
        <f t="shared" si="25"/>
        <v>45255672.434121333</v>
      </c>
      <c r="H61" s="21">
        <f t="shared" si="25"/>
        <v>52568013.825926036</v>
      </c>
      <c r="I61" s="21">
        <f t="shared" si="25"/>
        <v>61072776.384454459</v>
      </c>
      <c r="J61" s="21">
        <f t="shared" si="25"/>
        <v>59369357.870970771</v>
      </c>
      <c r="K61" s="21">
        <f t="shared" si="25"/>
        <v>49101051.582700863</v>
      </c>
      <c r="L61" s="21">
        <f t="shared" si="25"/>
        <v>45395834.21214015</v>
      </c>
      <c r="M61" s="21">
        <f t="shared" si="25"/>
        <v>48281771.062149823</v>
      </c>
      <c r="N61" s="21">
        <f t="shared" si="25"/>
        <v>53107385.243338972</v>
      </c>
    </row>
    <row r="62" spans="2:14" x14ac:dyDescent="0.25">
      <c r="B62" s="36" t="s">
        <v>27</v>
      </c>
      <c r="C62" s="21">
        <f t="shared" ref="C62:N62" si="26">C54-C7</f>
        <v>67542475.147762388</v>
      </c>
      <c r="D62" s="21">
        <f t="shared" si="26"/>
        <v>60743771.799350791</v>
      </c>
      <c r="E62" s="21">
        <f t="shared" si="26"/>
        <v>65924360.20885434</v>
      </c>
      <c r="F62" s="21">
        <f t="shared" si="26"/>
        <v>65091154.198643371</v>
      </c>
      <c r="G62" s="21">
        <f t="shared" si="26"/>
        <v>67719023.725073636</v>
      </c>
      <c r="H62" s="21">
        <f t="shared" si="26"/>
        <v>67455643.763356954</v>
      </c>
      <c r="I62" s="21">
        <f t="shared" si="26"/>
        <v>72164074.441432789</v>
      </c>
      <c r="J62" s="21">
        <f t="shared" si="26"/>
        <v>72857674.177158505</v>
      </c>
      <c r="K62" s="21">
        <f t="shared" si="26"/>
        <v>67010017.529740088</v>
      </c>
      <c r="L62" s="21">
        <f t="shared" si="26"/>
        <v>68082425.14418605</v>
      </c>
      <c r="M62" s="21">
        <f t="shared" si="26"/>
        <v>66162104.169882834</v>
      </c>
      <c r="N62" s="21">
        <f t="shared" si="26"/>
        <v>61743415.206819221</v>
      </c>
    </row>
    <row r="63" spans="2:14" x14ac:dyDescent="0.25">
      <c r="B63" s="36" t="s">
        <v>28</v>
      </c>
      <c r="C63" s="33">
        <f>SUM(C61:C62)</f>
        <v>123671427.19508778</v>
      </c>
      <c r="D63" s="33">
        <f t="shared" ref="D63:N63" si="27">SUM(D61:D62)</f>
        <v>107854048.61999676</v>
      </c>
      <c r="E63" s="33">
        <f t="shared" si="27"/>
        <v>114891039.08029661</v>
      </c>
      <c r="F63" s="33">
        <f t="shared" si="27"/>
        <v>110087393.01219407</v>
      </c>
      <c r="G63" s="33">
        <f t="shared" si="27"/>
        <v>112974696.15919498</v>
      </c>
      <c r="H63" s="33">
        <f t="shared" si="27"/>
        <v>120023657.58928299</v>
      </c>
      <c r="I63" s="33">
        <f t="shared" si="27"/>
        <v>133236850.82588725</v>
      </c>
      <c r="J63" s="33">
        <f t="shared" si="27"/>
        <v>132227032.04812928</v>
      </c>
      <c r="K63" s="33">
        <f t="shared" si="27"/>
        <v>116111069.11244094</v>
      </c>
      <c r="L63" s="33">
        <f t="shared" si="27"/>
        <v>113478259.35632619</v>
      </c>
      <c r="M63" s="33">
        <f t="shared" si="27"/>
        <v>114443875.23203266</v>
      </c>
      <c r="N63" s="33">
        <f t="shared" si="27"/>
        <v>114850800.45015819</v>
      </c>
    </row>
    <row r="64" spans="2:14" x14ac:dyDescent="0.25">
      <c r="B64" s="4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 x14ac:dyDescent="0.25">
      <c r="B65" s="42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 x14ac:dyDescent="0.25">
      <c r="B66" s="43" t="s">
        <v>29</v>
      </c>
      <c r="C66" s="27" t="s">
        <v>9</v>
      </c>
      <c r="D66" s="27" t="s">
        <v>10</v>
      </c>
      <c r="E66" s="27" t="s">
        <v>11</v>
      </c>
      <c r="F66" s="27" t="s">
        <v>12</v>
      </c>
      <c r="G66" s="27" t="s">
        <v>13</v>
      </c>
      <c r="H66" s="27" t="s">
        <v>14</v>
      </c>
      <c r="I66" s="27" t="s">
        <v>15</v>
      </c>
      <c r="J66" s="27" t="s">
        <v>16</v>
      </c>
      <c r="K66" s="27" t="s">
        <v>17</v>
      </c>
      <c r="L66" s="27" t="s">
        <v>18</v>
      </c>
      <c r="M66" s="27" t="s">
        <v>19</v>
      </c>
      <c r="N66" s="27" t="s">
        <v>20</v>
      </c>
    </row>
    <row r="67" spans="2:14" x14ac:dyDescent="0.25">
      <c r="B67" s="36" t="s">
        <v>26</v>
      </c>
      <c r="C67" s="44">
        <f>C53/C55</f>
        <v>0.56101552691304479</v>
      </c>
      <c r="D67" s="44">
        <f t="shared" ref="D67:N67" si="28">D53/D55</f>
        <v>0.54393725923178526</v>
      </c>
      <c r="E67" s="44">
        <f t="shared" si="28"/>
        <v>0.53669765934433633</v>
      </c>
      <c r="F67" s="44">
        <f t="shared" si="28"/>
        <v>0.5165713814150501</v>
      </c>
      <c r="G67" s="44">
        <f t="shared" si="28"/>
        <v>0.51500016876102683</v>
      </c>
      <c r="H67" s="44">
        <f t="shared" si="28"/>
        <v>0.55155248743596541</v>
      </c>
      <c r="I67" s="44">
        <f t="shared" si="28"/>
        <v>0.57667364920101405</v>
      </c>
      <c r="J67" s="44">
        <f t="shared" si="28"/>
        <v>0.57639064253665262</v>
      </c>
      <c r="K67" s="44">
        <f t="shared" si="28"/>
        <v>0.54668497111086478</v>
      </c>
      <c r="L67" s="44">
        <f t="shared" si="28"/>
        <v>0.52192612944525674</v>
      </c>
      <c r="M67" s="44">
        <f t="shared" si="28"/>
        <v>0.54188423914137862</v>
      </c>
      <c r="N67" s="44">
        <f t="shared" si="28"/>
        <v>0.57489367281873494</v>
      </c>
    </row>
    <row r="68" spans="2:14" x14ac:dyDescent="0.25">
      <c r="B68" s="36" t="s">
        <v>27</v>
      </c>
      <c r="C68" s="44">
        <f>C54/C55</f>
        <v>0.4389844730869551</v>
      </c>
      <c r="D68" s="44">
        <f t="shared" ref="D68:N68" si="29">D54/D55</f>
        <v>0.45606274076821479</v>
      </c>
      <c r="E68" s="44">
        <f t="shared" si="29"/>
        <v>0.46330234065566378</v>
      </c>
      <c r="F68" s="44">
        <f t="shared" si="29"/>
        <v>0.48342861858494979</v>
      </c>
      <c r="G68" s="44">
        <f t="shared" si="29"/>
        <v>0.48499983123897317</v>
      </c>
      <c r="H68" s="44">
        <f t="shared" si="29"/>
        <v>0.44844751256403453</v>
      </c>
      <c r="I68" s="44">
        <f t="shared" si="29"/>
        <v>0.42332635079898595</v>
      </c>
      <c r="J68" s="44">
        <f t="shared" si="29"/>
        <v>0.42360935746334738</v>
      </c>
      <c r="K68" s="44">
        <f t="shared" si="29"/>
        <v>0.45331502888913533</v>
      </c>
      <c r="L68" s="44">
        <f t="shared" si="29"/>
        <v>0.47807387055474321</v>
      </c>
      <c r="M68" s="44">
        <f t="shared" si="29"/>
        <v>0.45811576085862143</v>
      </c>
      <c r="N68" s="44">
        <f t="shared" si="29"/>
        <v>0.42510632718126518</v>
      </c>
    </row>
    <row r="71" spans="2:14" ht="15.6" x14ac:dyDescent="0.3">
      <c r="B71" s="17" t="s">
        <v>35</v>
      </c>
    </row>
    <row r="72" spans="2:14" x14ac:dyDescent="0.25">
      <c r="B72" s="18"/>
    </row>
    <row r="73" spans="2:14" x14ac:dyDescent="0.25">
      <c r="B73" s="43" t="s">
        <v>43</v>
      </c>
      <c r="C73" s="27" t="s">
        <v>9</v>
      </c>
      <c r="D73" s="27" t="s">
        <v>10</v>
      </c>
      <c r="E73" s="27" t="s">
        <v>11</v>
      </c>
      <c r="F73" s="27" t="s">
        <v>12</v>
      </c>
      <c r="G73" s="27" t="s">
        <v>13</v>
      </c>
      <c r="H73" s="27" t="s">
        <v>14</v>
      </c>
      <c r="I73" s="27" t="s">
        <v>15</v>
      </c>
      <c r="J73" s="27" t="s">
        <v>16</v>
      </c>
      <c r="K73" s="27" t="s">
        <v>17</v>
      </c>
      <c r="L73" s="27" t="s">
        <v>18</v>
      </c>
      <c r="M73" s="27" t="s">
        <v>19</v>
      </c>
      <c r="N73" s="27" t="s">
        <v>20</v>
      </c>
    </row>
    <row r="74" spans="2:14" x14ac:dyDescent="0.25">
      <c r="B74" s="28" t="s">
        <v>36</v>
      </c>
      <c r="C74" s="45">
        <v>7.6999999999999999E-2</v>
      </c>
      <c r="D74" s="45">
        <v>7.6999999999999999E-2</v>
      </c>
      <c r="E74" s="45">
        <v>7.6999999999999999E-2</v>
      </c>
      <c r="F74" s="45">
        <v>7.6999999999999999E-2</v>
      </c>
      <c r="G74" s="45">
        <v>7.6999999999999999E-2</v>
      </c>
      <c r="H74" s="45">
        <v>7.6999999999999999E-2</v>
      </c>
      <c r="I74" s="45">
        <v>7.6999999999999999E-2</v>
      </c>
      <c r="J74" s="45">
        <v>7.6999999999999999E-2</v>
      </c>
      <c r="K74" s="45">
        <v>7.6999999999999999E-2</v>
      </c>
      <c r="L74" s="45">
        <v>7.6999999999999999E-2</v>
      </c>
      <c r="M74" s="45">
        <v>7.6999999999999999E-2</v>
      </c>
      <c r="N74" s="45">
        <v>7.6999999999999999E-2</v>
      </c>
    </row>
    <row r="75" spans="2:14" x14ac:dyDescent="0.25">
      <c r="B75" s="28" t="s">
        <v>37</v>
      </c>
      <c r="C75" s="45">
        <v>8.8999999999999996E-2</v>
      </c>
      <c r="D75" s="45">
        <v>8.8999999999999996E-2</v>
      </c>
      <c r="E75" s="45">
        <v>8.8999999999999996E-2</v>
      </c>
      <c r="F75" s="45">
        <v>8.8999999999999996E-2</v>
      </c>
      <c r="G75" s="45">
        <v>8.8999999999999996E-2</v>
      </c>
      <c r="H75" s="45">
        <v>8.8999999999999996E-2</v>
      </c>
      <c r="I75" s="45">
        <v>8.8999999999999996E-2</v>
      </c>
      <c r="J75" s="45">
        <v>8.8999999999999996E-2</v>
      </c>
      <c r="K75" s="45">
        <v>8.8999999999999996E-2</v>
      </c>
      <c r="L75" s="45">
        <v>8.8999999999999996E-2</v>
      </c>
      <c r="M75" s="45">
        <v>8.8999999999999996E-2</v>
      </c>
      <c r="N75" s="45">
        <v>8.8999999999999996E-2</v>
      </c>
    </row>
    <row r="76" spans="2:14" x14ac:dyDescent="0.25">
      <c r="B76" s="28" t="s">
        <v>38</v>
      </c>
      <c r="C76" s="45">
        <v>6.5000000000000002E-2</v>
      </c>
      <c r="D76" s="45">
        <v>6.5000000000000002E-2</v>
      </c>
      <c r="E76" s="45">
        <v>6.5000000000000002E-2</v>
      </c>
      <c r="F76" s="45">
        <v>6.5000000000000002E-2</v>
      </c>
      <c r="G76" s="45">
        <v>6.5000000000000002E-2</v>
      </c>
      <c r="H76" s="45">
        <v>6.5000000000000002E-2</v>
      </c>
      <c r="I76" s="45">
        <v>6.5000000000000002E-2</v>
      </c>
      <c r="J76" s="45">
        <v>6.5000000000000002E-2</v>
      </c>
      <c r="K76" s="45">
        <v>6.5000000000000002E-2</v>
      </c>
      <c r="L76" s="45">
        <v>6.5000000000000002E-2</v>
      </c>
      <c r="M76" s="45">
        <v>6.5000000000000002E-2</v>
      </c>
      <c r="N76" s="45">
        <v>6.5000000000000002E-2</v>
      </c>
    </row>
    <row r="77" spans="2:14" x14ac:dyDescent="0.25">
      <c r="B77" s="28" t="s">
        <v>39</v>
      </c>
      <c r="C77" s="45">
        <v>9.4E-2</v>
      </c>
      <c r="D77" s="45">
        <v>9.4E-2</v>
      </c>
      <c r="E77" s="45">
        <v>9.4E-2</v>
      </c>
      <c r="F77" s="45">
        <v>9.4E-2</v>
      </c>
      <c r="G77" s="45">
        <v>9.4E-2</v>
      </c>
      <c r="H77" s="45">
        <v>9.4E-2</v>
      </c>
      <c r="I77" s="45">
        <v>9.4E-2</v>
      </c>
      <c r="J77" s="45">
        <v>9.4E-2</v>
      </c>
      <c r="K77" s="45">
        <v>9.4E-2</v>
      </c>
      <c r="L77" s="45">
        <v>9.4E-2</v>
      </c>
      <c r="M77" s="45">
        <v>9.4E-2</v>
      </c>
      <c r="N77" s="45">
        <v>9.4E-2</v>
      </c>
    </row>
    <row r="78" spans="2:14" x14ac:dyDescent="0.25">
      <c r="B78" s="28" t="s">
        <v>40</v>
      </c>
      <c r="C78" s="45">
        <v>0.13200000000000001</v>
      </c>
      <c r="D78" s="45">
        <v>0.13200000000000001</v>
      </c>
      <c r="E78" s="45">
        <v>0.13200000000000001</v>
      </c>
      <c r="F78" s="45">
        <v>0.13200000000000001</v>
      </c>
      <c r="G78" s="45">
        <v>0.13200000000000001</v>
      </c>
      <c r="H78" s="45">
        <v>0.13200000000000001</v>
      </c>
      <c r="I78" s="45">
        <v>0.13200000000000001</v>
      </c>
      <c r="J78" s="45">
        <v>0.13200000000000001</v>
      </c>
      <c r="K78" s="45">
        <v>0.13200000000000001</v>
      </c>
      <c r="L78" s="45">
        <v>0.13200000000000001</v>
      </c>
      <c r="M78" s="45">
        <v>0.13200000000000001</v>
      </c>
      <c r="N78" s="45">
        <v>0.13200000000000001</v>
      </c>
    </row>
    <row r="79" spans="2:14" x14ac:dyDescent="0.25">
      <c r="B79" s="22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2:14" x14ac:dyDescent="0.25">
      <c r="B80" s="43" t="s">
        <v>41</v>
      </c>
      <c r="C80" s="27" t="s">
        <v>9</v>
      </c>
      <c r="D80" s="27" t="s">
        <v>10</v>
      </c>
      <c r="E80" s="27" t="s">
        <v>11</v>
      </c>
      <c r="F80" s="27" t="s">
        <v>12</v>
      </c>
      <c r="G80" s="27" t="s">
        <v>13</v>
      </c>
      <c r="H80" s="27" t="s">
        <v>14</v>
      </c>
      <c r="I80" s="27" t="s">
        <v>15</v>
      </c>
      <c r="J80" s="27" t="s">
        <v>16</v>
      </c>
      <c r="K80" s="27" t="s">
        <v>17</v>
      </c>
      <c r="L80" s="27" t="s">
        <v>18</v>
      </c>
      <c r="M80" s="27" t="s">
        <v>19</v>
      </c>
      <c r="N80" s="27" t="s">
        <v>20</v>
      </c>
    </row>
    <row r="81" spans="2:14" x14ac:dyDescent="0.25">
      <c r="B81" s="28" t="s">
        <v>36</v>
      </c>
      <c r="C81" s="46">
        <f>'Consumption and Rates'!E56/SUM('Consumption and Rates'!E$56:E$60)</f>
        <v>5.3534722284970693E-2</v>
      </c>
      <c r="D81" s="46">
        <f>'Consumption and Rates'!F56/SUM('Consumption and Rates'!F$56:F$60)</f>
        <v>5.6534637296076364E-2</v>
      </c>
      <c r="E81" s="46">
        <f>'Consumption and Rates'!G56/SUM('Consumption and Rates'!G$56:G$60)</f>
        <v>4.9951256277769952E-2</v>
      </c>
      <c r="F81" s="46">
        <f>'Consumption and Rates'!H56/SUM('Consumption and Rates'!H$56:H$60)</f>
        <v>6.0922058463758005E-2</v>
      </c>
      <c r="G81" s="46">
        <f>'Consumption and Rates'!I56/SUM('Consumption and Rates'!I$56:I$60)</f>
        <v>4.1249904156655241E-2</v>
      </c>
      <c r="H81" s="46">
        <f>'Consumption and Rates'!J56/SUM('Consumption and Rates'!J$56:J$60)</f>
        <v>4.0586064683693641E-2</v>
      </c>
      <c r="I81" s="46">
        <f>'Consumption and Rates'!K56/SUM('Consumption and Rates'!K$56:K$60)</f>
        <v>3.7190479204959201E-2</v>
      </c>
      <c r="J81" s="46">
        <f>'Consumption and Rates'!L56/SUM('Consumption and Rates'!L$56:L$60)</f>
        <v>3.5694197568294526E-2</v>
      </c>
      <c r="K81" s="46">
        <f>'Consumption and Rates'!M56/SUM('Consumption and Rates'!M$56:M$60)</f>
        <v>4.0408631811731391E-2</v>
      </c>
      <c r="L81" s="46">
        <f>'Consumption and Rates'!N56/SUM('Consumption and Rates'!N$56:N$60)</f>
        <v>4.5283833908285415E-2</v>
      </c>
      <c r="M81" s="46">
        <f>'Consumption and Rates'!O56/SUM('Consumption and Rates'!O$56:O$60)</f>
        <v>5.4480610261991767E-2</v>
      </c>
      <c r="N81" s="46">
        <f>'Consumption and Rates'!P56/SUM('Consumption and Rates'!P$56:P$60)</f>
        <v>5.4714537181623293E-2</v>
      </c>
    </row>
    <row r="82" spans="2:14" x14ac:dyDescent="0.25">
      <c r="B82" s="28" t="s">
        <v>37</v>
      </c>
      <c r="C82" s="46">
        <f>'Consumption and Rates'!E57/SUM('Consumption and Rates'!E$56:E$60)</f>
        <v>3.4710740391010297E-2</v>
      </c>
      <c r="D82" s="46">
        <f>'Consumption and Rates'!F57/SUM('Consumption and Rates'!F$56:F$60)</f>
        <v>3.4498320377026943E-2</v>
      </c>
      <c r="E82" s="46">
        <f>'Consumption and Rates'!G57/SUM('Consumption and Rates'!G$56:G$60)</f>
        <v>3.1114007604322612E-2</v>
      </c>
      <c r="F82" s="46">
        <f>'Consumption and Rates'!H57/SUM('Consumption and Rates'!H$56:H$60)</f>
        <v>3.9082059950476422E-2</v>
      </c>
      <c r="G82" s="46">
        <f>'Consumption and Rates'!I57/SUM('Consumption and Rates'!I$56:I$60)</f>
        <v>3.5150696335886425E-2</v>
      </c>
      <c r="H82" s="46">
        <f>'Consumption and Rates'!J57/SUM('Consumption and Rates'!J$56:J$60)</f>
        <v>3.1366091348065409E-2</v>
      </c>
      <c r="I82" s="46">
        <f>'Consumption and Rates'!K57/SUM('Consumption and Rates'!K$56:K$60)</f>
        <v>3.7742904352850541E-2</v>
      </c>
      <c r="J82" s="46">
        <f>'Consumption and Rates'!L57/SUM('Consumption and Rates'!L$56:L$60)</f>
        <v>3.195239906309727E-2</v>
      </c>
      <c r="K82" s="46">
        <f>'Consumption and Rates'!M57/SUM('Consumption and Rates'!M$56:M$60)</f>
        <v>3.3352410440169039E-2</v>
      </c>
      <c r="L82" s="46">
        <f>'Consumption and Rates'!N57/SUM('Consumption and Rates'!N$56:N$60)</f>
        <v>4.1847387040711816E-2</v>
      </c>
      <c r="M82" s="46">
        <f>'Consumption and Rates'!O57/SUM('Consumption and Rates'!O$56:O$60)</f>
        <v>3.3542612491483166E-2</v>
      </c>
      <c r="N82" s="46">
        <f>'Consumption and Rates'!P57/SUM('Consumption and Rates'!P$56:P$60)</f>
        <v>3.3420120403055552E-2</v>
      </c>
    </row>
    <row r="83" spans="2:14" x14ac:dyDescent="0.25">
      <c r="B83" s="28" t="s">
        <v>38</v>
      </c>
      <c r="C83" s="46">
        <f>'Consumption and Rates'!E59/SUM('Consumption and Rates'!E$56:E$60)</f>
        <v>0.58433670791129133</v>
      </c>
      <c r="D83" s="46">
        <f>'Consumption and Rates'!F59/SUM('Consumption and Rates'!F$56:F$60)</f>
        <v>0.57828168802852886</v>
      </c>
      <c r="E83" s="46">
        <f>'Consumption and Rates'!G59/SUM('Consumption and Rates'!G$56:G$60)</f>
        <v>0.58888073848362921</v>
      </c>
      <c r="F83" s="46">
        <f>'Consumption and Rates'!H59/SUM('Consumption and Rates'!H$56:H$60)</f>
        <v>0.56751654327893075</v>
      </c>
      <c r="G83" s="46">
        <f>'Consumption and Rates'!I59/SUM('Consumption and Rates'!I$56:I$60)</f>
        <v>0.56987169454896591</v>
      </c>
      <c r="H83" s="46">
        <f>'Consumption and Rates'!J59/SUM('Consumption and Rates'!J$56:J$60)</f>
        <v>0.57657306749434178</v>
      </c>
      <c r="I83" s="46">
        <f>'Consumption and Rates'!K59/SUM('Consumption and Rates'!K$56:K$60)</f>
        <v>0.5668847429435796</v>
      </c>
      <c r="J83" s="46">
        <f>'Consumption and Rates'!L59/SUM('Consumption and Rates'!L$56:L$60)</f>
        <v>0.57361512294131056</v>
      </c>
      <c r="K83" s="46">
        <f>'Consumption and Rates'!M59/SUM('Consumption and Rates'!M$56:M$60)</f>
        <v>0.58022750098034948</v>
      </c>
      <c r="L83" s="46">
        <f>'Consumption and Rates'!N59/SUM('Consumption and Rates'!N$56:N$60)</f>
        <v>0.56918987949008193</v>
      </c>
      <c r="M83" s="46">
        <f>'Consumption and Rates'!O59/SUM('Consumption and Rates'!O$56:O$60)</f>
        <v>0.56114287109620953</v>
      </c>
      <c r="N83" s="46">
        <f>'Consumption and Rates'!P59/SUM('Consumption and Rates'!P$56:P$60)</f>
        <v>0.5974516612925922</v>
      </c>
    </row>
    <row r="84" spans="2:14" x14ac:dyDescent="0.25">
      <c r="B84" s="28" t="s">
        <v>39</v>
      </c>
      <c r="C84" s="46">
        <f>'Consumption and Rates'!E60/SUM('Consumption and Rates'!E$56:E$60)</f>
        <v>0.1606914494819798</v>
      </c>
      <c r="D84" s="46">
        <f>'Consumption and Rates'!F60/SUM('Consumption and Rates'!F$56:F$60)</f>
        <v>0.16185203385042832</v>
      </c>
      <c r="E84" s="46">
        <f>'Consumption and Rates'!G60/SUM('Consumption and Rates'!G$56:G$60)</f>
        <v>0.163395986746532</v>
      </c>
      <c r="F84" s="46">
        <f>'Consumption and Rates'!H60/SUM('Consumption and Rates'!H$56:H$60)</f>
        <v>0.16663351329714959</v>
      </c>
      <c r="G84" s="46">
        <f>'Consumption and Rates'!I60/SUM('Consumption and Rates'!I$56:I$60)</f>
        <v>0.17072260035245371</v>
      </c>
      <c r="H84" s="46">
        <f>'Consumption and Rates'!J60/SUM('Consumption and Rates'!J$56:J$60)</f>
        <v>0.16697517155672706</v>
      </c>
      <c r="I84" s="46">
        <f>'Consumption and Rates'!K60/SUM('Consumption and Rates'!K$56:K$60)</f>
        <v>0.16585998202326535</v>
      </c>
      <c r="J84" s="46">
        <f>'Consumption and Rates'!L60/SUM('Consumption and Rates'!L$56:L$60)</f>
        <v>0.16623643811651248</v>
      </c>
      <c r="K84" s="46">
        <f>'Consumption and Rates'!M60/SUM('Consumption and Rates'!M$56:M$60)</f>
        <v>0.1654014440905863</v>
      </c>
      <c r="L84" s="46">
        <f>'Consumption and Rates'!N60/SUM('Consumption and Rates'!N$56:N$60)</f>
        <v>0.16993474576550094</v>
      </c>
      <c r="M84" s="46">
        <f>'Consumption and Rates'!O60/SUM('Consumption and Rates'!O$56:O$60)</f>
        <v>0.17438863304278451</v>
      </c>
      <c r="N84" s="46">
        <f>'Consumption and Rates'!P60/SUM('Consumption and Rates'!P$56:P$60)</f>
        <v>0.15477821803697636</v>
      </c>
    </row>
    <row r="85" spans="2:14" x14ac:dyDescent="0.25">
      <c r="B85" s="28" t="s">
        <v>40</v>
      </c>
      <c r="C85" s="46">
        <f>'Consumption and Rates'!E58/SUM('Consumption and Rates'!E$56:E$60)</f>
        <v>0.16672637993074779</v>
      </c>
      <c r="D85" s="46">
        <f>'Consumption and Rates'!F58/SUM('Consumption and Rates'!F$56:F$60)</f>
        <v>0.16883332044793953</v>
      </c>
      <c r="E85" s="46">
        <f>'Consumption and Rates'!G58/SUM('Consumption and Rates'!G$56:G$60)</f>
        <v>0.16665801088774623</v>
      </c>
      <c r="F85" s="46">
        <f>'Consumption and Rates'!H58/SUM('Consumption and Rates'!H$56:H$60)</f>
        <v>0.16584582500968523</v>
      </c>
      <c r="G85" s="46">
        <f>'Consumption and Rates'!I58/SUM('Consumption and Rates'!I$56:I$60)</f>
        <v>0.18300510460603875</v>
      </c>
      <c r="H85" s="46">
        <f>'Consumption and Rates'!J58/SUM('Consumption and Rates'!J$56:J$60)</f>
        <v>0.18449960491717204</v>
      </c>
      <c r="I85" s="46">
        <f>'Consumption and Rates'!K58/SUM('Consumption and Rates'!K$56:K$60)</f>
        <v>0.19232189147534523</v>
      </c>
      <c r="J85" s="46">
        <f>'Consumption and Rates'!L58/SUM('Consumption and Rates'!L$56:L$60)</f>
        <v>0.1925018423107851</v>
      </c>
      <c r="K85" s="46">
        <f>'Consumption and Rates'!M58/SUM('Consumption and Rates'!M$56:M$60)</f>
        <v>0.18061001267716378</v>
      </c>
      <c r="L85" s="46">
        <f>'Consumption and Rates'!N58/SUM('Consumption and Rates'!N$56:N$60)</f>
        <v>0.17374415379541983</v>
      </c>
      <c r="M85" s="46">
        <f>'Consumption and Rates'!O58/SUM('Consumption and Rates'!O$56:O$60)</f>
        <v>0.17644527310753094</v>
      </c>
      <c r="N85" s="46">
        <f>'Consumption and Rates'!P58/SUM('Consumption and Rates'!P$56:P$60)</f>
        <v>0.15963546308575266</v>
      </c>
    </row>
    <row r="86" spans="2:14" x14ac:dyDescent="0.25">
      <c r="B86" s="47" t="s">
        <v>21</v>
      </c>
      <c r="C86" s="39">
        <f>SUM(C81:C85)</f>
        <v>0.99999999999999989</v>
      </c>
      <c r="D86" s="39">
        <f t="shared" ref="D86" si="30">SUM(D81:D85)</f>
        <v>1</v>
      </c>
      <c r="E86" s="39">
        <f t="shared" ref="E86" si="31">SUM(E81:E85)</f>
        <v>1</v>
      </c>
      <c r="F86" s="39">
        <f t="shared" ref="F86" si="32">SUM(F81:F85)</f>
        <v>1</v>
      </c>
      <c r="G86" s="39">
        <f t="shared" ref="G86" si="33">SUM(G81:G85)</f>
        <v>1</v>
      </c>
      <c r="H86" s="39">
        <f t="shared" ref="H86" si="34">SUM(H81:H85)</f>
        <v>1</v>
      </c>
      <c r="I86" s="39">
        <f t="shared" ref="I86" si="35">SUM(I81:I85)</f>
        <v>1</v>
      </c>
      <c r="J86" s="39">
        <f t="shared" ref="J86" si="36">SUM(J81:J85)</f>
        <v>1</v>
      </c>
      <c r="K86" s="39">
        <f t="shared" ref="K86" si="37">SUM(K81:K85)</f>
        <v>1</v>
      </c>
      <c r="L86" s="39">
        <f t="shared" ref="L86" si="38">SUM(L81:L85)</f>
        <v>1</v>
      </c>
      <c r="M86" s="39">
        <f t="shared" ref="M86" si="39">SUM(M81:M85)</f>
        <v>1</v>
      </c>
      <c r="N86" s="39">
        <f t="shared" ref="N86" si="40">SUM(N81:N85)</f>
        <v>1</v>
      </c>
    </row>
    <row r="87" spans="2:14" x14ac:dyDescent="0.25">
      <c r="B87" s="22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</row>
    <row r="88" spans="2:14" x14ac:dyDescent="0.25">
      <c r="B88" s="43" t="s">
        <v>42</v>
      </c>
      <c r="C88" s="27" t="s">
        <v>9</v>
      </c>
      <c r="D88" s="27" t="s">
        <v>10</v>
      </c>
      <c r="E88" s="27" t="s">
        <v>11</v>
      </c>
      <c r="F88" s="27" t="s">
        <v>12</v>
      </c>
      <c r="G88" s="27" t="s">
        <v>13</v>
      </c>
      <c r="H88" s="27" t="s">
        <v>14</v>
      </c>
      <c r="I88" s="27" t="s">
        <v>15</v>
      </c>
      <c r="J88" s="27" t="s">
        <v>16</v>
      </c>
      <c r="K88" s="27" t="s">
        <v>17</v>
      </c>
      <c r="L88" s="27" t="s">
        <v>18</v>
      </c>
      <c r="M88" s="27" t="s">
        <v>19</v>
      </c>
      <c r="N88" s="27" t="s">
        <v>20</v>
      </c>
    </row>
    <row r="89" spans="2:14" x14ac:dyDescent="0.25">
      <c r="B89" s="28" t="s">
        <v>36</v>
      </c>
      <c r="C89" s="21">
        <f>C81*C$53</f>
        <v>3004847.8600000017</v>
      </c>
      <c r="D89" s="21">
        <f t="shared" ref="D89:N89" si="41">D81*D$53</f>
        <v>2663362.4129729737</v>
      </c>
      <c r="E89" s="21">
        <f t="shared" si="41"/>
        <v>2445947.1253786762</v>
      </c>
      <c r="F89" s="21">
        <f t="shared" si="41"/>
        <v>2741263.4916483532</v>
      </c>
      <c r="G89" s="21">
        <f t="shared" si="41"/>
        <v>1866792.1504524895</v>
      </c>
      <c r="H89" s="21">
        <f t="shared" si="41"/>
        <v>2133528.8094323357</v>
      </c>
      <c r="I89" s="21">
        <f t="shared" si="41"/>
        <v>2271325.820115177</v>
      </c>
      <c r="J89" s="21">
        <f t="shared" si="41"/>
        <v>2119141.5893492126</v>
      </c>
      <c r="K89" s="21">
        <f t="shared" si="41"/>
        <v>1984106.31497419</v>
      </c>
      <c r="L89" s="21">
        <f t="shared" si="41"/>
        <v>2055697.4165906152</v>
      </c>
      <c r="M89" s="21">
        <f t="shared" si="41"/>
        <v>2630420.3519956968</v>
      </c>
      <c r="N89" s="21">
        <f t="shared" si="41"/>
        <v>2905746.0045154626</v>
      </c>
    </row>
    <row r="90" spans="2:14" x14ac:dyDescent="0.25">
      <c r="B90" s="28" t="s">
        <v>37</v>
      </c>
      <c r="C90" s="21">
        <f t="shared" ref="C90:N93" si="42">C82*C$53</f>
        <v>1948277.4829341774</v>
      </c>
      <c r="D90" s="21">
        <f t="shared" si="42"/>
        <v>1625225.4228090711</v>
      </c>
      <c r="E90" s="21">
        <f t="shared" si="42"/>
        <v>1523549.6187644782</v>
      </c>
      <c r="F90" s="21">
        <f t="shared" si="42"/>
        <v>1758545.7028571425</v>
      </c>
      <c r="G90" s="21">
        <f t="shared" si="42"/>
        <v>1590768.399208145</v>
      </c>
      <c r="H90" s="21">
        <f t="shared" si="42"/>
        <v>1648853.1236503613</v>
      </c>
      <c r="I90" s="21">
        <f t="shared" si="42"/>
        <v>2305063.957641494</v>
      </c>
      <c r="J90" s="21">
        <f t="shared" si="42"/>
        <v>1896993.4148130929</v>
      </c>
      <c r="K90" s="21">
        <f t="shared" si="42"/>
        <v>1637638.4254301507</v>
      </c>
      <c r="L90" s="21">
        <f t="shared" si="42"/>
        <v>1899697.0443114159</v>
      </c>
      <c r="M90" s="21">
        <f t="shared" si="42"/>
        <v>1619496.7371401971</v>
      </c>
      <c r="N90" s="21">
        <f t="shared" si="42"/>
        <v>1774855.209123844</v>
      </c>
    </row>
    <row r="91" spans="2:14" x14ac:dyDescent="0.25">
      <c r="B91" s="28" t="s">
        <v>38</v>
      </c>
      <c r="C91" s="21">
        <f t="shared" si="42"/>
        <v>32798207.057844851</v>
      </c>
      <c r="D91" s="21">
        <f t="shared" si="42"/>
        <v>27243010.403334428</v>
      </c>
      <c r="E91" s="21">
        <f t="shared" si="42"/>
        <v>28835534.01490565</v>
      </c>
      <c r="F91" s="21">
        <f t="shared" si="42"/>
        <v>25536109.912019551</v>
      </c>
      <c r="G91" s="21">
        <f t="shared" si="42"/>
        <v>25789926.737985648</v>
      </c>
      <c r="H91" s="21">
        <f t="shared" si="42"/>
        <v>30309300.983699143</v>
      </c>
      <c r="I91" s="21">
        <f t="shared" si="42"/>
        <v>34621225.141552188</v>
      </c>
      <c r="J91" s="21">
        <f t="shared" si="42"/>
        <v>34055161.514103562</v>
      </c>
      <c r="K91" s="21">
        <f t="shared" si="42"/>
        <v>28489780.455337755</v>
      </c>
      <c r="L91" s="21">
        <f t="shared" si="42"/>
        <v>25838849.404559791</v>
      </c>
      <c r="M91" s="21">
        <f t="shared" si="42"/>
        <v>27092971.635424636</v>
      </c>
      <c r="N91" s="21">
        <f t="shared" si="42"/>
        <v>31729095.540538564</v>
      </c>
    </row>
    <row r="92" spans="2:14" x14ac:dyDescent="0.25">
      <c r="B92" s="28" t="s">
        <v>39</v>
      </c>
      <c r="C92" s="21">
        <f t="shared" si="42"/>
        <v>9019442.6623892542</v>
      </c>
      <c r="D92" s="21">
        <f t="shared" si="42"/>
        <v>7624894.1186782401</v>
      </c>
      <c r="E92" s="21">
        <f t="shared" si="42"/>
        <v>8000958.8118998697</v>
      </c>
      <c r="F92" s="21">
        <f t="shared" si="42"/>
        <v>7497881.3586595198</v>
      </c>
      <c r="G92" s="21">
        <f t="shared" si="42"/>
        <v>7726166.0786520522</v>
      </c>
      <c r="H92" s="21">
        <f t="shared" si="42"/>
        <v>8777553.1269803997</v>
      </c>
      <c r="I92" s="21">
        <f t="shared" si="42"/>
        <v>10129529.593236521</v>
      </c>
      <c r="J92" s="21">
        <f t="shared" si="42"/>
        <v>9869350.5857347157</v>
      </c>
      <c r="K92" s="21">
        <f t="shared" si="42"/>
        <v>8121384.8381450903</v>
      </c>
      <c r="L92" s="21">
        <f t="shared" si="42"/>
        <v>7714329.5456528664</v>
      </c>
      <c r="M92" s="21">
        <f t="shared" si="42"/>
        <v>8419792.0564129781</v>
      </c>
      <c r="N92" s="21">
        <f t="shared" si="42"/>
        <v>8219866.4525672207</v>
      </c>
    </row>
    <row r="93" spans="2:14" x14ac:dyDescent="0.25">
      <c r="B93" s="28" t="s">
        <v>40</v>
      </c>
      <c r="C93" s="21">
        <f t="shared" si="42"/>
        <v>9358176.9841570966</v>
      </c>
      <c r="D93" s="21">
        <f t="shared" si="42"/>
        <v>7953784.4628512589</v>
      </c>
      <c r="E93" s="21">
        <f t="shared" si="42"/>
        <v>8160689.3004935998</v>
      </c>
      <c r="F93" s="21">
        <f t="shared" si="42"/>
        <v>7462438.3483661367</v>
      </c>
      <c r="G93" s="21">
        <f t="shared" si="42"/>
        <v>8282019.0678229984</v>
      </c>
      <c r="H93" s="21">
        <f t="shared" si="42"/>
        <v>9698777.7821637914</v>
      </c>
      <c r="I93" s="21">
        <f t="shared" si="42"/>
        <v>11745631.871909078</v>
      </c>
      <c r="J93" s="21">
        <f t="shared" si="42"/>
        <v>11428710.766970184</v>
      </c>
      <c r="K93" s="21">
        <f t="shared" si="42"/>
        <v>8868141.5488136765</v>
      </c>
      <c r="L93" s="21">
        <f t="shared" si="42"/>
        <v>7887260.8010254595</v>
      </c>
      <c r="M93" s="21">
        <f t="shared" si="42"/>
        <v>8519090.28117631</v>
      </c>
      <c r="N93" s="21">
        <f t="shared" si="42"/>
        <v>8477822.0365938842</v>
      </c>
    </row>
    <row r="94" spans="2:14" x14ac:dyDescent="0.25">
      <c r="B94" s="30" t="s">
        <v>21</v>
      </c>
      <c r="C94" s="33">
        <f>SUM(C89:C93)</f>
        <v>56128952.047325388</v>
      </c>
      <c r="D94" s="33">
        <f t="shared" ref="D94:N94" si="43">SUM(D89:D93)</f>
        <v>47110276.820645966</v>
      </c>
      <c r="E94" s="33">
        <f t="shared" si="43"/>
        <v>48966678.871442273</v>
      </c>
      <c r="F94" s="33">
        <f t="shared" si="43"/>
        <v>44996238.813550703</v>
      </c>
      <c r="G94" s="33">
        <f t="shared" si="43"/>
        <v>45255672.434121333</v>
      </c>
      <c r="H94" s="33">
        <f t="shared" si="43"/>
        <v>52568013.825926036</v>
      </c>
      <c r="I94" s="33">
        <f t="shared" si="43"/>
        <v>61072776.384454459</v>
      </c>
      <c r="J94" s="33">
        <f t="shared" si="43"/>
        <v>59369357.870970771</v>
      </c>
      <c r="K94" s="33">
        <f t="shared" si="43"/>
        <v>49101051.582700863</v>
      </c>
      <c r="L94" s="33">
        <f t="shared" si="43"/>
        <v>45395834.21214015</v>
      </c>
      <c r="M94" s="33">
        <f t="shared" si="43"/>
        <v>48281771.062149823</v>
      </c>
      <c r="N94" s="33">
        <f t="shared" si="43"/>
        <v>53107385.243338972</v>
      </c>
    </row>
    <row r="97" spans="2:15" ht="15.6" x14ac:dyDescent="0.3">
      <c r="B97" s="17" t="s">
        <v>50</v>
      </c>
    </row>
    <row r="98" spans="2:15" ht="14.4" x14ac:dyDescent="0.3">
      <c r="B98" s="9"/>
    </row>
    <row r="99" spans="2:15" x14ac:dyDescent="0.25">
      <c r="B99" s="48" t="s">
        <v>55</v>
      </c>
      <c r="C99" s="27" t="s">
        <v>9</v>
      </c>
      <c r="D99" s="27" t="s">
        <v>10</v>
      </c>
      <c r="E99" s="27" t="s">
        <v>11</v>
      </c>
      <c r="F99" s="27" t="s">
        <v>12</v>
      </c>
      <c r="G99" s="27" t="s">
        <v>13</v>
      </c>
      <c r="H99" s="27" t="s">
        <v>14</v>
      </c>
      <c r="I99" s="27" t="s">
        <v>15</v>
      </c>
      <c r="J99" s="27" t="s">
        <v>16</v>
      </c>
      <c r="K99" s="27" t="s">
        <v>17</v>
      </c>
      <c r="L99" s="27" t="s">
        <v>18</v>
      </c>
      <c r="M99" s="27" t="s">
        <v>19</v>
      </c>
      <c r="N99" s="27" t="s">
        <v>20</v>
      </c>
    </row>
    <row r="100" spans="2:15" x14ac:dyDescent="0.25">
      <c r="B100" s="28" t="s">
        <v>51</v>
      </c>
      <c r="C100" s="63">
        <f>C186</f>
        <v>4.266778429996769E-2</v>
      </c>
      <c r="D100" s="63">
        <f t="shared" ref="D100:N100" si="44">D186</f>
        <v>-2.7834327715144758E-3</v>
      </c>
      <c r="E100" s="63">
        <f t="shared" si="44"/>
        <v>7.9269894368065308E-3</v>
      </c>
      <c r="F100" s="63">
        <f t="shared" si="44"/>
        <v>2.8082363581647247E-2</v>
      </c>
      <c r="G100" s="63">
        <f t="shared" si="44"/>
        <v>-2.8600797578242788E-2</v>
      </c>
      <c r="H100" s="63">
        <f t="shared" si="44"/>
        <v>7.886777827458421E-4</v>
      </c>
      <c r="I100" s="63">
        <f t="shared" si="44"/>
        <v>2.7238019293385995E-2</v>
      </c>
      <c r="J100" s="63">
        <f t="shared" si="44"/>
        <v>9.7909044964126883E-3</v>
      </c>
      <c r="K100" s="63">
        <f t="shared" si="44"/>
        <v>9.4742593759109053E-3</v>
      </c>
      <c r="L100" s="63">
        <f t="shared" si="44"/>
        <v>-2.6870674823571406E-2</v>
      </c>
      <c r="M100" s="63">
        <f t="shared" si="44"/>
        <v>2.832782894197635E-2</v>
      </c>
      <c r="N100" s="63">
        <f t="shared" si="44"/>
        <v>2.8116418937765442E-2</v>
      </c>
    </row>
    <row r="101" spans="2:15" x14ac:dyDescent="0.25">
      <c r="B101" s="28" t="s">
        <v>52</v>
      </c>
      <c r="C101" s="63">
        <f>C187</f>
        <v>2.027265640113602E-2</v>
      </c>
      <c r="D101" s="63">
        <f t="shared" ref="D101:N101" si="45">D187</f>
        <v>3.1947010734836571E-2</v>
      </c>
      <c r="E101" s="63">
        <f t="shared" si="45"/>
        <v>1.9313256392928611E-2</v>
      </c>
      <c r="F101" s="63">
        <f t="shared" si="45"/>
        <v>1.7580130490640739E-2</v>
      </c>
      <c r="G101" s="63">
        <f t="shared" si="45"/>
        <v>2.9714422556118624E-2</v>
      </c>
      <c r="H101" s="63">
        <f t="shared" si="45"/>
        <v>1.361094860425865E-2</v>
      </c>
      <c r="I101" s="63">
        <f t="shared" si="45"/>
        <v>1.7939624194798772E-2</v>
      </c>
      <c r="J101" s="63">
        <f t="shared" si="45"/>
        <v>3.0637300850248426E-2</v>
      </c>
      <c r="K101" s="63">
        <f t="shared" si="45"/>
        <v>3.0647676309430862E-2</v>
      </c>
      <c r="L101" s="63">
        <f t="shared" si="45"/>
        <v>2.9512862822852107E-2</v>
      </c>
      <c r="M101" s="63">
        <f t="shared" si="45"/>
        <v>1.4071701950838605E-2</v>
      </c>
      <c r="N101" s="63">
        <f t="shared" si="45"/>
        <v>2.5717193901436633E-2</v>
      </c>
    </row>
    <row r="102" spans="2:15" x14ac:dyDescent="0.25">
      <c r="B102" s="28" t="s">
        <v>53</v>
      </c>
      <c r="C102" s="62">
        <f>'Consumption and Rates'!E5/100</f>
        <v>8.7769999999999987E-2</v>
      </c>
      <c r="D102" s="62">
        <f>'Consumption and Rates'!F5/100</f>
        <v>7.3329999999999992E-2</v>
      </c>
      <c r="E102" s="62">
        <f>'Consumption and Rates'!G5/100</f>
        <v>7.8769999999999993E-2</v>
      </c>
      <c r="F102" s="62">
        <f>'Consumption and Rates'!H5/100</f>
        <v>9.8099999999999993E-2</v>
      </c>
      <c r="G102" s="62">
        <f>'Consumption and Rates'!I5/100</f>
        <v>9.391999999999999E-2</v>
      </c>
      <c r="H102" s="62">
        <f>'Consumption and Rates'!J5/100</f>
        <v>0.13336000000000001</v>
      </c>
      <c r="I102" s="62">
        <f>'Consumption and Rates'!K5/100</f>
        <v>8.5020000000000012E-2</v>
      </c>
      <c r="J102" s="62">
        <f>'Consumption and Rates'!L5/100</f>
        <v>7.7900000000000011E-2</v>
      </c>
      <c r="K102" s="62">
        <f>'Consumption and Rates'!M5/100</f>
        <v>8.4239999999999995E-2</v>
      </c>
      <c r="L102" s="62">
        <f>'Consumption and Rates'!N5/100</f>
        <v>8.9209999999999998E-2</v>
      </c>
      <c r="M102" s="62">
        <f>'Consumption and Rates'!O5/100</f>
        <v>0.12235</v>
      </c>
      <c r="N102" s="62">
        <f>'Consumption and Rates'!P5/100</f>
        <v>9.1980000000000006E-2</v>
      </c>
    </row>
    <row r="103" spans="2:15" x14ac:dyDescent="0.25">
      <c r="B103" s="28" t="s">
        <v>54</v>
      </c>
      <c r="C103" s="62">
        <f>'Consumption and Rates'!E6/100</f>
        <v>6.3700000000000007E-2</v>
      </c>
      <c r="D103" s="62">
        <f>'Consumption and Rates'!F6/100</f>
        <v>7.7100000000000002E-2</v>
      </c>
      <c r="E103" s="62">
        <f>'Consumption and Rates'!G6/100</f>
        <v>8.5999999999999993E-2</v>
      </c>
      <c r="F103" s="62">
        <f>'Consumption and Rates'!H6/100</f>
        <v>0.1007</v>
      </c>
      <c r="G103" s="62">
        <f>'Consumption and Rates'!I6/100</f>
        <v>0.13200000000000001</v>
      </c>
      <c r="H103" s="62">
        <f>'Consumption and Rates'!J6/100</f>
        <v>0.1024</v>
      </c>
      <c r="I103" s="62">
        <f>'Consumption and Rates'!K6/100</f>
        <v>8.1199999999999994E-2</v>
      </c>
      <c r="J103" s="62">
        <f>'Consumption and Rates'!L6/100</f>
        <v>7.3200000000000001E-2</v>
      </c>
      <c r="K103" s="62">
        <f>'Consumption and Rates'!M6/100</f>
        <v>8.6599999999999996E-2</v>
      </c>
      <c r="L103" s="62">
        <f>'Consumption and Rates'!N6/100</f>
        <v>0.12</v>
      </c>
      <c r="M103" s="62">
        <f>'Consumption and Rates'!O6/100</f>
        <v>0.10539999999999999</v>
      </c>
      <c r="N103" s="62">
        <f>'Consumption and Rates'!P6/100</f>
        <v>7.0699999999999999E-2</v>
      </c>
    </row>
    <row r="104" spans="2:15" x14ac:dyDescent="0.25">
      <c r="B104" s="28" t="s">
        <v>60</v>
      </c>
      <c r="C104" s="62">
        <f>'Consumption and Rates'!E7/100</f>
        <v>6.7360000000000003E-2</v>
      </c>
      <c r="D104" s="62">
        <f>'Consumption and Rates'!F7/100</f>
        <v>8.1669999999999993E-2</v>
      </c>
      <c r="E104" s="62">
        <f>'Consumption and Rates'!G7/100</f>
        <v>9.4810000000000005E-2</v>
      </c>
      <c r="F104" s="62">
        <f>'Consumption and Rates'!H7/100</f>
        <v>9.9589999999999998E-2</v>
      </c>
      <c r="G104" s="62">
        <f>'Consumption and Rates'!I7/100</f>
        <v>0.10793000000000001</v>
      </c>
      <c r="H104" s="62">
        <f>'Consumption and Rates'!J7/100</f>
        <v>0.11896</v>
      </c>
      <c r="I104" s="62">
        <f>'Consumption and Rates'!K7/100</f>
        <v>7.7370000000000008E-2</v>
      </c>
      <c r="J104" s="62">
        <f>'Consumption and Rates'!L7/100</f>
        <v>7.4900000000000008E-2</v>
      </c>
      <c r="K104" s="62">
        <f>'Consumption and Rates'!M7/100</f>
        <v>8.584E-2</v>
      </c>
      <c r="L104" s="62">
        <f>'Consumption and Rates'!N7/100</f>
        <v>0.12059000000000002</v>
      </c>
      <c r="M104" s="62">
        <f>'Consumption and Rates'!O7/100</f>
        <v>9.8549999999999999E-2</v>
      </c>
      <c r="N104" s="62">
        <f>'Consumption and Rates'!P7/100</f>
        <v>7.4040000000000009E-2</v>
      </c>
    </row>
    <row r="107" spans="2:15" ht="15.6" x14ac:dyDescent="0.3">
      <c r="B107" s="17" t="s">
        <v>61</v>
      </c>
    </row>
    <row r="109" spans="2:15" x14ac:dyDescent="0.25">
      <c r="B109" s="43" t="s">
        <v>71</v>
      </c>
      <c r="C109" s="27" t="s">
        <v>9</v>
      </c>
      <c r="D109" s="27" t="s">
        <v>10</v>
      </c>
      <c r="E109" s="27" t="s">
        <v>11</v>
      </c>
      <c r="F109" s="27" t="s">
        <v>12</v>
      </c>
      <c r="G109" s="27" t="s">
        <v>13</v>
      </c>
      <c r="H109" s="27" t="s">
        <v>14</v>
      </c>
      <c r="I109" s="27" t="s">
        <v>15</v>
      </c>
      <c r="J109" s="27" t="s">
        <v>16</v>
      </c>
      <c r="K109" s="27" t="s">
        <v>17</v>
      </c>
      <c r="L109" s="27" t="s">
        <v>18</v>
      </c>
      <c r="M109" s="27" t="s">
        <v>19</v>
      </c>
      <c r="N109" s="27" t="s">
        <v>20</v>
      </c>
      <c r="O109" s="22"/>
    </row>
    <row r="110" spans="2:15" ht="13.8" x14ac:dyDescent="0.25">
      <c r="B110" s="36" t="s">
        <v>73</v>
      </c>
      <c r="C110" s="21">
        <f>C130/C120</f>
        <v>0</v>
      </c>
      <c r="D110" s="21">
        <f t="shared" ref="D110:N110" si="46">D130/D120</f>
        <v>0</v>
      </c>
      <c r="E110" s="21">
        <f t="shared" si="46"/>
        <v>0</v>
      </c>
      <c r="F110" s="21">
        <f t="shared" si="46"/>
        <v>0</v>
      </c>
      <c r="G110" s="21">
        <f t="shared" si="46"/>
        <v>0</v>
      </c>
      <c r="H110" s="21">
        <f t="shared" si="46"/>
        <v>0</v>
      </c>
      <c r="I110" s="21">
        <f t="shared" si="46"/>
        <v>0</v>
      </c>
      <c r="J110" s="21">
        <f t="shared" si="46"/>
        <v>0</v>
      </c>
      <c r="K110" s="21">
        <f t="shared" si="46"/>
        <v>0</v>
      </c>
      <c r="L110" s="21">
        <f t="shared" si="46"/>
        <v>0</v>
      </c>
      <c r="M110" s="21">
        <f t="shared" si="46"/>
        <v>0</v>
      </c>
      <c r="N110" s="21">
        <f t="shared" si="46"/>
        <v>0</v>
      </c>
      <c r="O110" s="22"/>
    </row>
    <row r="111" spans="2:15" x14ac:dyDescent="0.25">
      <c r="B111" s="36" t="s">
        <v>62</v>
      </c>
      <c r="C111" s="52">
        <f>C131/C121</f>
        <v>3.2095379607524309E-2</v>
      </c>
      <c r="D111" s="52">
        <f t="shared" ref="D111:N111" si="47">D131/D121</f>
        <v>1.910483038277647E-2</v>
      </c>
      <c r="E111" s="52">
        <f t="shared" si="47"/>
        <v>1.7409707140396559E-2</v>
      </c>
      <c r="F111" s="52">
        <f t="shared" si="47"/>
        <v>2.9875055788147645E-2</v>
      </c>
      <c r="G111" s="52">
        <f t="shared" si="47"/>
        <v>1.3663365626501143E-2</v>
      </c>
      <c r="H111" s="52">
        <f t="shared" si="47"/>
        <v>1.8732395090069343E-2</v>
      </c>
      <c r="I111" s="52">
        <f t="shared" si="47"/>
        <v>3.0953932049082727E-2</v>
      </c>
      <c r="J111" s="52">
        <f t="shared" si="47"/>
        <v>3.0925356228113828E-2</v>
      </c>
      <c r="K111" s="52">
        <f t="shared" si="47"/>
        <v>3.0295231964339267E-2</v>
      </c>
      <c r="L111" s="52">
        <f t="shared" si="47"/>
        <v>1.3944959097473415E-2</v>
      </c>
      <c r="M111" s="52">
        <f t="shared" si="47"/>
        <v>2.5561121370403485E-2</v>
      </c>
      <c r="N111" s="52">
        <f t="shared" si="47"/>
        <v>2.8672285105155251E-2</v>
      </c>
      <c r="O111" s="22"/>
    </row>
    <row r="112" spans="2:15" ht="13.8" x14ac:dyDescent="0.25">
      <c r="B112" s="36" t="s">
        <v>74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2"/>
    </row>
    <row r="113" spans="2:15" x14ac:dyDescent="0.25">
      <c r="B113" s="36" t="s">
        <v>64</v>
      </c>
      <c r="C113" s="53">
        <f t="shared" ref="C113:N113" si="48">C104</f>
        <v>6.7360000000000003E-2</v>
      </c>
      <c r="D113" s="53">
        <f t="shared" si="48"/>
        <v>8.1669999999999993E-2</v>
      </c>
      <c r="E113" s="53">
        <f t="shared" si="48"/>
        <v>9.4810000000000005E-2</v>
      </c>
      <c r="F113" s="53">
        <f t="shared" si="48"/>
        <v>9.9589999999999998E-2</v>
      </c>
      <c r="G113" s="53">
        <f t="shared" si="48"/>
        <v>0.10793000000000001</v>
      </c>
      <c r="H113" s="53">
        <f t="shared" si="48"/>
        <v>0.11896</v>
      </c>
      <c r="I113" s="53">
        <f t="shared" si="48"/>
        <v>7.7370000000000008E-2</v>
      </c>
      <c r="J113" s="53">
        <f t="shared" si="48"/>
        <v>7.4900000000000008E-2</v>
      </c>
      <c r="K113" s="53">
        <f t="shared" si="48"/>
        <v>8.584E-2</v>
      </c>
      <c r="L113" s="53">
        <f t="shared" si="48"/>
        <v>0.12059000000000002</v>
      </c>
      <c r="M113" s="53">
        <f t="shared" si="48"/>
        <v>9.8549999999999999E-2</v>
      </c>
      <c r="N113" s="53">
        <f t="shared" si="48"/>
        <v>7.4040000000000009E-2</v>
      </c>
      <c r="O113" s="22"/>
    </row>
    <row r="114" spans="2:15" x14ac:dyDescent="0.25">
      <c r="B114" s="36" t="s">
        <v>65</v>
      </c>
      <c r="C114" s="53">
        <f>C113</f>
        <v>6.7360000000000003E-2</v>
      </c>
      <c r="D114" s="53">
        <f t="shared" ref="D114:N114" si="49">D113</f>
        <v>8.1669999999999993E-2</v>
      </c>
      <c r="E114" s="53">
        <f t="shared" si="49"/>
        <v>9.4810000000000005E-2</v>
      </c>
      <c r="F114" s="53">
        <f t="shared" si="49"/>
        <v>9.9589999999999998E-2</v>
      </c>
      <c r="G114" s="53">
        <f t="shared" si="49"/>
        <v>0.10793000000000001</v>
      </c>
      <c r="H114" s="53">
        <f t="shared" si="49"/>
        <v>0.11896</v>
      </c>
      <c r="I114" s="53">
        <f t="shared" si="49"/>
        <v>7.7370000000000008E-2</v>
      </c>
      <c r="J114" s="53">
        <f t="shared" si="49"/>
        <v>7.4900000000000008E-2</v>
      </c>
      <c r="K114" s="53">
        <f t="shared" si="49"/>
        <v>8.584E-2</v>
      </c>
      <c r="L114" s="53">
        <f t="shared" si="49"/>
        <v>0.12059000000000002</v>
      </c>
      <c r="M114" s="53">
        <f t="shared" si="49"/>
        <v>9.8549999999999999E-2</v>
      </c>
      <c r="N114" s="53">
        <f t="shared" si="49"/>
        <v>7.4040000000000009E-2</v>
      </c>
      <c r="O114" s="22"/>
    </row>
    <row r="115" spans="2:15" x14ac:dyDescent="0.25">
      <c r="B115" s="36" t="s">
        <v>66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2"/>
    </row>
    <row r="116" spans="2:15" ht="13.8" x14ac:dyDescent="0.25">
      <c r="B116" s="36" t="s">
        <v>75</v>
      </c>
      <c r="C116" s="52">
        <f>C136/C126</f>
        <v>-0.37165756706397324</v>
      </c>
      <c r="D116" s="52">
        <f t="shared" ref="D116:N116" si="50">D136/D126</f>
        <v>-0.33937407751598969</v>
      </c>
      <c r="E116" s="52">
        <f t="shared" si="50"/>
        <v>-0.19617516911366772</v>
      </c>
      <c r="F116" s="52">
        <f t="shared" si="50"/>
        <v>-0.5338668070442868</v>
      </c>
      <c r="G116" s="52">
        <f t="shared" si="50"/>
        <v>-0.34820911034772856</v>
      </c>
      <c r="H116" s="52">
        <f t="shared" si="50"/>
        <v>-0.57461992866854406</v>
      </c>
      <c r="I116" s="52">
        <f t="shared" si="50"/>
        <v>-0.42559890149961616</v>
      </c>
      <c r="J116" s="52">
        <f t="shared" si="50"/>
        <v>-0.5926641837499993</v>
      </c>
      <c r="K116" s="52">
        <f t="shared" si="50"/>
        <v>-0.60273279375141497</v>
      </c>
      <c r="L116" s="52">
        <f t="shared" si="50"/>
        <v>-0.72604187396231301</v>
      </c>
      <c r="M116" s="52">
        <f t="shared" si="50"/>
        <v>-1.7416195057775972</v>
      </c>
      <c r="N116" s="52">
        <f t="shared" si="50"/>
        <v>-0.42698864079774546</v>
      </c>
      <c r="O116" s="22"/>
    </row>
    <row r="117" spans="2:15" x14ac:dyDescent="0.25">
      <c r="B117" s="36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2"/>
    </row>
    <row r="118" spans="2:15" ht="13.8" x14ac:dyDescent="0.3">
      <c r="B118" s="14"/>
    </row>
    <row r="119" spans="2:15" x14ac:dyDescent="0.25">
      <c r="B119" s="43" t="s">
        <v>42</v>
      </c>
      <c r="C119" s="27" t="s">
        <v>9</v>
      </c>
      <c r="D119" s="27" t="s">
        <v>10</v>
      </c>
      <c r="E119" s="27" t="s">
        <v>11</v>
      </c>
      <c r="F119" s="27" t="s">
        <v>12</v>
      </c>
      <c r="G119" s="27" t="s">
        <v>13</v>
      </c>
      <c r="H119" s="27" t="s">
        <v>14</v>
      </c>
      <c r="I119" s="27" t="s">
        <v>15</v>
      </c>
      <c r="J119" s="27" t="s">
        <v>16</v>
      </c>
      <c r="K119" s="27" t="s">
        <v>17</v>
      </c>
      <c r="L119" s="27" t="s">
        <v>18</v>
      </c>
      <c r="M119" s="27" t="s">
        <v>19</v>
      </c>
      <c r="N119" s="27" t="s">
        <v>20</v>
      </c>
      <c r="O119" s="22"/>
    </row>
    <row r="120" spans="2:15" ht="13.8" x14ac:dyDescent="0.25">
      <c r="B120" s="36" t="s">
        <v>73</v>
      </c>
      <c r="C120" s="21">
        <f t="shared" ref="C120:N120" si="51">C6</f>
        <v>507165</v>
      </c>
      <c r="D120" s="21">
        <f t="shared" si="51"/>
        <v>695134</v>
      </c>
      <c r="E120" s="21">
        <f t="shared" si="51"/>
        <v>1602029</v>
      </c>
      <c r="F120" s="21">
        <f t="shared" si="51"/>
        <v>1548205</v>
      </c>
      <c r="G120" s="21">
        <f t="shared" si="51"/>
        <v>2282240</v>
      </c>
      <c r="H120" s="21">
        <f t="shared" si="51"/>
        <v>2116037</v>
      </c>
      <c r="I120" s="21">
        <f t="shared" si="51"/>
        <v>2550386</v>
      </c>
      <c r="J120" s="21">
        <f t="shared" si="51"/>
        <v>2070683</v>
      </c>
      <c r="K120" s="21">
        <f t="shared" si="51"/>
        <v>1590120</v>
      </c>
      <c r="L120" s="21">
        <f t="shared" si="51"/>
        <v>1034151.0000000001</v>
      </c>
      <c r="M120" s="21">
        <f t="shared" si="51"/>
        <v>354213</v>
      </c>
      <c r="N120" s="21">
        <f t="shared" si="51"/>
        <v>461300</v>
      </c>
      <c r="O120" s="22"/>
    </row>
    <row r="121" spans="2:15" x14ac:dyDescent="0.25">
      <c r="B121" s="36" t="s">
        <v>62</v>
      </c>
      <c r="C121" s="21">
        <f t="shared" ref="C121:N121" si="52">C5</f>
        <v>123634562</v>
      </c>
      <c r="D121" s="21">
        <f t="shared" si="52"/>
        <v>106846667</v>
      </c>
      <c r="E121" s="21">
        <f t="shared" si="52"/>
        <v>114078622</v>
      </c>
      <c r="F121" s="21">
        <f t="shared" si="52"/>
        <v>107350311</v>
      </c>
      <c r="G121" s="21">
        <f t="shared" si="52"/>
        <v>110703086</v>
      </c>
      <c r="H121" s="21">
        <f t="shared" si="52"/>
        <v>115186474</v>
      </c>
      <c r="I121" s="21">
        <f t="shared" si="52"/>
        <v>130461609</v>
      </c>
      <c r="J121" s="21">
        <f t="shared" si="52"/>
        <v>131418600</v>
      </c>
      <c r="K121" s="21">
        <f t="shared" si="52"/>
        <v>115222754</v>
      </c>
      <c r="L121" s="21">
        <f t="shared" si="52"/>
        <v>110445500</v>
      </c>
      <c r="M121" s="21">
        <f t="shared" si="52"/>
        <v>113923820</v>
      </c>
      <c r="N121" s="21">
        <f t="shared" si="52"/>
        <v>113258871</v>
      </c>
      <c r="O121" s="22"/>
    </row>
    <row r="122" spans="2:15" ht="13.8" x14ac:dyDescent="0.25">
      <c r="B122" s="36" t="s">
        <v>74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2"/>
    </row>
    <row r="123" spans="2:15" x14ac:dyDescent="0.25">
      <c r="B123" s="36" t="s">
        <v>64</v>
      </c>
      <c r="C123" s="21">
        <f t="shared" ref="C123:N123" si="53">C10</f>
        <v>56392797.54018531</v>
      </c>
      <c r="D123" s="21">
        <f t="shared" si="53"/>
        <v>46940433.706023283</v>
      </c>
      <c r="E123" s="21">
        <f t="shared" si="53"/>
        <v>49390461.740537472</v>
      </c>
      <c r="F123" s="21">
        <f t="shared" si="53"/>
        <v>44382098.97302901</v>
      </c>
      <c r="G123" s="21">
        <f t="shared" si="53"/>
        <v>45261146.803929821</v>
      </c>
      <c r="H123" s="21">
        <f t="shared" si="53"/>
        <v>51067158.655929103</v>
      </c>
      <c r="I123" s="21">
        <f t="shared" si="53"/>
        <v>60943107.954795949</v>
      </c>
      <c r="J123" s="21">
        <f t="shared" si="53"/>
        <v>60096907.508162037</v>
      </c>
      <c r="K123" s="21">
        <f t="shared" si="53"/>
        <v>49484717.767381549</v>
      </c>
      <c r="L123" s="21">
        <f t="shared" si="53"/>
        <v>44352708.288445875</v>
      </c>
      <c r="M123" s="21">
        <f t="shared" si="53"/>
        <v>48191903.770427302</v>
      </c>
      <c r="N123" s="21">
        <f t="shared" si="53"/>
        <v>52457393.526140511</v>
      </c>
      <c r="O123" s="22"/>
    </row>
    <row r="124" spans="2:15" x14ac:dyDescent="0.25">
      <c r="B124" s="36" t="s">
        <v>65</v>
      </c>
      <c r="C124" s="21">
        <f t="shared" ref="C124:N124" si="54">C11</f>
        <v>44126341.119814686</v>
      </c>
      <c r="D124" s="21">
        <f t="shared" si="54"/>
        <v>39357081.143976711</v>
      </c>
      <c r="E124" s="21">
        <f t="shared" si="54"/>
        <v>42636139.979462527</v>
      </c>
      <c r="F124" s="21">
        <f t="shared" si="54"/>
        <v>41534582.766970985</v>
      </c>
      <c r="G124" s="21">
        <f t="shared" si="54"/>
        <v>42624546.346070185</v>
      </c>
      <c r="H124" s="21">
        <f t="shared" si="54"/>
        <v>41520872.074070901</v>
      </c>
      <c r="I124" s="21">
        <f t="shared" si="54"/>
        <v>44737302.51520405</v>
      </c>
      <c r="J124" s="21">
        <f t="shared" si="54"/>
        <v>44167289.501837969</v>
      </c>
      <c r="K124" s="21">
        <f t="shared" si="54"/>
        <v>41033076.542618454</v>
      </c>
      <c r="L124" s="21">
        <f t="shared" si="54"/>
        <v>40626191.571554139</v>
      </c>
      <c r="M124" s="21">
        <f t="shared" si="54"/>
        <v>40742042.429572701</v>
      </c>
      <c r="N124" s="21">
        <f t="shared" si="54"/>
        <v>38789729.213859499</v>
      </c>
      <c r="O124" s="22"/>
    </row>
    <row r="125" spans="2:15" x14ac:dyDescent="0.25">
      <c r="B125" s="36" t="s">
        <v>66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2"/>
    </row>
    <row r="126" spans="2:15" ht="13.8" x14ac:dyDescent="0.25">
      <c r="B126" s="36" t="s">
        <v>75</v>
      </c>
      <c r="C126" s="21">
        <f t="shared" ref="C126:N126" si="55">C6</f>
        <v>507165</v>
      </c>
      <c r="D126" s="21">
        <f t="shared" si="55"/>
        <v>695134</v>
      </c>
      <c r="E126" s="21">
        <f t="shared" si="55"/>
        <v>1602029</v>
      </c>
      <c r="F126" s="21">
        <f t="shared" si="55"/>
        <v>1548205</v>
      </c>
      <c r="G126" s="21">
        <f t="shared" si="55"/>
        <v>2282240</v>
      </c>
      <c r="H126" s="21">
        <f t="shared" si="55"/>
        <v>2116037</v>
      </c>
      <c r="I126" s="21">
        <f t="shared" si="55"/>
        <v>2550386</v>
      </c>
      <c r="J126" s="21">
        <f t="shared" si="55"/>
        <v>2070683</v>
      </c>
      <c r="K126" s="21">
        <f t="shared" si="55"/>
        <v>1590120</v>
      </c>
      <c r="L126" s="21">
        <f t="shared" si="55"/>
        <v>1034151.0000000001</v>
      </c>
      <c r="M126" s="21">
        <f t="shared" si="55"/>
        <v>354213</v>
      </c>
      <c r="N126" s="21">
        <f t="shared" si="55"/>
        <v>461300</v>
      </c>
      <c r="O126" s="22"/>
    </row>
    <row r="127" spans="2:15" x14ac:dyDescent="0.25">
      <c r="B127" s="36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2"/>
    </row>
    <row r="128" spans="2:15" x14ac:dyDescent="0.25">
      <c r="B128" s="42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2"/>
    </row>
    <row r="129" spans="2:15" x14ac:dyDescent="0.25">
      <c r="B129" s="43" t="s">
        <v>72</v>
      </c>
      <c r="C129" s="27" t="s">
        <v>9</v>
      </c>
      <c r="D129" s="27" t="s">
        <v>10</v>
      </c>
      <c r="E129" s="27" t="s">
        <v>11</v>
      </c>
      <c r="F129" s="27" t="s">
        <v>12</v>
      </c>
      <c r="G129" s="27" t="s">
        <v>13</v>
      </c>
      <c r="H129" s="27" t="s">
        <v>14</v>
      </c>
      <c r="I129" s="27" t="s">
        <v>15</v>
      </c>
      <c r="J129" s="27" t="s">
        <v>16</v>
      </c>
      <c r="K129" s="27" t="s">
        <v>17</v>
      </c>
      <c r="L129" s="27" t="s">
        <v>18</v>
      </c>
      <c r="M129" s="27" t="s">
        <v>19</v>
      </c>
      <c r="N129" s="27" t="s">
        <v>20</v>
      </c>
      <c r="O129" s="22"/>
    </row>
    <row r="130" spans="2:15" ht="13.8" x14ac:dyDescent="0.25">
      <c r="B130" s="36" t="s">
        <v>73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22"/>
    </row>
    <row r="131" spans="2:15" x14ac:dyDescent="0.25">
      <c r="B131" s="36" t="s">
        <v>62</v>
      </c>
      <c r="C131" s="50">
        <f>'Consumption and Rates'!E15</f>
        <v>3968098.2</v>
      </c>
      <c r="D131" s="50">
        <f>'Consumption and Rates'!F15</f>
        <v>2041287.45</v>
      </c>
      <c r="E131" s="50">
        <f>'Consumption and Rates'!G15</f>
        <v>1986075.4</v>
      </c>
      <c r="F131" s="50">
        <f>'Consumption and Rates'!H15</f>
        <v>3207096.53</v>
      </c>
      <c r="G131" s="50">
        <f>'Consumption and Rates'!I15</f>
        <v>1512576.74</v>
      </c>
      <c r="H131" s="50">
        <f>'Consumption and Rates'!J15</f>
        <v>2157718.54</v>
      </c>
      <c r="I131" s="50">
        <f>'Consumption and Rates'!K15</f>
        <v>4038299.78</v>
      </c>
      <c r="J131" s="50">
        <f>'Consumption and Rates'!L15</f>
        <v>4064167.02</v>
      </c>
      <c r="K131" s="50">
        <f>'Consumption and Rates'!M15</f>
        <v>3490700.06</v>
      </c>
      <c r="L131" s="50">
        <f>'Consumption and Rates'!N15</f>
        <v>1540157.98</v>
      </c>
      <c r="M131" s="50">
        <f>'Consumption and Rates'!O15</f>
        <v>2912020.59</v>
      </c>
      <c r="N131" s="50">
        <f>'Consumption and Rates'!P15</f>
        <v>3247390.64</v>
      </c>
      <c r="O131" s="22"/>
    </row>
    <row r="132" spans="2:15" ht="13.8" x14ac:dyDescent="0.25">
      <c r="B132" s="36" t="s">
        <v>74</v>
      </c>
      <c r="C132" s="50">
        <f>'Consumption and Rates'!E16</f>
        <v>1410768.3</v>
      </c>
      <c r="D132" s="50">
        <f>'Consumption and Rates'!F16</f>
        <v>1427729.55</v>
      </c>
      <c r="E132" s="50">
        <f>'Consumption and Rates'!G16</f>
        <v>1726260.05</v>
      </c>
      <c r="F132" s="50">
        <f>'Consumption and Rates'!H16</f>
        <v>1686315.34</v>
      </c>
      <c r="G132" s="50">
        <f>'Consumption and Rates'!I16</f>
        <v>1794955.49</v>
      </c>
      <c r="H132" s="50">
        <f>'Consumption and Rates'!J16</f>
        <v>2063757.64</v>
      </c>
      <c r="I132" s="50">
        <f>'Consumption and Rates'!K16</f>
        <v>1655841.59</v>
      </c>
      <c r="J132" s="50">
        <f>'Consumption and Rates'!L16</f>
        <v>1591520.55</v>
      </c>
      <c r="K132" s="50">
        <f>'Consumption and Rates'!M16</f>
        <v>1538490.38</v>
      </c>
      <c r="L132" s="50">
        <f>'Consumption and Rates'!N16</f>
        <v>2061487.62</v>
      </c>
      <c r="M132" s="50">
        <f>'Consumption and Rates'!O16</f>
        <v>1700290.06</v>
      </c>
      <c r="N132" s="50">
        <f>'Consumption and Rates'!P16</f>
        <v>1549295.14</v>
      </c>
      <c r="O132" s="22"/>
    </row>
    <row r="133" spans="2:15" x14ac:dyDescent="0.25">
      <c r="B133" s="36" t="s">
        <v>64</v>
      </c>
      <c r="C133" s="21">
        <f>C113*C123</f>
        <v>3798618.8423068826</v>
      </c>
      <c r="D133" s="21">
        <f t="shared" ref="D133:N133" si="56">D113*D123</f>
        <v>3833625.2207709211</v>
      </c>
      <c r="E133" s="21">
        <f t="shared" si="56"/>
        <v>4682709.6776203578</v>
      </c>
      <c r="F133" s="21">
        <f t="shared" si="56"/>
        <v>4420013.2367239594</v>
      </c>
      <c r="G133" s="21">
        <f t="shared" si="56"/>
        <v>4885035.5745481458</v>
      </c>
      <c r="H133" s="21">
        <f t="shared" si="56"/>
        <v>6074949.193709326</v>
      </c>
      <c r="I133" s="21">
        <f t="shared" si="56"/>
        <v>4715168.2624625629</v>
      </c>
      <c r="J133" s="21">
        <f t="shared" si="56"/>
        <v>4501258.3723613368</v>
      </c>
      <c r="K133" s="21">
        <f t="shared" si="56"/>
        <v>4247768.1731520323</v>
      </c>
      <c r="L133" s="21">
        <f t="shared" si="56"/>
        <v>5348493.0925036892</v>
      </c>
      <c r="M133" s="21">
        <f t="shared" si="56"/>
        <v>4749312.1165756108</v>
      </c>
      <c r="N133" s="21">
        <f t="shared" si="56"/>
        <v>3883945.4166754438</v>
      </c>
      <c r="O133" s="22"/>
    </row>
    <row r="134" spans="2:15" x14ac:dyDescent="0.25">
      <c r="B134" s="36" t="s">
        <v>65</v>
      </c>
      <c r="C134" s="21">
        <f>C114*C124</f>
        <v>2972350.3378307172</v>
      </c>
      <c r="D134" s="21">
        <f t="shared" ref="D134:N134" si="57">D114*D124</f>
        <v>3214292.8170285779</v>
      </c>
      <c r="E134" s="21">
        <f t="shared" si="57"/>
        <v>4042332.4314528424</v>
      </c>
      <c r="F134" s="21">
        <f t="shared" si="57"/>
        <v>4136429.0977626401</v>
      </c>
      <c r="G134" s="21">
        <f t="shared" si="57"/>
        <v>4600467.2871313561</v>
      </c>
      <c r="H134" s="21">
        <f t="shared" si="57"/>
        <v>4939322.941931474</v>
      </c>
      <c r="I134" s="21">
        <f t="shared" si="57"/>
        <v>3461325.0956013375</v>
      </c>
      <c r="J134" s="21">
        <f t="shared" si="57"/>
        <v>3308129.9836876644</v>
      </c>
      <c r="K134" s="21">
        <f t="shared" si="57"/>
        <v>3522279.2904183678</v>
      </c>
      <c r="L134" s="21">
        <f t="shared" si="57"/>
        <v>4899112.4416137142</v>
      </c>
      <c r="M134" s="21">
        <f t="shared" si="57"/>
        <v>4015128.2814343898</v>
      </c>
      <c r="N134" s="21">
        <f t="shared" si="57"/>
        <v>2871991.5509941578</v>
      </c>
      <c r="O134" s="22"/>
    </row>
    <row r="135" spans="2:15" x14ac:dyDescent="0.25">
      <c r="B135" s="36" t="s">
        <v>66</v>
      </c>
      <c r="C135" s="21">
        <f>C232</f>
        <v>-1563298.033386742</v>
      </c>
      <c r="D135" s="21">
        <f t="shared" ref="D135:N135" si="58">D232</f>
        <v>170175.48067250283</v>
      </c>
      <c r="E135" s="21">
        <f t="shared" si="58"/>
        <v>-1011826.2276537336</v>
      </c>
      <c r="F135" s="21">
        <f t="shared" si="58"/>
        <v>-1999825.7477153048</v>
      </c>
      <c r="G135" s="21">
        <f t="shared" si="58"/>
        <v>191079.46137503727</v>
      </c>
      <c r="H135" s="21">
        <f t="shared" si="58"/>
        <v>-1853998.5728651658</v>
      </c>
      <c r="I135" s="21">
        <f t="shared" si="58"/>
        <v>-1253014.532415618</v>
      </c>
      <c r="J135" s="21">
        <f t="shared" si="58"/>
        <v>-46709.504516181652</v>
      </c>
      <c r="K135" s="21">
        <f t="shared" si="58"/>
        <v>-600318.17352180101</v>
      </c>
      <c r="L135" s="21">
        <f t="shared" si="58"/>
        <v>-470254.73228305683</v>
      </c>
      <c r="M135" s="21">
        <f t="shared" si="58"/>
        <v>-2098272.3703454449</v>
      </c>
      <c r="N135" s="21">
        <f t="shared" si="58"/>
        <v>-1076090.8928377668</v>
      </c>
      <c r="O135" s="22"/>
    </row>
    <row r="136" spans="2:15" ht="13.8" x14ac:dyDescent="0.25">
      <c r="B136" s="36" t="s">
        <v>75</v>
      </c>
      <c r="C136" s="50">
        <f>'Consumption and Rates'!E17</f>
        <v>-188491.71</v>
      </c>
      <c r="D136" s="50">
        <f>'Consumption and Rates'!F17</f>
        <v>-235910.46</v>
      </c>
      <c r="E136" s="50">
        <f>'Consumption and Rates'!G17</f>
        <v>-314278.31</v>
      </c>
      <c r="F136" s="50">
        <f>'Consumption and Rates'!H17</f>
        <v>-826535.26</v>
      </c>
      <c r="G136" s="50">
        <f>'Consumption and Rates'!I17</f>
        <v>-794696.76</v>
      </c>
      <c r="H136" s="50">
        <f>'Consumption and Rates'!J17</f>
        <v>-1215917.03</v>
      </c>
      <c r="I136" s="50">
        <f>'Consumption and Rates'!K17</f>
        <v>-1085441.48</v>
      </c>
      <c r="J136" s="50">
        <f>'Consumption and Rates'!L17</f>
        <v>-1227219.6499999999</v>
      </c>
      <c r="K136" s="50">
        <f>'Consumption and Rates'!M17</f>
        <v>-958417.47</v>
      </c>
      <c r="L136" s="50">
        <f>'Consumption and Rates'!N17</f>
        <v>-750836.93</v>
      </c>
      <c r="M136" s="50">
        <f>'Consumption and Rates'!O17</f>
        <v>-616904.27</v>
      </c>
      <c r="N136" s="50">
        <f>'Consumption and Rates'!P17</f>
        <v>-196969.86</v>
      </c>
      <c r="O136" s="22"/>
    </row>
    <row r="137" spans="2:15" x14ac:dyDescent="0.25">
      <c r="B137" s="38" t="s">
        <v>68</v>
      </c>
      <c r="C137" s="33">
        <f>SUM(C130:C136)</f>
        <v>10398045.936750855</v>
      </c>
      <c r="D137" s="33">
        <f t="shared" ref="D137:N137" si="59">SUM(D130:D136)</f>
        <v>10451200.058472002</v>
      </c>
      <c r="E137" s="33">
        <f t="shared" si="59"/>
        <v>11111273.021419466</v>
      </c>
      <c r="F137" s="33">
        <f t="shared" si="59"/>
        <v>10623493.196771296</v>
      </c>
      <c r="G137" s="33">
        <f t="shared" si="59"/>
        <v>12189417.79305454</v>
      </c>
      <c r="H137" s="33">
        <f t="shared" si="59"/>
        <v>12165832.712775635</v>
      </c>
      <c r="I137" s="33">
        <f t="shared" si="59"/>
        <v>11532178.715648282</v>
      </c>
      <c r="J137" s="33">
        <f t="shared" si="59"/>
        <v>12191146.771532819</v>
      </c>
      <c r="K137" s="33">
        <f t="shared" si="59"/>
        <v>11240502.260048596</v>
      </c>
      <c r="L137" s="33">
        <f t="shared" si="59"/>
        <v>12628159.471834345</v>
      </c>
      <c r="M137" s="33">
        <f t="shared" si="59"/>
        <v>10661574.407664558</v>
      </c>
      <c r="N137" s="33">
        <f t="shared" si="59"/>
        <v>10279561.994831836</v>
      </c>
      <c r="O137" s="22"/>
    </row>
    <row r="138" spans="2:15" x14ac:dyDescent="0.25">
      <c r="B138" s="42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2"/>
    </row>
    <row r="140" spans="2:15" ht="15.6" x14ac:dyDescent="0.3">
      <c r="B140" s="17" t="s">
        <v>78</v>
      </c>
    </row>
    <row r="141" spans="2:15" x14ac:dyDescent="0.25">
      <c r="B141" s="22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2:15" x14ac:dyDescent="0.25">
      <c r="B142" s="55" t="s">
        <v>43</v>
      </c>
      <c r="C142" s="27" t="s">
        <v>9</v>
      </c>
      <c r="D142" s="27" t="s">
        <v>10</v>
      </c>
      <c r="E142" s="27" t="s">
        <v>11</v>
      </c>
      <c r="F142" s="27" t="s">
        <v>12</v>
      </c>
      <c r="G142" s="27" t="s">
        <v>13</v>
      </c>
      <c r="H142" s="27" t="s">
        <v>14</v>
      </c>
      <c r="I142" s="27" t="s">
        <v>15</v>
      </c>
      <c r="J142" s="27" t="s">
        <v>16</v>
      </c>
      <c r="K142" s="27" t="s">
        <v>17</v>
      </c>
      <c r="L142" s="27" t="s">
        <v>18</v>
      </c>
      <c r="M142" s="27" t="s">
        <v>19</v>
      </c>
      <c r="N142" s="27" t="s">
        <v>20</v>
      </c>
    </row>
    <row r="143" spans="2:15" x14ac:dyDescent="0.25">
      <c r="B143" s="36" t="s">
        <v>36</v>
      </c>
      <c r="C143" s="51">
        <f t="shared" ref="C143:N143" si="60">C74</f>
        <v>7.6999999999999999E-2</v>
      </c>
      <c r="D143" s="51">
        <f t="shared" si="60"/>
        <v>7.6999999999999999E-2</v>
      </c>
      <c r="E143" s="51">
        <f t="shared" si="60"/>
        <v>7.6999999999999999E-2</v>
      </c>
      <c r="F143" s="51">
        <f t="shared" si="60"/>
        <v>7.6999999999999999E-2</v>
      </c>
      <c r="G143" s="51">
        <f t="shared" si="60"/>
        <v>7.6999999999999999E-2</v>
      </c>
      <c r="H143" s="51">
        <f t="shared" si="60"/>
        <v>7.6999999999999999E-2</v>
      </c>
      <c r="I143" s="51">
        <f t="shared" si="60"/>
        <v>7.6999999999999999E-2</v>
      </c>
      <c r="J143" s="51">
        <f t="shared" si="60"/>
        <v>7.6999999999999999E-2</v>
      </c>
      <c r="K143" s="51">
        <f t="shared" si="60"/>
        <v>7.6999999999999999E-2</v>
      </c>
      <c r="L143" s="51">
        <f t="shared" si="60"/>
        <v>7.6999999999999999E-2</v>
      </c>
      <c r="M143" s="51">
        <f t="shared" si="60"/>
        <v>7.6999999999999999E-2</v>
      </c>
      <c r="N143" s="51">
        <f t="shared" si="60"/>
        <v>7.6999999999999999E-2</v>
      </c>
    </row>
    <row r="144" spans="2:15" x14ac:dyDescent="0.25">
      <c r="B144" s="36" t="s">
        <v>37</v>
      </c>
      <c r="C144" s="51">
        <f t="shared" ref="C144:N144" si="61">C75</f>
        <v>8.8999999999999996E-2</v>
      </c>
      <c r="D144" s="51">
        <f t="shared" si="61"/>
        <v>8.8999999999999996E-2</v>
      </c>
      <c r="E144" s="51">
        <f t="shared" si="61"/>
        <v>8.8999999999999996E-2</v>
      </c>
      <c r="F144" s="51">
        <f t="shared" si="61"/>
        <v>8.8999999999999996E-2</v>
      </c>
      <c r="G144" s="51">
        <f t="shared" si="61"/>
        <v>8.8999999999999996E-2</v>
      </c>
      <c r="H144" s="51">
        <f t="shared" si="61"/>
        <v>8.8999999999999996E-2</v>
      </c>
      <c r="I144" s="51">
        <f t="shared" si="61"/>
        <v>8.8999999999999996E-2</v>
      </c>
      <c r="J144" s="51">
        <f t="shared" si="61"/>
        <v>8.8999999999999996E-2</v>
      </c>
      <c r="K144" s="51">
        <f t="shared" si="61"/>
        <v>8.8999999999999996E-2</v>
      </c>
      <c r="L144" s="51">
        <f t="shared" si="61"/>
        <v>8.8999999999999996E-2</v>
      </c>
      <c r="M144" s="51">
        <f t="shared" si="61"/>
        <v>8.8999999999999996E-2</v>
      </c>
      <c r="N144" s="51">
        <f t="shared" si="61"/>
        <v>8.8999999999999996E-2</v>
      </c>
    </row>
    <row r="145" spans="2:14" x14ac:dyDescent="0.25">
      <c r="B145" s="36" t="s">
        <v>38</v>
      </c>
      <c r="C145" s="51">
        <f t="shared" ref="C145:N145" si="62">C76</f>
        <v>6.5000000000000002E-2</v>
      </c>
      <c r="D145" s="51">
        <f t="shared" si="62"/>
        <v>6.5000000000000002E-2</v>
      </c>
      <c r="E145" s="51">
        <f t="shared" si="62"/>
        <v>6.5000000000000002E-2</v>
      </c>
      <c r="F145" s="51">
        <f t="shared" si="62"/>
        <v>6.5000000000000002E-2</v>
      </c>
      <c r="G145" s="51">
        <f t="shared" si="62"/>
        <v>6.5000000000000002E-2</v>
      </c>
      <c r="H145" s="51">
        <f t="shared" si="62"/>
        <v>6.5000000000000002E-2</v>
      </c>
      <c r="I145" s="51">
        <f t="shared" si="62"/>
        <v>6.5000000000000002E-2</v>
      </c>
      <c r="J145" s="51">
        <f t="shared" si="62"/>
        <v>6.5000000000000002E-2</v>
      </c>
      <c r="K145" s="51">
        <f t="shared" si="62"/>
        <v>6.5000000000000002E-2</v>
      </c>
      <c r="L145" s="51">
        <f t="shared" si="62"/>
        <v>6.5000000000000002E-2</v>
      </c>
      <c r="M145" s="51">
        <f t="shared" si="62"/>
        <v>6.5000000000000002E-2</v>
      </c>
      <c r="N145" s="51">
        <f t="shared" si="62"/>
        <v>6.5000000000000002E-2</v>
      </c>
    </row>
    <row r="146" spans="2:14" x14ac:dyDescent="0.25">
      <c r="B146" s="36" t="s">
        <v>39</v>
      </c>
      <c r="C146" s="51">
        <f t="shared" ref="C146:N146" si="63">C77</f>
        <v>9.4E-2</v>
      </c>
      <c r="D146" s="51">
        <f t="shared" si="63"/>
        <v>9.4E-2</v>
      </c>
      <c r="E146" s="51">
        <f t="shared" si="63"/>
        <v>9.4E-2</v>
      </c>
      <c r="F146" s="51">
        <f t="shared" si="63"/>
        <v>9.4E-2</v>
      </c>
      <c r="G146" s="51">
        <f t="shared" si="63"/>
        <v>9.4E-2</v>
      </c>
      <c r="H146" s="51">
        <f t="shared" si="63"/>
        <v>9.4E-2</v>
      </c>
      <c r="I146" s="51">
        <f t="shared" si="63"/>
        <v>9.4E-2</v>
      </c>
      <c r="J146" s="51">
        <f t="shared" si="63"/>
        <v>9.4E-2</v>
      </c>
      <c r="K146" s="51">
        <f t="shared" si="63"/>
        <v>9.4E-2</v>
      </c>
      <c r="L146" s="51">
        <f t="shared" si="63"/>
        <v>9.4E-2</v>
      </c>
      <c r="M146" s="51">
        <f t="shared" si="63"/>
        <v>9.4E-2</v>
      </c>
      <c r="N146" s="51">
        <f t="shared" si="63"/>
        <v>9.4E-2</v>
      </c>
    </row>
    <row r="147" spans="2:14" x14ac:dyDescent="0.25">
      <c r="B147" s="36" t="s">
        <v>40</v>
      </c>
      <c r="C147" s="51">
        <f t="shared" ref="C147:N147" si="64">C78</f>
        <v>0.13200000000000001</v>
      </c>
      <c r="D147" s="51">
        <f t="shared" si="64"/>
        <v>0.13200000000000001</v>
      </c>
      <c r="E147" s="51">
        <f t="shared" si="64"/>
        <v>0.13200000000000001</v>
      </c>
      <c r="F147" s="51">
        <f t="shared" si="64"/>
        <v>0.13200000000000001</v>
      </c>
      <c r="G147" s="51">
        <f t="shared" si="64"/>
        <v>0.13200000000000001</v>
      </c>
      <c r="H147" s="51">
        <f t="shared" si="64"/>
        <v>0.13200000000000001</v>
      </c>
      <c r="I147" s="51">
        <f t="shared" si="64"/>
        <v>0.13200000000000001</v>
      </c>
      <c r="J147" s="51">
        <f t="shared" si="64"/>
        <v>0.13200000000000001</v>
      </c>
      <c r="K147" s="51">
        <f t="shared" si="64"/>
        <v>0.13200000000000001</v>
      </c>
      <c r="L147" s="51">
        <f t="shared" si="64"/>
        <v>0.13200000000000001</v>
      </c>
      <c r="M147" s="51">
        <f t="shared" si="64"/>
        <v>0.13200000000000001</v>
      </c>
      <c r="N147" s="51">
        <f t="shared" si="64"/>
        <v>0.13200000000000001</v>
      </c>
    </row>
    <row r="148" spans="2:14" x14ac:dyDescent="0.25">
      <c r="B148" s="42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2:14" x14ac:dyDescent="0.25">
      <c r="B149" s="56" t="s">
        <v>42</v>
      </c>
      <c r="C149" s="27" t="s">
        <v>9</v>
      </c>
      <c r="D149" s="27" t="s">
        <v>10</v>
      </c>
      <c r="E149" s="27" t="s">
        <v>11</v>
      </c>
      <c r="F149" s="27" t="s">
        <v>12</v>
      </c>
      <c r="G149" s="27" t="s">
        <v>13</v>
      </c>
      <c r="H149" s="27" t="s">
        <v>14</v>
      </c>
      <c r="I149" s="27" t="s">
        <v>15</v>
      </c>
      <c r="J149" s="27" t="s">
        <v>16</v>
      </c>
      <c r="K149" s="27" t="s">
        <v>17</v>
      </c>
      <c r="L149" s="27" t="s">
        <v>18</v>
      </c>
      <c r="M149" s="27" t="s">
        <v>19</v>
      </c>
      <c r="N149" s="27" t="s">
        <v>20</v>
      </c>
    </row>
    <row r="150" spans="2:14" x14ac:dyDescent="0.25">
      <c r="B150" s="36" t="s">
        <v>36</v>
      </c>
      <c r="C150" s="21">
        <f t="shared" ref="C150:N150" si="65">C89</f>
        <v>3004847.8600000017</v>
      </c>
      <c r="D150" s="21">
        <f t="shared" si="65"/>
        <v>2663362.4129729737</v>
      </c>
      <c r="E150" s="21">
        <f t="shared" si="65"/>
        <v>2445947.1253786762</v>
      </c>
      <c r="F150" s="21">
        <f t="shared" si="65"/>
        <v>2741263.4916483532</v>
      </c>
      <c r="G150" s="21">
        <f t="shared" si="65"/>
        <v>1866792.1504524895</v>
      </c>
      <c r="H150" s="21">
        <f t="shared" si="65"/>
        <v>2133528.8094323357</v>
      </c>
      <c r="I150" s="21">
        <f t="shared" si="65"/>
        <v>2271325.820115177</v>
      </c>
      <c r="J150" s="21">
        <f t="shared" si="65"/>
        <v>2119141.5893492126</v>
      </c>
      <c r="K150" s="21">
        <f t="shared" si="65"/>
        <v>1984106.31497419</v>
      </c>
      <c r="L150" s="21">
        <f t="shared" si="65"/>
        <v>2055697.4165906152</v>
      </c>
      <c r="M150" s="21">
        <f t="shared" si="65"/>
        <v>2630420.3519956968</v>
      </c>
      <c r="N150" s="21">
        <f t="shared" si="65"/>
        <v>2905746.0045154626</v>
      </c>
    </row>
    <row r="151" spans="2:14" x14ac:dyDescent="0.25">
      <c r="B151" s="36" t="s">
        <v>37</v>
      </c>
      <c r="C151" s="21">
        <f t="shared" ref="C151:N151" si="66">C90</f>
        <v>1948277.4829341774</v>
      </c>
      <c r="D151" s="21">
        <f t="shared" si="66"/>
        <v>1625225.4228090711</v>
      </c>
      <c r="E151" s="21">
        <f t="shared" si="66"/>
        <v>1523549.6187644782</v>
      </c>
      <c r="F151" s="21">
        <f t="shared" si="66"/>
        <v>1758545.7028571425</v>
      </c>
      <c r="G151" s="21">
        <f t="shared" si="66"/>
        <v>1590768.399208145</v>
      </c>
      <c r="H151" s="21">
        <f t="shared" si="66"/>
        <v>1648853.1236503613</v>
      </c>
      <c r="I151" s="21">
        <f t="shared" si="66"/>
        <v>2305063.957641494</v>
      </c>
      <c r="J151" s="21">
        <f t="shared" si="66"/>
        <v>1896993.4148130929</v>
      </c>
      <c r="K151" s="21">
        <f t="shared" si="66"/>
        <v>1637638.4254301507</v>
      </c>
      <c r="L151" s="21">
        <f t="shared" si="66"/>
        <v>1899697.0443114159</v>
      </c>
      <c r="M151" s="21">
        <f t="shared" si="66"/>
        <v>1619496.7371401971</v>
      </c>
      <c r="N151" s="21">
        <f t="shared" si="66"/>
        <v>1774855.209123844</v>
      </c>
    </row>
    <row r="152" spans="2:14" x14ac:dyDescent="0.25">
      <c r="B152" s="36" t="s">
        <v>38</v>
      </c>
      <c r="C152" s="21">
        <f t="shared" ref="C152:N152" si="67">C91</f>
        <v>32798207.057844851</v>
      </c>
      <c r="D152" s="21">
        <f t="shared" si="67"/>
        <v>27243010.403334428</v>
      </c>
      <c r="E152" s="21">
        <f t="shared" si="67"/>
        <v>28835534.01490565</v>
      </c>
      <c r="F152" s="21">
        <f t="shared" si="67"/>
        <v>25536109.912019551</v>
      </c>
      <c r="G152" s="21">
        <f t="shared" si="67"/>
        <v>25789926.737985648</v>
      </c>
      <c r="H152" s="21">
        <f t="shared" si="67"/>
        <v>30309300.983699143</v>
      </c>
      <c r="I152" s="21">
        <f t="shared" si="67"/>
        <v>34621225.141552188</v>
      </c>
      <c r="J152" s="21">
        <f t="shared" si="67"/>
        <v>34055161.514103562</v>
      </c>
      <c r="K152" s="21">
        <f t="shared" si="67"/>
        <v>28489780.455337755</v>
      </c>
      <c r="L152" s="21">
        <f t="shared" si="67"/>
        <v>25838849.404559791</v>
      </c>
      <c r="M152" s="21">
        <f t="shared" si="67"/>
        <v>27092971.635424636</v>
      </c>
      <c r="N152" s="21">
        <f t="shared" si="67"/>
        <v>31729095.540538564</v>
      </c>
    </row>
    <row r="153" spans="2:14" x14ac:dyDescent="0.25">
      <c r="B153" s="36" t="s">
        <v>39</v>
      </c>
      <c r="C153" s="21">
        <f t="shared" ref="C153:N153" si="68">C92</f>
        <v>9019442.6623892542</v>
      </c>
      <c r="D153" s="21">
        <f t="shared" si="68"/>
        <v>7624894.1186782401</v>
      </c>
      <c r="E153" s="21">
        <f t="shared" si="68"/>
        <v>8000958.8118998697</v>
      </c>
      <c r="F153" s="21">
        <f t="shared" si="68"/>
        <v>7497881.3586595198</v>
      </c>
      <c r="G153" s="21">
        <f t="shared" si="68"/>
        <v>7726166.0786520522</v>
      </c>
      <c r="H153" s="21">
        <f t="shared" si="68"/>
        <v>8777553.1269803997</v>
      </c>
      <c r="I153" s="21">
        <f t="shared" si="68"/>
        <v>10129529.593236521</v>
      </c>
      <c r="J153" s="21">
        <f t="shared" si="68"/>
        <v>9869350.5857347157</v>
      </c>
      <c r="K153" s="21">
        <f t="shared" si="68"/>
        <v>8121384.8381450903</v>
      </c>
      <c r="L153" s="21">
        <f t="shared" si="68"/>
        <v>7714329.5456528664</v>
      </c>
      <c r="M153" s="21">
        <f t="shared" si="68"/>
        <v>8419792.0564129781</v>
      </c>
      <c r="N153" s="21">
        <f t="shared" si="68"/>
        <v>8219866.4525672207</v>
      </c>
    </row>
    <row r="154" spans="2:14" x14ac:dyDescent="0.25">
      <c r="B154" s="36" t="s">
        <v>40</v>
      </c>
      <c r="C154" s="21">
        <f t="shared" ref="C154:N154" si="69">C93</f>
        <v>9358176.9841570966</v>
      </c>
      <c r="D154" s="21">
        <f t="shared" si="69"/>
        <v>7953784.4628512589</v>
      </c>
      <c r="E154" s="21">
        <f t="shared" si="69"/>
        <v>8160689.3004935998</v>
      </c>
      <c r="F154" s="21">
        <f t="shared" si="69"/>
        <v>7462438.3483661367</v>
      </c>
      <c r="G154" s="21">
        <f t="shared" si="69"/>
        <v>8282019.0678229984</v>
      </c>
      <c r="H154" s="21">
        <f t="shared" si="69"/>
        <v>9698777.7821637914</v>
      </c>
      <c r="I154" s="21">
        <f t="shared" si="69"/>
        <v>11745631.871909078</v>
      </c>
      <c r="J154" s="21">
        <f t="shared" si="69"/>
        <v>11428710.766970184</v>
      </c>
      <c r="K154" s="21">
        <f t="shared" si="69"/>
        <v>8868141.5488136765</v>
      </c>
      <c r="L154" s="21">
        <f t="shared" si="69"/>
        <v>7887260.8010254595</v>
      </c>
      <c r="M154" s="21">
        <f t="shared" si="69"/>
        <v>8519090.28117631</v>
      </c>
      <c r="N154" s="21">
        <f t="shared" si="69"/>
        <v>8477822.0365938842</v>
      </c>
    </row>
    <row r="155" spans="2:14" x14ac:dyDescent="0.25">
      <c r="B155" s="38" t="s">
        <v>80</v>
      </c>
      <c r="C155" s="33">
        <f>SUM(C150:C154)</f>
        <v>56128952.047325388</v>
      </c>
      <c r="D155" s="33">
        <f t="shared" ref="D155:N155" si="70">SUM(D150:D154)</f>
        <v>47110276.820645966</v>
      </c>
      <c r="E155" s="33">
        <f t="shared" si="70"/>
        <v>48966678.871442273</v>
      </c>
      <c r="F155" s="33">
        <f t="shared" si="70"/>
        <v>44996238.813550703</v>
      </c>
      <c r="G155" s="33">
        <f t="shared" si="70"/>
        <v>45255672.434121333</v>
      </c>
      <c r="H155" s="33">
        <f t="shared" si="70"/>
        <v>52568013.825926036</v>
      </c>
      <c r="I155" s="33">
        <f t="shared" si="70"/>
        <v>61072776.384454459</v>
      </c>
      <c r="J155" s="33">
        <f t="shared" si="70"/>
        <v>59369357.870970771</v>
      </c>
      <c r="K155" s="33">
        <f t="shared" si="70"/>
        <v>49101051.582700863</v>
      </c>
      <c r="L155" s="33">
        <f t="shared" si="70"/>
        <v>45395834.21214015</v>
      </c>
      <c r="M155" s="33">
        <f t="shared" si="70"/>
        <v>48281771.062149823</v>
      </c>
      <c r="N155" s="33">
        <f t="shared" si="70"/>
        <v>53107385.243338972</v>
      </c>
    </row>
    <row r="156" spans="2:14" x14ac:dyDescent="0.25">
      <c r="B156" s="42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2:14" x14ac:dyDescent="0.25">
      <c r="B157" s="56" t="s">
        <v>72</v>
      </c>
      <c r="C157" s="27" t="s">
        <v>9</v>
      </c>
      <c r="D157" s="27" t="s">
        <v>10</v>
      </c>
      <c r="E157" s="27" t="s">
        <v>11</v>
      </c>
      <c r="F157" s="27" t="s">
        <v>12</v>
      </c>
      <c r="G157" s="27" t="s">
        <v>13</v>
      </c>
      <c r="H157" s="27" t="s">
        <v>14</v>
      </c>
      <c r="I157" s="27" t="s">
        <v>15</v>
      </c>
      <c r="J157" s="27" t="s">
        <v>16</v>
      </c>
      <c r="K157" s="27" t="s">
        <v>17</v>
      </c>
      <c r="L157" s="27" t="s">
        <v>18</v>
      </c>
      <c r="M157" s="27" t="s">
        <v>19</v>
      </c>
      <c r="N157" s="27" t="s">
        <v>20</v>
      </c>
    </row>
    <row r="158" spans="2:14" x14ac:dyDescent="0.25">
      <c r="B158" s="36" t="s">
        <v>36</v>
      </c>
      <c r="C158" s="21">
        <f>C150*C143</f>
        <v>231373.28522000014</v>
      </c>
      <c r="D158" s="21">
        <f t="shared" ref="D158:N158" si="71">D150*D143</f>
        <v>205078.90579891898</v>
      </c>
      <c r="E158" s="21">
        <f t="shared" si="71"/>
        <v>188337.92865415808</v>
      </c>
      <c r="F158" s="21">
        <f t="shared" si="71"/>
        <v>211077.2888569232</v>
      </c>
      <c r="G158" s="21">
        <f t="shared" si="71"/>
        <v>143742.9955848417</v>
      </c>
      <c r="H158" s="21">
        <f t="shared" si="71"/>
        <v>164281.71832628985</v>
      </c>
      <c r="I158" s="21">
        <f t="shared" si="71"/>
        <v>174892.08814886861</v>
      </c>
      <c r="J158" s="21">
        <f t="shared" si="71"/>
        <v>163173.90237988936</v>
      </c>
      <c r="K158" s="21">
        <f t="shared" si="71"/>
        <v>152776.18625301262</v>
      </c>
      <c r="L158" s="21">
        <f t="shared" si="71"/>
        <v>158288.70107747737</v>
      </c>
      <c r="M158" s="21">
        <f t="shared" si="71"/>
        <v>202542.36710366866</v>
      </c>
      <c r="N158" s="21">
        <f t="shared" si="71"/>
        <v>223742.44234769061</v>
      </c>
    </row>
    <row r="159" spans="2:14" x14ac:dyDescent="0.25">
      <c r="B159" s="36" t="s">
        <v>37</v>
      </c>
      <c r="C159" s="21">
        <f t="shared" ref="C159:N162" si="72">C151*C144</f>
        <v>173396.69598114179</v>
      </c>
      <c r="D159" s="21">
        <f t="shared" si="72"/>
        <v>144645.06263000733</v>
      </c>
      <c r="E159" s="21">
        <f t="shared" si="72"/>
        <v>135595.91607003857</v>
      </c>
      <c r="F159" s="21">
        <f t="shared" si="72"/>
        <v>156510.56755428569</v>
      </c>
      <c r="G159" s="21">
        <f t="shared" si="72"/>
        <v>141578.38752952489</v>
      </c>
      <c r="H159" s="21">
        <f t="shared" si="72"/>
        <v>146747.92800488215</v>
      </c>
      <c r="I159" s="21">
        <f t="shared" si="72"/>
        <v>205150.69223009294</v>
      </c>
      <c r="J159" s="21">
        <f t="shared" si="72"/>
        <v>168832.41391836526</v>
      </c>
      <c r="K159" s="21">
        <f t="shared" si="72"/>
        <v>145749.8198632834</v>
      </c>
      <c r="L159" s="21">
        <f t="shared" si="72"/>
        <v>169073.036943716</v>
      </c>
      <c r="M159" s="21">
        <f t="shared" si="72"/>
        <v>144135.20960547755</v>
      </c>
      <c r="N159" s="21">
        <f t="shared" si="72"/>
        <v>157962.11361202211</v>
      </c>
    </row>
    <row r="160" spans="2:14" x14ac:dyDescent="0.25">
      <c r="B160" s="36" t="s">
        <v>38</v>
      </c>
      <c r="C160" s="21">
        <f t="shared" si="72"/>
        <v>2131883.4587599155</v>
      </c>
      <c r="D160" s="21">
        <f t="shared" si="72"/>
        <v>1770795.6762167378</v>
      </c>
      <c r="E160" s="21">
        <f t="shared" si="72"/>
        <v>1874309.7109688674</v>
      </c>
      <c r="F160" s="21">
        <f t="shared" si="72"/>
        <v>1659847.1442812709</v>
      </c>
      <c r="G160" s="21">
        <f t="shared" si="72"/>
        <v>1676345.2379690672</v>
      </c>
      <c r="H160" s="21">
        <f t="shared" si="72"/>
        <v>1970104.5639404443</v>
      </c>
      <c r="I160" s="21">
        <f t="shared" si="72"/>
        <v>2250379.6342008924</v>
      </c>
      <c r="J160" s="21">
        <f t="shared" si="72"/>
        <v>2213585.4984167316</v>
      </c>
      <c r="K160" s="21">
        <f t="shared" si="72"/>
        <v>1851835.7295969541</v>
      </c>
      <c r="L160" s="21">
        <f t="shared" si="72"/>
        <v>1679525.2112963866</v>
      </c>
      <c r="M160" s="21">
        <f t="shared" si="72"/>
        <v>1761043.1563026013</v>
      </c>
      <c r="N160" s="21">
        <f t="shared" si="72"/>
        <v>2062391.2101350068</v>
      </c>
    </row>
    <row r="161" spans="2:14" x14ac:dyDescent="0.25">
      <c r="B161" s="36" t="s">
        <v>39</v>
      </c>
      <c r="C161" s="21">
        <f t="shared" si="72"/>
        <v>847827.61026458989</v>
      </c>
      <c r="D161" s="21">
        <f t="shared" si="72"/>
        <v>716740.04715575452</v>
      </c>
      <c r="E161" s="21">
        <f t="shared" si="72"/>
        <v>752090.12831858778</v>
      </c>
      <c r="F161" s="21">
        <f t="shared" si="72"/>
        <v>704800.84771399491</v>
      </c>
      <c r="G161" s="21">
        <f t="shared" si="72"/>
        <v>726259.6113932929</v>
      </c>
      <c r="H161" s="21">
        <f t="shared" si="72"/>
        <v>825089.99393615755</v>
      </c>
      <c r="I161" s="21">
        <f t="shared" si="72"/>
        <v>952175.78176423302</v>
      </c>
      <c r="J161" s="21">
        <f t="shared" si="72"/>
        <v>927718.95505906327</v>
      </c>
      <c r="K161" s="21">
        <f t="shared" si="72"/>
        <v>763410.17478563846</v>
      </c>
      <c r="L161" s="21">
        <f t="shared" si="72"/>
        <v>725146.97729136946</v>
      </c>
      <c r="M161" s="21">
        <f t="shared" si="72"/>
        <v>791460.45330281998</v>
      </c>
      <c r="N161" s="21">
        <f t="shared" si="72"/>
        <v>772667.44654131879</v>
      </c>
    </row>
    <row r="162" spans="2:14" x14ac:dyDescent="0.25">
      <c r="B162" s="36" t="s">
        <v>40</v>
      </c>
      <c r="C162" s="21">
        <f t="shared" si="72"/>
        <v>1235279.3619087369</v>
      </c>
      <c r="D162" s="21">
        <f t="shared" si="72"/>
        <v>1049899.5490963662</v>
      </c>
      <c r="E162" s="21">
        <f t="shared" si="72"/>
        <v>1077210.9876651552</v>
      </c>
      <c r="F162" s="21">
        <f t="shared" si="72"/>
        <v>985041.86198433011</v>
      </c>
      <c r="G162" s="21">
        <f t="shared" si="72"/>
        <v>1093226.516952636</v>
      </c>
      <c r="H162" s="21">
        <f t="shared" si="72"/>
        <v>1280238.6672456206</v>
      </c>
      <c r="I162" s="21">
        <f t="shared" si="72"/>
        <v>1550423.4070919985</v>
      </c>
      <c r="J162" s="21">
        <f t="shared" si="72"/>
        <v>1508589.8212400642</v>
      </c>
      <c r="K162" s="21">
        <f t="shared" si="72"/>
        <v>1170594.6844434054</v>
      </c>
      <c r="L162" s="21">
        <f t="shared" si="72"/>
        <v>1041118.4257353607</v>
      </c>
      <c r="M162" s="21">
        <f t="shared" si="72"/>
        <v>1124519.917115273</v>
      </c>
      <c r="N162" s="21">
        <f t="shared" si="72"/>
        <v>1119072.5088303927</v>
      </c>
    </row>
    <row r="163" spans="2:14" x14ac:dyDescent="0.25">
      <c r="B163" s="38" t="s">
        <v>79</v>
      </c>
      <c r="C163" s="33">
        <f>SUM(C158:C162)</f>
        <v>4619760.4121343847</v>
      </c>
      <c r="D163" s="33">
        <f t="shared" ref="D163" si="73">SUM(D158:D162)</f>
        <v>3887159.2408977849</v>
      </c>
      <c r="E163" s="33">
        <f t="shared" ref="E163" si="74">SUM(E158:E162)</f>
        <v>4027544.6716768071</v>
      </c>
      <c r="F163" s="33">
        <f t="shared" ref="F163" si="75">SUM(F158:F162)</f>
        <v>3717277.7103908048</v>
      </c>
      <c r="G163" s="33">
        <f t="shared" ref="G163" si="76">SUM(G158:G162)</f>
        <v>3781152.7494293628</v>
      </c>
      <c r="H163" s="33">
        <f t="shared" ref="H163" si="77">SUM(H158:H162)</f>
        <v>4386462.8714533951</v>
      </c>
      <c r="I163" s="33">
        <f t="shared" ref="I163" si="78">SUM(I158:I162)</f>
        <v>5133021.6034360854</v>
      </c>
      <c r="J163" s="33">
        <f t="shared" ref="J163" si="79">SUM(J158:J162)</f>
        <v>4981900.5910141133</v>
      </c>
      <c r="K163" s="33">
        <f t="shared" ref="K163" si="80">SUM(K158:K162)</f>
        <v>4084366.5949422936</v>
      </c>
      <c r="L163" s="33">
        <f t="shared" ref="L163" si="81">SUM(L158:L162)</f>
        <v>3773152.3523443099</v>
      </c>
      <c r="M163" s="33">
        <f t="shared" ref="M163" si="82">SUM(M158:M162)</f>
        <v>4023701.1034298409</v>
      </c>
      <c r="N163" s="33">
        <f t="shared" ref="N163" si="83">SUM(N158:N162)</f>
        <v>4335835.7214664314</v>
      </c>
    </row>
    <row r="166" spans="2:14" ht="15.6" x14ac:dyDescent="0.3">
      <c r="B166" s="17" t="s">
        <v>81</v>
      </c>
    </row>
    <row r="168" spans="2:14" x14ac:dyDescent="0.25">
      <c r="B168" s="26" t="s">
        <v>71</v>
      </c>
      <c r="C168" s="27" t="s">
        <v>9</v>
      </c>
      <c r="D168" s="27" t="s">
        <v>10</v>
      </c>
      <c r="E168" s="27" t="s">
        <v>11</v>
      </c>
      <c r="F168" s="27" t="s">
        <v>12</v>
      </c>
      <c r="G168" s="27" t="s">
        <v>13</v>
      </c>
      <c r="H168" s="27" t="s">
        <v>14</v>
      </c>
      <c r="I168" s="27" t="s">
        <v>15</v>
      </c>
      <c r="J168" s="27" t="s">
        <v>16</v>
      </c>
      <c r="K168" s="27" t="s">
        <v>17</v>
      </c>
      <c r="L168" s="27" t="s">
        <v>18</v>
      </c>
      <c r="M168" s="27" t="s">
        <v>19</v>
      </c>
      <c r="N168" s="27" t="s">
        <v>20</v>
      </c>
    </row>
    <row r="169" spans="2:14" x14ac:dyDescent="0.25">
      <c r="B169" s="36" t="s">
        <v>82</v>
      </c>
      <c r="C169" s="53">
        <f t="shared" ref="C169:N169" si="84">C100</f>
        <v>4.266778429996769E-2</v>
      </c>
      <c r="D169" s="53">
        <f t="shared" si="84"/>
        <v>-2.7834327715144758E-3</v>
      </c>
      <c r="E169" s="53">
        <f t="shared" si="84"/>
        <v>7.9269894368065308E-3</v>
      </c>
      <c r="F169" s="53">
        <f t="shared" si="84"/>
        <v>2.8082363581647247E-2</v>
      </c>
      <c r="G169" s="53">
        <f t="shared" si="84"/>
        <v>-2.8600797578242788E-2</v>
      </c>
      <c r="H169" s="53">
        <f t="shared" si="84"/>
        <v>7.886777827458421E-4</v>
      </c>
      <c r="I169" s="53">
        <f t="shared" si="84"/>
        <v>2.7238019293385995E-2</v>
      </c>
      <c r="J169" s="53">
        <f t="shared" si="84"/>
        <v>9.7909044964126883E-3</v>
      </c>
      <c r="K169" s="53">
        <f t="shared" si="84"/>
        <v>9.4742593759109053E-3</v>
      </c>
      <c r="L169" s="53">
        <f t="shared" si="84"/>
        <v>-2.6870674823571406E-2</v>
      </c>
      <c r="M169" s="53">
        <f t="shared" si="84"/>
        <v>2.832782894197635E-2</v>
      </c>
      <c r="N169" s="53">
        <f t="shared" si="84"/>
        <v>2.8116418937765442E-2</v>
      </c>
    </row>
    <row r="170" spans="2:14" x14ac:dyDescent="0.25">
      <c r="B170" s="36" t="s">
        <v>84</v>
      </c>
      <c r="C170" s="53">
        <f t="shared" ref="C170:N170" si="85">C101</f>
        <v>2.027265640113602E-2</v>
      </c>
      <c r="D170" s="53">
        <f t="shared" si="85"/>
        <v>3.1947010734836571E-2</v>
      </c>
      <c r="E170" s="53">
        <f t="shared" si="85"/>
        <v>1.9313256392928611E-2</v>
      </c>
      <c r="F170" s="53">
        <f t="shared" si="85"/>
        <v>1.7580130490640739E-2</v>
      </c>
      <c r="G170" s="53">
        <f t="shared" si="85"/>
        <v>2.9714422556118624E-2</v>
      </c>
      <c r="H170" s="53">
        <f t="shared" si="85"/>
        <v>1.361094860425865E-2</v>
      </c>
      <c r="I170" s="53">
        <f t="shared" si="85"/>
        <v>1.7939624194798772E-2</v>
      </c>
      <c r="J170" s="53">
        <f t="shared" si="85"/>
        <v>3.0637300850248426E-2</v>
      </c>
      <c r="K170" s="53">
        <f t="shared" si="85"/>
        <v>3.0647676309430862E-2</v>
      </c>
      <c r="L170" s="53">
        <f t="shared" si="85"/>
        <v>2.9512862822852107E-2</v>
      </c>
      <c r="M170" s="53">
        <f t="shared" si="85"/>
        <v>1.4071701950838605E-2</v>
      </c>
      <c r="N170" s="53">
        <f t="shared" si="85"/>
        <v>2.5717193901436633E-2</v>
      </c>
    </row>
    <row r="171" spans="2:14" x14ac:dyDescent="0.25">
      <c r="B171" s="42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</row>
    <row r="172" spans="2:14" x14ac:dyDescent="0.25">
      <c r="B172" s="57" t="s">
        <v>42</v>
      </c>
      <c r="C172" s="27" t="s">
        <v>9</v>
      </c>
      <c r="D172" s="27" t="s">
        <v>10</v>
      </c>
      <c r="E172" s="27" t="s">
        <v>11</v>
      </c>
      <c r="F172" s="27" t="s">
        <v>12</v>
      </c>
      <c r="G172" s="27" t="s">
        <v>13</v>
      </c>
      <c r="H172" s="27" t="s">
        <v>14</v>
      </c>
      <c r="I172" s="27" t="s">
        <v>15</v>
      </c>
      <c r="J172" s="27" t="s">
        <v>16</v>
      </c>
      <c r="K172" s="27" t="s">
        <v>17</v>
      </c>
      <c r="L172" s="27" t="s">
        <v>18</v>
      </c>
      <c r="M172" s="27" t="s">
        <v>19</v>
      </c>
      <c r="N172" s="27" t="s">
        <v>20</v>
      </c>
    </row>
    <row r="173" spans="2:14" x14ac:dyDescent="0.25">
      <c r="B173" s="36" t="s">
        <v>82</v>
      </c>
      <c r="C173" s="21">
        <f t="shared" ref="C173:N173" si="86">C62</f>
        <v>67542475.147762388</v>
      </c>
      <c r="D173" s="21">
        <f t="shared" si="86"/>
        <v>60743771.799350791</v>
      </c>
      <c r="E173" s="21">
        <f t="shared" si="86"/>
        <v>65924360.20885434</v>
      </c>
      <c r="F173" s="21">
        <f t="shared" si="86"/>
        <v>65091154.198643371</v>
      </c>
      <c r="G173" s="21">
        <f t="shared" si="86"/>
        <v>67719023.725073636</v>
      </c>
      <c r="H173" s="21">
        <f t="shared" si="86"/>
        <v>67455643.763356954</v>
      </c>
      <c r="I173" s="21">
        <f t="shared" si="86"/>
        <v>72164074.441432789</v>
      </c>
      <c r="J173" s="21">
        <f t="shared" si="86"/>
        <v>72857674.177158505</v>
      </c>
      <c r="K173" s="21">
        <f t="shared" si="86"/>
        <v>67010017.529740088</v>
      </c>
      <c r="L173" s="21">
        <f t="shared" si="86"/>
        <v>68082425.14418605</v>
      </c>
      <c r="M173" s="21">
        <f t="shared" si="86"/>
        <v>66162104.169882834</v>
      </c>
      <c r="N173" s="21">
        <f t="shared" si="86"/>
        <v>61743415.206819221</v>
      </c>
    </row>
    <row r="174" spans="2:14" x14ac:dyDescent="0.25">
      <c r="B174" s="36" t="s">
        <v>84</v>
      </c>
      <c r="C174" s="21">
        <f t="shared" ref="C174:N174" si="87">C54</f>
        <v>43919886.807762392</v>
      </c>
      <c r="D174" s="21">
        <f t="shared" si="87"/>
        <v>39499485.649350792</v>
      </c>
      <c r="E174" s="21">
        <f t="shared" si="87"/>
        <v>42270310.928854339</v>
      </c>
      <c r="F174" s="21">
        <f t="shared" si="87"/>
        <v>42109319.938643366</v>
      </c>
      <c r="G174" s="21">
        <f t="shared" si="87"/>
        <v>42619390.875073649</v>
      </c>
      <c r="H174" s="21">
        <f t="shared" si="87"/>
        <v>42741163.493356958</v>
      </c>
      <c r="I174" s="21">
        <f t="shared" si="87"/>
        <v>44832489.911432788</v>
      </c>
      <c r="J174" s="21">
        <f t="shared" si="87"/>
        <v>43632588.18715851</v>
      </c>
      <c r="K174" s="21">
        <f t="shared" si="87"/>
        <v>40714937.83974009</v>
      </c>
      <c r="L174" s="21">
        <f t="shared" si="87"/>
        <v>41581674.004186049</v>
      </c>
      <c r="M174" s="21">
        <f t="shared" si="87"/>
        <v>40818017.369882829</v>
      </c>
      <c r="N174" s="21">
        <f t="shared" si="87"/>
        <v>39270366.946819223</v>
      </c>
    </row>
    <row r="175" spans="2:14" x14ac:dyDescent="0.25">
      <c r="B175" s="42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</row>
    <row r="176" spans="2:14" x14ac:dyDescent="0.25">
      <c r="B176" s="49" t="s">
        <v>72</v>
      </c>
      <c r="C176" s="27" t="s">
        <v>9</v>
      </c>
      <c r="D176" s="27" t="s">
        <v>10</v>
      </c>
      <c r="E176" s="27" t="s">
        <v>11</v>
      </c>
      <c r="F176" s="27" t="s">
        <v>12</v>
      </c>
      <c r="G176" s="27" t="s">
        <v>13</v>
      </c>
      <c r="H176" s="27" t="s">
        <v>14</v>
      </c>
      <c r="I176" s="27" t="s">
        <v>15</v>
      </c>
      <c r="J176" s="27" t="s">
        <v>16</v>
      </c>
      <c r="K176" s="27" t="s">
        <v>17</v>
      </c>
      <c r="L176" s="27" t="s">
        <v>18</v>
      </c>
      <c r="M176" s="27" t="s">
        <v>19</v>
      </c>
      <c r="N176" s="27" t="s">
        <v>20</v>
      </c>
    </row>
    <row r="177" spans="2:14" x14ac:dyDescent="0.25">
      <c r="B177" s="36" t="s">
        <v>82</v>
      </c>
      <c r="C177" s="21">
        <f>C169*C173</f>
        <v>2881887.7606906537</v>
      </c>
      <c r="D177" s="21">
        <f t="shared" ref="D177:N177" si="88">D169*D173</f>
        <v>-169076.20509170982</v>
      </c>
      <c r="E177" s="21">
        <f t="shared" si="88"/>
        <v>522581.70700381714</v>
      </c>
      <c r="F177" s="21">
        <f t="shared" si="88"/>
        <v>1827913.458155368</v>
      </c>
      <c r="G177" s="21">
        <f t="shared" si="88"/>
        <v>-1936818.089757052</v>
      </c>
      <c r="H177" s="21">
        <f t="shared" si="88"/>
        <v>53200.767556977757</v>
      </c>
      <c r="I177" s="21">
        <f t="shared" si="88"/>
        <v>1965606.4519250893</v>
      </c>
      <c r="J177" s="21">
        <f t="shared" si="88"/>
        <v>713342.52969931182</v>
      </c>
      <c r="K177" s="21">
        <f t="shared" si="88"/>
        <v>634870.28686109418</v>
      </c>
      <c r="L177" s="21">
        <f t="shared" si="88"/>
        <v>-1829420.7072495651</v>
      </c>
      <c r="M177" s="21">
        <f t="shared" si="88"/>
        <v>1874228.7693656611</v>
      </c>
      <c r="N177" s="21">
        <f t="shared" si="88"/>
        <v>1736003.7286033267</v>
      </c>
    </row>
    <row r="178" spans="2:14" x14ac:dyDescent="0.25">
      <c r="B178" s="36" t="s">
        <v>83</v>
      </c>
      <c r="C178" s="21">
        <f t="shared" ref="C178:N178" si="89">C132</f>
        <v>1410768.3</v>
      </c>
      <c r="D178" s="21">
        <f t="shared" si="89"/>
        <v>1427729.55</v>
      </c>
      <c r="E178" s="21">
        <f t="shared" si="89"/>
        <v>1726260.05</v>
      </c>
      <c r="F178" s="21">
        <f t="shared" si="89"/>
        <v>1686315.34</v>
      </c>
      <c r="G178" s="21">
        <f t="shared" si="89"/>
        <v>1794955.49</v>
      </c>
      <c r="H178" s="21">
        <f t="shared" si="89"/>
        <v>2063757.64</v>
      </c>
      <c r="I178" s="21">
        <f t="shared" si="89"/>
        <v>1655841.59</v>
      </c>
      <c r="J178" s="21">
        <f t="shared" si="89"/>
        <v>1591520.55</v>
      </c>
      <c r="K178" s="21">
        <f t="shared" si="89"/>
        <v>1538490.38</v>
      </c>
      <c r="L178" s="21">
        <f t="shared" si="89"/>
        <v>2061487.62</v>
      </c>
      <c r="M178" s="21">
        <f t="shared" si="89"/>
        <v>1700290.06</v>
      </c>
      <c r="N178" s="21">
        <f t="shared" si="89"/>
        <v>1549295.14</v>
      </c>
    </row>
    <row r="179" spans="2:14" x14ac:dyDescent="0.25">
      <c r="B179" s="36" t="s">
        <v>84</v>
      </c>
      <c r="C179" s="21">
        <f>C170*C174</f>
        <v>890372.77443055366</v>
      </c>
      <c r="D179" s="21">
        <f t="shared" ref="D179:N179" si="90">D170*D174</f>
        <v>1261890.4920603328</v>
      </c>
      <c r="E179" s="21">
        <f t="shared" si="90"/>
        <v>816377.35277777619</v>
      </c>
      <c r="F179" s="21">
        <f t="shared" si="90"/>
        <v>740287.33939349023</v>
      </c>
      <c r="G179" s="21">
        <f t="shared" si="90"/>
        <v>1266410.5895463247</v>
      </c>
      <c r="H179" s="21">
        <f t="shared" si="90"/>
        <v>581747.77959429764</v>
      </c>
      <c r="I179" s="21">
        <f t="shared" si="90"/>
        <v>804278.0207282115</v>
      </c>
      <c r="J179" s="21">
        <f t="shared" si="90"/>
        <v>1336784.7311649709</v>
      </c>
      <c r="K179" s="21">
        <f t="shared" si="90"/>
        <v>1247818.2358709525</v>
      </c>
      <c r="L179" s="21">
        <f t="shared" si="90"/>
        <v>1227194.2408300983</v>
      </c>
      <c r="M179" s="21">
        <f t="shared" si="90"/>
        <v>574378.97465314425</v>
      </c>
      <c r="N179" s="21">
        <f t="shared" si="90"/>
        <v>1009923.6413519181</v>
      </c>
    </row>
    <row r="180" spans="2:14" x14ac:dyDescent="0.25">
      <c r="B180" s="38" t="s">
        <v>21</v>
      </c>
      <c r="C180" s="33">
        <f>SUM(C177:C179)</f>
        <v>5183028.8351212069</v>
      </c>
      <c r="D180" s="33">
        <f t="shared" ref="D180:N180" si="91">SUM(D177:D179)</f>
        <v>2520543.8369686231</v>
      </c>
      <c r="E180" s="33">
        <f t="shared" si="91"/>
        <v>3065219.1097815935</v>
      </c>
      <c r="F180" s="33">
        <f t="shared" si="91"/>
        <v>4254516.1375488583</v>
      </c>
      <c r="G180" s="33">
        <f t="shared" si="91"/>
        <v>1124547.9897892727</v>
      </c>
      <c r="H180" s="33">
        <f t="shared" si="91"/>
        <v>2698706.1871512751</v>
      </c>
      <c r="I180" s="33">
        <f t="shared" si="91"/>
        <v>4425726.0626533013</v>
      </c>
      <c r="J180" s="33">
        <f t="shared" si="91"/>
        <v>3641647.8108642828</v>
      </c>
      <c r="K180" s="33">
        <f t="shared" si="91"/>
        <v>3421178.9027320463</v>
      </c>
      <c r="L180" s="33">
        <f t="shared" si="91"/>
        <v>1459261.1535805333</v>
      </c>
      <c r="M180" s="33">
        <f t="shared" si="91"/>
        <v>4148897.8040188057</v>
      </c>
      <c r="N180" s="33">
        <f t="shared" si="91"/>
        <v>4295222.5099552441</v>
      </c>
    </row>
    <row r="183" spans="2:14" ht="15.6" x14ac:dyDescent="0.3">
      <c r="B183" s="17" t="s">
        <v>121</v>
      </c>
    </row>
    <row r="184" spans="2:14" x14ac:dyDescent="0.25">
      <c r="B184" s="10"/>
    </row>
    <row r="185" spans="2:14" x14ac:dyDescent="0.25">
      <c r="B185" s="26" t="s">
        <v>71</v>
      </c>
      <c r="C185" s="27" t="s">
        <v>9</v>
      </c>
      <c r="D185" s="27" t="s">
        <v>10</v>
      </c>
      <c r="E185" s="27" t="s">
        <v>11</v>
      </c>
      <c r="F185" s="27" t="s">
        <v>12</v>
      </c>
      <c r="G185" s="27" t="s">
        <v>13</v>
      </c>
      <c r="H185" s="27" t="s">
        <v>14</v>
      </c>
      <c r="I185" s="27" t="s">
        <v>15</v>
      </c>
      <c r="J185" s="27" t="s">
        <v>16</v>
      </c>
      <c r="K185" s="27" t="s">
        <v>17</v>
      </c>
      <c r="L185" s="27" t="s">
        <v>18</v>
      </c>
      <c r="M185" s="27" t="s">
        <v>19</v>
      </c>
      <c r="N185" s="27" t="s">
        <v>20</v>
      </c>
    </row>
    <row r="186" spans="2:14" x14ac:dyDescent="0.25">
      <c r="B186" s="58" t="s">
        <v>85</v>
      </c>
      <c r="C186" s="52">
        <f t="shared" ref="C186:N186" si="92">(SUM(C130:C131,C136)-(C196/(C62/C20)))/C19</f>
        <v>4.266778429996769E-2</v>
      </c>
      <c r="D186" s="52">
        <f t="shared" si="92"/>
        <v>-2.7834327715144758E-3</v>
      </c>
      <c r="E186" s="52">
        <f t="shared" si="92"/>
        <v>7.9269894368065308E-3</v>
      </c>
      <c r="F186" s="52">
        <f t="shared" si="92"/>
        <v>2.8082363581647247E-2</v>
      </c>
      <c r="G186" s="52">
        <f t="shared" si="92"/>
        <v>-2.8600797578242788E-2</v>
      </c>
      <c r="H186" s="52">
        <f t="shared" si="92"/>
        <v>7.886777827458421E-4</v>
      </c>
      <c r="I186" s="52">
        <f t="shared" si="92"/>
        <v>2.7238019293385995E-2</v>
      </c>
      <c r="J186" s="52">
        <f t="shared" si="92"/>
        <v>9.7909044964126883E-3</v>
      </c>
      <c r="K186" s="52">
        <f t="shared" si="92"/>
        <v>9.4742593759109053E-3</v>
      </c>
      <c r="L186" s="52">
        <f t="shared" si="92"/>
        <v>-2.6870674823571406E-2</v>
      </c>
      <c r="M186" s="52">
        <f t="shared" si="92"/>
        <v>2.832782894197635E-2</v>
      </c>
      <c r="N186" s="52">
        <f t="shared" si="92"/>
        <v>2.8116418937765442E-2</v>
      </c>
    </row>
    <row r="187" spans="2:14" x14ac:dyDescent="0.25">
      <c r="B187" s="58" t="s">
        <v>86</v>
      </c>
      <c r="C187" s="61">
        <f>'Consumption and Rates'!E10/100</f>
        <v>2.027265640113602E-2</v>
      </c>
      <c r="D187" s="61">
        <f>'Consumption and Rates'!F10/100</f>
        <v>3.1947010734836571E-2</v>
      </c>
      <c r="E187" s="61">
        <f>'Consumption and Rates'!G10/100</f>
        <v>1.9313256392928611E-2</v>
      </c>
      <c r="F187" s="61">
        <f>'Consumption and Rates'!H10/100</f>
        <v>1.7580130490640739E-2</v>
      </c>
      <c r="G187" s="61">
        <f>'Consumption and Rates'!I10/100</f>
        <v>2.9714422556118624E-2</v>
      </c>
      <c r="H187" s="61">
        <f>'Consumption and Rates'!J10/100</f>
        <v>1.361094860425865E-2</v>
      </c>
      <c r="I187" s="61">
        <f>'Consumption and Rates'!K10/100</f>
        <v>1.7939624194798772E-2</v>
      </c>
      <c r="J187" s="61">
        <f>'Consumption and Rates'!L10/100</f>
        <v>3.0637300850248426E-2</v>
      </c>
      <c r="K187" s="61">
        <f>'Consumption and Rates'!M10/100</f>
        <v>3.0647676309430862E-2</v>
      </c>
      <c r="L187" s="61">
        <f>'Consumption and Rates'!N10/100</f>
        <v>2.9512862822852107E-2</v>
      </c>
      <c r="M187" s="61">
        <f>'Consumption and Rates'!O10/100</f>
        <v>1.4071701950838605E-2</v>
      </c>
      <c r="N187" s="61">
        <f>'Consumption and Rates'!P10/100</f>
        <v>2.5717193901436633E-2</v>
      </c>
    </row>
    <row r="188" spans="2:14" x14ac:dyDescent="0.25">
      <c r="B188" s="42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2:14" x14ac:dyDescent="0.25">
      <c r="B189" s="57" t="s">
        <v>42</v>
      </c>
      <c r="C189" s="27" t="s">
        <v>9</v>
      </c>
      <c r="D189" s="27" t="s">
        <v>10</v>
      </c>
      <c r="E189" s="27" t="s">
        <v>11</v>
      </c>
      <c r="F189" s="27" t="s">
        <v>12</v>
      </c>
      <c r="G189" s="27" t="s">
        <v>13</v>
      </c>
      <c r="H189" s="27" t="s">
        <v>14</v>
      </c>
      <c r="I189" s="27" t="s">
        <v>15</v>
      </c>
      <c r="J189" s="27" t="s">
        <v>16</v>
      </c>
      <c r="K189" s="27" t="s">
        <v>17</v>
      </c>
      <c r="L189" s="27" t="s">
        <v>18</v>
      </c>
      <c r="M189" s="27" t="s">
        <v>19</v>
      </c>
      <c r="N189" s="27" t="s">
        <v>20</v>
      </c>
    </row>
    <row r="190" spans="2:14" x14ac:dyDescent="0.25">
      <c r="B190" s="58" t="s">
        <v>85</v>
      </c>
      <c r="C190" s="21">
        <f t="shared" ref="C190:N190" si="93">C61</f>
        <v>56128952.047325388</v>
      </c>
      <c r="D190" s="21">
        <f t="shared" si="93"/>
        <v>47110276.820645973</v>
      </c>
      <c r="E190" s="21">
        <f t="shared" si="93"/>
        <v>48966678.871442273</v>
      </c>
      <c r="F190" s="21">
        <f t="shared" si="93"/>
        <v>44996238.813550703</v>
      </c>
      <c r="G190" s="21">
        <f t="shared" si="93"/>
        <v>45255672.434121333</v>
      </c>
      <c r="H190" s="21">
        <f t="shared" si="93"/>
        <v>52568013.825926036</v>
      </c>
      <c r="I190" s="21">
        <f t="shared" si="93"/>
        <v>61072776.384454459</v>
      </c>
      <c r="J190" s="21">
        <f t="shared" si="93"/>
        <v>59369357.870970771</v>
      </c>
      <c r="K190" s="21">
        <f t="shared" si="93"/>
        <v>49101051.582700863</v>
      </c>
      <c r="L190" s="21">
        <f t="shared" si="93"/>
        <v>45395834.21214015</v>
      </c>
      <c r="M190" s="21">
        <f t="shared" si="93"/>
        <v>48281771.062149823</v>
      </c>
      <c r="N190" s="21">
        <f t="shared" si="93"/>
        <v>53107385.243338972</v>
      </c>
    </row>
    <row r="191" spans="2:14" x14ac:dyDescent="0.25">
      <c r="B191" s="58" t="s">
        <v>86</v>
      </c>
      <c r="C191" s="21">
        <f t="shared" ref="C191:N191" si="94">C62</f>
        <v>67542475.147762388</v>
      </c>
      <c r="D191" s="21">
        <f t="shared" si="94"/>
        <v>60743771.799350791</v>
      </c>
      <c r="E191" s="21">
        <f t="shared" si="94"/>
        <v>65924360.20885434</v>
      </c>
      <c r="F191" s="21">
        <f t="shared" si="94"/>
        <v>65091154.198643371</v>
      </c>
      <c r="G191" s="21">
        <f t="shared" si="94"/>
        <v>67719023.725073636</v>
      </c>
      <c r="H191" s="21">
        <f t="shared" si="94"/>
        <v>67455643.763356954</v>
      </c>
      <c r="I191" s="21">
        <f t="shared" si="94"/>
        <v>72164074.441432789</v>
      </c>
      <c r="J191" s="21">
        <f t="shared" si="94"/>
        <v>72857674.177158505</v>
      </c>
      <c r="K191" s="21">
        <f t="shared" si="94"/>
        <v>67010017.529740088</v>
      </c>
      <c r="L191" s="21">
        <f t="shared" si="94"/>
        <v>68082425.14418605</v>
      </c>
      <c r="M191" s="21">
        <f t="shared" si="94"/>
        <v>66162104.169882834</v>
      </c>
      <c r="N191" s="21">
        <f t="shared" si="94"/>
        <v>61743415.206819221</v>
      </c>
    </row>
    <row r="192" spans="2:14" x14ac:dyDescent="0.25">
      <c r="B192" s="60" t="s">
        <v>21</v>
      </c>
      <c r="C192" s="33">
        <f>SUM(C190:C191)</f>
        <v>123671427.19508778</v>
      </c>
      <c r="D192" s="33">
        <f t="shared" ref="D192" si="95">SUM(D190:D191)</f>
        <v>107854048.61999676</v>
      </c>
      <c r="E192" s="33">
        <f t="shared" ref="E192" si="96">SUM(E190:E191)</f>
        <v>114891039.08029661</v>
      </c>
      <c r="F192" s="33">
        <f t="shared" ref="F192" si="97">SUM(F190:F191)</f>
        <v>110087393.01219407</v>
      </c>
      <c r="G192" s="33">
        <f t="shared" ref="G192" si="98">SUM(G190:G191)</f>
        <v>112974696.15919498</v>
      </c>
      <c r="H192" s="33">
        <f t="shared" ref="H192" si="99">SUM(H190:H191)</f>
        <v>120023657.58928299</v>
      </c>
      <c r="I192" s="33">
        <f t="shared" ref="I192" si="100">SUM(I190:I191)</f>
        <v>133236850.82588725</v>
      </c>
      <c r="J192" s="33">
        <f t="shared" ref="J192" si="101">SUM(J190:J191)</f>
        <v>132227032.04812928</v>
      </c>
      <c r="K192" s="33">
        <f t="shared" ref="K192" si="102">SUM(K190:K191)</f>
        <v>116111069.11244094</v>
      </c>
      <c r="L192" s="33">
        <f t="shared" ref="L192" si="103">SUM(L190:L191)</f>
        <v>113478259.35632619</v>
      </c>
      <c r="M192" s="33">
        <f t="shared" ref="M192" si="104">SUM(M190:M191)</f>
        <v>114443875.23203266</v>
      </c>
      <c r="N192" s="33">
        <f t="shared" ref="N192" si="105">SUM(N190:N191)</f>
        <v>114850800.45015819</v>
      </c>
    </row>
    <row r="193" spans="2:15" x14ac:dyDescent="0.25">
      <c r="B193" s="42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</row>
    <row r="194" spans="2:15" x14ac:dyDescent="0.25">
      <c r="B194" s="49" t="s">
        <v>72</v>
      </c>
      <c r="C194" s="27" t="s">
        <v>9</v>
      </c>
      <c r="D194" s="27" t="s">
        <v>10</v>
      </c>
      <c r="E194" s="27" t="s">
        <v>11</v>
      </c>
      <c r="F194" s="27" t="s">
        <v>12</v>
      </c>
      <c r="G194" s="27" t="s">
        <v>13</v>
      </c>
      <c r="H194" s="27" t="s">
        <v>14</v>
      </c>
      <c r="I194" s="27" t="s">
        <v>15</v>
      </c>
      <c r="J194" s="27" t="s">
        <v>16</v>
      </c>
      <c r="K194" s="27" t="s">
        <v>17</v>
      </c>
      <c r="L194" s="27" t="s">
        <v>18</v>
      </c>
      <c r="M194" s="27" t="s">
        <v>19</v>
      </c>
      <c r="N194" s="27" t="s">
        <v>20</v>
      </c>
    </row>
    <row r="195" spans="2:15" x14ac:dyDescent="0.25">
      <c r="B195" s="58" t="s">
        <v>85</v>
      </c>
      <c r="C195" s="50">
        <f t="shared" ref="C195:N195" si="106">C186*C190</f>
        <v>2394898.0189385093</v>
      </c>
      <c r="D195" s="50">
        <f t="shared" si="106"/>
        <v>-131128.2883777048</v>
      </c>
      <c r="E195" s="50">
        <f t="shared" si="106"/>
        <v>388158.34616942046</v>
      </c>
      <c r="F195" s="50">
        <f t="shared" si="106"/>
        <v>1263600.7381687586</v>
      </c>
      <c r="G195" s="50">
        <f t="shared" si="106"/>
        <v>-1294348.3265555664</v>
      </c>
      <c r="H195" s="50">
        <f t="shared" si="106"/>
        <v>41459.224587584118</v>
      </c>
      <c r="I195" s="50">
        <f t="shared" si="106"/>
        <v>1663501.461460419</v>
      </c>
      <c r="J195" s="50">
        <f t="shared" si="106"/>
        <v>581279.71292802179</v>
      </c>
      <c r="K195" s="50">
        <f t="shared" si="106"/>
        <v>465196.09832448867</v>
      </c>
      <c r="L195" s="50">
        <f t="shared" si="106"/>
        <v>-1219816.6994591758</v>
      </c>
      <c r="M195" s="50">
        <f t="shared" si="106"/>
        <v>1367717.7516642439</v>
      </c>
      <c r="N195" s="50">
        <f t="shared" si="106"/>
        <v>1493189.4921910209</v>
      </c>
    </row>
    <row r="196" spans="2:15" x14ac:dyDescent="0.25">
      <c r="B196" s="58" t="s">
        <v>86</v>
      </c>
      <c r="C196" s="50">
        <f t="shared" ref="C196:N196" si="107">C191*C187</f>
        <v>1369265.3911528557</v>
      </c>
      <c r="D196" s="50">
        <f t="shared" si="107"/>
        <v>1940581.9297483228</v>
      </c>
      <c r="E196" s="50">
        <f t="shared" si="107"/>
        <v>1273214.0712533847</v>
      </c>
      <c r="F196" s="50">
        <f t="shared" si="107"/>
        <v>1144310.9845985684</v>
      </c>
      <c r="G196" s="50">
        <f t="shared" si="107"/>
        <v>2012231.6860546602</v>
      </c>
      <c r="H196" s="50">
        <f t="shared" si="107"/>
        <v>918135.30033023201</v>
      </c>
      <c r="I196" s="50">
        <f t="shared" si="107"/>
        <v>1294596.3758447873</v>
      </c>
      <c r="J196" s="50">
        <f t="shared" si="107"/>
        <v>2232162.4830149813</v>
      </c>
      <c r="K196" s="50">
        <f t="shared" si="107"/>
        <v>2053701.326740762</v>
      </c>
      <c r="L196" s="50">
        <f t="shared" si="107"/>
        <v>2009307.27392746</v>
      </c>
      <c r="M196" s="50">
        <f t="shared" si="107"/>
        <v>931013.41031892726</v>
      </c>
      <c r="N196" s="50">
        <f t="shared" si="107"/>
        <v>1587867.3810106812</v>
      </c>
    </row>
    <row r="197" spans="2:15" x14ac:dyDescent="0.25">
      <c r="B197" s="60" t="s">
        <v>21</v>
      </c>
      <c r="C197" s="33">
        <f>SUM(C195:C196)</f>
        <v>3764163.4100913648</v>
      </c>
      <c r="D197" s="33">
        <f t="shared" ref="D197:N197" si="108">SUM(D195:D196)</f>
        <v>1809453.641370618</v>
      </c>
      <c r="E197" s="33">
        <f t="shared" si="108"/>
        <v>1661372.4174228052</v>
      </c>
      <c r="F197" s="33">
        <f t="shared" si="108"/>
        <v>2407911.722767327</v>
      </c>
      <c r="G197" s="33">
        <f t="shared" si="108"/>
        <v>717883.35949909384</v>
      </c>
      <c r="H197" s="33">
        <f t="shared" si="108"/>
        <v>959594.52491781616</v>
      </c>
      <c r="I197" s="33">
        <f t="shared" si="108"/>
        <v>2958097.8373052063</v>
      </c>
      <c r="J197" s="33">
        <f t="shared" si="108"/>
        <v>2813442.1959430031</v>
      </c>
      <c r="K197" s="33">
        <f t="shared" si="108"/>
        <v>2518897.4250652506</v>
      </c>
      <c r="L197" s="33">
        <f t="shared" si="108"/>
        <v>789490.57446828415</v>
      </c>
      <c r="M197" s="33">
        <f t="shared" si="108"/>
        <v>2298731.161983171</v>
      </c>
      <c r="N197" s="33">
        <f t="shared" si="108"/>
        <v>3081056.8732017018</v>
      </c>
    </row>
    <row r="200" spans="2:15" ht="15.6" x14ac:dyDescent="0.3">
      <c r="B200" s="17" t="s">
        <v>122</v>
      </c>
      <c r="C200" s="19"/>
    </row>
    <row r="202" spans="2:15" x14ac:dyDescent="0.25">
      <c r="B202" s="64" t="s">
        <v>99</v>
      </c>
      <c r="C202" s="27" t="s">
        <v>9</v>
      </c>
      <c r="D202" s="27" t="s">
        <v>10</v>
      </c>
      <c r="E202" s="27" t="s">
        <v>11</v>
      </c>
      <c r="F202" s="27" t="s">
        <v>12</v>
      </c>
      <c r="G202" s="27" t="s">
        <v>13</v>
      </c>
      <c r="H202" s="27" t="s">
        <v>14</v>
      </c>
      <c r="I202" s="27" t="s">
        <v>15</v>
      </c>
      <c r="J202" s="27" t="s">
        <v>16</v>
      </c>
      <c r="K202" s="27" t="s">
        <v>17</v>
      </c>
      <c r="L202" s="27" t="s">
        <v>18</v>
      </c>
      <c r="M202" s="27" t="s">
        <v>19</v>
      </c>
      <c r="N202" s="27" t="s">
        <v>20</v>
      </c>
      <c r="O202" s="27" t="s">
        <v>21</v>
      </c>
    </row>
    <row r="203" spans="2:15" x14ac:dyDescent="0.25">
      <c r="B203" s="21" t="s">
        <v>36</v>
      </c>
      <c r="C203" s="21">
        <f t="shared" ref="C203:N203" si="109">C40*C74</f>
        <v>232460.90214935271</v>
      </c>
      <c r="D203" s="21">
        <f t="shared" si="109"/>
        <v>204339.55034497188</v>
      </c>
      <c r="E203" s="21">
        <f t="shared" si="109"/>
        <v>189967.90213008141</v>
      </c>
      <c r="F203" s="21">
        <f t="shared" si="109"/>
        <v>208196.35978519591</v>
      </c>
      <c r="G203" s="21">
        <f t="shared" si="109"/>
        <v>143760.3835115454</v>
      </c>
      <c r="H203" s="21">
        <f t="shared" si="109"/>
        <v>159591.3553404928</v>
      </c>
      <c r="I203" s="21">
        <f t="shared" si="109"/>
        <v>174520.76095903854</v>
      </c>
      <c r="J203" s="21">
        <f t="shared" si="109"/>
        <v>165173.53851766908</v>
      </c>
      <c r="K203" s="21">
        <f t="shared" si="109"/>
        <v>153969.95002385639</v>
      </c>
      <c r="L203" s="21">
        <f t="shared" si="109"/>
        <v>154651.47201477949</v>
      </c>
      <c r="M203" s="21">
        <f t="shared" si="109"/>
        <v>202165.37318670473</v>
      </c>
      <c r="N203" s="21">
        <f t="shared" si="109"/>
        <v>221004.01465735363</v>
      </c>
      <c r="O203" s="21">
        <f>SUM(C203:N203)</f>
        <v>2209801.5626210417</v>
      </c>
    </row>
    <row r="204" spans="2:15" x14ac:dyDescent="0.25">
      <c r="B204" s="21" t="s">
        <v>37</v>
      </c>
      <c r="C204" s="21">
        <f t="shared" ref="C204:N204" si="110">C41*C75</f>
        <v>174211.7822252757</v>
      </c>
      <c r="D204" s="21">
        <f t="shared" si="110"/>
        <v>144123.58473580168</v>
      </c>
      <c r="E204" s="21">
        <f t="shared" si="110"/>
        <v>136769.43299367183</v>
      </c>
      <c r="F204" s="21">
        <f t="shared" si="110"/>
        <v>154374.4028984789</v>
      </c>
      <c r="G204" s="21">
        <f t="shared" si="110"/>
        <v>141595.51361358329</v>
      </c>
      <c r="H204" s="21">
        <f t="shared" si="110"/>
        <v>142558.1675326339</v>
      </c>
      <c r="I204" s="21">
        <f t="shared" si="110"/>
        <v>204715.12061079443</v>
      </c>
      <c r="J204" s="21">
        <f t="shared" si="110"/>
        <v>170901.39303313673</v>
      </c>
      <c r="K204" s="21">
        <f t="shared" si="110"/>
        <v>146888.6809569335</v>
      </c>
      <c r="L204" s="21">
        <f t="shared" si="110"/>
        <v>165188.00055448394</v>
      </c>
      <c r="M204" s="21">
        <f t="shared" si="110"/>
        <v>143866.92945244777</v>
      </c>
      <c r="N204" s="21">
        <f t="shared" si="110"/>
        <v>156028.78428299335</v>
      </c>
      <c r="O204" s="21">
        <f t="shared" ref="O204:O207" si="111">SUM(C204:N204)</f>
        <v>1881221.7928902349</v>
      </c>
    </row>
    <row r="205" spans="2:15" x14ac:dyDescent="0.25">
      <c r="B205" s="21" t="s">
        <v>38</v>
      </c>
      <c r="C205" s="21">
        <f t="shared" ref="C205:N205" si="112">C42*C76</f>
        <v>2141904.8081950904</v>
      </c>
      <c r="D205" s="21">
        <f t="shared" si="112"/>
        <v>1764411.5606201759</v>
      </c>
      <c r="E205" s="21">
        <f t="shared" si="112"/>
        <v>1890530.9529479842</v>
      </c>
      <c r="F205" s="21">
        <f t="shared" si="112"/>
        <v>1637192.4005213925</v>
      </c>
      <c r="G205" s="21">
        <f t="shared" si="112"/>
        <v>1676548.017715025</v>
      </c>
      <c r="H205" s="21">
        <f t="shared" si="112"/>
        <v>1913856.6404405027</v>
      </c>
      <c r="I205" s="21">
        <f t="shared" si="112"/>
        <v>2245601.6756639257</v>
      </c>
      <c r="J205" s="21">
        <f t="shared" si="112"/>
        <v>2240712.1742646508</v>
      </c>
      <c r="K205" s="21">
        <f t="shared" si="112"/>
        <v>1866305.6182475702</v>
      </c>
      <c r="L205" s="21">
        <f t="shared" si="112"/>
        <v>1640932.3245743522</v>
      </c>
      <c r="M205" s="21">
        <f t="shared" si="112"/>
        <v>1757765.3109464382</v>
      </c>
      <c r="N205" s="21">
        <f t="shared" si="112"/>
        <v>2037149.1991026748</v>
      </c>
      <c r="O205" s="21">
        <f t="shared" si="111"/>
        <v>22812910.68323978</v>
      </c>
    </row>
    <row r="206" spans="2:15" x14ac:dyDescent="0.25">
      <c r="B206" s="21" t="s">
        <v>39</v>
      </c>
      <c r="C206" s="21">
        <f t="shared" ref="C206:N206" si="113">C43*C77</f>
        <v>851812.99544516311</v>
      </c>
      <c r="D206" s="21">
        <f t="shared" si="113"/>
        <v>714156.03852326027</v>
      </c>
      <c r="E206" s="21">
        <f t="shared" si="113"/>
        <v>758599.10380442394</v>
      </c>
      <c r="F206" s="21">
        <f t="shared" si="113"/>
        <v>695181.23746149812</v>
      </c>
      <c r="G206" s="21">
        <f t="shared" si="113"/>
        <v>726347.46366629854</v>
      </c>
      <c r="H206" s="21">
        <f t="shared" si="113"/>
        <v>801533.07228390593</v>
      </c>
      <c r="I206" s="21">
        <f t="shared" si="113"/>
        <v>950154.14224349137</v>
      </c>
      <c r="J206" s="21">
        <f t="shared" si="113"/>
        <v>939087.80952158908</v>
      </c>
      <c r="K206" s="21">
        <f t="shared" si="113"/>
        <v>769375.31523916009</v>
      </c>
      <c r="L206" s="21">
        <f t="shared" si="113"/>
        <v>708484.22345879674</v>
      </c>
      <c r="M206" s="21">
        <f t="shared" si="113"/>
        <v>789987.30089189764</v>
      </c>
      <c r="N206" s="21">
        <f t="shared" si="113"/>
        <v>763210.61792700214</v>
      </c>
      <c r="O206" s="21">
        <f t="shared" si="111"/>
        <v>9467929.3204664867</v>
      </c>
    </row>
    <row r="207" spans="2:15" x14ac:dyDescent="0.25">
      <c r="B207" s="21" t="s">
        <v>40</v>
      </c>
      <c r="C207" s="21">
        <f t="shared" ref="C207:N207" si="114">C44*C78</f>
        <v>1241086.0424216331</v>
      </c>
      <c r="D207" s="21">
        <f t="shared" si="114"/>
        <v>1046114.4257327664</v>
      </c>
      <c r="E207" s="21">
        <f t="shared" si="114"/>
        <v>1086533.7265867006</v>
      </c>
      <c r="F207" s="21">
        <f t="shared" si="114"/>
        <v>971597.32821934205</v>
      </c>
      <c r="G207" s="21">
        <f t="shared" si="114"/>
        <v>1093358.7595184038</v>
      </c>
      <c r="H207" s="21">
        <f t="shared" si="114"/>
        <v>1243686.918706513</v>
      </c>
      <c r="I207" s="21">
        <f t="shared" si="114"/>
        <v>1547131.580841332</v>
      </c>
      <c r="J207" s="21">
        <f t="shared" si="114"/>
        <v>1527077.03445027</v>
      </c>
      <c r="K207" s="21">
        <f t="shared" si="114"/>
        <v>1179741.4864346304</v>
      </c>
      <c r="L207" s="21">
        <f t="shared" si="114"/>
        <v>1017195.1376546694</v>
      </c>
      <c r="M207" s="21">
        <f t="shared" si="114"/>
        <v>1122426.8381495264</v>
      </c>
      <c r="N207" s="21">
        <f t="shared" si="114"/>
        <v>1105375.9606318446</v>
      </c>
      <c r="O207" s="21">
        <f t="shared" si="111"/>
        <v>14181325.239347633</v>
      </c>
    </row>
    <row r="208" spans="2:15" x14ac:dyDescent="0.25">
      <c r="B208" s="33" t="s">
        <v>21</v>
      </c>
      <c r="C208" s="33">
        <f>SUM(C203:C207)</f>
        <v>4641476.5304365149</v>
      </c>
      <c r="D208" s="33">
        <f t="shared" ref="D208:O208" si="115">SUM(D203:D207)</f>
        <v>3873145.1599569758</v>
      </c>
      <c r="E208" s="33">
        <f t="shared" si="115"/>
        <v>4062401.1184628624</v>
      </c>
      <c r="F208" s="33">
        <f t="shared" si="115"/>
        <v>3666541.7288859072</v>
      </c>
      <c r="G208" s="33">
        <f t="shared" si="115"/>
        <v>3781610.1380248563</v>
      </c>
      <c r="H208" s="33">
        <f t="shared" si="115"/>
        <v>4261226.154304048</v>
      </c>
      <c r="I208" s="33">
        <f t="shared" si="115"/>
        <v>5122123.2803185824</v>
      </c>
      <c r="J208" s="33">
        <f t="shared" si="115"/>
        <v>5042951.9497873159</v>
      </c>
      <c r="K208" s="33">
        <f t="shared" si="115"/>
        <v>4116281.0509021506</v>
      </c>
      <c r="L208" s="33">
        <f t="shared" si="115"/>
        <v>3686451.1582570821</v>
      </c>
      <c r="M208" s="33">
        <f t="shared" si="115"/>
        <v>4016211.7526270151</v>
      </c>
      <c r="N208" s="33">
        <f t="shared" si="115"/>
        <v>4282768.5766018685</v>
      </c>
      <c r="O208" s="33">
        <f t="shared" si="115"/>
        <v>50553188.598565176</v>
      </c>
    </row>
    <row r="210" spans="2:15" x14ac:dyDescent="0.25">
      <c r="B210" s="64" t="s">
        <v>100</v>
      </c>
      <c r="C210" s="27" t="s">
        <v>9</v>
      </c>
      <c r="D210" s="27" t="s">
        <v>10</v>
      </c>
      <c r="E210" s="27" t="s">
        <v>11</v>
      </c>
      <c r="F210" s="27" t="s">
        <v>12</v>
      </c>
      <c r="G210" s="27" t="s">
        <v>13</v>
      </c>
      <c r="H210" s="27" t="s">
        <v>14</v>
      </c>
      <c r="I210" s="27" t="s">
        <v>15</v>
      </c>
      <c r="J210" s="27" t="s">
        <v>16</v>
      </c>
      <c r="K210" s="27" t="s">
        <v>17</v>
      </c>
      <c r="L210" s="27" t="s">
        <v>18</v>
      </c>
      <c r="M210" s="27" t="s">
        <v>19</v>
      </c>
      <c r="N210" s="27" t="s">
        <v>20</v>
      </c>
      <c r="O210" s="27" t="s">
        <v>21</v>
      </c>
    </row>
    <row r="211" spans="2:15" x14ac:dyDescent="0.25">
      <c r="B211" s="21" t="s">
        <v>36</v>
      </c>
      <c r="C211" s="21">
        <f t="shared" ref="C211:N211" si="116">C40*C$100</f>
        <v>128812.87832577243</v>
      </c>
      <c r="D211" s="21">
        <f t="shared" si="116"/>
        <v>-7386.56364865879</v>
      </c>
      <c r="E211" s="21">
        <f t="shared" si="116"/>
        <v>19556.799396330545</v>
      </c>
      <c r="F211" s="21">
        <f t="shared" si="116"/>
        <v>75930.465868354717</v>
      </c>
      <c r="G211" s="21">
        <f t="shared" si="116"/>
        <v>-53398.202968626778</v>
      </c>
      <c r="H211" s="21">
        <f t="shared" si="116"/>
        <v>1634.6254061732943</v>
      </c>
      <c r="I211" s="21">
        <f t="shared" si="116"/>
        <v>61735.063040242814</v>
      </c>
      <c r="J211" s="21">
        <f t="shared" si="116"/>
        <v>21002.575856636893</v>
      </c>
      <c r="K211" s="21">
        <f t="shared" si="116"/>
        <v>18944.82133275396</v>
      </c>
      <c r="L211" s="21">
        <f t="shared" si="116"/>
        <v>-53968.693707737577</v>
      </c>
      <c r="M211" s="21">
        <f t="shared" si="116"/>
        <v>74375.404021088107</v>
      </c>
      <c r="N211" s="21">
        <f t="shared" si="116"/>
        <v>80699.239779665048</v>
      </c>
      <c r="O211" s="21">
        <f>SUM(C211:N211)</f>
        <v>367938.41270199465</v>
      </c>
    </row>
    <row r="212" spans="2:15" x14ac:dyDescent="0.25">
      <c r="B212" s="21" t="s">
        <v>37</v>
      </c>
      <c r="C212" s="21">
        <f t="shared" ref="C212:N212" si="117">C41*C$100</f>
        <v>83519.446589898973</v>
      </c>
      <c r="D212" s="21">
        <f t="shared" si="117"/>
        <v>-4507.3967292334146</v>
      </c>
      <c r="E212" s="21">
        <f t="shared" si="117"/>
        <v>12181.683714818599</v>
      </c>
      <c r="F212" s="21">
        <f t="shared" si="117"/>
        <v>48710.091122413294</v>
      </c>
      <c r="G212" s="21">
        <f t="shared" si="117"/>
        <v>-45502.748571341763</v>
      </c>
      <c r="H212" s="21">
        <f t="shared" si="117"/>
        <v>1263.2860615949214</v>
      </c>
      <c r="I212" s="21">
        <f t="shared" si="117"/>
        <v>62652.071964546747</v>
      </c>
      <c r="J212" s="21">
        <f t="shared" si="117"/>
        <v>18800.890084172253</v>
      </c>
      <c r="K212" s="21">
        <f t="shared" si="117"/>
        <v>15636.645649116997</v>
      </c>
      <c r="L212" s="21">
        <f t="shared" si="117"/>
        <v>-49873.180310735632</v>
      </c>
      <c r="M212" s="21">
        <f t="shared" si="117"/>
        <v>45791.435594790106</v>
      </c>
      <c r="N212" s="21">
        <f t="shared" si="117"/>
        <v>49291.805227537909</v>
      </c>
      <c r="O212" s="21">
        <f t="shared" ref="O212:O215" si="118">SUM(C212:N212)</f>
        <v>237964.03039757899</v>
      </c>
    </row>
    <row r="213" spans="2:15" x14ac:dyDescent="0.25">
      <c r="B213" s="21" t="s">
        <v>38</v>
      </c>
      <c r="C213" s="21">
        <f t="shared" ref="C213:N213" si="119">C42*C$100</f>
        <v>1406005.1130327967</v>
      </c>
      <c r="D213" s="21">
        <f t="shared" si="119"/>
        <v>-75555.707081064582</v>
      </c>
      <c r="E213" s="21">
        <f t="shared" si="119"/>
        <v>230557.21375345316</v>
      </c>
      <c r="F213" s="21">
        <f t="shared" si="119"/>
        <v>707326.6499161782</v>
      </c>
      <c r="G213" s="21">
        <f t="shared" si="119"/>
        <v>-737701.69976725592</v>
      </c>
      <c r="H213" s="21">
        <f t="shared" si="119"/>
        <v>23221.787871938799</v>
      </c>
      <c r="I213" s="21">
        <f t="shared" si="119"/>
        <v>941011.41179990664</v>
      </c>
      <c r="J213" s="21">
        <f t="shared" si="119"/>
        <v>337516.90618729877</v>
      </c>
      <c r="K213" s="21">
        <f t="shared" si="119"/>
        <v>272028.66926149599</v>
      </c>
      <c r="L213" s="21">
        <f t="shared" si="119"/>
        <v>-678353.21386345464</v>
      </c>
      <c r="M213" s="21">
        <f t="shared" si="119"/>
        <v>766056.53920970112</v>
      </c>
      <c r="N213" s="21">
        <f t="shared" si="119"/>
        <v>881189.85108775611</v>
      </c>
      <c r="O213" s="21">
        <f t="shared" si="118"/>
        <v>4073303.5214087502</v>
      </c>
    </row>
    <row r="214" spans="2:15" x14ac:dyDescent="0.25">
      <c r="B214" s="21" t="s">
        <v>39</v>
      </c>
      <c r="C214" s="21">
        <f t="shared" ref="C214:N214" si="120">C43*C$100</f>
        <v>386648.65056982532</v>
      </c>
      <c r="D214" s="21">
        <f t="shared" si="120"/>
        <v>-21146.865123410607</v>
      </c>
      <c r="E214" s="21">
        <f t="shared" si="120"/>
        <v>63972.415772644352</v>
      </c>
      <c r="F214" s="21">
        <f t="shared" si="120"/>
        <v>207684.3858035451</v>
      </c>
      <c r="G214" s="21">
        <f t="shared" si="120"/>
        <v>-221001.24233819003</v>
      </c>
      <c r="H214" s="21">
        <f t="shared" si="120"/>
        <v>6725.0141090035504</v>
      </c>
      <c r="I214" s="21">
        <f t="shared" si="120"/>
        <v>275322.5197672217</v>
      </c>
      <c r="J214" s="21">
        <f t="shared" si="120"/>
        <v>97814.032518843291</v>
      </c>
      <c r="K214" s="21">
        <f t="shared" si="120"/>
        <v>77545.332914883198</v>
      </c>
      <c r="L214" s="21">
        <f t="shared" si="120"/>
        <v>-202526.05517225349</v>
      </c>
      <c r="M214" s="21">
        <f t="shared" si="120"/>
        <v>238070.48006382209</v>
      </c>
      <c r="N214" s="21">
        <f t="shared" si="120"/>
        <v>228284.56884453646</v>
      </c>
      <c r="O214" s="21">
        <f t="shared" si="118"/>
        <v>1137393.237730471</v>
      </c>
    </row>
    <row r="215" spans="2:15" x14ac:dyDescent="0.25">
      <c r="B215" s="21" t="s">
        <v>40</v>
      </c>
      <c r="C215" s="21">
        <f t="shared" ref="C215:N215" si="121">C44*C$100</f>
        <v>401169.63299808174</v>
      </c>
      <c r="D215" s="21">
        <f t="shared" si="121"/>
        <v>-22059.008904080514</v>
      </c>
      <c r="E215" s="21">
        <f t="shared" si="121"/>
        <v>65249.555858990992</v>
      </c>
      <c r="F215" s="21">
        <f t="shared" si="121"/>
        <v>206702.64716676224</v>
      </c>
      <c r="G215" s="21">
        <f t="shared" si="121"/>
        <v>-236901.00425291288</v>
      </c>
      <c r="H215" s="21">
        <f t="shared" si="121"/>
        <v>7430.8200111777351</v>
      </c>
      <c r="I215" s="21">
        <f t="shared" si="121"/>
        <v>319248.48369971948</v>
      </c>
      <c r="J215" s="21">
        <f t="shared" si="121"/>
        <v>113268.67729520985</v>
      </c>
      <c r="K215" s="21">
        <f t="shared" si="121"/>
        <v>84675.582113669429</v>
      </c>
      <c r="L215" s="21">
        <f t="shared" si="121"/>
        <v>-207066.058909368</v>
      </c>
      <c r="M215" s="21">
        <f t="shared" si="121"/>
        <v>240878.14750744816</v>
      </c>
      <c r="N215" s="21">
        <f t="shared" si="121"/>
        <v>235448.58782469592</v>
      </c>
      <c r="O215" s="21">
        <f t="shared" si="118"/>
        <v>1208046.0624093944</v>
      </c>
    </row>
    <row r="216" spans="2:15" x14ac:dyDescent="0.25">
      <c r="B216" s="33" t="s">
        <v>21</v>
      </c>
      <c r="C216" s="33">
        <f>SUM(C211:C215)</f>
        <v>2406155.7215163754</v>
      </c>
      <c r="D216" s="33">
        <f t="shared" ref="D216" si="122">SUM(D211:D215)</f>
        <v>-130655.54148644791</v>
      </c>
      <c r="E216" s="33">
        <f t="shared" ref="E216" si="123">SUM(E211:E215)</f>
        <v>391517.66849623766</v>
      </c>
      <c r="F216" s="33">
        <f t="shared" ref="F216" si="124">SUM(F211:F215)</f>
        <v>1246354.2398772535</v>
      </c>
      <c r="G216" s="33">
        <f t="shared" ref="G216" si="125">SUM(G211:G215)</f>
        <v>-1294504.8978983276</v>
      </c>
      <c r="H216" s="33">
        <f t="shared" ref="H216" si="126">SUM(H211:H215)</f>
        <v>40275.533459888298</v>
      </c>
      <c r="I216" s="33">
        <f t="shared" ref="I216" si="127">SUM(I211:I215)</f>
        <v>1659969.5502716375</v>
      </c>
      <c r="J216" s="33">
        <f t="shared" ref="J216" si="128">SUM(J211:J215)</f>
        <v>588403.08194216108</v>
      </c>
      <c r="K216" s="33">
        <f t="shared" ref="K216" si="129">SUM(K211:K215)</f>
        <v>468831.05127191957</v>
      </c>
      <c r="L216" s="33">
        <f t="shared" ref="L216" si="130">SUM(L211:L215)</f>
        <v>-1191787.2019635495</v>
      </c>
      <c r="M216" s="33">
        <f t="shared" ref="M216" si="131">SUM(M211:M215)</f>
        <v>1365172.0063968496</v>
      </c>
      <c r="N216" s="33">
        <f t="shared" ref="N216" si="132">SUM(N211:N215)</f>
        <v>1474914.0527641915</v>
      </c>
      <c r="O216" s="33">
        <f t="shared" ref="O216" si="133">SUM(O211:O215)</f>
        <v>7024645.2646481888</v>
      </c>
    </row>
    <row r="218" spans="2:15" x14ac:dyDescent="0.25">
      <c r="B218" s="64" t="s">
        <v>101</v>
      </c>
      <c r="C218" s="27" t="s">
        <v>9</v>
      </c>
      <c r="D218" s="27" t="s">
        <v>10</v>
      </c>
      <c r="E218" s="27" t="s">
        <v>11</v>
      </c>
      <c r="F218" s="27" t="s">
        <v>12</v>
      </c>
      <c r="G218" s="27" t="s">
        <v>13</v>
      </c>
      <c r="H218" s="27" t="s">
        <v>14</v>
      </c>
      <c r="I218" s="27" t="s">
        <v>15</v>
      </c>
      <c r="J218" s="27" t="s">
        <v>16</v>
      </c>
      <c r="K218" s="27" t="s">
        <v>17</v>
      </c>
      <c r="L218" s="27" t="s">
        <v>18</v>
      </c>
      <c r="M218" s="27" t="s">
        <v>19</v>
      </c>
      <c r="N218" s="27" t="s">
        <v>20</v>
      </c>
      <c r="O218" s="27" t="s">
        <v>21</v>
      </c>
    </row>
    <row r="219" spans="2:15" x14ac:dyDescent="0.25">
      <c r="B219" s="21" t="s">
        <v>36</v>
      </c>
      <c r="C219" s="21">
        <f t="shared" ref="C219:N219" si="134">C40*C$104</f>
        <v>203358.00478935585</v>
      </c>
      <c r="D219" s="21">
        <f t="shared" si="134"/>
        <v>216732.61138537471</v>
      </c>
      <c r="E219" s="21">
        <f t="shared" si="134"/>
        <v>233907.23118120802</v>
      </c>
      <c r="F219" s="21">
        <f t="shared" si="134"/>
        <v>269276.30481828132</v>
      </c>
      <c r="G219" s="21">
        <f t="shared" si="134"/>
        <v>201507.24925196229</v>
      </c>
      <c r="H219" s="21">
        <f t="shared" si="134"/>
        <v>246558.28092603924</v>
      </c>
      <c r="I219" s="21">
        <f t="shared" si="134"/>
        <v>175359.36721299757</v>
      </c>
      <c r="J219" s="21">
        <f t="shared" si="134"/>
        <v>160668.8056490054</v>
      </c>
      <c r="K219" s="21">
        <f t="shared" si="134"/>
        <v>171646.50013049133</v>
      </c>
      <c r="L219" s="21">
        <f t="shared" si="134"/>
        <v>242200.27286054884</v>
      </c>
      <c r="M219" s="21">
        <f t="shared" si="134"/>
        <v>258745.42243571105</v>
      </c>
      <c r="N219" s="21">
        <f t="shared" si="134"/>
        <v>212508.27591208395</v>
      </c>
      <c r="O219" s="21">
        <f>SUM(C219:N219)</f>
        <v>2592468.3265530597</v>
      </c>
    </row>
    <row r="220" spans="2:15" x14ac:dyDescent="0.25">
      <c r="B220" s="21" t="s">
        <v>37</v>
      </c>
      <c r="C220" s="21">
        <f t="shared" ref="C220:N220" si="135">C41*C$104</f>
        <v>131852.87247971428</v>
      </c>
      <c r="D220" s="21">
        <f t="shared" si="135"/>
        <v>132253.63107160589</v>
      </c>
      <c r="E220" s="21">
        <f t="shared" si="135"/>
        <v>145697.86451831492</v>
      </c>
      <c r="F220" s="21">
        <f t="shared" si="135"/>
        <v>172743.2222995451</v>
      </c>
      <c r="G220" s="21">
        <f t="shared" si="135"/>
        <v>171712.40207094434</v>
      </c>
      <c r="H220" s="21">
        <f t="shared" si="135"/>
        <v>190547.41134474301</v>
      </c>
      <c r="I220" s="21">
        <f t="shared" si="135"/>
        <v>177964.14473772098</v>
      </c>
      <c r="J220" s="21">
        <f t="shared" si="135"/>
        <v>143826.00379979712</v>
      </c>
      <c r="K220" s="21">
        <f t="shared" si="135"/>
        <v>141673.30756565361</v>
      </c>
      <c r="L220" s="21">
        <f t="shared" si="135"/>
        <v>223820.46052657554</v>
      </c>
      <c r="M220" s="21">
        <f t="shared" si="135"/>
        <v>159304.33592740144</v>
      </c>
      <c r="N220" s="21">
        <f t="shared" si="135"/>
        <v>129801.92346418911</v>
      </c>
      <c r="O220" s="21">
        <f t="shared" ref="O220:O223" si="136">SUM(C220:N220)</f>
        <v>1921197.5798062054</v>
      </c>
    </row>
    <row r="221" spans="2:15" x14ac:dyDescent="0.25">
      <c r="B221" s="21" t="s">
        <v>38</v>
      </c>
      <c r="C221" s="21">
        <f t="shared" ref="C221:N221" si="137">C42*C$104</f>
        <v>2219672.4289234043</v>
      </c>
      <c r="D221" s="21">
        <f t="shared" si="137"/>
        <v>2216915.2639361499</v>
      </c>
      <c r="E221" s="21">
        <f t="shared" si="137"/>
        <v>2757557.5330615137</v>
      </c>
      <c r="F221" s="21">
        <f t="shared" si="137"/>
        <v>2508430.6333526992</v>
      </c>
      <c r="G221" s="21">
        <f t="shared" si="137"/>
        <v>2783843.5007997332</v>
      </c>
      <c r="H221" s="21">
        <f t="shared" si="137"/>
        <v>3502652.0914892643</v>
      </c>
      <c r="I221" s="21">
        <f t="shared" si="137"/>
        <v>2672956.9484018148</v>
      </c>
      <c r="J221" s="21">
        <f t="shared" si="137"/>
        <v>2581989.8746526516</v>
      </c>
      <c r="K221" s="21">
        <f t="shared" si="137"/>
        <v>2464671.911851868</v>
      </c>
      <c r="L221" s="21">
        <f t="shared" si="137"/>
        <v>3044308.13877571</v>
      </c>
      <c r="M221" s="21">
        <f t="shared" si="137"/>
        <v>2665042.6368272537</v>
      </c>
      <c r="N221" s="21">
        <f t="shared" si="137"/>
        <v>2320469.6415624931</v>
      </c>
      <c r="O221" s="21">
        <f t="shared" si="136"/>
        <v>31738510.603634551</v>
      </c>
    </row>
    <row r="222" spans="2:15" x14ac:dyDescent="0.25">
      <c r="B222" s="21" t="s">
        <v>39</v>
      </c>
      <c r="C222" s="21">
        <f t="shared" ref="C222:N222" si="138">C43*C$104</f>
        <v>610405.56779985304</v>
      </c>
      <c r="D222" s="21">
        <f t="shared" si="138"/>
        <v>620480.0390020709</v>
      </c>
      <c r="E222" s="21">
        <f t="shared" si="138"/>
        <v>765135.9684223131</v>
      </c>
      <c r="F222" s="21">
        <f t="shared" si="138"/>
        <v>736522.3344552191</v>
      </c>
      <c r="G222" s="21">
        <f t="shared" si="138"/>
        <v>833985.97610110219</v>
      </c>
      <c r="H222" s="21">
        <f t="shared" si="138"/>
        <v>1014365.6838180154</v>
      </c>
      <c r="I222" s="21">
        <f t="shared" si="138"/>
        <v>782057.72324871202</v>
      </c>
      <c r="J222" s="21">
        <f t="shared" si="138"/>
        <v>748273.15886347904</v>
      </c>
      <c r="K222" s="21">
        <f t="shared" si="138"/>
        <v>702586.99000137765</v>
      </c>
      <c r="L222" s="21">
        <f t="shared" si="138"/>
        <v>908894.81390315224</v>
      </c>
      <c r="M222" s="21">
        <f t="shared" si="138"/>
        <v>828226.04790315428</v>
      </c>
      <c r="N222" s="21">
        <f t="shared" si="138"/>
        <v>601150.15054590686</v>
      </c>
      <c r="O222" s="21">
        <f t="shared" si="136"/>
        <v>9152084.4540643562</v>
      </c>
    </row>
    <row r="223" spans="2:15" x14ac:dyDescent="0.25">
      <c r="B223" s="21" t="s">
        <v>40</v>
      </c>
      <c r="C223" s="21">
        <f t="shared" ref="C223:N223" si="139">C44*C$104</f>
        <v>633329.96831455466</v>
      </c>
      <c r="D223" s="21">
        <f t="shared" si="139"/>
        <v>647243.67537571979</v>
      </c>
      <c r="E223" s="21">
        <f t="shared" si="139"/>
        <v>780411.08043700829</v>
      </c>
      <c r="F223" s="21">
        <f t="shared" si="139"/>
        <v>733040.74179821415</v>
      </c>
      <c r="G223" s="21">
        <f t="shared" si="139"/>
        <v>893986.4463244041</v>
      </c>
      <c r="H223" s="21">
        <f t="shared" si="139"/>
        <v>1120825.7261312634</v>
      </c>
      <c r="I223" s="21">
        <f t="shared" si="139"/>
        <v>906830.07886131713</v>
      </c>
      <c r="J223" s="21">
        <f t="shared" si="139"/>
        <v>866500.52939640323</v>
      </c>
      <c r="K223" s="21">
        <f t="shared" si="139"/>
        <v>767189.46360264136</v>
      </c>
      <c r="L223" s="21">
        <f t="shared" si="139"/>
        <v>929269.40643770143</v>
      </c>
      <c r="M223" s="21">
        <f t="shared" si="139"/>
        <v>837993.67348208954</v>
      </c>
      <c r="N223" s="21">
        <f t="shared" si="139"/>
        <v>620015.425190771</v>
      </c>
      <c r="O223" s="21">
        <f t="shared" si="136"/>
        <v>9736636.2153520882</v>
      </c>
    </row>
    <row r="224" spans="2:15" x14ac:dyDescent="0.25">
      <c r="B224" s="33" t="s">
        <v>21</v>
      </c>
      <c r="C224" s="33">
        <f>SUM(C219:C223)</f>
        <v>3798618.8423068821</v>
      </c>
      <c r="D224" s="33">
        <f t="shared" ref="D224" si="140">SUM(D219:D223)</f>
        <v>3833625.2207709206</v>
      </c>
      <c r="E224" s="33">
        <f t="shared" ref="E224" si="141">SUM(E219:E223)</f>
        <v>4682709.6776203588</v>
      </c>
      <c r="F224" s="33">
        <f t="shared" ref="F224" si="142">SUM(F219:F223)</f>
        <v>4420013.2367239594</v>
      </c>
      <c r="G224" s="33">
        <f t="shared" ref="G224" si="143">SUM(G219:G223)</f>
        <v>4885035.5745481467</v>
      </c>
      <c r="H224" s="33">
        <f t="shared" ref="H224" si="144">SUM(H219:H223)</f>
        <v>6074949.193709325</v>
      </c>
      <c r="I224" s="33">
        <f t="shared" ref="I224" si="145">SUM(I219:I223)</f>
        <v>4715168.262462562</v>
      </c>
      <c r="J224" s="33">
        <f t="shared" ref="J224" si="146">SUM(J219:J223)</f>
        <v>4501258.3723613368</v>
      </c>
      <c r="K224" s="33">
        <f t="shared" ref="K224" si="147">SUM(K219:K223)</f>
        <v>4247768.1731520323</v>
      </c>
      <c r="L224" s="33">
        <f t="shared" ref="L224" si="148">SUM(L219:L223)</f>
        <v>5348493.0925036883</v>
      </c>
      <c r="M224" s="33">
        <f t="shared" ref="M224" si="149">SUM(M219:M223)</f>
        <v>4749312.1165756099</v>
      </c>
      <c r="N224" s="33">
        <f t="shared" ref="N224" si="150">SUM(N219:N223)</f>
        <v>3883945.4166754438</v>
      </c>
      <c r="O224" s="33">
        <f t="shared" ref="O224" si="151">SUM(O219:O223)</f>
        <v>55140897.179410256</v>
      </c>
    </row>
    <row r="226" spans="2:15" x14ac:dyDescent="0.25">
      <c r="B226" s="64" t="s">
        <v>102</v>
      </c>
      <c r="C226" s="27" t="s">
        <v>9</v>
      </c>
      <c r="D226" s="27" t="s">
        <v>10</v>
      </c>
      <c r="E226" s="27" t="s">
        <v>11</v>
      </c>
      <c r="F226" s="27" t="s">
        <v>12</v>
      </c>
      <c r="G226" s="27" t="s">
        <v>13</v>
      </c>
      <c r="H226" s="27" t="s">
        <v>14</v>
      </c>
      <c r="I226" s="27" t="s">
        <v>15</v>
      </c>
      <c r="J226" s="27" t="s">
        <v>16</v>
      </c>
      <c r="K226" s="27" t="s">
        <v>17</v>
      </c>
      <c r="L226" s="27" t="s">
        <v>18</v>
      </c>
      <c r="M226" s="27" t="s">
        <v>19</v>
      </c>
      <c r="N226" s="27" t="s">
        <v>20</v>
      </c>
      <c r="O226" s="27" t="s">
        <v>21</v>
      </c>
    </row>
    <row r="227" spans="2:15" x14ac:dyDescent="0.25">
      <c r="B227" s="21" t="s">
        <v>36</v>
      </c>
      <c r="C227" s="21">
        <f>C203-C211-C219</f>
        <v>-99709.980965775569</v>
      </c>
      <c r="D227" s="21">
        <f t="shared" ref="D227:N227" si="152">D203-D211-D219</f>
        <v>-5006.497391744022</v>
      </c>
      <c r="E227" s="21">
        <f t="shared" si="152"/>
        <v>-63496.128447457158</v>
      </c>
      <c r="F227" s="21">
        <f t="shared" si="152"/>
        <v>-137010.41090144013</v>
      </c>
      <c r="G227" s="21">
        <f t="shared" si="152"/>
        <v>-4348.6627717901138</v>
      </c>
      <c r="H227" s="21">
        <f t="shared" si="152"/>
        <v>-88601.550991719734</v>
      </c>
      <c r="I227" s="21">
        <f t="shared" si="152"/>
        <v>-62573.669294201856</v>
      </c>
      <c r="J227" s="21">
        <f t="shared" si="152"/>
        <v>-16497.842987973214</v>
      </c>
      <c r="K227" s="21">
        <f t="shared" si="152"/>
        <v>-36621.371439388895</v>
      </c>
      <c r="L227" s="21">
        <f t="shared" si="152"/>
        <v>-33580.107138031774</v>
      </c>
      <c r="M227" s="21">
        <f t="shared" si="152"/>
        <v>-130955.45327009443</v>
      </c>
      <c r="N227" s="21">
        <f t="shared" si="152"/>
        <v>-72203.501034395362</v>
      </c>
      <c r="O227" s="21">
        <f>SUM(C227:N227)</f>
        <v>-750605.17663401249</v>
      </c>
    </row>
    <row r="228" spans="2:15" x14ac:dyDescent="0.25">
      <c r="B228" s="21" t="s">
        <v>37</v>
      </c>
      <c r="C228" s="21">
        <f t="shared" ref="C228:N231" si="153">C204-C212-C220</f>
        <v>-41160.536844337548</v>
      </c>
      <c r="D228" s="21">
        <f t="shared" si="153"/>
        <v>16377.350393429195</v>
      </c>
      <c r="E228" s="21">
        <f t="shared" si="153"/>
        <v>-21110.115239461695</v>
      </c>
      <c r="F228" s="21">
        <f t="shared" si="153"/>
        <v>-67078.910523479484</v>
      </c>
      <c r="G228" s="21">
        <f t="shared" si="153"/>
        <v>15385.860113980714</v>
      </c>
      <c r="H228" s="21">
        <f t="shared" si="153"/>
        <v>-49252.529873704043</v>
      </c>
      <c r="I228" s="21">
        <f t="shared" si="153"/>
        <v>-35901.0960914733</v>
      </c>
      <c r="J228" s="21">
        <f t="shared" si="153"/>
        <v>8274.4991491673572</v>
      </c>
      <c r="K228" s="21">
        <f t="shared" si="153"/>
        <v>-10421.272257837118</v>
      </c>
      <c r="L228" s="21">
        <f t="shared" si="153"/>
        <v>-8759.2796613559767</v>
      </c>
      <c r="M228" s="21">
        <f t="shared" si="153"/>
        <v>-61228.842069743769</v>
      </c>
      <c r="N228" s="21">
        <f t="shared" si="153"/>
        <v>-23064.94440873366</v>
      </c>
      <c r="O228" s="21">
        <f t="shared" ref="O228:O231" si="154">SUM(C228:N228)</f>
        <v>-277939.81731354934</v>
      </c>
    </row>
    <row r="229" spans="2:15" x14ac:dyDescent="0.25">
      <c r="B229" s="21" t="s">
        <v>38</v>
      </c>
      <c r="C229" s="21">
        <f t="shared" si="153"/>
        <v>-1483772.7337611106</v>
      </c>
      <c r="D229" s="21">
        <f t="shared" si="153"/>
        <v>-376947.9962349094</v>
      </c>
      <c r="E229" s="21">
        <f t="shared" si="153"/>
        <v>-1097583.7938669827</v>
      </c>
      <c r="F229" s="21">
        <f t="shared" si="153"/>
        <v>-1578564.8827474848</v>
      </c>
      <c r="G229" s="21">
        <f t="shared" si="153"/>
        <v>-369593.7833174523</v>
      </c>
      <c r="H229" s="21">
        <f t="shared" si="153"/>
        <v>-1612017.2389207005</v>
      </c>
      <c r="I229" s="21">
        <f t="shared" si="153"/>
        <v>-1368366.6845377958</v>
      </c>
      <c r="J229" s="21">
        <f t="shared" si="153"/>
        <v>-678794.60657529952</v>
      </c>
      <c r="K229" s="21">
        <f t="shared" si="153"/>
        <v>-870394.96286579384</v>
      </c>
      <c r="L229" s="21">
        <f t="shared" si="153"/>
        <v>-725022.60033790302</v>
      </c>
      <c r="M229" s="21">
        <f t="shared" si="153"/>
        <v>-1673333.8650905166</v>
      </c>
      <c r="N229" s="21">
        <f t="shared" si="153"/>
        <v>-1164510.2935475744</v>
      </c>
      <c r="O229" s="21">
        <f t="shared" si="154"/>
        <v>-12998903.441803524</v>
      </c>
    </row>
    <row r="230" spans="2:15" x14ac:dyDescent="0.25">
      <c r="B230" s="21" t="s">
        <v>39</v>
      </c>
      <c r="C230" s="21">
        <f t="shared" si="153"/>
        <v>-145241.22292451526</v>
      </c>
      <c r="D230" s="21">
        <f t="shared" si="153"/>
        <v>114822.86464459996</v>
      </c>
      <c r="E230" s="21">
        <f t="shared" si="153"/>
        <v>-70509.280390533502</v>
      </c>
      <c r="F230" s="21">
        <f t="shared" si="153"/>
        <v>-249025.4827972661</v>
      </c>
      <c r="G230" s="21">
        <f t="shared" si="153"/>
        <v>113362.72990338632</v>
      </c>
      <c r="H230" s="21">
        <f t="shared" si="153"/>
        <v>-219557.62564311305</v>
      </c>
      <c r="I230" s="21">
        <f t="shared" si="153"/>
        <v>-107226.1007724423</v>
      </c>
      <c r="J230" s="21">
        <f t="shared" si="153"/>
        <v>93000.618139266735</v>
      </c>
      <c r="K230" s="21">
        <f t="shared" si="153"/>
        <v>-10757.007677100715</v>
      </c>
      <c r="L230" s="21">
        <f t="shared" si="153"/>
        <v>2115.4647278980119</v>
      </c>
      <c r="M230" s="21">
        <f t="shared" si="153"/>
        <v>-276309.22707507876</v>
      </c>
      <c r="N230" s="21">
        <f t="shared" si="153"/>
        <v>-66224.101463441155</v>
      </c>
      <c r="O230" s="21">
        <f t="shared" si="154"/>
        <v>-821548.3713283398</v>
      </c>
    </row>
    <row r="231" spans="2:15" x14ac:dyDescent="0.25">
      <c r="B231" s="21" t="s">
        <v>40</v>
      </c>
      <c r="C231" s="21">
        <f t="shared" si="153"/>
        <v>206586.44110899675</v>
      </c>
      <c r="D231" s="21">
        <f t="shared" si="153"/>
        <v>420929.7592611271</v>
      </c>
      <c r="E231" s="21">
        <f t="shared" si="153"/>
        <v>240873.09029070137</v>
      </c>
      <c r="F231" s="21">
        <f t="shared" si="153"/>
        <v>31853.939254365629</v>
      </c>
      <c r="G231" s="21">
        <f t="shared" si="153"/>
        <v>436273.31744691264</v>
      </c>
      <c r="H231" s="21">
        <f t="shared" si="153"/>
        <v>115430.37256407179</v>
      </c>
      <c r="I231" s="21">
        <f t="shared" si="153"/>
        <v>321053.01828029542</v>
      </c>
      <c r="J231" s="21">
        <f t="shared" si="153"/>
        <v>547307.82775865693</v>
      </c>
      <c r="K231" s="21">
        <f t="shared" si="153"/>
        <v>327876.4407183195</v>
      </c>
      <c r="L231" s="21">
        <f t="shared" si="153"/>
        <v>294991.79012633592</v>
      </c>
      <c r="M231" s="21">
        <f t="shared" si="153"/>
        <v>43555.017159988638</v>
      </c>
      <c r="N231" s="21">
        <f t="shared" si="153"/>
        <v>249911.94761637761</v>
      </c>
      <c r="O231" s="21">
        <f t="shared" si="154"/>
        <v>3236642.9615861494</v>
      </c>
    </row>
    <row r="232" spans="2:15" x14ac:dyDescent="0.25">
      <c r="B232" s="33" t="s">
        <v>21</v>
      </c>
      <c r="C232" s="33">
        <f>SUM(C227:C231)</f>
        <v>-1563298.033386742</v>
      </c>
      <c r="D232" s="33">
        <f t="shared" ref="D232" si="155">SUM(D227:D231)</f>
        <v>170175.48067250283</v>
      </c>
      <c r="E232" s="33">
        <f t="shared" ref="E232" si="156">SUM(E227:E231)</f>
        <v>-1011826.2276537336</v>
      </c>
      <c r="F232" s="33">
        <f t="shared" ref="F232" si="157">SUM(F227:F231)</f>
        <v>-1999825.7477153048</v>
      </c>
      <c r="G232" s="33">
        <f t="shared" ref="G232" si="158">SUM(G227:G231)</f>
        <v>191079.46137503727</v>
      </c>
      <c r="H232" s="33">
        <f t="shared" ref="H232" si="159">SUM(H227:H231)</f>
        <v>-1853998.5728651658</v>
      </c>
      <c r="I232" s="33">
        <f t="shared" ref="I232" si="160">SUM(I227:I231)</f>
        <v>-1253014.532415618</v>
      </c>
      <c r="J232" s="33">
        <f t="shared" ref="J232" si="161">SUM(J227:J231)</f>
        <v>-46709.504516181652</v>
      </c>
      <c r="K232" s="33">
        <f t="shared" ref="K232" si="162">SUM(K227:K231)</f>
        <v>-600318.17352180101</v>
      </c>
      <c r="L232" s="33">
        <f t="shared" ref="L232" si="163">SUM(L227:L231)</f>
        <v>-470254.73228305683</v>
      </c>
      <c r="M232" s="33">
        <f t="shared" ref="M232" si="164">SUM(M227:M231)</f>
        <v>-2098272.3703454449</v>
      </c>
      <c r="N232" s="33">
        <f t="shared" ref="N232" si="165">SUM(N227:N231)</f>
        <v>-1076090.8928377668</v>
      </c>
      <c r="O232" s="33">
        <f t="shared" ref="O232" si="166">SUM(O227:O231)</f>
        <v>-11612353.845493276</v>
      </c>
    </row>
    <row r="235" spans="2:15" ht="15.6" x14ac:dyDescent="0.3">
      <c r="B235" s="17" t="s">
        <v>123</v>
      </c>
      <c r="C235" s="19"/>
    </row>
    <row r="237" spans="2:15" x14ac:dyDescent="0.25">
      <c r="B237" s="64" t="s">
        <v>88</v>
      </c>
      <c r="C237" s="27" t="s">
        <v>9</v>
      </c>
      <c r="D237" s="27" t="s">
        <v>10</v>
      </c>
      <c r="E237" s="27" t="s">
        <v>11</v>
      </c>
      <c r="F237" s="27" t="s">
        <v>12</v>
      </c>
      <c r="G237" s="27" t="s">
        <v>13</v>
      </c>
      <c r="H237" s="27" t="s">
        <v>14</v>
      </c>
      <c r="I237" s="27" t="s">
        <v>15</v>
      </c>
      <c r="J237" s="27" t="s">
        <v>16</v>
      </c>
      <c r="K237" s="27" t="s">
        <v>17</v>
      </c>
      <c r="L237" s="27" t="s">
        <v>18</v>
      </c>
      <c r="M237" s="27" t="s">
        <v>19</v>
      </c>
      <c r="N237" s="27" t="s">
        <v>20</v>
      </c>
      <c r="O237" s="27" t="s">
        <v>21</v>
      </c>
    </row>
    <row r="238" spans="2:15" x14ac:dyDescent="0.25">
      <c r="B238" s="65" t="s">
        <v>89</v>
      </c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2:15" x14ac:dyDescent="0.25">
      <c r="B239" s="21" t="s">
        <v>91</v>
      </c>
      <c r="C239" s="21">
        <f t="shared" ref="C239:N239" si="167">C163</f>
        <v>4619760.4121343847</v>
      </c>
      <c r="D239" s="21">
        <f t="shared" si="167"/>
        <v>3887159.2408977849</v>
      </c>
      <c r="E239" s="21">
        <f t="shared" si="167"/>
        <v>4027544.6716768071</v>
      </c>
      <c r="F239" s="21">
        <f t="shared" si="167"/>
        <v>3717277.7103908048</v>
      </c>
      <c r="G239" s="21">
        <f t="shared" si="167"/>
        <v>3781152.7494293628</v>
      </c>
      <c r="H239" s="21">
        <f t="shared" si="167"/>
        <v>4386462.8714533951</v>
      </c>
      <c r="I239" s="21">
        <f t="shared" si="167"/>
        <v>5133021.6034360854</v>
      </c>
      <c r="J239" s="21">
        <f t="shared" si="167"/>
        <v>4981900.5910141133</v>
      </c>
      <c r="K239" s="21">
        <f t="shared" si="167"/>
        <v>4084366.5949422936</v>
      </c>
      <c r="L239" s="21">
        <f t="shared" si="167"/>
        <v>3773152.3523443099</v>
      </c>
      <c r="M239" s="21">
        <f t="shared" si="167"/>
        <v>4023701.1034298409</v>
      </c>
      <c r="N239" s="21">
        <f t="shared" si="167"/>
        <v>4335835.7214664314</v>
      </c>
      <c r="O239" s="21">
        <f>SUM(C239:N239)</f>
        <v>50751335.622615613</v>
      </c>
    </row>
    <row r="240" spans="2:15" x14ac:dyDescent="0.25">
      <c r="B240" s="21" t="s">
        <v>92</v>
      </c>
      <c r="C240" s="21">
        <f t="shared" ref="C240:N240" si="168">-C7*C101</f>
        <v>478892.61672230216</v>
      </c>
      <c r="D240" s="21">
        <f t="shared" si="168"/>
        <v>678691.43768798991</v>
      </c>
      <c r="E240" s="21">
        <f t="shared" si="168"/>
        <v>456836.71847560845</v>
      </c>
      <c r="F240" s="21">
        <f t="shared" si="168"/>
        <v>404023.64520507806</v>
      </c>
      <c r="G240" s="21">
        <f t="shared" si="168"/>
        <v>745821.09650833579</v>
      </c>
      <c r="H240" s="21">
        <f t="shared" si="168"/>
        <v>336387.52073593443</v>
      </c>
      <c r="I240" s="21">
        <f t="shared" si="168"/>
        <v>490318.35511657584</v>
      </c>
      <c r="J240" s="21">
        <f t="shared" si="168"/>
        <v>895377.75185001025</v>
      </c>
      <c r="K240" s="21">
        <f t="shared" si="168"/>
        <v>805883.0908698095</v>
      </c>
      <c r="L240" s="21">
        <f t="shared" si="168"/>
        <v>782113.03309736133</v>
      </c>
      <c r="M240" s="21">
        <f t="shared" si="168"/>
        <v>356634.43566578295</v>
      </c>
      <c r="N240" s="21">
        <f t="shared" si="168"/>
        <v>577943.73965876305</v>
      </c>
      <c r="O240" s="21">
        <f>SUM(C240:N240)</f>
        <v>7008923.4415935511</v>
      </c>
    </row>
    <row r="241" spans="2:17" x14ac:dyDescent="0.25">
      <c r="B241" s="21" t="s">
        <v>93</v>
      </c>
      <c r="C241" s="21">
        <f t="shared" ref="C241:N241" si="169">C54*C101</f>
        <v>890372.77443055366</v>
      </c>
      <c r="D241" s="21">
        <f t="shared" si="169"/>
        <v>1261890.4920603328</v>
      </c>
      <c r="E241" s="21">
        <f t="shared" si="169"/>
        <v>816377.35277777619</v>
      </c>
      <c r="F241" s="21">
        <f t="shared" si="169"/>
        <v>740287.33939349023</v>
      </c>
      <c r="G241" s="21">
        <f t="shared" si="169"/>
        <v>1266410.5895463247</v>
      </c>
      <c r="H241" s="21">
        <f t="shared" si="169"/>
        <v>581747.77959429764</v>
      </c>
      <c r="I241" s="21">
        <f t="shared" si="169"/>
        <v>804278.0207282115</v>
      </c>
      <c r="J241" s="21">
        <f t="shared" si="169"/>
        <v>1336784.7311649709</v>
      </c>
      <c r="K241" s="21">
        <f t="shared" si="169"/>
        <v>1247818.2358709525</v>
      </c>
      <c r="L241" s="21">
        <f t="shared" si="169"/>
        <v>1227194.2408300983</v>
      </c>
      <c r="M241" s="21">
        <f t="shared" si="169"/>
        <v>574378.97465314425</v>
      </c>
      <c r="N241" s="21">
        <f t="shared" si="169"/>
        <v>1009923.6413519181</v>
      </c>
      <c r="O241" s="21">
        <f>SUM(C241:N241)</f>
        <v>11757464.172402071</v>
      </c>
    </row>
    <row r="242" spans="2:17" x14ac:dyDescent="0.25">
      <c r="B242" s="33" t="s">
        <v>21</v>
      </c>
      <c r="C242" s="33">
        <f>SUM(C239:C241)</f>
        <v>5989025.8032872407</v>
      </c>
      <c r="D242" s="33">
        <f t="shared" ref="D242:O242" si="170">SUM(D239:D241)</f>
        <v>5827741.1706461078</v>
      </c>
      <c r="E242" s="33">
        <f t="shared" si="170"/>
        <v>5300758.7429301916</v>
      </c>
      <c r="F242" s="33">
        <f t="shared" si="170"/>
        <v>4861588.694989373</v>
      </c>
      <c r="G242" s="33">
        <f t="shared" si="170"/>
        <v>5793384.4354840238</v>
      </c>
      <c r="H242" s="33">
        <f t="shared" si="170"/>
        <v>5304598.171783627</v>
      </c>
      <c r="I242" s="33">
        <f t="shared" si="170"/>
        <v>6427617.9792808732</v>
      </c>
      <c r="J242" s="33">
        <f t="shared" si="170"/>
        <v>7214063.0740290936</v>
      </c>
      <c r="K242" s="33">
        <f t="shared" si="170"/>
        <v>6138067.9216830553</v>
      </c>
      <c r="L242" s="33">
        <f t="shared" si="170"/>
        <v>5782459.6262717694</v>
      </c>
      <c r="M242" s="33">
        <f t="shared" si="170"/>
        <v>4954714.5137487678</v>
      </c>
      <c r="N242" s="33">
        <f t="shared" si="170"/>
        <v>5923703.1024771119</v>
      </c>
      <c r="O242" s="33">
        <f t="shared" si="170"/>
        <v>69517723.236611232</v>
      </c>
      <c r="P242" s="21"/>
      <c r="Q242" s="74"/>
    </row>
    <row r="243" spans="2:17" x14ac:dyDescent="0.25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2:17" x14ac:dyDescent="0.25">
      <c r="B244" s="65" t="s">
        <v>90</v>
      </c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2:17" x14ac:dyDescent="0.25">
      <c r="B245" s="21" t="s">
        <v>91</v>
      </c>
      <c r="C245" s="21">
        <v>0</v>
      </c>
      <c r="D245" s="21">
        <v>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f>SUM(C245:N245)</f>
        <v>0</v>
      </c>
    </row>
    <row r="246" spans="2:17" x14ac:dyDescent="0.25">
      <c r="B246" s="21" t="s">
        <v>92</v>
      </c>
      <c r="C246" s="21">
        <f t="shared" ref="C246:N246" si="171">C132</f>
        <v>1410768.3</v>
      </c>
      <c r="D246" s="21">
        <f t="shared" si="171"/>
        <v>1427729.55</v>
      </c>
      <c r="E246" s="21">
        <f t="shared" si="171"/>
        <v>1726260.05</v>
      </c>
      <c r="F246" s="21">
        <f t="shared" si="171"/>
        <v>1686315.34</v>
      </c>
      <c r="G246" s="21">
        <f t="shared" si="171"/>
        <v>1794955.49</v>
      </c>
      <c r="H246" s="21">
        <f t="shared" si="171"/>
        <v>2063757.64</v>
      </c>
      <c r="I246" s="21">
        <f t="shared" si="171"/>
        <v>1655841.59</v>
      </c>
      <c r="J246" s="21">
        <f t="shared" si="171"/>
        <v>1591520.55</v>
      </c>
      <c r="K246" s="21">
        <f t="shared" si="171"/>
        <v>1538490.38</v>
      </c>
      <c r="L246" s="21">
        <f t="shared" si="171"/>
        <v>2061487.62</v>
      </c>
      <c r="M246" s="21">
        <f t="shared" si="171"/>
        <v>1700290.06</v>
      </c>
      <c r="N246" s="21">
        <f t="shared" si="171"/>
        <v>1549295.14</v>
      </c>
      <c r="O246" s="21">
        <f>SUM(C246:N246)</f>
        <v>20206711.710000001</v>
      </c>
    </row>
    <row r="247" spans="2:17" x14ac:dyDescent="0.25">
      <c r="B247" s="21" t="s">
        <v>93</v>
      </c>
      <c r="C247" s="21">
        <f t="shared" ref="C247:N247" si="172">C54*C102</f>
        <v>3854848.4651173046</v>
      </c>
      <c r="D247" s="21">
        <f t="shared" si="172"/>
        <v>2896497.2826668932</v>
      </c>
      <c r="E247" s="21">
        <f t="shared" si="172"/>
        <v>3329632.391865856</v>
      </c>
      <c r="F247" s="21">
        <f t="shared" si="172"/>
        <v>4130924.2859809138</v>
      </c>
      <c r="G247" s="21">
        <f t="shared" si="172"/>
        <v>4002813.1909869169</v>
      </c>
      <c r="H247" s="21">
        <f t="shared" si="172"/>
        <v>5699961.5634740843</v>
      </c>
      <c r="I247" s="21">
        <f t="shared" si="172"/>
        <v>3811658.2922700164</v>
      </c>
      <c r="J247" s="21">
        <f t="shared" si="172"/>
        <v>3398978.6197796483</v>
      </c>
      <c r="K247" s="21">
        <f t="shared" si="172"/>
        <v>3429826.3636197052</v>
      </c>
      <c r="L247" s="21">
        <f t="shared" si="172"/>
        <v>3709501.1379134376</v>
      </c>
      <c r="M247" s="21">
        <f t="shared" si="172"/>
        <v>4994084.4252051646</v>
      </c>
      <c r="N247" s="21">
        <f t="shared" si="172"/>
        <v>3612088.3517684322</v>
      </c>
      <c r="O247" s="21">
        <f>SUM(C247:N247)</f>
        <v>46870814.370648377</v>
      </c>
    </row>
    <row r="248" spans="2:17" x14ac:dyDescent="0.25">
      <c r="B248" s="33" t="s">
        <v>21</v>
      </c>
      <c r="C248" s="33">
        <f>SUM(C245:C247)</f>
        <v>5265616.7651173044</v>
      </c>
      <c r="D248" s="33">
        <f t="shared" ref="D248" si="173">SUM(D245:D247)</f>
        <v>4324226.8326668935</v>
      </c>
      <c r="E248" s="33">
        <f t="shared" ref="E248" si="174">SUM(E245:E247)</f>
        <v>5055892.4418658558</v>
      </c>
      <c r="F248" s="33">
        <f t="shared" ref="F248" si="175">SUM(F245:F247)</f>
        <v>5817239.6259809136</v>
      </c>
      <c r="G248" s="33">
        <f t="shared" ref="G248" si="176">SUM(G245:G247)</f>
        <v>5797768.6809869166</v>
      </c>
      <c r="H248" s="33">
        <f t="shared" ref="H248" si="177">SUM(H245:H247)</f>
        <v>7763719.2034740839</v>
      </c>
      <c r="I248" s="33">
        <f t="shared" ref="I248" si="178">SUM(I245:I247)</f>
        <v>5467499.8822700167</v>
      </c>
      <c r="J248" s="33">
        <f t="shared" ref="J248" si="179">SUM(J245:J247)</f>
        <v>4990499.1697796481</v>
      </c>
      <c r="K248" s="33">
        <f t="shared" ref="K248" si="180">SUM(K245:K247)</f>
        <v>4968316.7436197046</v>
      </c>
      <c r="L248" s="33">
        <f t="shared" ref="L248" si="181">SUM(L245:L247)</f>
        <v>5770988.7579134377</v>
      </c>
      <c r="M248" s="33">
        <f t="shared" ref="M248" si="182">SUM(M245:M247)</f>
        <v>6694374.4852051642</v>
      </c>
      <c r="N248" s="33">
        <f>SUM(N245:N247)</f>
        <v>5161383.4917684318</v>
      </c>
      <c r="O248" s="33">
        <f t="shared" ref="O248" si="183">SUM(O245:O247)</f>
        <v>67077526.080648378</v>
      </c>
      <c r="P248" s="21"/>
      <c r="Q248" s="74"/>
    </row>
    <row r="249" spans="2:17" x14ac:dyDescent="0.25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2:17" x14ac:dyDescent="0.25">
      <c r="B250" s="64" t="s">
        <v>94</v>
      </c>
      <c r="C250" s="27" t="s">
        <v>9</v>
      </c>
      <c r="D250" s="27" t="s">
        <v>10</v>
      </c>
      <c r="E250" s="27" t="s">
        <v>11</v>
      </c>
      <c r="F250" s="27" t="s">
        <v>12</v>
      </c>
      <c r="G250" s="27" t="s">
        <v>13</v>
      </c>
      <c r="H250" s="27" t="s">
        <v>14</v>
      </c>
      <c r="I250" s="27" t="s">
        <v>15</v>
      </c>
      <c r="J250" s="27" t="s">
        <v>16</v>
      </c>
      <c r="K250" s="27" t="s">
        <v>17</v>
      </c>
      <c r="L250" s="27" t="s">
        <v>18</v>
      </c>
      <c r="M250" s="27" t="s">
        <v>19</v>
      </c>
      <c r="N250" s="27" t="s">
        <v>20</v>
      </c>
      <c r="O250" s="27" t="s">
        <v>21</v>
      </c>
    </row>
    <row r="251" spans="2:17" x14ac:dyDescent="0.25">
      <c r="B251" s="65" t="s">
        <v>89</v>
      </c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2:17" x14ac:dyDescent="0.25">
      <c r="B252" s="21" t="s">
        <v>95</v>
      </c>
      <c r="C252" s="21">
        <f t="shared" ref="C252:N252" si="184">C10*C100</f>
        <v>2406155.7215163754</v>
      </c>
      <c r="D252" s="21">
        <f t="shared" si="184"/>
        <v>-130655.5414864479</v>
      </c>
      <c r="E252" s="21">
        <f t="shared" si="184"/>
        <v>391517.66849623766</v>
      </c>
      <c r="F252" s="21">
        <f t="shared" si="184"/>
        <v>1246354.2398772535</v>
      </c>
      <c r="G252" s="21">
        <f t="shared" si="184"/>
        <v>-1294504.8978983273</v>
      </c>
      <c r="H252" s="21">
        <f t="shared" si="184"/>
        <v>40275.533459888306</v>
      </c>
      <c r="I252" s="21">
        <f t="shared" si="184"/>
        <v>1659969.5502716375</v>
      </c>
      <c r="J252" s="21">
        <f t="shared" si="184"/>
        <v>588403.08194216108</v>
      </c>
      <c r="K252" s="21">
        <f t="shared" si="184"/>
        <v>468831.05127191963</v>
      </c>
      <c r="L252" s="21">
        <f t="shared" si="184"/>
        <v>-1191787.2019635495</v>
      </c>
      <c r="M252" s="21">
        <f t="shared" si="184"/>
        <v>1365172.0063968496</v>
      </c>
      <c r="N252" s="21">
        <f t="shared" si="184"/>
        <v>1474914.0527641913</v>
      </c>
      <c r="O252" s="21">
        <f>SUM(C252:N252)</f>
        <v>7024645.2646481879</v>
      </c>
    </row>
    <row r="253" spans="2:17" x14ac:dyDescent="0.25">
      <c r="B253" s="21" t="s">
        <v>96</v>
      </c>
      <c r="C253" s="21">
        <f t="shared" ref="C253:N253" si="185">C10*C104</f>
        <v>3798618.8423068826</v>
      </c>
      <c r="D253" s="21">
        <f t="shared" si="185"/>
        <v>3833625.2207709211</v>
      </c>
      <c r="E253" s="21">
        <f t="shared" si="185"/>
        <v>4682709.6776203578</v>
      </c>
      <c r="F253" s="21">
        <f t="shared" si="185"/>
        <v>4420013.2367239594</v>
      </c>
      <c r="G253" s="21">
        <f t="shared" si="185"/>
        <v>4885035.5745481458</v>
      </c>
      <c r="H253" s="21">
        <f t="shared" si="185"/>
        <v>6074949.193709326</v>
      </c>
      <c r="I253" s="21">
        <f t="shared" si="185"/>
        <v>4715168.2624625629</v>
      </c>
      <c r="J253" s="21">
        <f t="shared" si="185"/>
        <v>4501258.3723613368</v>
      </c>
      <c r="K253" s="21">
        <f t="shared" si="185"/>
        <v>4247768.1731520323</v>
      </c>
      <c r="L253" s="21">
        <f t="shared" si="185"/>
        <v>5348493.0925036892</v>
      </c>
      <c r="M253" s="21">
        <f t="shared" si="185"/>
        <v>4749312.1165756108</v>
      </c>
      <c r="N253" s="21">
        <f t="shared" si="185"/>
        <v>3883945.4166754438</v>
      </c>
      <c r="O253" s="21">
        <f>SUM(C253:N253)</f>
        <v>55140897.179410264</v>
      </c>
    </row>
    <row r="254" spans="2:17" x14ac:dyDescent="0.25">
      <c r="B254" s="21" t="s">
        <v>97</v>
      </c>
      <c r="C254" s="21">
        <f>C232</f>
        <v>-1563298.033386742</v>
      </c>
      <c r="D254" s="21">
        <f t="shared" ref="D254:N254" si="186">D232</f>
        <v>170175.48067250283</v>
      </c>
      <c r="E254" s="21">
        <f t="shared" si="186"/>
        <v>-1011826.2276537336</v>
      </c>
      <c r="F254" s="21">
        <f t="shared" si="186"/>
        <v>-1999825.7477153048</v>
      </c>
      <c r="G254" s="21">
        <f t="shared" si="186"/>
        <v>191079.46137503727</v>
      </c>
      <c r="H254" s="21">
        <f t="shared" si="186"/>
        <v>-1853998.5728651658</v>
      </c>
      <c r="I254" s="21">
        <f t="shared" si="186"/>
        <v>-1253014.532415618</v>
      </c>
      <c r="J254" s="21">
        <f t="shared" si="186"/>
        <v>-46709.504516181652</v>
      </c>
      <c r="K254" s="21">
        <f t="shared" si="186"/>
        <v>-600318.17352180101</v>
      </c>
      <c r="L254" s="21">
        <f t="shared" si="186"/>
        <v>-470254.73228305683</v>
      </c>
      <c r="M254" s="21">
        <f t="shared" si="186"/>
        <v>-2098272.3703454449</v>
      </c>
      <c r="N254" s="21">
        <f t="shared" si="186"/>
        <v>-1076090.8928377668</v>
      </c>
      <c r="O254" s="21">
        <f>SUM(C254:N254)</f>
        <v>-11612353.845493276</v>
      </c>
    </row>
    <row r="255" spans="2:17" x14ac:dyDescent="0.25">
      <c r="B255" s="21" t="s">
        <v>92</v>
      </c>
      <c r="C255" s="21">
        <f t="shared" ref="C255:N255" si="187">-C7*C101</f>
        <v>478892.61672230216</v>
      </c>
      <c r="D255" s="21">
        <f t="shared" si="187"/>
        <v>678691.43768798991</v>
      </c>
      <c r="E255" s="21">
        <f t="shared" si="187"/>
        <v>456836.71847560845</v>
      </c>
      <c r="F255" s="21">
        <f t="shared" si="187"/>
        <v>404023.64520507806</v>
      </c>
      <c r="G255" s="21">
        <f t="shared" si="187"/>
        <v>745821.09650833579</v>
      </c>
      <c r="H255" s="21">
        <f t="shared" si="187"/>
        <v>336387.52073593443</v>
      </c>
      <c r="I255" s="21">
        <f t="shared" si="187"/>
        <v>490318.35511657584</v>
      </c>
      <c r="J255" s="21">
        <f t="shared" si="187"/>
        <v>895377.75185001025</v>
      </c>
      <c r="K255" s="21">
        <f t="shared" si="187"/>
        <v>805883.0908698095</v>
      </c>
      <c r="L255" s="21">
        <f t="shared" si="187"/>
        <v>782113.03309736133</v>
      </c>
      <c r="M255" s="21">
        <f t="shared" si="187"/>
        <v>356634.43566578295</v>
      </c>
      <c r="N255" s="21">
        <f t="shared" si="187"/>
        <v>577943.73965876305</v>
      </c>
      <c r="O255" s="21">
        <f>SUM(C255:N255)</f>
        <v>7008923.4415935511</v>
      </c>
    </row>
    <row r="256" spans="2:17" x14ac:dyDescent="0.25">
      <c r="B256" s="21" t="s">
        <v>93</v>
      </c>
      <c r="C256" s="21">
        <f t="shared" ref="C256:N256" si="188">C11*C101</f>
        <v>894558.15176132275</v>
      </c>
      <c r="D256" s="21">
        <f t="shared" si="188"/>
        <v>1257341.0937984579</v>
      </c>
      <c r="E256" s="21">
        <f t="shared" si="188"/>
        <v>823442.70302815374</v>
      </c>
      <c r="F256" s="21">
        <f t="shared" si="188"/>
        <v>730183.38491766795</v>
      </c>
      <c r="G256" s="21">
        <f t="shared" si="188"/>
        <v>1266563.7813899915</v>
      </c>
      <c r="H256" s="21">
        <f t="shared" si="188"/>
        <v>565138.45580417721</v>
      </c>
      <c r="I256" s="21">
        <f t="shared" si="188"/>
        <v>802570.39461178659</v>
      </c>
      <c r="J256" s="21">
        <f t="shared" si="188"/>
        <v>1353166.5362078289</v>
      </c>
      <c r="K256" s="21">
        <f t="shared" si="188"/>
        <v>1257568.4478582707</v>
      </c>
      <c r="L256" s="21">
        <f t="shared" si="188"/>
        <v>1198995.2188661878</v>
      </c>
      <c r="M256" s="21">
        <f t="shared" si="188"/>
        <v>573309.87793736742</v>
      </c>
      <c r="N256" s="21">
        <f t="shared" si="188"/>
        <v>997562.98757704592</v>
      </c>
      <c r="O256" s="21">
        <f>SUM(C256:N256)</f>
        <v>11720401.033758258</v>
      </c>
    </row>
    <row r="257" spans="2:17" x14ac:dyDescent="0.25">
      <c r="B257" s="33" t="s">
        <v>21</v>
      </c>
      <c r="C257" s="33">
        <f>SUM(C252:C256)</f>
        <v>6014927.2989201415</v>
      </c>
      <c r="D257" s="33">
        <f t="shared" ref="D257" si="189">SUM(D252:D256)</f>
        <v>5809177.6914434237</v>
      </c>
      <c r="E257" s="33">
        <f t="shared" ref="E257" si="190">SUM(E252:E256)</f>
        <v>5342680.5399666242</v>
      </c>
      <c r="F257" s="33">
        <f t="shared" ref="F257" si="191">SUM(F252:F256)</f>
        <v>4800748.7590086544</v>
      </c>
      <c r="G257" s="33">
        <f t="shared" ref="G257" si="192">SUM(G252:G256)</f>
        <v>5793995.0159231825</v>
      </c>
      <c r="H257" s="33">
        <f t="shared" ref="H257" si="193">SUM(H252:H256)</f>
        <v>5162752.13084416</v>
      </c>
      <c r="I257" s="33">
        <f t="shared" ref="I257" si="194">SUM(I252:I256)</f>
        <v>6415012.0300469454</v>
      </c>
      <c r="J257" s="33">
        <f t="shared" ref="J257" si="195">SUM(J252:J256)</f>
        <v>7291496.2378451545</v>
      </c>
      <c r="K257" s="33">
        <f t="shared" ref="K257" si="196">SUM(K252:K256)</f>
        <v>6179732.5896302313</v>
      </c>
      <c r="L257" s="33">
        <f t="shared" ref="L257" si="197">SUM(L252:L256)</f>
        <v>5667559.4102206323</v>
      </c>
      <c r="M257" s="33">
        <f t="shared" ref="M257" si="198">SUM(M252:M256)</f>
        <v>4946156.0662301658</v>
      </c>
      <c r="N257" s="33">
        <f>SUM(N252:N256)</f>
        <v>5858275.3038376775</v>
      </c>
      <c r="O257" s="33">
        <f>SUM(O252:O256)</f>
        <v>69282513.073916987</v>
      </c>
      <c r="P257" s="21"/>
      <c r="Q257" s="74"/>
    </row>
    <row r="258" spans="2:17" x14ac:dyDescent="0.25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2:17" x14ac:dyDescent="0.25">
      <c r="B259" s="65" t="s">
        <v>90</v>
      </c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2:17" x14ac:dyDescent="0.25">
      <c r="B260" s="21" t="s">
        <v>91</v>
      </c>
      <c r="C260" s="21">
        <v>0</v>
      </c>
      <c r="D260" s="21">
        <v>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f>SUM(C260:N260)</f>
        <v>0</v>
      </c>
    </row>
    <row r="261" spans="2:17" x14ac:dyDescent="0.25">
      <c r="B261" s="21" t="s">
        <v>92</v>
      </c>
      <c r="C261" s="21">
        <f t="shared" ref="C261:N261" si="199">C132</f>
        <v>1410768.3</v>
      </c>
      <c r="D261" s="21">
        <f t="shared" si="199"/>
        <v>1427729.55</v>
      </c>
      <c r="E261" s="21">
        <f t="shared" si="199"/>
        <v>1726260.05</v>
      </c>
      <c r="F261" s="21">
        <f t="shared" si="199"/>
        <v>1686315.34</v>
      </c>
      <c r="G261" s="21">
        <f t="shared" si="199"/>
        <v>1794955.49</v>
      </c>
      <c r="H261" s="21">
        <f t="shared" si="199"/>
        <v>2063757.64</v>
      </c>
      <c r="I261" s="21">
        <f t="shared" si="199"/>
        <v>1655841.59</v>
      </c>
      <c r="J261" s="21">
        <f t="shared" si="199"/>
        <v>1591520.55</v>
      </c>
      <c r="K261" s="21">
        <f t="shared" si="199"/>
        <v>1538490.38</v>
      </c>
      <c r="L261" s="21">
        <f t="shared" si="199"/>
        <v>2061487.62</v>
      </c>
      <c r="M261" s="21">
        <f t="shared" si="199"/>
        <v>1700290.06</v>
      </c>
      <c r="N261" s="21">
        <f t="shared" si="199"/>
        <v>1549295.14</v>
      </c>
      <c r="O261" s="21">
        <f>SUM(C261:N261)</f>
        <v>20206711.710000001</v>
      </c>
    </row>
    <row r="262" spans="2:17" x14ac:dyDescent="0.25">
      <c r="B262" s="21" t="s">
        <v>93</v>
      </c>
      <c r="C262" s="21">
        <f t="shared" ref="C262:N262" si="200">C11*C104</f>
        <v>2972350.3378307172</v>
      </c>
      <c r="D262" s="21">
        <f t="shared" si="200"/>
        <v>3214292.8170285779</v>
      </c>
      <c r="E262" s="21">
        <f t="shared" si="200"/>
        <v>4042332.4314528424</v>
      </c>
      <c r="F262" s="21">
        <f t="shared" si="200"/>
        <v>4136429.0977626401</v>
      </c>
      <c r="G262" s="21">
        <f t="shared" si="200"/>
        <v>4600467.2871313561</v>
      </c>
      <c r="H262" s="21">
        <f t="shared" si="200"/>
        <v>4939322.941931474</v>
      </c>
      <c r="I262" s="21">
        <f t="shared" si="200"/>
        <v>3461325.0956013375</v>
      </c>
      <c r="J262" s="21">
        <f t="shared" si="200"/>
        <v>3308129.9836876644</v>
      </c>
      <c r="K262" s="21">
        <f t="shared" si="200"/>
        <v>3522279.2904183678</v>
      </c>
      <c r="L262" s="21">
        <f t="shared" si="200"/>
        <v>4899112.4416137142</v>
      </c>
      <c r="M262" s="21">
        <f t="shared" si="200"/>
        <v>4015128.2814343898</v>
      </c>
      <c r="N262" s="21">
        <f t="shared" si="200"/>
        <v>2871991.5509941578</v>
      </c>
      <c r="O262" s="21">
        <f>SUM(C262:N262)</f>
        <v>45983161.556887239</v>
      </c>
    </row>
    <row r="263" spans="2:17" x14ac:dyDescent="0.25">
      <c r="B263" s="33" t="s">
        <v>21</v>
      </c>
      <c r="C263" s="33">
        <f>SUM(C260:C262)</f>
        <v>4383118.6378307175</v>
      </c>
      <c r="D263" s="33">
        <f t="shared" ref="D263:O263" si="201">SUM(D260:D262)</f>
        <v>4642022.3670285782</v>
      </c>
      <c r="E263" s="33">
        <f t="shared" si="201"/>
        <v>5768592.4814528422</v>
      </c>
      <c r="F263" s="33">
        <f t="shared" si="201"/>
        <v>5822744.4377626404</v>
      </c>
      <c r="G263" s="33">
        <f t="shared" si="201"/>
        <v>6395422.7771313563</v>
      </c>
      <c r="H263" s="33">
        <f t="shared" si="201"/>
        <v>7003080.5819314737</v>
      </c>
      <c r="I263" s="33">
        <f t="shared" si="201"/>
        <v>5117166.6856013378</v>
      </c>
      <c r="J263" s="33">
        <f t="shared" si="201"/>
        <v>4899650.5336876642</v>
      </c>
      <c r="K263" s="33">
        <f t="shared" si="201"/>
        <v>5060769.6704183677</v>
      </c>
      <c r="L263" s="33">
        <f t="shared" si="201"/>
        <v>6960600.0616137143</v>
      </c>
      <c r="M263" s="33">
        <f t="shared" si="201"/>
        <v>5715418.3414343894</v>
      </c>
      <c r="N263" s="33">
        <f t="shared" si="201"/>
        <v>4421286.6909941575</v>
      </c>
      <c r="O263" s="33">
        <f t="shared" si="201"/>
        <v>66189873.26688724</v>
      </c>
      <c r="P263" s="21"/>
      <c r="Q263" s="74"/>
    </row>
    <row r="264" spans="2:17" x14ac:dyDescent="0.25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2:17" x14ac:dyDescent="0.25">
      <c r="B265" s="64" t="s">
        <v>104</v>
      </c>
      <c r="C265" s="27" t="s">
        <v>9</v>
      </c>
      <c r="D265" s="27" t="s">
        <v>10</v>
      </c>
      <c r="E265" s="27" t="s">
        <v>11</v>
      </c>
      <c r="F265" s="27" t="s">
        <v>12</v>
      </c>
      <c r="G265" s="27" t="s">
        <v>13</v>
      </c>
      <c r="H265" s="27" t="s">
        <v>14</v>
      </c>
      <c r="I265" s="27" t="s">
        <v>15</v>
      </c>
      <c r="J265" s="27" t="s">
        <v>16</v>
      </c>
      <c r="K265" s="27" t="s">
        <v>17</v>
      </c>
      <c r="L265" s="27" t="s">
        <v>18</v>
      </c>
      <c r="M265" s="27" t="s">
        <v>19</v>
      </c>
      <c r="N265" s="27" t="s">
        <v>20</v>
      </c>
      <c r="O265" s="27" t="s">
        <v>21</v>
      </c>
    </row>
    <row r="266" spans="2:17" x14ac:dyDescent="0.25">
      <c r="B266" s="65" t="s">
        <v>105</v>
      </c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2:17" x14ac:dyDescent="0.25">
      <c r="B267" s="21" t="s">
        <v>91</v>
      </c>
      <c r="C267" s="21">
        <f>SUM(C252:C254)-C239</f>
        <v>21716.118302132003</v>
      </c>
      <c r="D267" s="21">
        <f t="shared" ref="D267:N267" si="202">SUM(D252:D254)-D239</f>
        <v>-14014.080940808635</v>
      </c>
      <c r="E267" s="21">
        <f t="shared" si="202"/>
        <v>34856.446786055341</v>
      </c>
      <c r="F267" s="21">
        <f t="shared" si="202"/>
        <v>-50735.98150489619</v>
      </c>
      <c r="G267" s="21">
        <f t="shared" si="202"/>
        <v>457.38859549257904</v>
      </c>
      <c r="H267" s="21">
        <f t="shared" si="202"/>
        <v>-125236.71714934707</v>
      </c>
      <c r="I267" s="21">
        <f t="shared" si="202"/>
        <v>-10898.323117502965</v>
      </c>
      <c r="J267" s="21">
        <f t="shared" si="202"/>
        <v>61051.358773202635</v>
      </c>
      <c r="K267" s="21">
        <f t="shared" si="202"/>
        <v>31914.455959857907</v>
      </c>
      <c r="L267" s="21">
        <f t="shared" si="202"/>
        <v>-86701.194087226875</v>
      </c>
      <c r="M267" s="21">
        <f t="shared" si="202"/>
        <v>-7489.3508028252982</v>
      </c>
      <c r="N267" s="21">
        <f t="shared" si="202"/>
        <v>-53067.144864562899</v>
      </c>
      <c r="O267" s="21">
        <f>SUM(C267:N267)</f>
        <v>-198147.02405042946</v>
      </c>
    </row>
    <row r="268" spans="2:17" x14ac:dyDescent="0.25">
      <c r="B268" s="21" t="s">
        <v>92</v>
      </c>
      <c r="C268" s="21">
        <f>C255-C240</f>
        <v>0</v>
      </c>
      <c r="D268" s="21">
        <f t="shared" ref="D268:N269" si="203">D255-D240</f>
        <v>0</v>
      </c>
      <c r="E268" s="21">
        <f t="shared" si="203"/>
        <v>0</v>
      </c>
      <c r="F268" s="21">
        <f t="shared" si="203"/>
        <v>0</v>
      </c>
      <c r="G268" s="21">
        <f t="shared" si="203"/>
        <v>0</v>
      </c>
      <c r="H268" s="21">
        <f t="shared" si="203"/>
        <v>0</v>
      </c>
      <c r="I268" s="21">
        <f t="shared" si="203"/>
        <v>0</v>
      </c>
      <c r="J268" s="21">
        <f t="shared" si="203"/>
        <v>0</v>
      </c>
      <c r="K268" s="21">
        <f t="shared" si="203"/>
        <v>0</v>
      </c>
      <c r="L268" s="21">
        <f t="shared" si="203"/>
        <v>0</v>
      </c>
      <c r="M268" s="21">
        <f t="shared" si="203"/>
        <v>0</v>
      </c>
      <c r="N268" s="21">
        <f t="shared" si="203"/>
        <v>0</v>
      </c>
      <c r="O268" s="21">
        <f>SUM(C268:N268)</f>
        <v>0</v>
      </c>
    </row>
    <row r="269" spans="2:17" x14ac:dyDescent="0.25">
      <c r="B269" s="21" t="s">
        <v>93</v>
      </c>
      <c r="C269" s="21">
        <f>C256-C241</f>
        <v>4185.3773307690863</v>
      </c>
      <c r="D269" s="21">
        <f t="shared" si="203"/>
        <v>-4549.3982618749142</v>
      </c>
      <c r="E269" s="21">
        <f t="shared" si="203"/>
        <v>7065.3502503775526</v>
      </c>
      <c r="F269" s="21">
        <f t="shared" si="203"/>
        <v>-10103.954475822276</v>
      </c>
      <c r="G269" s="21">
        <f t="shared" si="203"/>
        <v>153.19184366683476</v>
      </c>
      <c r="H269" s="21">
        <f t="shared" si="203"/>
        <v>-16609.323790120427</v>
      </c>
      <c r="I269" s="21">
        <f t="shared" si="203"/>
        <v>-1707.6261164249154</v>
      </c>
      <c r="J269" s="21">
        <f t="shared" si="203"/>
        <v>16381.805042858003</v>
      </c>
      <c r="K269" s="21">
        <f t="shared" si="203"/>
        <v>9750.2119873182382</v>
      </c>
      <c r="L269" s="21">
        <f t="shared" si="203"/>
        <v>-28199.021963910433</v>
      </c>
      <c r="M269" s="21">
        <f t="shared" si="203"/>
        <v>-1069.0967157768318</v>
      </c>
      <c r="N269" s="21">
        <f t="shared" si="203"/>
        <v>-12360.653774872189</v>
      </c>
      <c r="O269" s="21">
        <f>SUM(C269:N269)</f>
        <v>-37063.138643812272</v>
      </c>
    </row>
    <row r="270" spans="2:17" x14ac:dyDescent="0.25">
      <c r="B270" s="33" t="s">
        <v>21</v>
      </c>
      <c r="C270" s="33">
        <f t="shared" ref="C270:O270" si="204">SUM(C267:C269)</f>
        <v>25901.495632901089</v>
      </c>
      <c r="D270" s="33">
        <f t="shared" si="204"/>
        <v>-18563.479202683549</v>
      </c>
      <c r="E270" s="33">
        <f t="shared" si="204"/>
        <v>41921.797036432894</v>
      </c>
      <c r="F270" s="33">
        <f t="shared" si="204"/>
        <v>-60839.935980718466</v>
      </c>
      <c r="G270" s="33">
        <f t="shared" si="204"/>
        <v>610.5804391594138</v>
      </c>
      <c r="H270" s="33">
        <f t="shared" si="204"/>
        <v>-141846.04093946749</v>
      </c>
      <c r="I270" s="33">
        <f t="shared" si="204"/>
        <v>-12605.94923392788</v>
      </c>
      <c r="J270" s="33">
        <f t="shared" si="204"/>
        <v>77433.163816060638</v>
      </c>
      <c r="K270" s="33">
        <f t="shared" si="204"/>
        <v>41664.667947176145</v>
      </c>
      <c r="L270" s="33">
        <f t="shared" si="204"/>
        <v>-114900.21605113731</v>
      </c>
      <c r="M270" s="33">
        <f t="shared" si="204"/>
        <v>-8558.44751860213</v>
      </c>
      <c r="N270" s="33">
        <f t="shared" si="204"/>
        <v>-65427.798639435088</v>
      </c>
      <c r="O270" s="33">
        <f t="shared" si="204"/>
        <v>-235210.16269424174</v>
      </c>
      <c r="P270" s="21"/>
      <c r="Q270" s="74"/>
    </row>
    <row r="271" spans="2:17" x14ac:dyDescent="0.25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2:17" x14ac:dyDescent="0.25">
      <c r="B272" s="65" t="s">
        <v>106</v>
      </c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2:17" x14ac:dyDescent="0.25">
      <c r="B273" s="21" t="s">
        <v>91</v>
      </c>
      <c r="C273" s="21">
        <f>C260-C245</f>
        <v>0</v>
      </c>
      <c r="D273" s="21">
        <f t="shared" ref="D273:N273" si="205">D260-D245</f>
        <v>0</v>
      </c>
      <c r="E273" s="21">
        <f t="shared" si="205"/>
        <v>0</v>
      </c>
      <c r="F273" s="21">
        <f t="shared" si="205"/>
        <v>0</v>
      </c>
      <c r="G273" s="21">
        <f t="shared" si="205"/>
        <v>0</v>
      </c>
      <c r="H273" s="21">
        <f t="shared" si="205"/>
        <v>0</v>
      </c>
      <c r="I273" s="21">
        <f t="shared" si="205"/>
        <v>0</v>
      </c>
      <c r="J273" s="21">
        <f t="shared" si="205"/>
        <v>0</v>
      </c>
      <c r="K273" s="21">
        <f t="shared" si="205"/>
        <v>0</v>
      </c>
      <c r="L273" s="21">
        <f t="shared" si="205"/>
        <v>0</v>
      </c>
      <c r="M273" s="21">
        <f t="shared" si="205"/>
        <v>0</v>
      </c>
      <c r="N273" s="21">
        <f t="shared" si="205"/>
        <v>0</v>
      </c>
      <c r="O273" s="21">
        <f>SUM(C273:N273)</f>
        <v>0</v>
      </c>
    </row>
    <row r="274" spans="2:17" x14ac:dyDescent="0.25">
      <c r="B274" s="21" t="s">
        <v>92</v>
      </c>
      <c r="C274" s="21">
        <f t="shared" ref="C274:N275" si="206">C261-C246</f>
        <v>0</v>
      </c>
      <c r="D274" s="21">
        <f t="shared" si="206"/>
        <v>0</v>
      </c>
      <c r="E274" s="21">
        <f t="shared" si="206"/>
        <v>0</v>
      </c>
      <c r="F274" s="21">
        <f t="shared" si="206"/>
        <v>0</v>
      </c>
      <c r="G274" s="21">
        <f t="shared" si="206"/>
        <v>0</v>
      </c>
      <c r="H274" s="21">
        <f t="shared" si="206"/>
        <v>0</v>
      </c>
      <c r="I274" s="21">
        <f t="shared" si="206"/>
        <v>0</v>
      </c>
      <c r="J274" s="21">
        <f t="shared" si="206"/>
        <v>0</v>
      </c>
      <c r="K274" s="21">
        <f t="shared" si="206"/>
        <v>0</v>
      </c>
      <c r="L274" s="21">
        <f t="shared" si="206"/>
        <v>0</v>
      </c>
      <c r="M274" s="21">
        <f t="shared" si="206"/>
        <v>0</v>
      </c>
      <c r="N274" s="21">
        <f t="shared" si="206"/>
        <v>0</v>
      </c>
      <c r="O274" s="21">
        <f>SUM(C274:N274)</f>
        <v>0</v>
      </c>
    </row>
    <row r="275" spans="2:17" x14ac:dyDescent="0.25">
      <c r="B275" s="21" t="s">
        <v>93</v>
      </c>
      <c r="C275" s="21">
        <f t="shared" si="206"/>
        <v>-882498.12728658738</v>
      </c>
      <c r="D275" s="21">
        <f t="shared" si="206"/>
        <v>317795.53436168469</v>
      </c>
      <c r="E275" s="21">
        <f t="shared" si="206"/>
        <v>712700.03958698642</v>
      </c>
      <c r="F275" s="21">
        <f t="shared" si="206"/>
        <v>5504.8117817263119</v>
      </c>
      <c r="G275" s="21">
        <f t="shared" si="206"/>
        <v>597654.09614443919</v>
      </c>
      <c r="H275" s="21">
        <f t="shared" si="206"/>
        <v>-760638.62154261023</v>
      </c>
      <c r="I275" s="21">
        <f t="shared" si="206"/>
        <v>-350333.19666867889</v>
      </c>
      <c r="J275" s="21">
        <f t="shared" si="206"/>
        <v>-90848.636091983877</v>
      </c>
      <c r="K275" s="21">
        <f t="shared" si="206"/>
        <v>92452.926798662636</v>
      </c>
      <c r="L275" s="21">
        <f t="shared" si="206"/>
        <v>1189611.3037002767</v>
      </c>
      <c r="M275" s="21">
        <f t="shared" si="206"/>
        <v>-978956.14377077483</v>
      </c>
      <c r="N275" s="21">
        <f t="shared" si="206"/>
        <v>-740096.80077427439</v>
      </c>
      <c r="O275" s="21">
        <f>SUM(C275:N275)</f>
        <v>-887652.8137611337</v>
      </c>
    </row>
    <row r="276" spans="2:17" x14ac:dyDescent="0.25">
      <c r="B276" s="33" t="s">
        <v>21</v>
      </c>
      <c r="C276" s="33">
        <f>SUM(C273:C275)</f>
        <v>-882498.12728658738</v>
      </c>
      <c r="D276" s="33">
        <f t="shared" ref="D276:O276" si="207">SUM(D273:D275)</f>
        <v>317795.53436168469</v>
      </c>
      <c r="E276" s="33">
        <f t="shared" si="207"/>
        <v>712700.03958698642</v>
      </c>
      <c r="F276" s="33">
        <f t="shared" si="207"/>
        <v>5504.8117817263119</v>
      </c>
      <c r="G276" s="33">
        <f t="shared" si="207"/>
        <v>597654.09614443919</v>
      </c>
      <c r="H276" s="33">
        <f t="shared" si="207"/>
        <v>-760638.62154261023</v>
      </c>
      <c r="I276" s="33">
        <f t="shared" si="207"/>
        <v>-350333.19666867889</v>
      </c>
      <c r="J276" s="33">
        <f t="shared" si="207"/>
        <v>-90848.636091983877</v>
      </c>
      <c r="K276" s="33">
        <f t="shared" si="207"/>
        <v>92452.926798662636</v>
      </c>
      <c r="L276" s="33">
        <f t="shared" si="207"/>
        <v>1189611.3037002767</v>
      </c>
      <c r="M276" s="33">
        <f t="shared" si="207"/>
        <v>-978956.14377077483</v>
      </c>
      <c r="N276" s="33">
        <f t="shared" si="207"/>
        <v>-740096.80077427439</v>
      </c>
      <c r="O276" s="33">
        <f t="shared" si="207"/>
        <v>-887652.8137611337</v>
      </c>
      <c r="P276" s="21"/>
      <c r="Q276" s="74"/>
    </row>
    <row r="277" spans="2:17" x14ac:dyDescent="0.25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2:17" x14ac:dyDescent="0.25">
      <c r="B278" s="22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2:17" ht="15.6" x14ac:dyDescent="0.3">
      <c r="B279" s="17" t="s">
        <v>124</v>
      </c>
      <c r="C279" s="52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2:17" x14ac:dyDescent="0.25">
      <c r="B280" s="22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2:17" x14ac:dyDescent="0.25">
      <c r="B281" s="64" t="s">
        <v>88</v>
      </c>
      <c r="C281" s="27" t="s">
        <v>9</v>
      </c>
      <c r="D281" s="27" t="s">
        <v>10</v>
      </c>
      <c r="E281" s="27" t="s">
        <v>11</v>
      </c>
      <c r="F281" s="27" t="s">
        <v>12</v>
      </c>
      <c r="G281" s="27" t="s">
        <v>13</v>
      </c>
      <c r="H281" s="27" t="s">
        <v>14</v>
      </c>
      <c r="I281" s="27" t="s">
        <v>15</v>
      </c>
      <c r="J281" s="27" t="s">
        <v>16</v>
      </c>
      <c r="K281" s="27" t="s">
        <v>17</v>
      </c>
      <c r="L281" s="27" t="s">
        <v>18</v>
      </c>
      <c r="M281" s="27" t="s">
        <v>19</v>
      </c>
      <c r="N281" s="27" t="s">
        <v>20</v>
      </c>
      <c r="O281" s="27" t="s">
        <v>21</v>
      </c>
    </row>
    <row r="282" spans="2:17" x14ac:dyDescent="0.25">
      <c r="B282" s="65" t="s">
        <v>89</v>
      </c>
      <c r="C282" s="50">
        <v>6781945</v>
      </c>
      <c r="D282" s="50">
        <v>5592363</v>
      </c>
      <c r="E282" s="50">
        <v>5378510</v>
      </c>
      <c r="F282" s="50">
        <v>5139779</v>
      </c>
      <c r="G282" s="50">
        <v>5306793</v>
      </c>
      <c r="H282" s="50">
        <v>4731156</v>
      </c>
      <c r="I282" s="50">
        <v>6694529</v>
      </c>
      <c r="J282" s="50">
        <v>6991613</v>
      </c>
      <c r="K282" s="50">
        <v>6350310</v>
      </c>
      <c r="L282" s="50">
        <v>5125836</v>
      </c>
      <c r="M282" s="50">
        <v>5916583</v>
      </c>
      <c r="N282" s="50">
        <v>5887528</v>
      </c>
      <c r="O282" s="50">
        <v>69896945</v>
      </c>
      <c r="P282" s="21"/>
      <c r="Q282" s="74"/>
    </row>
    <row r="283" spans="2:17" x14ac:dyDescent="0.25">
      <c r="B283" s="65" t="s">
        <v>90</v>
      </c>
      <c r="C283" s="50">
        <v>5973983</v>
      </c>
      <c r="D283" s="50">
        <v>4470579</v>
      </c>
      <c r="E283" s="50">
        <v>4746551</v>
      </c>
      <c r="F283" s="50">
        <v>5800147</v>
      </c>
      <c r="G283" s="50">
        <v>6008850</v>
      </c>
      <c r="H283" s="50">
        <v>7600734</v>
      </c>
      <c r="I283" s="50">
        <v>5250362</v>
      </c>
      <c r="J283" s="50">
        <v>5042440</v>
      </c>
      <c r="K283" s="50">
        <v>4818466</v>
      </c>
      <c r="L283" s="50">
        <v>5489313</v>
      </c>
      <c r="M283" s="50">
        <v>7000604</v>
      </c>
      <c r="N283" s="50">
        <v>5101452</v>
      </c>
      <c r="O283" s="50">
        <v>67303481</v>
      </c>
      <c r="P283" s="21"/>
      <c r="Q283" s="74"/>
    </row>
    <row r="284" spans="2:17" x14ac:dyDescent="0.25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2:17" x14ac:dyDescent="0.25">
      <c r="B285" s="64" t="s">
        <v>94</v>
      </c>
      <c r="C285" s="27" t="s">
        <v>9</v>
      </c>
      <c r="D285" s="27" t="s">
        <v>10</v>
      </c>
      <c r="E285" s="27" t="s">
        <v>11</v>
      </c>
      <c r="F285" s="27" t="s">
        <v>12</v>
      </c>
      <c r="G285" s="27" t="s">
        <v>13</v>
      </c>
      <c r="H285" s="27" t="s">
        <v>14</v>
      </c>
      <c r="I285" s="27" t="s">
        <v>15</v>
      </c>
      <c r="J285" s="27" t="s">
        <v>16</v>
      </c>
      <c r="K285" s="27" t="s">
        <v>17</v>
      </c>
      <c r="L285" s="27" t="s">
        <v>18</v>
      </c>
      <c r="M285" s="27" t="s">
        <v>19</v>
      </c>
      <c r="N285" s="27" t="s">
        <v>20</v>
      </c>
      <c r="O285" s="27" t="s">
        <v>21</v>
      </c>
    </row>
    <row r="286" spans="2:17" x14ac:dyDescent="0.25">
      <c r="B286" s="65" t="s">
        <v>89</v>
      </c>
      <c r="C286" s="50">
        <v>6210717</v>
      </c>
      <c r="D286" s="50">
        <v>4627485</v>
      </c>
      <c r="E286" s="50">
        <v>6072159</v>
      </c>
      <c r="F286" s="50">
        <v>6348208</v>
      </c>
      <c r="G286" s="50">
        <v>4366457</v>
      </c>
      <c r="H286" s="50">
        <v>6072746</v>
      </c>
      <c r="I286" s="50">
        <v>5853290</v>
      </c>
      <c r="J286" s="50">
        <v>6689761</v>
      </c>
      <c r="K286" s="50">
        <v>6399731</v>
      </c>
      <c r="L286" s="50">
        <v>5548177</v>
      </c>
      <c r="M286" s="50">
        <v>5413467</v>
      </c>
      <c r="N286" s="50">
        <v>5537611</v>
      </c>
      <c r="O286" s="50">
        <v>69139809</v>
      </c>
      <c r="P286" s="21"/>
      <c r="Q286" s="74"/>
    </row>
    <row r="287" spans="2:17" x14ac:dyDescent="0.25">
      <c r="B287" s="65" t="s">
        <v>90</v>
      </c>
      <c r="C287" s="50">
        <v>4478011</v>
      </c>
      <c r="D287" s="50">
        <v>4521131</v>
      </c>
      <c r="E287" s="50">
        <v>5540903</v>
      </c>
      <c r="F287" s="50">
        <v>5793536</v>
      </c>
      <c r="G287" s="50">
        <v>6329180</v>
      </c>
      <c r="H287" s="50">
        <v>7540864</v>
      </c>
      <c r="I287" s="50">
        <v>5396282</v>
      </c>
      <c r="J287" s="50">
        <v>4961874</v>
      </c>
      <c r="K287" s="50">
        <v>4913792</v>
      </c>
      <c r="L287" s="50">
        <v>6601567</v>
      </c>
      <c r="M287" s="50">
        <v>5822634</v>
      </c>
      <c r="N287" s="50">
        <v>4162655</v>
      </c>
      <c r="O287" s="50">
        <v>66062429</v>
      </c>
      <c r="P287" s="21"/>
      <c r="Q287" s="74"/>
    </row>
    <row r="288" spans="2:17" x14ac:dyDescent="0.25">
      <c r="B288" s="22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</row>
    <row r="289" spans="2:17" x14ac:dyDescent="0.25">
      <c r="B289" s="64" t="s">
        <v>104</v>
      </c>
      <c r="C289" s="27" t="s">
        <v>9</v>
      </c>
      <c r="D289" s="27" t="s">
        <v>10</v>
      </c>
      <c r="E289" s="27" t="s">
        <v>11</v>
      </c>
      <c r="F289" s="27" t="s">
        <v>12</v>
      </c>
      <c r="G289" s="27" t="s">
        <v>13</v>
      </c>
      <c r="H289" s="27" t="s">
        <v>14</v>
      </c>
      <c r="I289" s="27" t="s">
        <v>15</v>
      </c>
      <c r="J289" s="27" t="s">
        <v>16</v>
      </c>
      <c r="K289" s="27" t="s">
        <v>17</v>
      </c>
      <c r="L289" s="27" t="s">
        <v>18</v>
      </c>
      <c r="M289" s="27" t="s">
        <v>19</v>
      </c>
      <c r="N289" s="27" t="s">
        <v>20</v>
      </c>
      <c r="O289" s="27" t="s">
        <v>21</v>
      </c>
    </row>
    <row r="290" spans="2:17" x14ac:dyDescent="0.25">
      <c r="B290" s="65" t="s">
        <v>89</v>
      </c>
      <c r="C290" s="72">
        <f>C286-C282</f>
        <v>-571228</v>
      </c>
      <c r="D290" s="72">
        <f t="shared" ref="D290:N290" si="208">D286-D282</f>
        <v>-964878</v>
      </c>
      <c r="E290" s="72">
        <f t="shared" si="208"/>
        <v>693649</v>
      </c>
      <c r="F290" s="72">
        <f t="shared" si="208"/>
        <v>1208429</v>
      </c>
      <c r="G290" s="72">
        <f t="shared" si="208"/>
        <v>-940336</v>
      </c>
      <c r="H290" s="72">
        <f t="shared" si="208"/>
        <v>1341590</v>
      </c>
      <c r="I290" s="72">
        <f t="shared" si="208"/>
        <v>-841239</v>
      </c>
      <c r="J290" s="72">
        <f t="shared" si="208"/>
        <v>-301852</v>
      </c>
      <c r="K290" s="72">
        <f t="shared" si="208"/>
        <v>49421</v>
      </c>
      <c r="L290" s="72">
        <f t="shared" si="208"/>
        <v>422341</v>
      </c>
      <c r="M290" s="72">
        <f t="shared" si="208"/>
        <v>-503116</v>
      </c>
      <c r="N290" s="72">
        <f t="shared" si="208"/>
        <v>-349917</v>
      </c>
      <c r="O290" s="72">
        <f>SUM(C290:N290)</f>
        <v>-757136</v>
      </c>
      <c r="P290" s="21"/>
      <c r="Q290" s="74"/>
    </row>
    <row r="291" spans="2:17" x14ac:dyDescent="0.25">
      <c r="B291" s="65" t="s">
        <v>90</v>
      </c>
      <c r="C291" s="72">
        <f>C287-C283</f>
        <v>-1495972</v>
      </c>
      <c r="D291" s="72">
        <f t="shared" ref="D291:N291" si="209">D287-D283</f>
        <v>50552</v>
      </c>
      <c r="E291" s="72">
        <f t="shared" si="209"/>
        <v>794352</v>
      </c>
      <c r="F291" s="72">
        <f t="shared" si="209"/>
        <v>-6611</v>
      </c>
      <c r="G291" s="72">
        <f t="shared" si="209"/>
        <v>320330</v>
      </c>
      <c r="H291" s="72">
        <f t="shared" si="209"/>
        <v>-59870</v>
      </c>
      <c r="I291" s="72">
        <f t="shared" si="209"/>
        <v>145920</v>
      </c>
      <c r="J291" s="72">
        <f t="shared" si="209"/>
        <v>-80566</v>
      </c>
      <c r="K291" s="72">
        <f t="shared" si="209"/>
        <v>95326</v>
      </c>
      <c r="L291" s="72">
        <f t="shared" si="209"/>
        <v>1112254</v>
      </c>
      <c r="M291" s="72">
        <f t="shared" si="209"/>
        <v>-1177970</v>
      </c>
      <c r="N291" s="72">
        <f t="shared" si="209"/>
        <v>-938797</v>
      </c>
      <c r="O291" s="72">
        <f>SUM(C291:N291)</f>
        <v>-1241052</v>
      </c>
      <c r="P291" s="21"/>
      <c r="Q291" s="74"/>
    </row>
    <row r="292" spans="2:17" x14ac:dyDescent="0.25">
      <c r="B292" s="22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2:17" x14ac:dyDescent="0.25">
      <c r="B293" s="22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</row>
    <row r="294" spans="2:17" ht="15.6" x14ac:dyDescent="0.3">
      <c r="B294" s="17" t="s">
        <v>125</v>
      </c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</row>
    <row r="295" spans="2:17" x14ac:dyDescent="0.25">
      <c r="B295" s="22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</row>
    <row r="296" spans="2:17" x14ac:dyDescent="0.25">
      <c r="B296" s="64" t="s">
        <v>88</v>
      </c>
      <c r="C296" s="27" t="s">
        <v>9</v>
      </c>
      <c r="D296" s="27" t="s">
        <v>10</v>
      </c>
      <c r="E296" s="27" t="s">
        <v>11</v>
      </c>
      <c r="F296" s="27" t="s">
        <v>12</v>
      </c>
      <c r="G296" s="27" t="s">
        <v>13</v>
      </c>
      <c r="H296" s="27" t="s">
        <v>14</v>
      </c>
      <c r="I296" s="27" t="s">
        <v>15</v>
      </c>
      <c r="J296" s="27" t="s">
        <v>16</v>
      </c>
      <c r="K296" s="27" t="s">
        <v>17</v>
      </c>
      <c r="L296" s="27" t="s">
        <v>18</v>
      </c>
      <c r="M296" s="27" t="s">
        <v>19</v>
      </c>
      <c r="N296" s="27" t="s">
        <v>20</v>
      </c>
      <c r="O296" s="27" t="s">
        <v>21</v>
      </c>
    </row>
    <row r="297" spans="2:17" x14ac:dyDescent="0.25">
      <c r="B297" s="65" t="s">
        <v>89</v>
      </c>
      <c r="C297" s="21">
        <f t="shared" ref="C297:N297" si="210">C282-C242</f>
        <v>792919.19671275932</v>
      </c>
      <c r="D297" s="21">
        <f t="shared" si="210"/>
        <v>-235378.17064610776</v>
      </c>
      <c r="E297" s="21">
        <f t="shared" si="210"/>
        <v>77751.257069808431</v>
      </c>
      <c r="F297" s="21">
        <f t="shared" si="210"/>
        <v>278190.30501062702</v>
      </c>
      <c r="G297" s="21">
        <f t="shared" si="210"/>
        <v>-486591.43548402376</v>
      </c>
      <c r="H297" s="21">
        <f t="shared" si="210"/>
        <v>-573442.17178362701</v>
      </c>
      <c r="I297" s="21">
        <f t="shared" si="210"/>
        <v>266911.0207191268</v>
      </c>
      <c r="J297" s="21">
        <f t="shared" si="210"/>
        <v>-222450.07402909361</v>
      </c>
      <c r="K297" s="21">
        <f t="shared" si="210"/>
        <v>212242.07831694465</v>
      </c>
      <c r="L297" s="21">
        <f t="shared" si="210"/>
        <v>-656623.6262717694</v>
      </c>
      <c r="M297" s="21">
        <f t="shared" si="210"/>
        <v>961868.48625123221</v>
      </c>
      <c r="N297" s="21">
        <f t="shared" si="210"/>
        <v>-36175.102477111854</v>
      </c>
      <c r="O297" s="21">
        <f>SUM(C297:N297)</f>
        <v>379221.76338876504</v>
      </c>
      <c r="P297" s="21"/>
      <c r="Q297" s="74"/>
    </row>
    <row r="298" spans="2:17" x14ac:dyDescent="0.25">
      <c r="B298" s="65" t="s">
        <v>90</v>
      </c>
      <c r="C298" s="21">
        <f t="shared" ref="C298:N298" si="211">C283-C248</f>
        <v>708366.2348826956</v>
      </c>
      <c r="D298" s="21">
        <f t="shared" si="211"/>
        <v>146352.16733310651</v>
      </c>
      <c r="E298" s="21">
        <f t="shared" si="211"/>
        <v>-309341.44186585583</v>
      </c>
      <c r="F298" s="21">
        <f t="shared" si="211"/>
        <v>-17092.625980913639</v>
      </c>
      <c r="G298" s="21">
        <f t="shared" si="211"/>
        <v>211081.31901308335</v>
      </c>
      <c r="H298" s="21">
        <f t="shared" si="211"/>
        <v>-162985.20347408392</v>
      </c>
      <c r="I298" s="21">
        <f t="shared" si="211"/>
        <v>-217137.88227001671</v>
      </c>
      <c r="J298" s="21">
        <f t="shared" si="211"/>
        <v>51940.830220351927</v>
      </c>
      <c r="K298" s="21">
        <f t="shared" si="211"/>
        <v>-149850.74361970462</v>
      </c>
      <c r="L298" s="21">
        <f t="shared" si="211"/>
        <v>-281675.75791343767</v>
      </c>
      <c r="M298" s="21">
        <f t="shared" si="211"/>
        <v>306229.51479483582</v>
      </c>
      <c r="N298" s="21">
        <f t="shared" si="211"/>
        <v>-59931.49176843185</v>
      </c>
      <c r="O298" s="21">
        <f>SUM(C298:N298)</f>
        <v>225954.91935162898</v>
      </c>
      <c r="P298" s="21"/>
      <c r="Q298" s="74"/>
    </row>
    <row r="299" spans="2:17" x14ac:dyDescent="0.25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P299" s="21"/>
      <c r="Q299" s="74"/>
    </row>
    <row r="300" spans="2:17" x14ac:dyDescent="0.25">
      <c r="B300" s="64" t="s">
        <v>94</v>
      </c>
      <c r="C300" s="27" t="s">
        <v>9</v>
      </c>
      <c r="D300" s="27" t="s">
        <v>10</v>
      </c>
      <c r="E300" s="27" t="s">
        <v>11</v>
      </c>
      <c r="F300" s="27" t="s">
        <v>12</v>
      </c>
      <c r="G300" s="27" t="s">
        <v>13</v>
      </c>
      <c r="H300" s="27" t="s">
        <v>14</v>
      </c>
      <c r="I300" s="27" t="s">
        <v>15</v>
      </c>
      <c r="J300" s="27" t="s">
        <v>16</v>
      </c>
      <c r="K300" s="27" t="s">
        <v>17</v>
      </c>
      <c r="L300" s="27" t="s">
        <v>18</v>
      </c>
      <c r="M300" s="27" t="s">
        <v>19</v>
      </c>
      <c r="N300" s="27" t="s">
        <v>20</v>
      </c>
      <c r="O300" s="27" t="s">
        <v>21</v>
      </c>
      <c r="P300" s="21"/>
      <c r="Q300" s="74"/>
    </row>
    <row r="301" spans="2:17" x14ac:dyDescent="0.25">
      <c r="B301" s="65" t="s">
        <v>89</v>
      </c>
      <c r="C301" s="21">
        <f t="shared" ref="C301:N301" si="212">C286-C257</f>
        <v>195789.70107985847</v>
      </c>
      <c r="D301" s="21">
        <f t="shared" si="212"/>
        <v>-1181692.6914434237</v>
      </c>
      <c r="E301" s="21">
        <f t="shared" si="212"/>
        <v>729478.46003337577</v>
      </c>
      <c r="F301" s="21">
        <f t="shared" si="212"/>
        <v>1547459.2409913456</v>
      </c>
      <c r="G301" s="21">
        <f t="shared" si="212"/>
        <v>-1427538.0159231825</v>
      </c>
      <c r="H301" s="21">
        <f t="shared" si="212"/>
        <v>909993.86915584002</v>
      </c>
      <c r="I301" s="21">
        <f t="shared" si="212"/>
        <v>-561722.03004694544</v>
      </c>
      <c r="J301" s="21">
        <f t="shared" si="212"/>
        <v>-601735.23784515448</v>
      </c>
      <c r="K301" s="21">
        <f t="shared" si="212"/>
        <v>219998.41036976874</v>
      </c>
      <c r="L301" s="21">
        <f t="shared" si="212"/>
        <v>-119382.41022063233</v>
      </c>
      <c r="M301" s="21">
        <f t="shared" si="212"/>
        <v>467310.93376983423</v>
      </c>
      <c r="N301" s="21">
        <f t="shared" si="212"/>
        <v>-320664.30383767746</v>
      </c>
      <c r="O301" s="21">
        <f>SUM(C301:N301)</f>
        <v>-142704.0739169931</v>
      </c>
      <c r="P301" s="21"/>
      <c r="Q301" s="74"/>
    </row>
    <row r="302" spans="2:17" x14ac:dyDescent="0.25">
      <c r="B302" s="65" t="s">
        <v>90</v>
      </c>
      <c r="C302" s="21">
        <f t="shared" ref="C302:N302" si="213">C287-C263</f>
        <v>94892.362169282511</v>
      </c>
      <c r="D302" s="21">
        <f t="shared" si="213"/>
        <v>-120891.36702857818</v>
      </c>
      <c r="E302" s="21">
        <f t="shared" si="213"/>
        <v>-227689.48145284224</v>
      </c>
      <c r="F302" s="21">
        <f t="shared" si="213"/>
        <v>-29208.437762640417</v>
      </c>
      <c r="G302" s="21">
        <f t="shared" si="213"/>
        <v>-66242.777131356299</v>
      </c>
      <c r="H302" s="21">
        <f t="shared" si="213"/>
        <v>537783.41806852631</v>
      </c>
      <c r="I302" s="21">
        <f t="shared" si="213"/>
        <v>279115.31439866219</v>
      </c>
      <c r="J302" s="21">
        <f t="shared" si="213"/>
        <v>62223.466312335804</v>
      </c>
      <c r="K302" s="21">
        <f t="shared" si="213"/>
        <v>-146977.67041836772</v>
      </c>
      <c r="L302" s="21">
        <f t="shared" si="213"/>
        <v>-359033.06161371432</v>
      </c>
      <c r="M302" s="21">
        <f t="shared" si="213"/>
        <v>107215.65856561065</v>
      </c>
      <c r="N302" s="21">
        <f t="shared" si="213"/>
        <v>-258631.69099415746</v>
      </c>
      <c r="O302" s="21">
        <f>SUM(C302:N302)</f>
        <v>-127444.26688723918</v>
      </c>
      <c r="P302" s="21"/>
      <c r="Q302" s="74"/>
    </row>
    <row r="303" spans="2:17" x14ac:dyDescent="0.25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P303" s="21"/>
      <c r="Q303" s="74"/>
    </row>
    <row r="304" spans="2:17" x14ac:dyDescent="0.25">
      <c r="B304" s="64" t="s">
        <v>104</v>
      </c>
      <c r="C304" s="27" t="s">
        <v>9</v>
      </c>
      <c r="D304" s="27" t="s">
        <v>10</v>
      </c>
      <c r="E304" s="27" t="s">
        <v>11</v>
      </c>
      <c r="F304" s="27" t="s">
        <v>12</v>
      </c>
      <c r="G304" s="27" t="s">
        <v>13</v>
      </c>
      <c r="H304" s="27" t="s">
        <v>14</v>
      </c>
      <c r="I304" s="27" t="s">
        <v>15</v>
      </c>
      <c r="J304" s="27" t="s">
        <v>16</v>
      </c>
      <c r="K304" s="27" t="s">
        <v>17</v>
      </c>
      <c r="L304" s="27" t="s">
        <v>18</v>
      </c>
      <c r="M304" s="27" t="s">
        <v>19</v>
      </c>
      <c r="N304" s="27" t="s">
        <v>20</v>
      </c>
      <c r="O304" s="27" t="s">
        <v>21</v>
      </c>
      <c r="P304" s="21"/>
      <c r="Q304" s="74"/>
    </row>
    <row r="305" spans="2:17" x14ac:dyDescent="0.25">
      <c r="B305" s="65" t="s">
        <v>89</v>
      </c>
      <c r="C305" s="21">
        <f t="shared" ref="C305:N305" si="214">C290-C270</f>
        <v>-597129.49563290109</v>
      </c>
      <c r="D305" s="21">
        <f t="shared" si="214"/>
        <v>-946314.52079731645</v>
      </c>
      <c r="E305" s="21">
        <f t="shared" si="214"/>
        <v>651727.20296356711</v>
      </c>
      <c r="F305" s="21">
        <f t="shared" si="214"/>
        <v>1269268.9359807186</v>
      </c>
      <c r="G305" s="21">
        <f t="shared" si="214"/>
        <v>-940946.58043915941</v>
      </c>
      <c r="H305" s="21">
        <f t="shared" si="214"/>
        <v>1483436.0409394675</v>
      </c>
      <c r="I305" s="21">
        <f t="shared" si="214"/>
        <v>-828633.05076607212</v>
      </c>
      <c r="J305" s="21">
        <f t="shared" si="214"/>
        <v>-379285.16381606064</v>
      </c>
      <c r="K305" s="21">
        <f t="shared" si="214"/>
        <v>7756.3320528238546</v>
      </c>
      <c r="L305" s="21">
        <f t="shared" si="214"/>
        <v>537241.21605113731</v>
      </c>
      <c r="M305" s="21">
        <f t="shared" si="214"/>
        <v>-494557.55248139787</v>
      </c>
      <c r="N305" s="21">
        <f t="shared" si="214"/>
        <v>-284489.20136056491</v>
      </c>
      <c r="O305" s="21">
        <f>SUM(C305:N305)</f>
        <v>-521925.83730575815</v>
      </c>
      <c r="P305" s="21"/>
      <c r="Q305" s="74"/>
    </row>
    <row r="306" spans="2:17" x14ac:dyDescent="0.25">
      <c r="B306" s="65" t="s">
        <v>90</v>
      </c>
      <c r="C306" s="21">
        <f t="shared" ref="C306:N306" si="215">C291-C276</f>
        <v>-613473.87271341262</v>
      </c>
      <c r="D306" s="21">
        <f t="shared" si="215"/>
        <v>-267243.53436168469</v>
      </c>
      <c r="E306" s="21">
        <f t="shared" si="215"/>
        <v>81651.960413013585</v>
      </c>
      <c r="F306" s="21">
        <f t="shared" si="215"/>
        <v>-12115.811781726312</v>
      </c>
      <c r="G306" s="21">
        <f t="shared" si="215"/>
        <v>-277324.09614443919</v>
      </c>
      <c r="H306" s="21">
        <f t="shared" si="215"/>
        <v>700768.62154261023</v>
      </c>
      <c r="I306" s="21">
        <f t="shared" si="215"/>
        <v>496253.19666867889</v>
      </c>
      <c r="J306" s="21">
        <f t="shared" si="215"/>
        <v>10282.636091983877</v>
      </c>
      <c r="K306" s="21">
        <f t="shared" si="215"/>
        <v>2873.0732013373636</v>
      </c>
      <c r="L306" s="21">
        <f t="shared" si="215"/>
        <v>-77357.30370027665</v>
      </c>
      <c r="M306" s="21">
        <f t="shared" si="215"/>
        <v>-199013.85622922517</v>
      </c>
      <c r="N306" s="21">
        <f t="shared" si="215"/>
        <v>-198700.19922572561</v>
      </c>
      <c r="O306" s="21">
        <f>SUM(C306:N306)</f>
        <v>-353399.1862388663</v>
      </c>
      <c r="P306" s="21"/>
      <c r="Q306" s="74"/>
    </row>
    <row r="309" spans="2:17" ht="15.6" x14ac:dyDescent="0.3">
      <c r="B309" s="17" t="s">
        <v>126</v>
      </c>
    </row>
    <row r="311" spans="2:17" x14ac:dyDescent="0.25">
      <c r="B311" s="65" t="s">
        <v>119</v>
      </c>
    </row>
    <row r="312" spans="2:17" x14ac:dyDescent="0.25">
      <c r="B312" s="13" t="s">
        <v>130</v>
      </c>
      <c r="C312" s="21">
        <f t="shared" ref="C312:N312" si="216">C54</f>
        <v>43919886.807762392</v>
      </c>
      <c r="D312" s="21">
        <f t="shared" si="216"/>
        <v>39499485.649350792</v>
      </c>
      <c r="E312" s="21">
        <f t="shared" si="216"/>
        <v>42270310.928854339</v>
      </c>
      <c r="F312" s="21">
        <f t="shared" si="216"/>
        <v>42109319.938643366</v>
      </c>
      <c r="G312" s="21">
        <f t="shared" si="216"/>
        <v>42619390.875073649</v>
      </c>
      <c r="H312" s="21">
        <f t="shared" si="216"/>
        <v>42741163.493356958</v>
      </c>
      <c r="I312" s="21">
        <f t="shared" si="216"/>
        <v>44832489.911432788</v>
      </c>
      <c r="J312" s="21">
        <f t="shared" si="216"/>
        <v>43632588.18715851</v>
      </c>
      <c r="K312" s="21">
        <f t="shared" si="216"/>
        <v>40714937.83974009</v>
      </c>
      <c r="L312" s="21">
        <f t="shared" si="216"/>
        <v>41581674.004186049</v>
      </c>
      <c r="M312" s="21">
        <f t="shared" si="216"/>
        <v>40818017.369882829</v>
      </c>
      <c r="N312" s="21">
        <f t="shared" si="216"/>
        <v>39270366.946819223</v>
      </c>
      <c r="O312" s="79">
        <f>SUM(C312:N312)</f>
        <v>504009631.95226103</v>
      </c>
    </row>
    <row r="313" spans="2:17" x14ac:dyDescent="0.25">
      <c r="B313" s="13" t="s">
        <v>111</v>
      </c>
      <c r="C313" s="21">
        <f t="shared" ref="C313:N313" si="217">C11</f>
        <v>44126341.119814686</v>
      </c>
      <c r="D313" s="21">
        <f t="shared" si="217"/>
        <v>39357081.143976711</v>
      </c>
      <c r="E313" s="21">
        <f t="shared" si="217"/>
        <v>42636139.979462527</v>
      </c>
      <c r="F313" s="21">
        <f t="shared" si="217"/>
        <v>41534582.766970985</v>
      </c>
      <c r="G313" s="21">
        <f t="shared" si="217"/>
        <v>42624546.346070185</v>
      </c>
      <c r="H313" s="21">
        <f t="shared" si="217"/>
        <v>41520872.074070901</v>
      </c>
      <c r="I313" s="21">
        <f t="shared" si="217"/>
        <v>44737302.51520405</v>
      </c>
      <c r="J313" s="21">
        <f t="shared" si="217"/>
        <v>44167289.501837969</v>
      </c>
      <c r="K313" s="21">
        <f t="shared" si="217"/>
        <v>41033076.542618454</v>
      </c>
      <c r="L313" s="21">
        <f t="shared" si="217"/>
        <v>40626191.571554139</v>
      </c>
      <c r="M313" s="21">
        <f t="shared" si="217"/>
        <v>40742042.429572701</v>
      </c>
      <c r="N313" s="21">
        <f t="shared" si="217"/>
        <v>38789729.213859499</v>
      </c>
      <c r="O313" s="79">
        <f>SUM(C313:N313)</f>
        <v>501895195.2050128</v>
      </c>
    </row>
    <row r="314" spans="2:17" x14ac:dyDescent="0.25">
      <c r="B314" s="13" t="s">
        <v>109</v>
      </c>
      <c r="C314" s="21">
        <f>C312-C313</f>
        <v>-206454.31205229461</v>
      </c>
      <c r="D314" s="21">
        <f t="shared" ref="D314:N314" si="218">D312-D313</f>
        <v>142404.50537408143</v>
      </c>
      <c r="E314" s="21">
        <f t="shared" si="218"/>
        <v>-365829.05060818791</v>
      </c>
      <c r="F314" s="21">
        <f t="shared" si="218"/>
        <v>574737.17167238146</v>
      </c>
      <c r="G314" s="21">
        <f t="shared" si="218"/>
        <v>-5155.4709965363145</v>
      </c>
      <c r="H314" s="21">
        <f t="shared" si="218"/>
        <v>1220291.4192860574</v>
      </c>
      <c r="I314" s="21">
        <f t="shared" si="218"/>
        <v>95187.396228738129</v>
      </c>
      <c r="J314" s="21">
        <f t="shared" si="218"/>
        <v>-534701.31467945874</v>
      </c>
      <c r="K314" s="21">
        <f t="shared" si="218"/>
        <v>-318138.70287836343</v>
      </c>
      <c r="L314" s="21">
        <f t="shared" si="218"/>
        <v>955482.43263190985</v>
      </c>
      <c r="M314" s="21">
        <f t="shared" si="218"/>
        <v>75974.940310128033</v>
      </c>
      <c r="N314" s="21">
        <f t="shared" si="218"/>
        <v>480637.73295972496</v>
      </c>
      <c r="O314" s="79">
        <f>SUM(C314:N314)</f>
        <v>2114436.7472481802</v>
      </c>
    </row>
    <row r="316" spans="2:17" x14ac:dyDescent="0.25">
      <c r="B316" s="13" t="s">
        <v>127</v>
      </c>
      <c r="C316" s="19">
        <f t="shared" ref="C316:N316" si="219">C104</f>
        <v>6.7360000000000003E-2</v>
      </c>
      <c r="D316" s="19">
        <f t="shared" si="219"/>
        <v>8.1669999999999993E-2</v>
      </c>
      <c r="E316" s="19">
        <f t="shared" si="219"/>
        <v>9.4810000000000005E-2</v>
      </c>
      <c r="F316" s="19">
        <f t="shared" si="219"/>
        <v>9.9589999999999998E-2</v>
      </c>
      <c r="G316" s="19">
        <f t="shared" si="219"/>
        <v>0.10793000000000001</v>
      </c>
      <c r="H316" s="19">
        <f t="shared" si="219"/>
        <v>0.11896</v>
      </c>
      <c r="I316" s="19">
        <f t="shared" si="219"/>
        <v>7.7370000000000008E-2</v>
      </c>
      <c r="J316" s="19">
        <f t="shared" si="219"/>
        <v>7.4900000000000008E-2</v>
      </c>
      <c r="K316" s="19">
        <f t="shared" si="219"/>
        <v>8.584E-2</v>
      </c>
      <c r="L316" s="19">
        <f t="shared" si="219"/>
        <v>0.12059000000000002</v>
      </c>
      <c r="M316" s="19">
        <f t="shared" si="219"/>
        <v>9.8549999999999999E-2</v>
      </c>
      <c r="N316" s="19">
        <f t="shared" si="219"/>
        <v>7.4040000000000009E-2</v>
      </c>
      <c r="O316" s="19"/>
    </row>
    <row r="318" spans="2:17" x14ac:dyDescent="0.25">
      <c r="B318" s="13" t="s">
        <v>128</v>
      </c>
      <c r="C318" s="1">
        <f>C314*C316</f>
        <v>-13906.762459842566</v>
      </c>
      <c r="D318" s="1">
        <f t="shared" ref="D318:N318" si="220">D314*D316</f>
        <v>11630.175953901229</v>
      </c>
      <c r="E318" s="1">
        <f t="shared" si="220"/>
        <v>-34684.252288162301</v>
      </c>
      <c r="F318" s="1">
        <f t="shared" si="220"/>
        <v>57238.074926852467</v>
      </c>
      <c r="G318" s="1">
        <f t="shared" si="220"/>
        <v>-556.42998465616449</v>
      </c>
      <c r="H318" s="1">
        <f t="shared" si="220"/>
        <v>145165.86723826939</v>
      </c>
      <c r="I318" s="1">
        <f t="shared" si="220"/>
        <v>7364.6488462174702</v>
      </c>
      <c r="J318" s="1">
        <f t="shared" si="220"/>
        <v>-40049.128469491465</v>
      </c>
      <c r="K318" s="1">
        <f t="shared" si="220"/>
        <v>-27309.026255078716</v>
      </c>
      <c r="L318" s="1">
        <f t="shared" si="220"/>
        <v>115221.62655108202</v>
      </c>
      <c r="M318" s="1">
        <f t="shared" si="220"/>
        <v>7487.3303675631178</v>
      </c>
      <c r="N318" s="1">
        <f t="shared" si="220"/>
        <v>35586.417748338041</v>
      </c>
      <c r="O318" s="79">
        <f>SUM(C318:N318)</f>
        <v>263188.5421749925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0362-BEEA-4E0A-A0BD-BA8EF0495998}">
  <sheetPr>
    <tabColor theme="9" tint="0.39997558519241921"/>
  </sheetPr>
  <dimension ref="B1:O318"/>
  <sheetViews>
    <sheetView showGridLines="0" topLeftCell="A302" workbookViewId="0">
      <selection activeCell="B312" sqref="B312"/>
    </sheetView>
  </sheetViews>
  <sheetFormatPr defaultRowHeight="13.2" x14ac:dyDescent="0.25"/>
  <cols>
    <col min="1" max="1" width="3.21875" style="13" customWidth="1"/>
    <col min="2" max="2" width="42.21875" style="13" customWidth="1"/>
    <col min="3" max="7" width="11.44140625" style="1" bestFit="1" customWidth="1"/>
    <col min="8" max="8" width="10.77734375" style="1" bestFit="1" customWidth="1"/>
    <col min="9" max="14" width="11.44140625" style="1" bestFit="1" customWidth="1"/>
    <col min="15" max="15" width="11" style="13" customWidth="1"/>
    <col min="16" max="16384" width="8.88671875" style="13"/>
  </cols>
  <sheetData>
    <row r="1" spans="2:14" ht="18" x14ac:dyDescent="0.35">
      <c r="B1" s="25"/>
    </row>
    <row r="2" spans="2:14" ht="15.6" x14ac:dyDescent="0.3">
      <c r="B2" s="17" t="s">
        <v>4</v>
      </c>
    </row>
    <row r="4" spans="2:14" x14ac:dyDescent="0.25">
      <c r="B4" s="26" t="s">
        <v>6</v>
      </c>
      <c r="C4" s="27" t="s">
        <v>9</v>
      </c>
      <c r="D4" s="27" t="s">
        <v>10</v>
      </c>
      <c r="E4" s="27" t="s">
        <v>11</v>
      </c>
      <c r="F4" s="27" t="s">
        <v>12</v>
      </c>
      <c r="G4" s="27" t="s">
        <v>13</v>
      </c>
      <c r="H4" s="27" t="s">
        <v>14</v>
      </c>
      <c r="I4" s="27" t="s">
        <v>15</v>
      </c>
      <c r="J4" s="27" t="s">
        <v>16</v>
      </c>
      <c r="K4" s="27" t="s">
        <v>17</v>
      </c>
      <c r="L4" s="27" t="s">
        <v>18</v>
      </c>
      <c r="M4" s="27" t="s">
        <v>19</v>
      </c>
      <c r="N4" s="27" t="s">
        <v>20</v>
      </c>
    </row>
    <row r="5" spans="2:14" ht="13.8" x14ac:dyDescent="0.25">
      <c r="B5" s="28" t="s">
        <v>69</v>
      </c>
      <c r="C5" s="29">
        <f>'Consumption and Rates'!E28</f>
        <v>26638460</v>
      </c>
      <c r="D5" s="29">
        <f>'Consumption and Rates'!F28</f>
        <v>22525933</v>
      </c>
      <c r="E5" s="29">
        <f>'Consumption and Rates'!G28</f>
        <v>22824466</v>
      </c>
      <c r="F5" s="29">
        <f>'Consumption and Rates'!H28</f>
        <v>21201426</v>
      </c>
      <c r="G5" s="29">
        <f>'Consumption and Rates'!I28</f>
        <v>20761541</v>
      </c>
      <c r="H5" s="29">
        <f>'Consumption and Rates'!J28</f>
        <v>22411430</v>
      </c>
      <c r="I5" s="29">
        <f>'Consumption and Rates'!K28</f>
        <v>27183550</v>
      </c>
      <c r="J5" s="29">
        <f>'Consumption and Rates'!L28</f>
        <v>29800080</v>
      </c>
      <c r="K5" s="29">
        <f>'Consumption and Rates'!M28</f>
        <v>26664650</v>
      </c>
      <c r="L5" s="29">
        <f>'Consumption and Rates'!N28</f>
        <v>24653520</v>
      </c>
      <c r="M5" s="29">
        <f>'Consumption and Rates'!O28</f>
        <v>26490560</v>
      </c>
      <c r="N5" s="29">
        <f>'Consumption and Rates'!P28</f>
        <v>26180099</v>
      </c>
    </row>
    <row r="6" spans="2:14" ht="13.8" x14ac:dyDescent="0.25">
      <c r="B6" s="28" t="s">
        <v>70</v>
      </c>
      <c r="C6" s="29">
        <f>'Consumption and Rates'!E29</f>
        <v>94511</v>
      </c>
      <c r="D6" s="29">
        <f>'Consumption and Rates'!F29</f>
        <v>138414</v>
      </c>
      <c r="E6" s="29">
        <f>'Consumption and Rates'!G29</f>
        <v>397880</v>
      </c>
      <c r="F6" s="29">
        <f>'Consumption and Rates'!H29</f>
        <v>345816</v>
      </c>
      <c r="G6" s="29">
        <f>'Consumption and Rates'!I29</f>
        <v>613732</v>
      </c>
      <c r="H6" s="29">
        <f>'Consumption and Rates'!J29</f>
        <v>578542</v>
      </c>
      <c r="I6" s="29">
        <f>'Consumption and Rates'!K29</f>
        <v>3063403</v>
      </c>
      <c r="J6" s="29">
        <f>'Consumption and Rates'!L29</f>
        <v>542385</v>
      </c>
      <c r="K6" s="29">
        <f>'Consumption and Rates'!M29</f>
        <v>400093</v>
      </c>
      <c r="L6" s="29">
        <f>'Consumption and Rates'!N29</f>
        <v>265941</v>
      </c>
      <c r="M6" s="29">
        <f>'Consumption and Rates'!O29</f>
        <v>108313</v>
      </c>
      <c r="N6" s="29">
        <f>'Consumption and Rates'!P29</f>
        <v>104441</v>
      </c>
    </row>
    <row r="7" spans="2:14" x14ac:dyDescent="0.25">
      <c r="B7" s="28" t="s">
        <v>8</v>
      </c>
      <c r="C7" s="29">
        <f>-'Consumption and Rates'!E44</f>
        <v>-687587.6</v>
      </c>
      <c r="D7" s="29">
        <f>-'Consumption and Rates'!F44</f>
        <v>-650099.65</v>
      </c>
      <c r="E7" s="29">
        <f>-'Consumption and Rates'!G44</f>
        <v>-799930</v>
      </c>
      <c r="F7" s="29">
        <f>-'Consumption and Rates'!H44</f>
        <v>-767089.13</v>
      </c>
      <c r="G7" s="29">
        <f>-'Consumption and Rates'!I44</f>
        <v>-825828.79</v>
      </c>
      <c r="H7" s="29">
        <f>-'Consumption and Rates'!J44</f>
        <v>-816458.98</v>
      </c>
      <c r="I7" s="29">
        <f>-'Consumption and Rates'!K44</f>
        <v>-3114587.12</v>
      </c>
      <c r="J7" s="29">
        <f>-'Consumption and Rates'!L44</f>
        <v>-3143664.9</v>
      </c>
      <c r="K7" s="29">
        <f>-'Consumption and Rates'!M44</f>
        <v>-2905294.1900000004</v>
      </c>
      <c r="L7" s="29">
        <f>-'Consumption and Rates'!N44</f>
        <v>-2918290.39</v>
      </c>
      <c r="M7" s="29">
        <f>-'Consumption and Rates'!O44</f>
        <v>-2780192.98</v>
      </c>
      <c r="N7" s="29">
        <f>-'Consumption and Rates'!P44</f>
        <v>-2204395.3200000003</v>
      </c>
    </row>
    <row r="8" spans="2:14" x14ac:dyDescent="0.25">
      <c r="B8" s="30"/>
      <c r="C8" s="31">
        <f>+C5+C6+C7</f>
        <v>26045383.399999999</v>
      </c>
      <c r="D8" s="31">
        <f t="shared" ref="D8:N8" si="0">+D5+D6+D7</f>
        <v>22014247.350000001</v>
      </c>
      <c r="E8" s="31">
        <f t="shared" si="0"/>
        <v>22422416</v>
      </c>
      <c r="F8" s="31">
        <f t="shared" si="0"/>
        <v>20780152.870000001</v>
      </c>
      <c r="G8" s="31">
        <f t="shared" si="0"/>
        <v>20549444.210000001</v>
      </c>
      <c r="H8" s="31">
        <f t="shared" si="0"/>
        <v>22173513.02</v>
      </c>
      <c r="I8" s="31">
        <f t="shared" si="0"/>
        <v>27132365.879999999</v>
      </c>
      <c r="J8" s="31">
        <f t="shared" si="0"/>
        <v>27198800.100000001</v>
      </c>
      <c r="K8" s="31">
        <f t="shared" si="0"/>
        <v>24159448.809999999</v>
      </c>
      <c r="L8" s="31">
        <f t="shared" si="0"/>
        <v>22001170.609999999</v>
      </c>
      <c r="M8" s="31">
        <f t="shared" si="0"/>
        <v>23818680.02</v>
      </c>
      <c r="N8" s="31">
        <f t="shared" si="0"/>
        <v>24080144.68</v>
      </c>
    </row>
    <row r="9" spans="2:14" x14ac:dyDescent="0.25">
      <c r="B9" s="28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2:14" x14ac:dyDescent="0.25">
      <c r="B10" s="28" t="s">
        <v>22</v>
      </c>
      <c r="C10" s="32">
        <f t="shared" ref="C10:N10" si="1">C24*C8</f>
        <v>11857515.582866395</v>
      </c>
      <c r="D10" s="32">
        <f t="shared" si="1"/>
        <v>9622023.1807263028</v>
      </c>
      <c r="E10" s="32">
        <f t="shared" si="1"/>
        <v>9762280.3277595527</v>
      </c>
      <c r="F10" s="32">
        <f t="shared" si="1"/>
        <v>8781484.063210018</v>
      </c>
      <c r="G10" s="32">
        <f t="shared" si="1"/>
        <v>8617766.7836335953</v>
      </c>
      <c r="H10" s="32">
        <f t="shared" si="1"/>
        <v>10048719.993989917</v>
      </c>
      <c r="I10" s="32">
        <f t="shared" si="1"/>
        <v>13273301.06429049</v>
      </c>
      <c r="J10" s="32">
        <f t="shared" si="1"/>
        <v>12412525.51885589</v>
      </c>
      <c r="K10" s="32">
        <f t="shared" si="1"/>
        <v>10389066.07256606</v>
      </c>
      <c r="L10" s="32">
        <f t="shared" si="1"/>
        <v>8880508.9790484942</v>
      </c>
      <c r="M10" s="32">
        <f t="shared" si="1"/>
        <v>10024251.15366471</v>
      </c>
      <c r="N10" s="32">
        <f t="shared" si="1"/>
        <v>11131416.311750781</v>
      </c>
    </row>
    <row r="11" spans="2:14" x14ac:dyDescent="0.25">
      <c r="B11" s="28" t="s">
        <v>23</v>
      </c>
      <c r="C11" s="32">
        <f t="shared" ref="C11:N11" si="2">C25*C8</f>
        <v>14187867.817133604</v>
      </c>
      <c r="D11" s="32">
        <f t="shared" si="2"/>
        <v>12392224.169273701</v>
      </c>
      <c r="E11" s="32">
        <f t="shared" si="2"/>
        <v>12660135.672240447</v>
      </c>
      <c r="F11" s="32">
        <f t="shared" si="2"/>
        <v>11998668.806789981</v>
      </c>
      <c r="G11" s="32">
        <f t="shared" si="2"/>
        <v>11931677.426366406</v>
      </c>
      <c r="H11" s="32">
        <f t="shared" si="2"/>
        <v>12124793.026010083</v>
      </c>
      <c r="I11" s="32">
        <f t="shared" si="2"/>
        <v>13859064.815709511</v>
      </c>
      <c r="J11" s="32">
        <f t="shared" si="2"/>
        <v>14786274.581144111</v>
      </c>
      <c r="K11" s="32">
        <f t="shared" si="2"/>
        <v>13770382.737433936</v>
      </c>
      <c r="L11" s="32">
        <f t="shared" si="2"/>
        <v>13120661.630951505</v>
      </c>
      <c r="M11" s="32">
        <f t="shared" si="2"/>
        <v>13794428.86633529</v>
      </c>
      <c r="N11" s="32">
        <f t="shared" si="2"/>
        <v>12948728.368249219</v>
      </c>
    </row>
    <row r="12" spans="2:14" x14ac:dyDescent="0.25">
      <c r="B12" s="30" t="s">
        <v>24</v>
      </c>
      <c r="C12" s="33">
        <f>SUM(C10:C11)</f>
        <v>26045383.399999999</v>
      </c>
      <c r="D12" s="33">
        <f t="shared" ref="D12:N12" si="3">SUM(D10:D11)</f>
        <v>22014247.350000001</v>
      </c>
      <c r="E12" s="33">
        <f t="shared" si="3"/>
        <v>22422416</v>
      </c>
      <c r="F12" s="33">
        <f t="shared" si="3"/>
        <v>20780152.869999997</v>
      </c>
      <c r="G12" s="33">
        <f t="shared" si="3"/>
        <v>20549444.210000001</v>
      </c>
      <c r="H12" s="33">
        <f t="shared" si="3"/>
        <v>22173513.02</v>
      </c>
      <c r="I12" s="33">
        <f t="shared" si="3"/>
        <v>27132365.880000003</v>
      </c>
      <c r="J12" s="33">
        <f t="shared" si="3"/>
        <v>27198800.100000001</v>
      </c>
      <c r="K12" s="33">
        <f t="shared" si="3"/>
        <v>24159448.809999995</v>
      </c>
      <c r="L12" s="33">
        <f t="shared" si="3"/>
        <v>22001170.609999999</v>
      </c>
      <c r="M12" s="33">
        <f t="shared" si="3"/>
        <v>23818680.02</v>
      </c>
      <c r="N12" s="33">
        <f t="shared" si="3"/>
        <v>24080144.68</v>
      </c>
    </row>
    <row r="13" spans="2:14" x14ac:dyDescent="0.25">
      <c r="B13" s="28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2:14" x14ac:dyDescent="0.25">
      <c r="B14" s="26" t="s">
        <v>7</v>
      </c>
      <c r="C14" s="27" t="s">
        <v>9</v>
      </c>
      <c r="D14" s="27" t="s">
        <v>10</v>
      </c>
      <c r="E14" s="27" t="s">
        <v>11</v>
      </c>
      <c r="F14" s="27" t="s">
        <v>12</v>
      </c>
      <c r="G14" s="27" t="s">
        <v>13</v>
      </c>
      <c r="H14" s="27" t="s">
        <v>14</v>
      </c>
      <c r="I14" s="27" t="s">
        <v>15</v>
      </c>
      <c r="J14" s="27" t="s">
        <v>16</v>
      </c>
      <c r="K14" s="27" t="s">
        <v>17</v>
      </c>
      <c r="L14" s="27" t="s">
        <v>18</v>
      </c>
      <c r="M14" s="27" t="s">
        <v>19</v>
      </c>
      <c r="N14" s="27" t="s">
        <v>20</v>
      </c>
    </row>
    <row r="15" spans="2:14" ht="13.8" x14ac:dyDescent="0.25">
      <c r="B15" s="28" t="s">
        <v>69</v>
      </c>
      <c r="C15" s="34">
        <f>C5</f>
        <v>26638460</v>
      </c>
      <c r="D15" s="34">
        <f t="shared" ref="D15:N16" si="4">D5</f>
        <v>22525933</v>
      </c>
      <c r="E15" s="34">
        <f t="shared" si="4"/>
        <v>22824466</v>
      </c>
      <c r="F15" s="34">
        <f t="shared" si="4"/>
        <v>21201426</v>
      </c>
      <c r="G15" s="34">
        <f t="shared" si="4"/>
        <v>20761541</v>
      </c>
      <c r="H15" s="34">
        <f t="shared" si="4"/>
        <v>22411430</v>
      </c>
      <c r="I15" s="34">
        <f t="shared" si="4"/>
        <v>27183550</v>
      </c>
      <c r="J15" s="34">
        <f t="shared" si="4"/>
        <v>29800080</v>
      </c>
      <c r="K15" s="34">
        <f t="shared" si="4"/>
        <v>26664650</v>
      </c>
      <c r="L15" s="34">
        <f t="shared" si="4"/>
        <v>24653520</v>
      </c>
      <c r="M15" s="34">
        <f t="shared" si="4"/>
        <v>26490560</v>
      </c>
      <c r="N15" s="34">
        <f t="shared" si="4"/>
        <v>26180099</v>
      </c>
    </row>
    <row r="16" spans="2:14" ht="13.8" x14ac:dyDescent="0.25">
      <c r="B16" s="28" t="s">
        <v>70</v>
      </c>
      <c r="C16" s="34">
        <f>C6</f>
        <v>94511</v>
      </c>
      <c r="D16" s="34">
        <f t="shared" si="4"/>
        <v>138414</v>
      </c>
      <c r="E16" s="34">
        <f t="shared" si="4"/>
        <v>397880</v>
      </c>
      <c r="F16" s="34">
        <f t="shared" si="4"/>
        <v>345816</v>
      </c>
      <c r="G16" s="34">
        <f t="shared" si="4"/>
        <v>613732</v>
      </c>
      <c r="H16" s="34">
        <f t="shared" si="4"/>
        <v>578542</v>
      </c>
      <c r="I16" s="34">
        <f t="shared" si="4"/>
        <v>3063403</v>
      </c>
      <c r="J16" s="34">
        <f t="shared" si="4"/>
        <v>542385</v>
      </c>
      <c r="K16" s="34">
        <f t="shared" si="4"/>
        <v>400093</v>
      </c>
      <c r="L16" s="34">
        <f t="shared" si="4"/>
        <v>265941</v>
      </c>
      <c r="M16" s="34">
        <f t="shared" si="4"/>
        <v>108313</v>
      </c>
      <c r="N16" s="34">
        <f t="shared" si="4"/>
        <v>104441</v>
      </c>
    </row>
    <row r="17" spans="2:14" x14ac:dyDescent="0.25">
      <c r="B17" s="30"/>
      <c r="C17" s="31">
        <f>SUM(C15:C16)</f>
        <v>26732971</v>
      </c>
      <c r="D17" s="31">
        <f t="shared" ref="D17:N17" si="5">SUM(D15:D16)</f>
        <v>22664347</v>
      </c>
      <c r="E17" s="31">
        <f t="shared" si="5"/>
        <v>23222346</v>
      </c>
      <c r="F17" s="31">
        <f t="shared" si="5"/>
        <v>21547242</v>
      </c>
      <c r="G17" s="31">
        <f t="shared" si="5"/>
        <v>21375273</v>
      </c>
      <c r="H17" s="31">
        <f t="shared" si="5"/>
        <v>22989972</v>
      </c>
      <c r="I17" s="31">
        <f t="shared" si="5"/>
        <v>30246953</v>
      </c>
      <c r="J17" s="31">
        <f t="shared" si="5"/>
        <v>30342465</v>
      </c>
      <c r="K17" s="31">
        <f t="shared" si="5"/>
        <v>27064743</v>
      </c>
      <c r="L17" s="31">
        <f t="shared" si="5"/>
        <v>24919461</v>
      </c>
      <c r="M17" s="31">
        <f t="shared" si="5"/>
        <v>26598873</v>
      </c>
      <c r="N17" s="31">
        <f t="shared" si="5"/>
        <v>26284540</v>
      </c>
    </row>
    <row r="18" spans="2:14" x14ac:dyDescent="0.25"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2:14" x14ac:dyDescent="0.25">
      <c r="B19" s="28" t="s">
        <v>22</v>
      </c>
      <c r="C19" s="21">
        <f>C10</f>
        <v>11857515.582866395</v>
      </c>
      <c r="D19" s="21">
        <f t="shared" ref="D19:N19" si="6">D10</f>
        <v>9622023.1807263028</v>
      </c>
      <c r="E19" s="21">
        <f t="shared" si="6"/>
        <v>9762280.3277595527</v>
      </c>
      <c r="F19" s="21">
        <f t="shared" si="6"/>
        <v>8781484.063210018</v>
      </c>
      <c r="G19" s="21">
        <f t="shared" si="6"/>
        <v>8617766.7836335953</v>
      </c>
      <c r="H19" s="21">
        <f t="shared" si="6"/>
        <v>10048719.993989917</v>
      </c>
      <c r="I19" s="21">
        <f t="shared" si="6"/>
        <v>13273301.06429049</v>
      </c>
      <c r="J19" s="21">
        <f t="shared" si="6"/>
        <v>12412525.51885589</v>
      </c>
      <c r="K19" s="21">
        <f t="shared" si="6"/>
        <v>10389066.07256606</v>
      </c>
      <c r="L19" s="21">
        <f t="shared" si="6"/>
        <v>8880508.9790484942</v>
      </c>
      <c r="M19" s="21">
        <f t="shared" si="6"/>
        <v>10024251.15366471</v>
      </c>
      <c r="N19" s="21">
        <f t="shared" si="6"/>
        <v>11131416.311750781</v>
      </c>
    </row>
    <row r="20" spans="2:14" x14ac:dyDescent="0.25">
      <c r="B20" s="28" t="s">
        <v>23</v>
      </c>
      <c r="C20" s="21">
        <f>C11-C7</f>
        <v>14875455.417133603</v>
      </c>
      <c r="D20" s="21">
        <f t="shared" ref="D20:N20" si="7">D11-D7</f>
        <v>13042323.819273701</v>
      </c>
      <c r="E20" s="21">
        <f t="shared" si="7"/>
        <v>13460065.672240447</v>
      </c>
      <c r="F20" s="21">
        <f t="shared" si="7"/>
        <v>12765757.936789982</v>
      </c>
      <c r="G20" s="21">
        <f t="shared" si="7"/>
        <v>12757506.216366407</v>
      </c>
      <c r="H20" s="21">
        <f t="shared" si="7"/>
        <v>12941252.006010083</v>
      </c>
      <c r="I20" s="21">
        <f t="shared" si="7"/>
        <v>16973651.93570951</v>
      </c>
      <c r="J20" s="21">
        <f t="shared" si="7"/>
        <v>17929939.481144112</v>
      </c>
      <c r="K20" s="21">
        <f t="shared" si="7"/>
        <v>16675676.927433938</v>
      </c>
      <c r="L20" s="21">
        <f t="shared" si="7"/>
        <v>16038952.020951506</v>
      </c>
      <c r="M20" s="21">
        <f t="shared" si="7"/>
        <v>16574621.84633529</v>
      </c>
      <c r="N20" s="21">
        <f t="shared" si="7"/>
        <v>15153123.688249219</v>
      </c>
    </row>
    <row r="21" spans="2:14" x14ac:dyDescent="0.25">
      <c r="B21" s="30" t="s">
        <v>24</v>
      </c>
      <c r="C21" s="33">
        <f>SUM(C19:C20)</f>
        <v>26732971</v>
      </c>
      <c r="D21" s="33">
        <f t="shared" ref="D21:N21" si="8">SUM(D19:D20)</f>
        <v>22664347.000000004</v>
      </c>
      <c r="E21" s="33">
        <f t="shared" si="8"/>
        <v>23222346</v>
      </c>
      <c r="F21" s="33">
        <f t="shared" si="8"/>
        <v>21547242</v>
      </c>
      <c r="G21" s="33">
        <f t="shared" si="8"/>
        <v>21375273</v>
      </c>
      <c r="H21" s="33">
        <f t="shared" si="8"/>
        <v>22989972</v>
      </c>
      <c r="I21" s="33">
        <f t="shared" si="8"/>
        <v>30246953</v>
      </c>
      <c r="J21" s="33">
        <f t="shared" si="8"/>
        <v>30342465</v>
      </c>
      <c r="K21" s="33">
        <f t="shared" si="8"/>
        <v>27064743</v>
      </c>
      <c r="L21" s="33">
        <f t="shared" si="8"/>
        <v>24919461</v>
      </c>
      <c r="M21" s="33">
        <f t="shared" si="8"/>
        <v>26598873</v>
      </c>
      <c r="N21" s="33">
        <f t="shared" si="8"/>
        <v>26284540</v>
      </c>
    </row>
    <row r="22" spans="2:14" x14ac:dyDescent="0.25">
      <c r="B22" s="28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2:14" x14ac:dyDescent="0.25">
      <c r="B23" s="35" t="s">
        <v>5</v>
      </c>
      <c r="C23" s="27" t="s">
        <v>9</v>
      </c>
      <c r="D23" s="27" t="s">
        <v>10</v>
      </c>
      <c r="E23" s="27" t="s">
        <v>11</v>
      </c>
      <c r="F23" s="27" t="s">
        <v>12</v>
      </c>
      <c r="G23" s="27" t="s">
        <v>13</v>
      </c>
      <c r="H23" s="27" t="s">
        <v>14</v>
      </c>
      <c r="I23" s="27" t="s">
        <v>15</v>
      </c>
      <c r="J23" s="27" t="s">
        <v>16</v>
      </c>
      <c r="K23" s="27" t="s">
        <v>17</v>
      </c>
      <c r="L23" s="27" t="s">
        <v>18</v>
      </c>
      <c r="M23" s="27" t="s">
        <v>19</v>
      </c>
      <c r="N23" s="27" t="s">
        <v>20</v>
      </c>
    </row>
    <row r="24" spans="2:14" x14ac:dyDescent="0.25">
      <c r="B24" s="28" t="s">
        <v>22</v>
      </c>
      <c r="C24" s="44">
        <f>C67</f>
        <v>0.45526362199246395</v>
      </c>
      <c r="D24" s="44">
        <f t="shared" ref="D24:N24" si="9">D67</f>
        <v>0.43708163298738906</v>
      </c>
      <c r="E24" s="44">
        <f t="shared" si="9"/>
        <v>0.4353803946800181</v>
      </c>
      <c r="F24" s="44">
        <f t="shared" si="9"/>
        <v>0.42258996447941038</v>
      </c>
      <c r="G24" s="44">
        <f t="shared" si="9"/>
        <v>0.41936738996765277</v>
      </c>
      <c r="H24" s="44">
        <f t="shared" si="9"/>
        <v>0.4531857439516328</v>
      </c>
      <c r="I24" s="44">
        <f t="shared" si="9"/>
        <v>0.4892054427909141</v>
      </c>
      <c r="J24" s="44">
        <f t="shared" si="9"/>
        <v>0.45636298194110003</v>
      </c>
      <c r="K24" s="44">
        <f t="shared" si="9"/>
        <v>0.43002082349932808</v>
      </c>
      <c r="L24" s="44">
        <f t="shared" si="9"/>
        <v>0.40363802165199852</v>
      </c>
      <c r="M24" s="44">
        <f t="shared" si="9"/>
        <v>0.42085670344652082</v>
      </c>
      <c r="N24" s="44">
        <f t="shared" si="9"/>
        <v>0.46226534182728929</v>
      </c>
    </row>
    <row r="25" spans="2:14" x14ac:dyDescent="0.25">
      <c r="B25" s="28" t="s">
        <v>23</v>
      </c>
      <c r="C25" s="44">
        <f>1-C24</f>
        <v>0.54473637800753605</v>
      </c>
      <c r="D25" s="44">
        <f t="shared" ref="D25:N25" si="10">1-D24</f>
        <v>0.562918367012611</v>
      </c>
      <c r="E25" s="44">
        <f t="shared" si="10"/>
        <v>0.5646196053199819</v>
      </c>
      <c r="F25" s="44">
        <f t="shared" si="10"/>
        <v>0.57741003552058956</v>
      </c>
      <c r="G25" s="44">
        <f t="shared" si="10"/>
        <v>0.58063261003234723</v>
      </c>
      <c r="H25" s="44">
        <f t="shared" si="10"/>
        <v>0.5468142560483672</v>
      </c>
      <c r="I25" s="44">
        <f t="shared" si="10"/>
        <v>0.51079455720908595</v>
      </c>
      <c r="J25" s="44">
        <f t="shared" si="10"/>
        <v>0.54363701805889997</v>
      </c>
      <c r="K25" s="44">
        <f t="shared" si="10"/>
        <v>0.56997917650067187</v>
      </c>
      <c r="L25" s="44">
        <f t="shared" si="10"/>
        <v>0.59636197834800142</v>
      </c>
      <c r="M25" s="44">
        <f t="shared" si="10"/>
        <v>0.57914329655347918</v>
      </c>
      <c r="N25" s="44">
        <f t="shared" si="10"/>
        <v>0.53773465817271071</v>
      </c>
    </row>
    <row r="26" spans="2:14" x14ac:dyDescent="0.25">
      <c r="B26" s="30" t="s">
        <v>24</v>
      </c>
      <c r="C26" s="59">
        <f>SUM(C24:C25)</f>
        <v>1</v>
      </c>
      <c r="D26" s="59">
        <f t="shared" ref="D26:N26" si="11">SUM(D24:D25)</f>
        <v>1</v>
      </c>
      <c r="E26" s="59">
        <f t="shared" si="11"/>
        <v>1</v>
      </c>
      <c r="F26" s="59">
        <f t="shared" si="11"/>
        <v>1</v>
      </c>
      <c r="G26" s="59">
        <f t="shared" si="11"/>
        <v>1</v>
      </c>
      <c r="H26" s="59">
        <f t="shared" si="11"/>
        <v>1</v>
      </c>
      <c r="I26" s="59">
        <f t="shared" si="11"/>
        <v>1</v>
      </c>
      <c r="J26" s="59">
        <f t="shared" si="11"/>
        <v>1</v>
      </c>
      <c r="K26" s="59">
        <f t="shared" si="11"/>
        <v>1</v>
      </c>
      <c r="L26" s="59">
        <f t="shared" si="11"/>
        <v>1</v>
      </c>
      <c r="M26" s="59">
        <f t="shared" si="11"/>
        <v>1</v>
      </c>
      <c r="N26" s="59">
        <f t="shared" si="11"/>
        <v>1</v>
      </c>
    </row>
    <row r="27" spans="2:14" ht="14.4" x14ac:dyDescent="0.3">
      <c r="B27" s="11"/>
    </row>
    <row r="28" spans="2:14" ht="14.4" x14ac:dyDescent="0.3">
      <c r="B28" s="11"/>
    </row>
    <row r="29" spans="2:14" ht="15.6" x14ac:dyDescent="0.3">
      <c r="B29" s="17" t="s">
        <v>49</v>
      </c>
    </row>
    <row r="30" spans="2:14" s="22" customFormat="1" ht="13.8" x14ac:dyDescent="0.3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2:14" x14ac:dyDescent="0.25">
      <c r="B31" s="26" t="s">
        <v>41</v>
      </c>
      <c r="C31" s="27" t="s">
        <v>9</v>
      </c>
      <c r="D31" s="27" t="s">
        <v>10</v>
      </c>
      <c r="E31" s="27" t="s">
        <v>11</v>
      </c>
      <c r="F31" s="27" t="s">
        <v>12</v>
      </c>
      <c r="G31" s="27" t="s">
        <v>13</v>
      </c>
      <c r="H31" s="27" t="s">
        <v>14</v>
      </c>
      <c r="I31" s="27" t="s">
        <v>15</v>
      </c>
      <c r="J31" s="27" t="s">
        <v>16</v>
      </c>
      <c r="K31" s="27" t="s">
        <v>17</v>
      </c>
      <c r="L31" s="27" t="s">
        <v>18</v>
      </c>
      <c r="M31" s="27" t="s">
        <v>19</v>
      </c>
      <c r="N31" s="27" t="s">
        <v>20</v>
      </c>
    </row>
    <row r="32" spans="2:14" x14ac:dyDescent="0.25">
      <c r="B32" s="36" t="s">
        <v>36</v>
      </c>
      <c r="C32" s="37">
        <f>C81</f>
        <v>1.4055029093399665E-2</v>
      </c>
      <c r="D32" s="37">
        <f t="shared" ref="D32:N32" si="12">D81</f>
        <v>1.5307770128711387E-2</v>
      </c>
      <c r="E32" s="37">
        <f t="shared" si="12"/>
        <v>1.4393943681130254E-2</v>
      </c>
      <c r="F32" s="37">
        <f t="shared" si="12"/>
        <v>1.4556600642381802E-2</v>
      </c>
      <c r="G32" s="37">
        <f t="shared" si="12"/>
        <v>1.1085198741598842E-2</v>
      </c>
      <c r="H32" s="37">
        <f t="shared" si="12"/>
        <v>9.3210325248761026E-3</v>
      </c>
      <c r="I32" s="37">
        <f t="shared" si="12"/>
        <v>8.6531616894059641E-3</v>
      </c>
      <c r="J32" s="37">
        <f t="shared" si="12"/>
        <v>8.3025305184459015E-3</v>
      </c>
      <c r="K32" s="37">
        <f t="shared" si="12"/>
        <v>9.6589040315292179E-3</v>
      </c>
      <c r="L32" s="37">
        <f t="shared" si="12"/>
        <v>1.1914020781316452E-2</v>
      </c>
      <c r="M32" s="37">
        <f t="shared" si="12"/>
        <v>1.4084707675981918E-2</v>
      </c>
      <c r="N32" s="37">
        <f t="shared" si="12"/>
        <v>2.0316297448096012E-2</v>
      </c>
    </row>
    <row r="33" spans="2:14" x14ac:dyDescent="0.25">
      <c r="B33" s="36" t="s">
        <v>37</v>
      </c>
      <c r="C33" s="37">
        <f t="shared" ref="C33:N36" si="13">C82</f>
        <v>2.6329973138253873E-2</v>
      </c>
      <c r="D33" s="37">
        <f t="shared" si="13"/>
        <v>2.8747753394563015E-2</v>
      </c>
      <c r="E33" s="37">
        <f t="shared" si="13"/>
        <v>2.8671106588928307E-2</v>
      </c>
      <c r="F33" s="37">
        <f t="shared" si="13"/>
        <v>3.3854135957535968E-2</v>
      </c>
      <c r="G33" s="37">
        <f t="shared" si="13"/>
        <v>3.470823815380595E-2</v>
      </c>
      <c r="H33" s="37">
        <f t="shared" si="13"/>
        <v>2.8829820149697389E-2</v>
      </c>
      <c r="I33" s="37">
        <f t="shared" si="13"/>
        <v>3.0080364314448979E-2</v>
      </c>
      <c r="J33" s="37">
        <f t="shared" si="13"/>
        <v>2.6851653235539251E-2</v>
      </c>
      <c r="K33" s="37">
        <f t="shared" si="13"/>
        <v>2.9701036725931471E-2</v>
      </c>
      <c r="L33" s="37">
        <f t="shared" si="13"/>
        <v>3.9425648777649994E-2</v>
      </c>
      <c r="M33" s="37">
        <f t="shared" si="13"/>
        <v>3.8304097397381505E-2</v>
      </c>
      <c r="N33" s="37">
        <f t="shared" si="13"/>
        <v>2.6843350562566873E-2</v>
      </c>
    </row>
    <row r="34" spans="2:14" x14ac:dyDescent="0.25">
      <c r="B34" s="36" t="s">
        <v>38</v>
      </c>
      <c r="C34" s="37">
        <f t="shared" si="13"/>
        <v>0.61682347312096197</v>
      </c>
      <c r="D34" s="37">
        <f t="shared" si="13"/>
        <v>0.61322643254567855</v>
      </c>
      <c r="E34" s="37">
        <f t="shared" si="13"/>
        <v>0.61361629352839986</v>
      </c>
      <c r="F34" s="37">
        <f t="shared" si="13"/>
        <v>0.60338294841508833</v>
      </c>
      <c r="G34" s="37">
        <f t="shared" si="13"/>
        <v>0.59567601400279169</v>
      </c>
      <c r="H34" s="37">
        <f t="shared" si="13"/>
        <v>0.59509924283937021</v>
      </c>
      <c r="I34" s="37">
        <f t="shared" si="13"/>
        <v>0.58723075354558485</v>
      </c>
      <c r="J34" s="37">
        <f t="shared" si="13"/>
        <v>0.60080446565351309</v>
      </c>
      <c r="K34" s="37">
        <f t="shared" si="13"/>
        <v>0.59624090127717699</v>
      </c>
      <c r="L34" s="37">
        <f t="shared" si="13"/>
        <v>0.59755700878296014</v>
      </c>
      <c r="M34" s="37">
        <f t="shared" si="13"/>
        <v>0.58588400984908839</v>
      </c>
      <c r="N34" s="37">
        <f t="shared" si="13"/>
        <v>0.61860693781619758</v>
      </c>
    </row>
    <row r="35" spans="2:14" x14ac:dyDescent="0.25">
      <c r="B35" s="36" t="s">
        <v>39</v>
      </c>
      <c r="C35" s="37">
        <f t="shared" si="13"/>
        <v>0.16538421642018877</v>
      </c>
      <c r="D35" s="37">
        <f t="shared" si="13"/>
        <v>0.16536441442186514</v>
      </c>
      <c r="E35" s="37">
        <f t="shared" si="13"/>
        <v>0.16725006526824784</v>
      </c>
      <c r="F35" s="37">
        <f t="shared" si="13"/>
        <v>0.17106067831706886</v>
      </c>
      <c r="G35" s="37">
        <f t="shared" si="13"/>
        <v>0.17661701228148108</v>
      </c>
      <c r="H35" s="37">
        <f t="shared" si="13"/>
        <v>0.17632728377261575</v>
      </c>
      <c r="I35" s="37">
        <f t="shared" si="13"/>
        <v>0.17413733791083266</v>
      </c>
      <c r="J35" s="37">
        <f t="shared" si="13"/>
        <v>0.17002710463496323</v>
      </c>
      <c r="K35" s="37">
        <f t="shared" si="13"/>
        <v>0.17616747521276951</v>
      </c>
      <c r="L35" s="37">
        <f t="shared" si="13"/>
        <v>0.17661425336254397</v>
      </c>
      <c r="M35" s="37">
        <f t="shared" si="13"/>
        <v>0.17718689178687619</v>
      </c>
      <c r="N35" s="37">
        <f t="shared" si="13"/>
        <v>0.16267800223062798</v>
      </c>
    </row>
    <row r="36" spans="2:14" x14ac:dyDescent="0.25">
      <c r="B36" s="36" t="s">
        <v>40</v>
      </c>
      <c r="C36" s="37">
        <f t="shared" si="13"/>
        <v>0.17740730822719561</v>
      </c>
      <c r="D36" s="37">
        <f t="shared" si="13"/>
        <v>0.17735362950918176</v>
      </c>
      <c r="E36" s="37">
        <f t="shared" si="13"/>
        <v>0.17606859093329383</v>
      </c>
      <c r="F36" s="37">
        <f t="shared" si="13"/>
        <v>0.17714563666792518</v>
      </c>
      <c r="G36" s="37">
        <f t="shared" si="13"/>
        <v>0.18191353682032241</v>
      </c>
      <c r="H36" s="37">
        <f t="shared" si="13"/>
        <v>0.1904226207134406</v>
      </c>
      <c r="I36" s="37">
        <f t="shared" si="13"/>
        <v>0.1998983825397275</v>
      </c>
      <c r="J36" s="37">
        <f t="shared" si="13"/>
        <v>0.19401424595753861</v>
      </c>
      <c r="K36" s="37">
        <f t="shared" si="13"/>
        <v>0.18823168275259286</v>
      </c>
      <c r="L36" s="37">
        <f t="shared" si="13"/>
        <v>0.17448906829552943</v>
      </c>
      <c r="M36" s="37">
        <f t="shared" si="13"/>
        <v>0.18454029329067206</v>
      </c>
      <c r="N36" s="37">
        <f t="shared" si="13"/>
        <v>0.17155541194251156</v>
      </c>
    </row>
    <row r="37" spans="2:14" x14ac:dyDescent="0.25">
      <c r="B37" s="38" t="s">
        <v>21</v>
      </c>
      <c r="C37" s="39">
        <f>SUM(C32:C36)</f>
        <v>0.99999999999999989</v>
      </c>
      <c r="D37" s="39">
        <f t="shared" ref="D37:N37" si="14">SUM(D32:D36)</f>
        <v>0.99999999999999978</v>
      </c>
      <c r="E37" s="39">
        <f t="shared" si="14"/>
        <v>1</v>
      </c>
      <c r="F37" s="39">
        <f t="shared" si="14"/>
        <v>1.0000000000000002</v>
      </c>
      <c r="G37" s="39">
        <f t="shared" si="14"/>
        <v>1</v>
      </c>
      <c r="H37" s="39">
        <f t="shared" si="14"/>
        <v>1</v>
      </c>
      <c r="I37" s="39">
        <f t="shared" si="14"/>
        <v>0.99999999999999989</v>
      </c>
      <c r="J37" s="39">
        <f t="shared" si="14"/>
        <v>1.0000000000000002</v>
      </c>
      <c r="K37" s="39">
        <f t="shared" si="14"/>
        <v>1.0000000000000002</v>
      </c>
      <c r="L37" s="39">
        <f t="shared" si="14"/>
        <v>1</v>
      </c>
      <c r="M37" s="39">
        <f t="shared" si="14"/>
        <v>1</v>
      </c>
      <c r="N37" s="39">
        <f t="shared" si="14"/>
        <v>1</v>
      </c>
    </row>
    <row r="38" spans="2:14" x14ac:dyDescent="0.25">
      <c r="B38" s="4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2:14" x14ac:dyDescent="0.25">
      <c r="B39" s="26" t="s">
        <v>42</v>
      </c>
      <c r="C39" s="27" t="s">
        <v>9</v>
      </c>
      <c r="D39" s="27" t="s">
        <v>10</v>
      </c>
      <c r="E39" s="27" t="s">
        <v>11</v>
      </c>
      <c r="F39" s="27" t="s">
        <v>12</v>
      </c>
      <c r="G39" s="27" t="s">
        <v>13</v>
      </c>
      <c r="H39" s="27" t="s">
        <v>14</v>
      </c>
      <c r="I39" s="27" t="s">
        <v>15</v>
      </c>
      <c r="J39" s="27" t="s">
        <v>16</v>
      </c>
      <c r="K39" s="27" t="s">
        <v>17</v>
      </c>
      <c r="L39" s="27" t="s">
        <v>18</v>
      </c>
      <c r="M39" s="27" t="s">
        <v>19</v>
      </c>
      <c r="N39" s="27" t="s">
        <v>20</v>
      </c>
    </row>
    <row r="40" spans="2:14" x14ac:dyDescent="0.25">
      <c r="B40" s="36" t="s">
        <v>36</v>
      </c>
      <c r="C40" s="21">
        <f>C32*C$10</f>
        <v>166657.72649262706</v>
      </c>
      <c r="D40" s="21">
        <f t="shared" ref="D40:N40" si="15">D32*D$10</f>
        <v>147291.71902369062</v>
      </c>
      <c r="E40" s="21">
        <f t="shared" si="15"/>
        <v>140517.71323717679</v>
      </c>
      <c r="F40" s="21">
        <f t="shared" si="15"/>
        <v>127828.5565555885</v>
      </c>
      <c r="G40" s="21">
        <f t="shared" si="15"/>
        <v>95529.657505327428</v>
      </c>
      <c r="H40" s="21">
        <f t="shared" si="15"/>
        <v>93664.445897352809</v>
      </c>
      <c r="I40" s="21">
        <f t="shared" si="15"/>
        <v>114856.02026146988</v>
      </c>
      <c r="J40" s="21">
        <f t="shared" si="15"/>
        <v>103055.37193128957</v>
      </c>
      <c r="K40" s="21">
        <f t="shared" si="15"/>
        <v>100346.99217213174</v>
      </c>
      <c r="L40" s="21">
        <f t="shared" si="15"/>
        <v>105802.5685250511</v>
      </c>
      <c r="M40" s="21">
        <f t="shared" si="15"/>
        <v>141188.64716999195</v>
      </c>
      <c r="N40" s="21">
        <f t="shared" si="15"/>
        <v>226149.16480811671</v>
      </c>
    </row>
    <row r="41" spans="2:14" x14ac:dyDescent="0.25">
      <c r="B41" s="36" t="s">
        <v>37</v>
      </c>
      <c r="C41" s="21">
        <f>C33*C$10</f>
        <v>312208.06678329891</v>
      </c>
      <c r="D41" s="21">
        <f t="shared" ref="D41:N41" si="16">D33*D$10</f>
        <v>276611.54955628858</v>
      </c>
      <c r="E41" s="21">
        <f t="shared" si="16"/>
        <v>279895.37982819212</v>
      </c>
      <c r="F41" s="21">
        <f t="shared" si="16"/>
        <v>297289.55538484734</v>
      </c>
      <c r="G41" s="21">
        <f t="shared" si="16"/>
        <v>299107.50188031315</v>
      </c>
      <c r="H41" s="21">
        <f t="shared" si="16"/>
        <v>289702.79016139754</v>
      </c>
      <c r="I41" s="21">
        <f t="shared" si="16"/>
        <v>399265.73166922131</v>
      </c>
      <c r="J41" s="21">
        <f t="shared" si="16"/>
        <v>333296.83100960031</v>
      </c>
      <c r="K41" s="21">
        <f t="shared" si="16"/>
        <v>308566.03296941321</v>
      </c>
      <c r="L41" s="21">
        <f t="shared" si="16"/>
        <v>350119.82797473308</v>
      </c>
      <c r="M41" s="21">
        <f t="shared" si="16"/>
        <v>383969.89252578694</v>
      </c>
      <c r="N41" s="21">
        <f t="shared" si="16"/>
        <v>298804.51031420141</v>
      </c>
    </row>
    <row r="42" spans="2:14" x14ac:dyDescent="0.25">
      <c r="B42" s="36" t="s">
        <v>38</v>
      </c>
      <c r="C42" s="21">
        <f>C34*C$10</f>
        <v>7313993.9444095772</v>
      </c>
      <c r="D42" s="21">
        <f t="shared" ref="D42:N42" si="17">D34*D$10</f>
        <v>5900478.9489886137</v>
      </c>
      <c r="E42" s="21">
        <f t="shared" si="17"/>
        <v>5990294.2711050296</v>
      </c>
      <c r="F42" s="21">
        <f t="shared" si="17"/>
        <v>5298597.7455197703</v>
      </c>
      <c r="G42" s="21">
        <f t="shared" si="17"/>
        <v>5133396.9672805183</v>
      </c>
      <c r="H42" s="21">
        <f t="shared" si="17"/>
        <v>5979985.6599282399</v>
      </c>
      <c r="I42" s="21">
        <f t="shared" si="17"/>
        <v>7794490.5860207174</v>
      </c>
      <c r="J42" s="21">
        <f t="shared" si="17"/>
        <v>7457500.7617668081</v>
      </c>
      <c r="K42" s="21">
        <f t="shared" si="17"/>
        <v>6194386.1185349291</v>
      </c>
      <c r="L42" s="21">
        <f t="shared" si="17"/>
        <v>5306610.3819904374</v>
      </c>
      <c r="M42" s="21">
        <f t="shared" si="17"/>
        <v>5873048.4616434304</v>
      </c>
      <c r="N42" s="21">
        <f t="shared" si="17"/>
        <v>6885971.3581694225</v>
      </c>
    </row>
    <row r="43" spans="2:14" x14ac:dyDescent="0.25">
      <c r="B43" s="36" t="s">
        <v>39</v>
      </c>
      <c r="C43" s="21">
        <f>C35*C$10</f>
        <v>1961045.9233625366</v>
      </c>
      <c r="D43" s="21">
        <f t="shared" ref="D43:N43" si="18">D35*D$10</f>
        <v>1591140.2288344174</v>
      </c>
      <c r="E43" s="21">
        <f t="shared" si="18"/>
        <v>1632742.0219847171</v>
      </c>
      <c r="F43" s="21">
        <f t="shared" si="18"/>
        <v>1502166.6204832357</v>
      </c>
      <c r="G43" s="21">
        <f t="shared" si="18"/>
        <v>1522044.2218639543</v>
      </c>
      <c r="H43" s="21">
        <f t="shared" si="18"/>
        <v>1771863.5019318177</v>
      </c>
      <c r="I43" s="21">
        <f t="shared" si="18"/>
        <v>2311377.3126245677</v>
      </c>
      <c r="J43" s="21">
        <f t="shared" si="18"/>
        <v>2110465.7751786616</v>
      </c>
      <c r="K43" s="21">
        <f t="shared" si="18"/>
        <v>1830215.5398226061</v>
      </c>
      <c r="L43" s="21">
        <f t="shared" si="18"/>
        <v>1568424.4628140174</v>
      </c>
      <c r="M43" s="21">
        <f t="shared" si="18"/>
        <v>1776165.9044088577</v>
      </c>
      <c r="N43" s="21">
        <f t="shared" si="18"/>
        <v>1810836.5675930423</v>
      </c>
    </row>
    <row r="44" spans="2:14" x14ac:dyDescent="0.25">
      <c r="B44" s="36" t="s">
        <v>40</v>
      </c>
      <c r="C44" s="21">
        <f>C36*C$10</f>
        <v>2103609.9218183537</v>
      </c>
      <c r="D44" s="21">
        <f t="shared" ref="D44:N44" si="19">D36*D$10</f>
        <v>1706500.7343232913</v>
      </c>
      <c r="E44" s="21">
        <f t="shared" si="19"/>
        <v>1718830.9416044382</v>
      </c>
      <c r="F44" s="21">
        <f t="shared" si="19"/>
        <v>1555601.5852665771</v>
      </c>
      <c r="G44" s="21">
        <f t="shared" si="19"/>
        <v>1567688.4351034814</v>
      </c>
      <c r="H44" s="21">
        <f t="shared" si="19"/>
        <v>1913503.5960711089</v>
      </c>
      <c r="I44" s="21">
        <f t="shared" si="19"/>
        <v>2653311.4137145127</v>
      </c>
      <c r="J44" s="21">
        <f t="shared" si="19"/>
        <v>2408206.7789695314</v>
      </c>
      <c r="K44" s="21">
        <f t="shared" si="19"/>
        <v>1955551.3890669805</v>
      </c>
      <c r="L44" s="21">
        <f t="shared" si="19"/>
        <v>1549551.737744255</v>
      </c>
      <c r="M44" s="21">
        <f t="shared" si="19"/>
        <v>1849878.2479166433</v>
      </c>
      <c r="N44" s="21">
        <f t="shared" si="19"/>
        <v>1909654.7108659979</v>
      </c>
    </row>
    <row r="45" spans="2:14" x14ac:dyDescent="0.25">
      <c r="B45" s="38" t="s">
        <v>21</v>
      </c>
      <c r="C45" s="33">
        <f t="shared" ref="C45:M45" si="20">SUM(C40:C44)</f>
        <v>11857515.582866393</v>
      </c>
      <c r="D45" s="33">
        <f t="shared" si="20"/>
        <v>9622023.1807263028</v>
      </c>
      <c r="E45" s="33">
        <f t="shared" si="20"/>
        <v>9762280.3277595527</v>
      </c>
      <c r="F45" s="33">
        <f t="shared" si="20"/>
        <v>8781484.063210018</v>
      </c>
      <c r="G45" s="33">
        <f t="shared" si="20"/>
        <v>8617766.7836335935</v>
      </c>
      <c r="H45" s="33">
        <f t="shared" si="20"/>
        <v>10048719.993989917</v>
      </c>
      <c r="I45" s="33">
        <f t="shared" si="20"/>
        <v>13273301.06429049</v>
      </c>
      <c r="J45" s="33">
        <f t="shared" si="20"/>
        <v>12412525.51885589</v>
      </c>
      <c r="K45" s="33">
        <f t="shared" si="20"/>
        <v>10389066.07256606</v>
      </c>
      <c r="L45" s="33">
        <f t="shared" si="20"/>
        <v>8880508.9790484942</v>
      </c>
      <c r="M45" s="33">
        <f t="shared" si="20"/>
        <v>10024251.15366471</v>
      </c>
      <c r="N45" s="33">
        <f>SUM(N40:N44)</f>
        <v>11131416.311750781</v>
      </c>
    </row>
    <row r="46" spans="2:14" ht="13.8" x14ac:dyDescent="0.25">
      <c r="B46" s="16"/>
    </row>
    <row r="47" spans="2:14" ht="13.8" x14ac:dyDescent="0.25">
      <c r="B47" s="16"/>
    </row>
    <row r="48" spans="2:14" ht="15.6" x14ac:dyDescent="0.3">
      <c r="B48" s="17" t="s">
        <v>120</v>
      </c>
    </row>
    <row r="50" spans="2:14" x14ac:dyDescent="0.25">
      <c r="B50" s="26" t="s">
        <v>6</v>
      </c>
      <c r="C50" s="27" t="s">
        <v>9</v>
      </c>
      <c r="D50" s="27" t="s">
        <v>10</v>
      </c>
      <c r="E50" s="27" t="s">
        <v>11</v>
      </c>
      <c r="F50" s="27" t="s">
        <v>12</v>
      </c>
      <c r="G50" s="27" t="s">
        <v>13</v>
      </c>
      <c r="H50" s="27" t="s">
        <v>14</v>
      </c>
      <c r="I50" s="27" t="s">
        <v>15</v>
      </c>
      <c r="J50" s="27" t="s">
        <v>16</v>
      </c>
      <c r="K50" s="27" t="s">
        <v>17</v>
      </c>
      <c r="L50" s="27" t="s">
        <v>18</v>
      </c>
      <c r="M50" s="27" t="s">
        <v>19</v>
      </c>
      <c r="N50" s="27" t="s">
        <v>20</v>
      </c>
    </row>
    <row r="51" spans="2:14" x14ac:dyDescent="0.25">
      <c r="B51" s="36" t="s">
        <v>25</v>
      </c>
      <c r="C51" s="21">
        <f>C55</f>
        <v>25458334.893874109</v>
      </c>
      <c r="D51" s="21">
        <f t="shared" ref="D51:N51" si="21">D55</f>
        <v>22347432.557158045</v>
      </c>
      <c r="E51" s="21">
        <f t="shared" si="21"/>
        <v>23099173.991498042</v>
      </c>
      <c r="F51" s="21">
        <f t="shared" si="21"/>
        <v>21558872.919149287</v>
      </c>
      <c r="G51" s="21">
        <f t="shared" si="21"/>
        <v>21597691.588529754</v>
      </c>
      <c r="H51" s="21">
        <f t="shared" si="21"/>
        <v>23163817.566555653</v>
      </c>
      <c r="I51" s="21">
        <f t="shared" si="21"/>
        <v>25251495.093193848</v>
      </c>
      <c r="J51" s="21">
        <f t="shared" si="21"/>
        <v>27153305.116613712</v>
      </c>
      <c r="K51" s="21">
        <f t="shared" si="21"/>
        <v>24393731.770603657</v>
      </c>
      <c r="L51" s="21">
        <f t="shared" si="21"/>
        <v>23414367.724483188</v>
      </c>
      <c r="M51" s="21">
        <f t="shared" si="21"/>
        <v>23974577.16613359</v>
      </c>
      <c r="N51" s="21">
        <f t="shared" si="21"/>
        <v>24199496.871335015</v>
      </c>
    </row>
    <row r="52" spans="2:14" x14ac:dyDescent="0.25">
      <c r="B52" s="36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2:14" x14ac:dyDescent="0.25">
      <c r="B53" s="36" t="s">
        <v>26</v>
      </c>
      <c r="C53" s="41">
        <f>SUM('Consumption and Rates'!E46:E50)</f>
        <v>11590253.753682258</v>
      </c>
      <c r="D53" s="41">
        <f>SUM('Consumption and Rates'!F46:F50)</f>
        <v>9767652.3151581828</v>
      </c>
      <c r="E53" s="41">
        <f>SUM('Consumption and Rates'!G46:G50)</f>
        <v>10056927.489200827</v>
      </c>
      <c r="F53" s="41">
        <f>SUM('Consumption and Rates'!H46:H50)</f>
        <v>9110563.3411194198</v>
      </c>
      <c r="G53" s="41">
        <f>SUM('Consumption and Rates'!I46:I50)</f>
        <v>9057367.5508080516</v>
      </c>
      <c r="H53" s="41">
        <f>SUM('Consumption and Rates'!J46:J50)</f>
        <v>10497511.896659425</v>
      </c>
      <c r="I53" s="41">
        <f>SUM('Consumption and Rates'!K46:K50)</f>
        <v>12353168.83819849</v>
      </c>
      <c r="J53" s="41">
        <f>SUM('Consumption and Rates'!L46:L50)</f>
        <v>12391763.292574363</v>
      </c>
      <c r="K53" s="41">
        <f>SUM('Consumption and Rates'!M46:M50)</f>
        <v>10489812.624216707</v>
      </c>
      <c r="L53" s="41">
        <f>SUM('Consumption and Rates'!N46:N50)</f>
        <v>9450929.0665428005</v>
      </c>
      <c r="M53" s="41">
        <f>SUM('Consumption and Rates'!O46:O50)</f>
        <v>10089861.512663214</v>
      </c>
      <c r="N53" s="41">
        <f>SUM('Consumption and Rates'!P46:P50)</f>
        <v>11186588.693276098</v>
      </c>
    </row>
    <row r="54" spans="2:14" x14ac:dyDescent="0.25">
      <c r="B54" s="36" t="s">
        <v>27</v>
      </c>
      <c r="C54" s="41">
        <f>'Consumption and Rates'!E45</f>
        <v>13868081.140191851</v>
      </c>
      <c r="D54" s="41">
        <f>'Consumption and Rates'!F45</f>
        <v>12579780.241999863</v>
      </c>
      <c r="E54" s="41">
        <f>'Consumption and Rates'!G45</f>
        <v>13042246.502297215</v>
      </c>
      <c r="F54" s="41">
        <f>'Consumption and Rates'!H45</f>
        <v>12448309.578029867</v>
      </c>
      <c r="G54" s="41">
        <f>'Consumption and Rates'!I45</f>
        <v>12540324.037721703</v>
      </c>
      <c r="H54" s="41">
        <f>'Consumption and Rates'!J45</f>
        <v>12666305.669896228</v>
      </c>
      <c r="I54" s="41">
        <f>'Consumption and Rates'!K45</f>
        <v>12898326.254995357</v>
      </c>
      <c r="J54" s="41">
        <f>'Consumption and Rates'!L45</f>
        <v>14761541.824039349</v>
      </c>
      <c r="K54" s="41">
        <f>'Consumption and Rates'!M45</f>
        <v>13903919.146386949</v>
      </c>
      <c r="L54" s="41">
        <f>'Consumption and Rates'!N45</f>
        <v>13963438.657940388</v>
      </c>
      <c r="M54" s="41">
        <f>'Consumption and Rates'!O45</f>
        <v>13884715.653470377</v>
      </c>
      <c r="N54" s="41">
        <f>'Consumption and Rates'!P45</f>
        <v>13012908.178058915</v>
      </c>
    </row>
    <row r="55" spans="2:14" x14ac:dyDescent="0.25">
      <c r="B55" s="36" t="s">
        <v>28</v>
      </c>
      <c r="C55" s="33">
        <f>SUM(C53:C54)</f>
        <v>25458334.893874109</v>
      </c>
      <c r="D55" s="33">
        <f t="shared" ref="D55:N55" si="22">SUM(D53:D54)</f>
        <v>22347432.557158045</v>
      </c>
      <c r="E55" s="33">
        <f t="shared" si="22"/>
        <v>23099173.991498042</v>
      </c>
      <c r="F55" s="33">
        <f t="shared" si="22"/>
        <v>21558872.919149287</v>
      </c>
      <c r="G55" s="33">
        <f t="shared" si="22"/>
        <v>21597691.588529754</v>
      </c>
      <c r="H55" s="33">
        <f t="shared" si="22"/>
        <v>23163817.566555653</v>
      </c>
      <c r="I55" s="33">
        <f t="shared" si="22"/>
        <v>25251495.093193848</v>
      </c>
      <c r="J55" s="33">
        <f t="shared" si="22"/>
        <v>27153305.116613712</v>
      </c>
      <c r="K55" s="33">
        <f t="shared" si="22"/>
        <v>24393731.770603657</v>
      </c>
      <c r="L55" s="33">
        <f t="shared" si="22"/>
        <v>23414367.724483188</v>
      </c>
      <c r="M55" s="33">
        <f t="shared" si="22"/>
        <v>23974577.16613359</v>
      </c>
      <c r="N55" s="33">
        <f t="shared" si="22"/>
        <v>24199496.871335015</v>
      </c>
    </row>
    <row r="56" spans="2:14" x14ac:dyDescent="0.25">
      <c r="B56" s="4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2:14" x14ac:dyDescent="0.25">
      <c r="B57" s="4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2:14" x14ac:dyDescent="0.25">
      <c r="B58" s="26" t="s">
        <v>7</v>
      </c>
      <c r="C58" s="27" t="s">
        <v>9</v>
      </c>
      <c r="D58" s="27" t="s">
        <v>10</v>
      </c>
      <c r="E58" s="27" t="s">
        <v>11</v>
      </c>
      <c r="F58" s="27" t="s">
        <v>12</v>
      </c>
      <c r="G58" s="27" t="s">
        <v>13</v>
      </c>
      <c r="H58" s="27" t="s">
        <v>14</v>
      </c>
      <c r="I58" s="27" t="s">
        <v>15</v>
      </c>
      <c r="J58" s="27" t="s">
        <v>16</v>
      </c>
      <c r="K58" s="27" t="s">
        <v>17</v>
      </c>
      <c r="L58" s="27" t="s">
        <v>18</v>
      </c>
      <c r="M58" s="27" t="s">
        <v>19</v>
      </c>
      <c r="N58" s="27" t="s">
        <v>20</v>
      </c>
    </row>
    <row r="59" spans="2:14" x14ac:dyDescent="0.25">
      <c r="B59" s="36" t="s">
        <v>25</v>
      </c>
      <c r="C59" s="21">
        <f>C63</f>
        <v>26145922.49387411</v>
      </c>
      <c r="D59" s="21">
        <f t="shared" ref="D59:N59" si="23">D63</f>
        <v>22997532.207158044</v>
      </c>
      <c r="E59" s="21">
        <f t="shared" si="23"/>
        <v>23899103.991498042</v>
      </c>
      <c r="F59" s="21">
        <f t="shared" si="23"/>
        <v>22325962.04914929</v>
      </c>
      <c r="G59" s="21">
        <f t="shared" si="23"/>
        <v>22423520.378529757</v>
      </c>
      <c r="H59" s="21">
        <f t="shared" si="23"/>
        <v>23980276.546555653</v>
      </c>
      <c r="I59" s="21">
        <f t="shared" si="23"/>
        <v>28366082.213193849</v>
      </c>
      <c r="J59" s="21">
        <f t="shared" si="23"/>
        <v>30296970.016613714</v>
      </c>
      <c r="K59" s="21">
        <f t="shared" si="23"/>
        <v>27299025.960603654</v>
      </c>
      <c r="L59" s="21">
        <f t="shared" si="23"/>
        <v>26332658.114483189</v>
      </c>
      <c r="M59" s="21">
        <f t="shared" si="23"/>
        <v>26754770.14613359</v>
      </c>
      <c r="N59" s="21">
        <f t="shared" si="23"/>
        <v>26403892.191335015</v>
      </c>
    </row>
    <row r="60" spans="2:14" x14ac:dyDescent="0.25">
      <c r="B60" s="36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2:14" x14ac:dyDescent="0.25">
      <c r="B61" s="36" t="s">
        <v>26</v>
      </c>
      <c r="C61" s="21">
        <f>C53</f>
        <v>11590253.753682258</v>
      </c>
      <c r="D61" s="21">
        <f t="shared" ref="D61:N61" si="24">D53</f>
        <v>9767652.3151581828</v>
      </c>
      <c r="E61" s="21">
        <f t="shared" si="24"/>
        <v>10056927.489200827</v>
      </c>
      <c r="F61" s="21">
        <f t="shared" si="24"/>
        <v>9110563.3411194198</v>
      </c>
      <c r="G61" s="21">
        <f t="shared" si="24"/>
        <v>9057367.5508080516</v>
      </c>
      <c r="H61" s="21">
        <f t="shared" si="24"/>
        <v>10497511.896659425</v>
      </c>
      <c r="I61" s="21">
        <f t="shared" si="24"/>
        <v>12353168.83819849</v>
      </c>
      <c r="J61" s="21">
        <f t="shared" si="24"/>
        <v>12391763.292574363</v>
      </c>
      <c r="K61" s="21">
        <f t="shared" si="24"/>
        <v>10489812.624216707</v>
      </c>
      <c r="L61" s="21">
        <f t="shared" si="24"/>
        <v>9450929.0665428005</v>
      </c>
      <c r="M61" s="21">
        <f t="shared" si="24"/>
        <v>10089861.512663214</v>
      </c>
      <c r="N61" s="21">
        <f t="shared" si="24"/>
        <v>11186588.693276098</v>
      </c>
    </row>
    <row r="62" spans="2:14" x14ac:dyDescent="0.25">
      <c r="B62" s="36" t="s">
        <v>27</v>
      </c>
      <c r="C62" s="21">
        <f t="shared" ref="C62:N62" si="25">C54-C7</f>
        <v>14555668.740191851</v>
      </c>
      <c r="D62" s="21">
        <f t="shared" si="25"/>
        <v>13229879.891999863</v>
      </c>
      <c r="E62" s="21">
        <f t="shared" si="25"/>
        <v>13842176.502297215</v>
      </c>
      <c r="F62" s="21">
        <f t="shared" si="25"/>
        <v>13215398.708029868</v>
      </c>
      <c r="G62" s="21">
        <f t="shared" si="25"/>
        <v>13366152.827721704</v>
      </c>
      <c r="H62" s="21">
        <f t="shared" si="25"/>
        <v>13482764.649896229</v>
      </c>
      <c r="I62" s="21">
        <f t="shared" si="25"/>
        <v>16012913.374995358</v>
      </c>
      <c r="J62" s="21">
        <f t="shared" si="25"/>
        <v>17905206.72403935</v>
      </c>
      <c r="K62" s="21">
        <f t="shared" si="25"/>
        <v>16809213.336386949</v>
      </c>
      <c r="L62" s="21">
        <f t="shared" si="25"/>
        <v>16881729.047940388</v>
      </c>
      <c r="M62" s="21">
        <f t="shared" si="25"/>
        <v>16664908.633470377</v>
      </c>
      <c r="N62" s="21">
        <f t="shared" si="25"/>
        <v>15217303.498058915</v>
      </c>
    </row>
    <row r="63" spans="2:14" x14ac:dyDescent="0.25">
      <c r="B63" s="36" t="s">
        <v>28</v>
      </c>
      <c r="C63" s="33">
        <f>SUM(C61:C62)</f>
        <v>26145922.49387411</v>
      </c>
      <c r="D63" s="33">
        <f t="shared" ref="D63:N63" si="26">SUM(D61:D62)</f>
        <v>22997532.207158044</v>
      </c>
      <c r="E63" s="33">
        <f t="shared" si="26"/>
        <v>23899103.991498042</v>
      </c>
      <c r="F63" s="33">
        <f t="shared" si="26"/>
        <v>22325962.04914929</v>
      </c>
      <c r="G63" s="33">
        <f t="shared" si="26"/>
        <v>22423520.378529757</v>
      </c>
      <c r="H63" s="33">
        <f t="shared" si="26"/>
        <v>23980276.546555653</v>
      </c>
      <c r="I63" s="33">
        <f t="shared" si="26"/>
        <v>28366082.213193849</v>
      </c>
      <c r="J63" s="33">
        <f t="shared" si="26"/>
        <v>30296970.016613714</v>
      </c>
      <c r="K63" s="33">
        <f t="shared" si="26"/>
        <v>27299025.960603654</v>
      </c>
      <c r="L63" s="33">
        <f t="shared" si="26"/>
        <v>26332658.114483189</v>
      </c>
      <c r="M63" s="33">
        <f t="shared" si="26"/>
        <v>26754770.14613359</v>
      </c>
      <c r="N63" s="33">
        <f t="shared" si="26"/>
        <v>26403892.191335015</v>
      </c>
    </row>
    <row r="64" spans="2:14" x14ac:dyDescent="0.25">
      <c r="B64" s="4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 x14ac:dyDescent="0.25">
      <c r="B65" s="42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 x14ac:dyDescent="0.25">
      <c r="B66" s="43" t="s">
        <v>29</v>
      </c>
      <c r="C66" s="27" t="s">
        <v>9</v>
      </c>
      <c r="D66" s="27" t="s">
        <v>10</v>
      </c>
      <c r="E66" s="27" t="s">
        <v>11</v>
      </c>
      <c r="F66" s="27" t="s">
        <v>12</v>
      </c>
      <c r="G66" s="27" t="s">
        <v>13</v>
      </c>
      <c r="H66" s="27" t="s">
        <v>14</v>
      </c>
      <c r="I66" s="27" t="s">
        <v>15</v>
      </c>
      <c r="J66" s="27" t="s">
        <v>16</v>
      </c>
      <c r="K66" s="27" t="s">
        <v>17</v>
      </c>
      <c r="L66" s="27" t="s">
        <v>18</v>
      </c>
      <c r="M66" s="27" t="s">
        <v>19</v>
      </c>
      <c r="N66" s="27" t="s">
        <v>20</v>
      </c>
    </row>
    <row r="67" spans="2:14" x14ac:dyDescent="0.25">
      <c r="B67" s="36" t="s">
        <v>26</v>
      </c>
      <c r="C67" s="44">
        <f>C53/C55</f>
        <v>0.45526362199246395</v>
      </c>
      <c r="D67" s="44">
        <f t="shared" ref="D67:N67" si="27">D53/D55</f>
        <v>0.43708163298738906</v>
      </c>
      <c r="E67" s="44">
        <f t="shared" si="27"/>
        <v>0.4353803946800181</v>
      </c>
      <c r="F67" s="44">
        <f t="shared" si="27"/>
        <v>0.42258996447941038</v>
      </c>
      <c r="G67" s="44">
        <f t="shared" si="27"/>
        <v>0.41936738996765277</v>
      </c>
      <c r="H67" s="44">
        <f t="shared" si="27"/>
        <v>0.4531857439516328</v>
      </c>
      <c r="I67" s="44">
        <f t="shared" si="27"/>
        <v>0.4892054427909141</v>
      </c>
      <c r="J67" s="44">
        <f t="shared" si="27"/>
        <v>0.45636298194110003</v>
      </c>
      <c r="K67" s="44">
        <f t="shared" si="27"/>
        <v>0.43002082349932808</v>
      </c>
      <c r="L67" s="44">
        <f t="shared" si="27"/>
        <v>0.40363802165199852</v>
      </c>
      <c r="M67" s="44">
        <f t="shared" si="27"/>
        <v>0.42085670344652082</v>
      </c>
      <c r="N67" s="44">
        <f t="shared" si="27"/>
        <v>0.46226534182728929</v>
      </c>
    </row>
    <row r="68" spans="2:14" x14ac:dyDescent="0.25">
      <c r="B68" s="36" t="s">
        <v>27</v>
      </c>
      <c r="C68" s="44">
        <f>C54/C55</f>
        <v>0.54473637800753605</v>
      </c>
      <c r="D68" s="44">
        <f t="shared" ref="D68:N68" si="28">D54/D55</f>
        <v>0.56291836701261089</v>
      </c>
      <c r="E68" s="44">
        <f t="shared" si="28"/>
        <v>0.5646196053199819</v>
      </c>
      <c r="F68" s="44">
        <f t="shared" si="28"/>
        <v>0.57741003552058956</v>
      </c>
      <c r="G68" s="44">
        <f t="shared" si="28"/>
        <v>0.58063261003234723</v>
      </c>
      <c r="H68" s="44">
        <f t="shared" si="28"/>
        <v>0.5468142560483672</v>
      </c>
      <c r="I68" s="44">
        <f t="shared" si="28"/>
        <v>0.51079455720908595</v>
      </c>
      <c r="J68" s="44">
        <f t="shared" si="28"/>
        <v>0.54363701805889997</v>
      </c>
      <c r="K68" s="44">
        <f t="shared" si="28"/>
        <v>0.56997917650067187</v>
      </c>
      <c r="L68" s="44">
        <f t="shared" si="28"/>
        <v>0.59636197834800153</v>
      </c>
      <c r="M68" s="44">
        <f t="shared" si="28"/>
        <v>0.57914329655347918</v>
      </c>
      <c r="N68" s="44">
        <f t="shared" si="28"/>
        <v>0.5377346581727106</v>
      </c>
    </row>
    <row r="71" spans="2:14" ht="15.6" x14ac:dyDescent="0.3">
      <c r="B71" s="17" t="s">
        <v>35</v>
      </c>
    </row>
    <row r="72" spans="2:14" x14ac:dyDescent="0.25">
      <c r="B72" s="18"/>
    </row>
    <row r="73" spans="2:14" x14ac:dyDescent="0.25">
      <c r="B73" s="43" t="s">
        <v>43</v>
      </c>
      <c r="C73" s="27" t="s">
        <v>9</v>
      </c>
      <c r="D73" s="27" t="s">
        <v>10</v>
      </c>
      <c r="E73" s="27" t="s">
        <v>11</v>
      </c>
      <c r="F73" s="27" t="s">
        <v>12</v>
      </c>
      <c r="G73" s="27" t="s">
        <v>13</v>
      </c>
      <c r="H73" s="27" t="s">
        <v>14</v>
      </c>
      <c r="I73" s="27" t="s">
        <v>15</v>
      </c>
      <c r="J73" s="27" t="s">
        <v>16</v>
      </c>
      <c r="K73" s="27" t="s">
        <v>17</v>
      </c>
      <c r="L73" s="27" t="s">
        <v>18</v>
      </c>
      <c r="M73" s="27" t="s">
        <v>19</v>
      </c>
      <c r="N73" s="27" t="s">
        <v>20</v>
      </c>
    </row>
    <row r="74" spans="2:14" x14ac:dyDescent="0.25">
      <c r="B74" s="28" t="s">
        <v>36</v>
      </c>
      <c r="C74" s="45">
        <v>7.6999999999999999E-2</v>
      </c>
      <c r="D74" s="45">
        <v>7.6999999999999999E-2</v>
      </c>
      <c r="E74" s="45">
        <v>7.6999999999999999E-2</v>
      </c>
      <c r="F74" s="45">
        <v>7.6999999999999999E-2</v>
      </c>
      <c r="G74" s="45">
        <v>7.6999999999999999E-2</v>
      </c>
      <c r="H74" s="45">
        <v>7.6999999999999999E-2</v>
      </c>
      <c r="I74" s="45">
        <v>7.6999999999999999E-2</v>
      </c>
      <c r="J74" s="45">
        <v>7.6999999999999999E-2</v>
      </c>
      <c r="K74" s="45">
        <v>7.6999999999999999E-2</v>
      </c>
      <c r="L74" s="45">
        <v>7.6999999999999999E-2</v>
      </c>
      <c r="M74" s="45">
        <v>7.6999999999999999E-2</v>
      </c>
      <c r="N74" s="45">
        <v>7.6999999999999999E-2</v>
      </c>
    </row>
    <row r="75" spans="2:14" x14ac:dyDescent="0.25">
      <c r="B75" s="28" t="s">
        <v>37</v>
      </c>
      <c r="C75" s="45">
        <v>8.8999999999999996E-2</v>
      </c>
      <c r="D75" s="45">
        <v>8.8999999999999996E-2</v>
      </c>
      <c r="E75" s="45">
        <v>8.8999999999999996E-2</v>
      </c>
      <c r="F75" s="45">
        <v>8.8999999999999996E-2</v>
      </c>
      <c r="G75" s="45">
        <v>8.8999999999999996E-2</v>
      </c>
      <c r="H75" s="45">
        <v>8.8999999999999996E-2</v>
      </c>
      <c r="I75" s="45">
        <v>8.8999999999999996E-2</v>
      </c>
      <c r="J75" s="45">
        <v>8.8999999999999996E-2</v>
      </c>
      <c r="K75" s="45">
        <v>8.8999999999999996E-2</v>
      </c>
      <c r="L75" s="45">
        <v>8.8999999999999996E-2</v>
      </c>
      <c r="M75" s="45">
        <v>8.8999999999999996E-2</v>
      </c>
      <c r="N75" s="45">
        <v>8.8999999999999996E-2</v>
      </c>
    </row>
    <row r="76" spans="2:14" x14ac:dyDescent="0.25">
      <c r="B76" s="28" t="s">
        <v>38</v>
      </c>
      <c r="C76" s="45">
        <v>6.5000000000000002E-2</v>
      </c>
      <c r="D76" s="45">
        <v>6.5000000000000002E-2</v>
      </c>
      <c r="E76" s="45">
        <v>6.5000000000000002E-2</v>
      </c>
      <c r="F76" s="45">
        <v>6.5000000000000002E-2</v>
      </c>
      <c r="G76" s="45">
        <v>6.5000000000000002E-2</v>
      </c>
      <c r="H76" s="45">
        <v>6.5000000000000002E-2</v>
      </c>
      <c r="I76" s="45">
        <v>6.5000000000000002E-2</v>
      </c>
      <c r="J76" s="45">
        <v>6.5000000000000002E-2</v>
      </c>
      <c r="K76" s="45">
        <v>6.5000000000000002E-2</v>
      </c>
      <c r="L76" s="45">
        <v>6.5000000000000002E-2</v>
      </c>
      <c r="M76" s="45">
        <v>6.5000000000000002E-2</v>
      </c>
      <c r="N76" s="45">
        <v>6.5000000000000002E-2</v>
      </c>
    </row>
    <row r="77" spans="2:14" x14ac:dyDescent="0.25">
      <c r="B77" s="28" t="s">
        <v>39</v>
      </c>
      <c r="C77" s="45">
        <v>9.4E-2</v>
      </c>
      <c r="D77" s="45">
        <v>9.4E-2</v>
      </c>
      <c r="E77" s="45">
        <v>9.4E-2</v>
      </c>
      <c r="F77" s="45">
        <v>9.4E-2</v>
      </c>
      <c r="G77" s="45">
        <v>9.4E-2</v>
      </c>
      <c r="H77" s="45">
        <v>9.4E-2</v>
      </c>
      <c r="I77" s="45">
        <v>9.4E-2</v>
      </c>
      <c r="J77" s="45">
        <v>9.4E-2</v>
      </c>
      <c r="K77" s="45">
        <v>9.4E-2</v>
      </c>
      <c r="L77" s="45">
        <v>9.4E-2</v>
      </c>
      <c r="M77" s="45">
        <v>9.4E-2</v>
      </c>
      <c r="N77" s="45">
        <v>9.4E-2</v>
      </c>
    </row>
    <row r="78" spans="2:14" x14ac:dyDescent="0.25">
      <c r="B78" s="28" t="s">
        <v>40</v>
      </c>
      <c r="C78" s="45">
        <v>0.13200000000000001</v>
      </c>
      <c r="D78" s="45">
        <v>0.13200000000000001</v>
      </c>
      <c r="E78" s="45">
        <v>0.13200000000000001</v>
      </c>
      <c r="F78" s="45">
        <v>0.13200000000000001</v>
      </c>
      <c r="G78" s="45">
        <v>0.13200000000000001</v>
      </c>
      <c r="H78" s="45">
        <v>0.13200000000000001</v>
      </c>
      <c r="I78" s="45">
        <v>0.13200000000000001</v>
      </c>
      <c r="J78" s="45">
        <v>0.13200000000000001</v>
      </c>
      <c r="K78" s="45">
        <v>0.13200000000000001</v>
      </c>
      <c r="L78" s="45">
        <v>0.13200000000000001</v>
      </c>
      <c r="M78" s="45">
        <v>0.13200000000000001</v>
      </c>
      <c r="N78" s="45">
        <v>0.13200000000000001</v>
      </c>
    </row>
    <row r="79" spans="2:14" x14ac:dyDescent="0.25">
      <c r="B79" s="22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2:14" x14ac:dyDescent="0.25">
      <c r="B80" s="43" t="s">
        <v>41</v>
      </c>
      <c r="C80" s="27" t="s">
        <v>9</v>
      </c>
      <c r="D80" s="27" t="s">
        <v>10</v>
      </c>
      <c r="E80" s="27" t="s">
        <v>11</v>
      </c>
      <c r="F80" s="27" t="s">
        <v>12</v>
      </c>
      <c r="G80" s="27" t="s">
        <v>13</v>
      </c>
      <c r="H80" s="27" t="s">
        <v>14</v>
      </c>
      <c r="I80" s="27" t="s">
        <v>15</v>
      </c>
      <c r="J80" s="27" t="s">
        <v>16</v>
      </c>
      <c r="K80" s="27" t="s">
        <v>17</v>
      </c>
      <c r="L80" s="27" t="s">
        <v>18</v>
      </c>
      <c r="M80" s="27" t="s">
        <v>19</v>
      </c>
      <c r="N80" s="27" t="s">
        <v>20</v>
      </c>
    </row>
    <row r="81" spans="2:14" x14ac:dyDescent="0.25">
      <c r="B81" s="28" t="s">
        <v>36</v>
      </c>
      <c r="C81" s="73">
        <f>'Consumption and Rates'!E46/SUM('Consumption and Rates'!E$46:E$50)</f>
        <v>1.4055029093399665E-2</v>
      </c>
      <c r="D81" s="73">
        <f>'Consumption and Rates'!F46/SUM('Consumption and Rates'!F$46:F$50)</f>
        <v>1.5307770128711387E-2</v>
      </c>
      <c r="E81" s="73">
        <f>'Consumption and Rates'!G46/SUM('Consumption and Rates'!G$46:G$50)</f>
        <v>1.4393943681130254E-2</v>
      </c>
      <c r="F81" s="73">
        <f>'Consumption and Rates'!H46/SUM('Consumption and Rates'!H$46:H$50)</f>
        <v>1.4556600642381802E-2</v>
      </c>
      <c r="G81" s="73">
        <f>'Consumption and Rates'!I46/SUM('Consumption and Rates'!I$46:I$50)</f>
        <v>1.1085198741598842E-2</v>
      </c>
      <c r="H81" s="73">
        <f>'Consumption and Rates'!J46/SUM('Consumption and Rates'!J$46:J$50)</f>
        <v>9.3210325248761026E-3</v>
      </c>
      <c r="I81" s="73">
        <f>'Consumption and Rates'!K46/SUM('Consumption and Rates'!K$46:K$50)</f>
        <v>8.6531616894059641E-3</v>
      </c>
      <c r="J81" s="73">
        <f>'Consumption and Rates'!L46/SUM('Consumption and Rates'!L$46:L$50)</f>
        <v>8.3025305184459015E-3</v>
      </c>
      <c r="K81" s="73">
        <f>'Consumption and Rates'!M46/SUM('Consumption and Rates'!M$46:M$50)</f>
        <v>9.6589040315292179E-3</v>
      </c>
      <c r="L81" s="73">
        <f>'Consumption and Rates'!N46/SUM('Consumption and Rates'!N$46:N$50)</f>
        <v>1.1914020781316452E-2</v>
      </c>
      <c r="M81" s="73">
        <f>'Consumption and Rates'!O46/SUM('Consumption and Rates'!O$46:O$50)</f>
        <v>1.4084707675981918E-2</v>
      </c>
      <c r="N81" s="73">
        <f>'Consumption and Rates'!P46/SUM('Consumption and Rates'!P$46:P$50)</f>
        <v>2.0316297448096012E-2</v>
      </c>
    </row>
    <row r="82" spans="2:14" x14ac:dyDescent="0.25">
      <c r="B82" s="28" t="s">
        <v>37</v>
      </c>
      <c r="C82" s="73">
        <f>'Consumption and Rates'!E47/SUM('Consumption and Rates'!E$46:E$50)</f>
        <v>2.6329973138253873E-2</v>
      </c>
      <c r="D82" s="73">
        <f>'Consumption and Rates'!F47/SUM('Consumption and Rates'!F$46:F$50)</f>
        <v>2.8747753394563015E-2</v>
      </c>
      <c r="E82" s="73">
        <f>'Consumption and Rates'!G47/SUM('Consumption and Rates'!G$46:G$50)</f>
        <v>2.8671106588928307E-2</v>
      </c>
      <c r="F82" s="73">
        <f>'Consumption and Rates'!H47/SUM('Consumption and Rates'!H$46:H$50)</f>
        <v>3.3854135957535968E-2</v>
      </c>
      <c r="G82" s="73">
        <f>'Consumption and Rates'!I47/SUM('Consumption and Rates'!I$46:I$50)</f>
        <v>3.470823815380595E-2</v>
      </c>
      <c r="H82" s="73">
        <f>'Consumption and Rates'!J47/SUM('Consumption and Rates'!J$46:J$50)</f>
        <v>2.8829820149697389E-2</v>
      </c>
      <c r="I82" s="73">
        <f>'Consumption and Rates'!K47/SUM('Consumption and Rates'!K$46:K$50)</f>
        <v>3.0080364314448979E-2</v>
      </c>
      <c r="J82" s="73">
        <f>'Consumption and Rates'!L47/SUM('Consumption and Rates'!L$46:L$50)</f>
        <v>2.6851653235539251E-2</v>
      </c>
      <c r="K82" s="73">
        <f>'Consumption and Rates'!M47/SUM('Consumption and Rates'!M$46:M$50)</f>
        <v>2.9701036725931471E-2</v>
      </c>
      <c r="L82" s="73">
        <f>'Consumption and Rates'!N47/SUM('Consumption and Rates'!N$46:N$50)</f>
        <v>3.9425648777649994E-2</v>
      </c>
      <c r="M82" s="73">
        <f>'Consumption and Rates'!O47/SUM('Consumption and Rates'!O$46:O$50)</f>
        <v>3.8304097397381505E-2</v>
      </c>
      <c r="N82" s="73">
        <f>'Consumption and Rates'!P47/SUM('Consumption and Rates'!P$46:P$50)</f>
        <v>2.6843350562566873E-2</v>
      </c>
    </row>
    <row r="83" spans="2:14" x14ac:dyDescent="0.25">
      <c r="B83" s="28" t="s">
        <v>38</v>
      </c>
      <c r="C83" s="73">
        <f>'Consumption and Rates'!E49/SUM('Consumption and Rates'!E$46:E$50)</f>
        <v>0.61682347312096197</v>
      </c>
      <c r="D83" s="73">
        <f>'Consumption and Rates'!F49/SUM('Consumption and Rates'!F$46:F$50)</f>
        <v>0.61322643254567855</v>
      </c>
      <c r="E83" s="73">
        <f>'Consumption and Rates'!G49/SUM('Consumption and Rates'!G$46:G$50)</f>
        <v>0.61361629352839986</v>
      </c>
      <c r="F83" s="73">
        <f>'Consumption and Rates'!H49/SUM('Consumption and Rates'!H$46:H$50)</f>
        <v>0.60338294841508833</v>
      </c>
      <c r="G83" s="73">
        <f>'Consumption and Rates'!I49/SUM('Consumption and Rates'!I$46:I$50)</f>
        <v>0.59567601400279169</v>
      </c>
      <c r="H83" s="73">
        <f>'Consumption and Rates'!J49/SUM('Consumption and Rates'!J$46:J$50)</f>
        <v>0.59509924283937021</v>
      </c>
      <c r="I83" s="73">
        <f>'Consumption and Rates'!K49/SUM('Consumption and Rates'!K$46:K$50)</f>
        <v>0.58723075354558485</v>
      </c>
      <c r="J83" s="73">
        <f>'Consumption and Rates'!L49/SUM('Consumption and Rates'!L$46:L$50)</f>
        <v>0.60080446565351309</v>
      </c>
      <c r="K83" s="73">
        <f>'Consumption and Rates'!M49/SUM('Consumption and Rates'!M$46:M$50)</f>
        <v>0.59624090127717699</v>
      </c>
      <c r="L83" s="73">
        <f>'Consumption and Rates'!N49/SUM('Consumption and Rates'!N$46:N$50)</f>
        <v>0.59755700878296014</v>
      </c>
      <c r="M83" s="73">
        <f>'Consumption and Rates'!O49/SUM('Consumption and Rates'!O$46:O$50)</f>
        <v>0.58588400984908839</v>
      </c>
      <c r="N83" s="73">
        <f>'Consumption and Rates'!P49/SUM('Consumption and Rates'!P$46:P$50)</f>
        <v>0.61860693781619758</v>
      </c>
    </row>
    <row r="84" spans="2:14" x14ac:dyDescent="0.25">
      <c r="B84" s="28" t="s">
        <v>39</v>
      </c>
      <c r="C84" s="73">
        <f>'Consumption and Rates'!E50/SUM('Consumption and Rates'!E$46:E$50)</f>
        <v>0.16538421642018877</v>
      </c>
      <c r="D84" s="73">
        <f>'Consumption and Rates'!F50/SUM('Consumption and Rates'!F$46:F$50)</f>
        <v>0.16536441442186514</v>
      </c>
      <c r="E84" s="73">
        <f>'Consumption and Rates'!G50/SUM('Consumption and Rates'!G$46:G$50)</f>
        <v>0.16725006526824784</v>
      </c>
      <c r="F84" s="73">
        <f>'Consumption and Rates'!H50/SUM('Consumption and Rates'!H$46:H$50)</f>
        <v>0.17106067831706886</v>
      </c>
      <c r="G84" s="73">
        <f>'Consumption and Rates'!I50/SUM('Consumption and Rates'!I$46:I$50)</f>
        <v>0.17661701228148108</v>
      </c>
      <c r="H84" s="73">
        <f>'Consumption and Rates'!J50/SUM('Consumption and Rates'!J$46:J$50)</f>
        <v>0.17632728377261575</v>
      </c>
      <c r="I84" s="73">
        <f>'Consumption and Rates'!K50/SUM('Consumption and Rates'!K$46:K$50)</f>
        <v>0.17413733791083266</v>
      </c>
      <c r="J84" s="73">
        <f>'Consumption and Rates'!L50/SUM('Consumption and Rates'!L$46:L$50)</f>
        <v>0.17002710463496323</v>
      </c>
      <c r="K84" s="73">
        <f>'Consumption and Rates'!M50/SUM('Consumption and Rates'!M$46:M$50)</f>
        <v>0.17616747521276951</v>
      </c>
      <c r="L84" s="73">
        <f>'Consumption and Rates'!N50/SUM('Consumption and Rates'!N$46:N$50)</f>
        <v>0.17661425336254397</v>
      </c>
      <c r="M84" s="73">
        <f>'Consumption and Rates'!O50/SUM('Consumption and Rates'!O$46:O$50)</f>
        <v>0.17718689178687619</v>
      </c>
      <c r="N84" s="73">
        <f>'Consumption and Rates'!P50/SUM('Consumption and Rates'!P$46:P$50)</f>
        <v>0.16267800223062798</v>
      </c>
    </row>
    <row r="85" spans="2:14" x14ac:dyDescent="0.25">
      <c r="B85" s="28" t="s">
        <v>40</v>
      </c>
      <c r="C85" s="73">
        <f>'Consumption and Rates'!E48/SUM('Consumption and Rates'!E$46:E$50)</f>
        <v>0.17740730822719561</v>
      </c>
      <c r="D85" s="73">
        <f>'Consumption and Rates'!F48/SUM('Consumption and Rates'!F$46:F$50)</f>
        <v>0.17735362950918176</v>
      </c>
      <c r="E85" s="73">
        <f>'Consumption and Rates'!G48/SUM('Consumption and Rates'!G$46:G$50)</f>
        <v>0.17606859093329383</v>
      </c>
      <c r="F85" s="73">
        <f>'Consumption and Rates'!H48/SUM('Consumption and Rates'!H$46:H$50)</f>
        <v>0.17714563666792518</v>
      </c>
      <c r="G85" s="73">
        <f>'Consumption and Rates'!I48/SUM('Consumption and Rates'!I$46:I$50)</f>
        <v>0.18191353682032241</v>
      </c>
      <c r="H85" s="73">
        <f>'Consumption and Rates'!J48/SUM('Consumption and Rates'!J$46:J$50)</f>
        <v>0.1904226207134406</v>
      </c>
      <c r="I85" s="73">
        <f>'Consumption and Rates'!K48/SUM('Consumption and Rates'!K$46:K$50)</f>
        <v>0.1998983825397275</v>
      </c>
      <c r="J85" s="73">
        <f>'Consumption and Rates'!L48/SUM('Consumption and Rates'!L$46:L$50)</f>
        <v>0.19401424595753861</v>
      </c>
      <c r="K85" s="73">
        <f>'Consumption and Rates'!M48/SUM('Consumption and Rates'!M$46:M$50)</f>
        <v>0.18823168275259286</v>
      </c>
      <c r="L85" s="73">
        <f>'Consumption and Rates'!N48/SUM('Consumption and Rates'!N$46:N$50)</f>
        <v>0.17448906829552943</v>
      </c>
      <c r="M85" s="73">
        <f>'Consumption and Rates'!O48/SUM('Consumption and Rates'!O$46:O$50)</f>
        <v>0.18454029329067206</v>
      </c>
      <c r="N85" s="73">
        <f>'Consumption and Rates'!P48/SUM('Consumption and Rates'!P$46:P$50)</f>
        <v>0.17155541194251156</v>
      </c>
    </row>
    <row r="86" spans="2:14" x14ac:dyDescent="0.25">
      <c r="B86" s="47" t="s">
        <v>21</v>
      </c>
      <c r="C86" s="59">
        <f>SUM(C81:C85)</f>
        <v>0.99999999999999989</v>
      </c>
      <c r="D86" s="59">
        <f t="shared" ref="D86:N86" si="29">SUM(D81:D85)</f>
        <v>0.99999999999999978</v>
      </c>
      <c r="E86" s="59">
        <f t="shared" si="29"/>
        <v>1</v>
      </c>
      <c r="F86" s="59">
        <f t="shared" si="29"/>
        <v>1.0000000000000002</v>
      </c>
      <c r="G86" s="59">
        <f t="shared" si="29"/>
        <v>1</v>
      </c>
      <c r="H86" s="59">
        <f t="shared" si="29"/>
        <v>1</v>
      </c>
      <c r="I86" s="59">
        <f t="shared" si="29"/>
        <v>0.99999999999999989</v>
      </c>
      <c r="J86" s="59">
        <f t="shared" si="29"/>
        <v>1.0000000000000002</v>
      </c>
      <c r="K86" s="59">
        <f t="shared" si="29"/>
        <v>1.0000000000000002</v>
      </c>
      <c r="L86" s="59">
        <f t="shared" si="29"/>
        <v>1</v>
      </c>
      <c r="M86" s="59">
        <f t="shared" si="29"/>
        <v>1</v>
      </c>
      <c r="N86" s="59">
        <f t="shared" si="29"/>
        <v>1</v>
      </c>
    </row>
    <row r="87" spans="2:14" x14ac:dyDescent="0.25">
      <c r="B87" s="22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</row>
    <row r="88" spans="2:14" x14ac:dyDescent="0.25">
      <c r="B88" s="43" t="s">
        <v>42</v>
      </c>
      <c r="C88" s="27" t="s">
        <v>9</v>
      </c>
      <c r="D88" s="27" t="s">
        <v>10</v>
      </c>
      <c r="E88" s="27" t="s">
        <v>11</v>
      </c>
      <c r="F88" s="27" t="s">
        <v>12</v>
      </c>
      <c r="G88" s="27" t="s">
        <v>13</v>
      </c>
      <c r="H88" s="27" t="s">
        <v>14</v>
      </c>
      <c r="I88" s="27" t="s">
        <v>15</v>
      </c>
      <c r="J88" s="27" t="s">
        <v>16</v>
      </c>
      <c r="K88" s="27" t="s">
        <v>17</v>
      </c>
      <c r="L88" s="27" t="s">
        <v>18</v>
      </c>
      <c r="M88" s="27" t="s">
        <v>19</v>
      </c>
      <c r="N88" s="27" t="s">
        <v>20</v>
      </c>
    </row>
    <row r="89" spans="2:14" x14ac:dyDescent="0.25">
      <c r="B89" s="28" t="s">
        <v>36</v>
      </c>
      <c r="C89" s="21">
        <f>C81*C$53</f>
        <v>162901.3537078888</v>
      </c>
      <c r="D89" s="21">
        <f t="shared" ref="D89:N89" si="30">D81*D$53</f>
        <v>149520.97633761706</v>
      </c>
      <c r="E89" s="21">
        <f t="shared" si="30"/>
        <v>144758.8478847674</v>
      </c>
      <c r="F89" s="21">
        <f t="shared" si="30"/>
        <v>132618.83218379904</v>
      </c>
      <c r="G89" s="21">
        <f t="shared" si="30"/>
        <v>100402.7193764156</v>
      </c>
      <c r="H89" s="21">
        <f t="shared" si="30"/>
        <v>97847.64981903632</v>
      </c>
      <c r="I89" s="21">
        <f t="shared" si="30"/>
        <v>106893.96733346276</v>
      </c>
      <c r="J89" s="21">
        <f t="shared" si="30"/>
        <v>102882.99291395632</v>
      </c>
      <c r="K89" s="21">
        <f t="shared" si="30"/>
        <v>101320.09344603284</v>
      </c>
      <c r="L89" s="21">
        <f t="shared" si="30"/>
        <v>112598.56530153862</v>
      </c>
      <c r="M89" s="21">
        <f t="shared" si="30"/>
        <v>142112.7498970021</v>
      </c>
      <c r="N89" s="21">
        <f t="shared" si="30"/>
        <v>227270.06332210489</v>
      </c>
    </row>
    <row r="90" spans="2:14" x14ac:dyDescent="0.25">
      <c r="B90" s="28" t="s">
        <v>37</v>
      </c>
      <c r="C90" s="21">
        <f t="shared" ref="C90:N93" si="31">C82*C$53</f>
        <v>305171.06999999995</v>
      </c>
      <c r="D90" s="21">
        <f t="shared" si="31"/>
        <v>280798.05999999994</v>
      </c>
      <c r="E90" s="21">
        <f t="shared" si="31"/>
        <v>288343.24000000005</v>
      </c>
      <c r="F90" s="21">
        <f t="shared" si="31"/>
        <v>308430.25</v>
      </c>
      <c r="G90" s="21">
        <f t="shared" si="31"/>
        <v>314365.26999999996</v>
      </c>
      <c r="H90" s="21">
        <f t="shared" si="31"/>
        <v>302641.37999999995</v>
      </c>
      <c r="I90" s="21">
        <f t="shared" si="31"/>
        <v>371587.81909090903</v>
      </c>
      <c r="J90" s="21">
        <f t="shared" si="31"/>
        <v>332739.33090909093</v>
      </c>
      <c r="K90" s="21">
        <f t="shared" si="31"/>
        <v>311558.31</v>
      </c>
      <c r="L90" s="21">
        <f t="shared" si="31"/>
        <v>372609.00999999995</v>
      </c>
      <c r="M90" s="21">
        <f t="shared" si="31"/>
        <v>386483.03810714278</v>
      </c>
      <c r="N90" s="21">
        <f t="shared" si="31"/>
        <v>300285.52189285716</v>
      </c>
    </row>
    <row r="91" spans="2:14" x14ac:dyDescent="0.25">
      <c r="B91" s="28" t="s">
        <v>38</v>
      </c>
      <c r="C91" s="21">
        <f t="shared" si="31"/>
        <v>7149140.5746995565</v>
      </c>
      <c r="D91" s="21">
        <f t="shared" si="31"/>
        <v>5989782.5835709898</v>
      </c>
      <c r="E91" s="21">
        <f t="shared" si="31"/>
        <v>6171094.5702072876</v>
      </c>
      <c r="F91" s="21">
        <f t="shared" si="31"/>
        <v>5497158.5704870541</v>
      </c>
      <c r="G91" s="21">
        <f t="shared" si="31"/>
        <v>5395256.6000235677</v>
      </c>
      <c r="H91" s="21">
        <f t="shared" si="31"/>
        <v>6247061.3813993046</v>
      </c>
      <c r="I91" s="21">
        <f t="shared" si="31"/>
        <v>7254160.6455311365</v>
      </c>
      <c r="J91" s="21">
        <f t="shared" si="31"/>
        <v>7445026.7234999584</v>
      </c>
      <c r="K91" s="21">
        <f t="shared" si="31"/>
        <v>6254455.3332916787</v>
      </c>
      <c r="L91" s="21">
        <f t="shared" si="31"/>
        <v>5647468.9032232491</v>
      </c>
      <c r="M91" s="21">
        <f t="shared" si="31"/>
        <v>5911488.5218611117</v>
      </c>
      <c r="N91" s="21">
        <f t="shared" si="31"/>
        <v>6920101.3761568265</v>
      </c>
    </row>
    <row r="92" spans="2:14" x14ac:dyDescent="0.25">
      <c r="B92" s="28" t="s">
        <v>39</v>
      </c>
      <c r="C92" s="21">
        <f t="shared" si="31"/>
        <v>1916845.0351638917</v>
      </c>
      <c r="D92" s="21">
        <f t="shared" si="31"/>
        <v>1615222.1053725083</v>
      </c>
      <c r="E92" s="21">
        <f t="shared" si="31"/>
        <v>1682021.7789668741</v>
      </c>
      <c r="F92" s="21">
        <f t="shared" si="31"/>
        <v>1558459.1449825093</v>
      </c>
      <c r="G92" s="21">
        <f t="shared" si="31"/>
        <v>1599685.1959589538</v>
      </c>
      <c r="H92" s="21">
        <f t="shared" si="31"/>
        <v>1850997.7591086761</v>
      </c>
      <c r="I92" s="21">
        <f t="shared" si="31"/>
        <v>2151147.9362469385</v>
      </c>
      <c r="J92" s="21">
        <f t="shared" si="31"/>
        <v>2106935.6339582377</v>
      </c>
      <c r="K92" s="21">
        <f t="shared" si="31"/>
        <v>1847963.8054632936</v>
      </c>
      <c r="L92" s="21">
        <f t="shared" si="31"/>
        <v>1669168.7806698214</v>
      </c>
      <c r="M92" s="21">
        <f t="shared" si="31"/>
        <v>1787791.1999888236</v>
      </c>
      <c r="N92" s="21">
        <f t="shared" si="31"/>
        <v>1819811.9003978868</v>
      </c>
    </row>
    <row r="93" spans="2:14" x14ac:dyDescent="0.25">
      <c r="B93" s="28" t="s">
        <v>40</v>
      </c>
      <c r="C93" s="21">
        <f t="shared" si="31"/>
        <v>2056195.7201109191</v>
      </c>
      <c r="D93" s="21">
        <f t="shared" si="31"/>
        <v>1732328.589877066</v>
      </c>
      <c r="E93" s="21">
        <f t="shared" si="31"/>
        <v>1770709.0521418981</v>
      </c>
      <c r="F93" s="21">
        <f t="shared" si="31"/>
        <v>1613896.5434660593</v>
      </c>
      <c r="G93" s="21">
        <f t="shared" si="31"/>
        <v>1647657.7654491139</v>
      </c>
      <c r="H93" s="21">
        <f t="shared" si="31"/>
        <v>1998963.7263324081</v>
      </c>
      <c r="I93" s="21">
        <f t="shared" si="31"/>
        <v>2469378.469996043</v>
      </c>
      <c r="J93" s="21">
        <f t="shared" si="31"/>
        <v>2404178.6112931208</v>
      </c>
      <c r="K93" s="21">
        <f t="shared" si="31"/>
        <v>1974515.082015703</v>
      </c>
      <c r="L93" s="21">
        <f t="shared" si="31"/>
        <v>1649083.807348191</v>
      </c>
      <c r="M93" s="21">
        <f t="shared" si="31"/>
        <v>1861986.0028091336</v>
      </c>
      <c r="N93" s="21">
        <f t="shared" si="31"/>
        <v>1919119.8315064232</v>
      </c>
    </row>
    <row r="94" spans="2:14" x14ac:dyDescent="0.25">
      <c r="B94" s="30" t="s">
        <v>21</v>
      </c>
      <c r="C94" s="33">
        <f>SUM(C89:C93)</f>
        <v>11590253.753682256</v>
      </c>
      <c r="D94" s="33">
        <f t="shared" ref="D94:N94" si="32">SUM(D89:D93)</f>
        <v>9767652.3151581809</v>
      </c>
      <c r="E94" s="33">
        <f t="shared" si="32"/>
        <v>10056927.489200827</v>
      </c>
      <c r="F94" s="33">
        <f t="shared" si="32"/>
        <v>9110563.3411194216</v>
      </c>
      <c r="G94" s="33">
        <f t="shared" si="32"/>
        <v>9057367.5508080516</v>
      </c>
      <c r="H94" s="33">
        <f t="shared" si="32"/>
        <v>10497511.896659425</v>
      </c>
      <c r="I94" s="33">
        <f t="shared" si="32"/>
        <v>12353168.838198489</v>
      </c>
      <c r="J94" s="33">
        <f t="shared" si="32"/>
        <v>12391763.292574363</v>
      </c>
      <c r="K94" s="33">
        <f t="shared" si="32"/>
        <v>10489812.624216707</v>
      </c>
      <c r="L94" s="33">
        <f t="shared" si="32"/>
        <v>9450929.0665428005</v>
      </c>
      <c r="M94" s="33">
        <f t="shared" si="32"/>
        <v>10089861.512663214</v>
      </c>
      <c r="N94" s="33">
        <f t="shared" si="32"/>
        <v>11186588.6932761</v>
      </c>
    </row>
    <row r="97" spans="2:15" ht="15.6" x14ac:dyDescent="0.3">
      <c r="B97" s="17" t="s">
        <v>50</v>
      </c>
    </row>
    <row r="98" spans="2:15" ht="14.4" x14ac:dyDescent="0.3">
      <c r="B98" s="9"/>
    </row>
    <row r="99" spans="2:15" x14ac:dyDescent="0.25">
      <c r="B99" s="48" t="s">
        <v>55</v>
      </c>
      <c r="C99" s="27" t="s">
        <v>9</v>
      </c>
      <c r="D99" s="27" t="s">
        <v>10</v>
      </c>
      <c r="E99" s="27" t="s">
        <v>11</v>
      </c>
      <c r="F99" s="27" t="s">
        <v>12</v>
      </c>
      <c r="G99" s="27" t="s">
        <v>13</v>
      </c>
      <c r="H99" s="27" t="s">
        <v>14</v>
      </c>
      <c r="I99" s="27" t="s">
        <v>15</v>
      </c>
      <c r="J99" s="27" t="s">
        <v>16</v>
      </c>
      <c r="K99" s="27" t="s">
        <v>17</v>
      </c>
      <c r="L99" s="27" t="s">
        <v>18</v>
      </c>
      <c r="M99" s="27" t="s">
        <v>19</v>
      </c>
      <c r="N99" s="27" t="s">
        <v>20</v>
      </c>
    </row>
    <row r="100" spans="2:15" x14ac:dyDescent="0.25">
      <c r="B100" s="28" t="s">
        <v>51</v>
      </c>
      <c r="C100" s="63">
        <f>C186</f>
        <v>4.4003996441883672E-2</v>
      </c>
      <c r="D100" s="63">
        <f t="shared" ref="D100:N101" si="33">D186</f>
        <v>-3.7927750095897114E-3</v>
      </c>
      <c r="E100" s="63">
        <f t="shared" si="33"/>
        <v>7.9252293530603091E-3</v>
      </c>
      <c r="F100" s="63">
        <f t="shared" si="33"/>
        <v>2.7708769714529759E-2</v>
      </c>
      <c r="G100" s="63">
        <f t="shared" si="33"/>
        <v>-3.158890781222095E-2</v>
      </c>
      <c r="H100" s="63">
        <f t="shared" si="33"/>
        <v>-1.4347664117604496E-3</v>
      </c>
      <c r="I100" s="63">
        <f t="shared" si="33"/>
        <v>2.2842203427129105E-2</v>
      </c>
      <c r="J100" s="63">
        <f t="shared" si="33"/>
        <v>2.2224800140417714E-3</v>
      </c>
      <c r="K100" s="63">
        <f t="shared" si="33"/>
        <v>5.6754717773006141E-3</v>
      </c>
      <c r="L100" s="63">
        <f t="shared" si="33"/>
        <v>-3.2840188721693746E-2</v>
      </c>
      <c r="M100" s="63">
        <f t="shared" si="33"/>
        <v>3.3014357517321728E-2</v>
      </c>
      <c r="N100" s="63">
        <f t="shared" si="33"/>
        <v>2.8045742891430886E-2</v>
      </c>
    </row>
    <row r="101" spans="2:15" x14ac:dyDescent="0.25">
      <c r="B101" s="28" t="s">
        <v>52</v>
      </c>
      <c r="C101" s="63">
        <f>C187</f>
        <v>2.027265640113602E-2</v>
      </c>
      <c r="D101" s="63">
        <f t="shared" si="33"/>
        <v>3.1947010734836571E-2</v>
      </c>
      <c r="E101" s="63">
        <f t="shared" si="33"/>
        <v>1.9313256392928611E-2</v>
      </c>
      <c r="F101" s="63">
        <f t="shared" si="33"/>
        <v>1.7580130490640739E-2</v>
      </c>
      <c r="G101" s="63">
        <f t="shared" si="33"/>
        <v>2.9714422556118624E-2</v>
      </c>
      <c r="H101" s="63">
        <f t="shared" si="33"/>
        <v>1.361094860425865E-2</v>
      </c>
      <c r="I101" s="63">
        <f t="shared" si="33"/>
        <v>1.7939624194798772E-2</v>
      </c>
      <c r="J101" s="63">
        <f t="shared" si="33"/>
        <v>3.0637300850248426E-2</v>
      </c>
      <c r="K101" s="63">
        <f t="shared" si="33"/>
        <v>3.0647676309430862E-2</v>
      </c>
      <c r="L101" s="63">
        <f t="shared" si="33"/>
        <v>2.9512862822852107E-2</v>
      </c>
      <c r="M101" s="63">
        <f t="shared" si="33"/>
        <v>1.4071701950838605E-2</v>
      </c>
      <c r="N101" s="63">
        <f t="shared" si="33"/>
        <v>2.5717193901436633E-2</v>
      </c>
    </row>
    <row r="102" spans="2:15" x14ac:dyDescent="0.25">
      <c r="B102" s="28" t="s">
        <v>53</v>
      </c>
      <c r="C102" s="62">
        <f>'Consumption and Rates'!E5/100</f>
        <v>8.7769999999999987E-2</v>
      </c>
      <c r="D102" s="62">
        <f>'Consumption and Rates'!F5/100</f>
        <v>7.3329999999999992E-2</v>
      </c>
      <c r="E102" s="62">
        <f>'Consumption and Rates'!G5/100</f>
        <v>7.8769999999999993E-2</v>
      </c>
      <c r="F102" s="62">
        <f>'Consumption and Rates'!H5/100</f>
        <v>9.8099999999999993E-2</v>
      </c>
      <c r="G102" s="62">
        <f>'Consumption and Rates'!I5/100</f>
        <v>9.391999999999999E-2</v>
      </c>
      <c r="H102" s="62">
        <f>'Consumption and Rates'!J5/100</f>
        <v>0.13336000000000001</v>
      </c>
      <c r="I102" s="62">
        <f>'Consumption and Rates'!K5/100</f>
        <v>8.5020000000000012E-2</v>
      </c>
      <c r="J102" s="62">
        <f>'Consumption and Rates'!L5/100</f>
        <v>7.7900000000000011E-2</v>
      </c>
      <c r="K102" s="62">
        <f>'Consumption and Rates'!M5/100</f>
        <v>8.4239999999999995E-2</v>
      </c>
      <c r="L102" s="62">
        <f>'Consumption and Rates'!N5/100</f>
        <v>8.9209999999999998E-2</v>
      </c>
      <c r="M102" s="62">
        <f>'Consumption and Rates'!O5/100</f>
        <v>0.12235</v>
      </c>
      <c r="N102" s="62">
        <f>'Consumption and Rates'!P5/100</f>
        <v>9.1980000000000006E-2</v>
      </c>
    </row>
    <row r="103" spans="2:15" x14ac:dyDescent="0.25">
      <c r="B103" s="28" t="s">
        <v>54</v>
      </c>
      <c r="C103" s="62">
        <f>'Consumption and Rates'!E6/100</f>
        <v>6.3700000000000007E-2</v>
      </c>
      <c r="D103" s="62">
        <f>'Consumption and Rates'!F6/100</f>
        <v>7.7100000000000002E-2</v>
      </c>
      <c r="E103" s="62">
        <f>'Consumption and Rates'!G6/100</f>
        <v>8.5999999999999993E-2</v>
      </c>
      <c r="F103" s="62">
        <f>'Consumption and Rates'!H6/100</f>
        <v>0.1007</v>
      </c>
      <c r="G103" s="62">
        <f>'Consumption and Rates'!I6/100</f>
        <v>0.13200000000000001</v>
      </c>
      <c r="H103" s="62">
        <f>'Consumption and Rates'!J6/100</f>
        <v>0.1024</v>
      </c>
      <c r="I103" s="62">
        <f>'Consumption and Rates'!K6/100</f>
        <v>8.1199999999999994E-2</v>
      </c>
      <c r="J103" s="62">
        <f>'Consumption and Rates'!L6/100</f>
        <v>7.3200000000000001E-2</v>
      </c>
      <c r="K103" s="62">
        <f>'Consumption and Rates'!M6/100</f>
        <v>8.6599999999999996E-2</v>
      </c>
      <c r="L103" s="62">
        <f>'Consumption and Rates'!N6/100</f>
        <v>0.12</v>
      </c>
      <c r="M103" s="62">
        <f>'Consumption and Rates'!O6/100</f>
        <v>0.10539999999999999</v>
      </c>
      <c r="N103" s="62">
        <f>'Consumption and Rates'!P6/100</f>
        <v>7.0699999999999999E-2</v>
      </c>
    </row>
    <row r="104" spans="2:15" x14ac:dyDescent="0.25">
      <c r="B104" s="28" t="s">
        <v>60</v>
      </c>
      <c r="C104" s="62">
        <f>'Consumption and Rates'!E7/100</f>
        <v>6.7360000000000003E-2</v>
      </c>
      <c r="D104" s="62">
        <f>'Consumption and Rates'!F7/100</f>
        <v>8.1669999999999993E-2</v>
      </c>
      <c r="E104" s="62">
        <f>'Consumption and Rates'!G7/100</f>
        <v>9.4810000000000005E-2</v>
      </c>
      <c r="F104" s="62">
        <f>'Consumption and Rates'!H7/100</f>
        <v>9.9589999999999998E-2</v>
      </c>
      <c r="G104" s="62">
        <f>'Consumption and Rates'!I7/100</f>
        <v>0.10793000000000001</v>
      </c>
      <c r="H104" s="62">
        <f>'Consumption and Rates'!J7/100</f>
        <v>0.11896</v>
      </c>
      <c r="I104" s="62">
        <f>'Consumption and Rates'!K7/100</f>
        <v>7.7370000000000008E-2</v>
      </c>
      <c r="J104" s="62">
        <f>'Consumption and Rates'!L7/100</f>
        <v>7.4900000000000008E-2</v>
      </c>
      <c r="K104" s="62">
        <f>'Consumption and Rates'!M7/100</f>
        <v>8.584E-2</v>
      </c>
      <c r="L104" s="62">
        <f>'Consumption and Rates'!N7/100</f>
        <v>0.12059000000000002</v>
      </c>
      <c r="M104" s="62">
        <f>'Consumption and Rates'!O7/100</f>
        <v>9.8549999999999999E-2</v>
      </c>
      <c r="N104" s="62">
        <f>'Consumption and Rates'!P7/100</f>
        <v>7.4040000000000009E-2</v>
      </c>
    </row>
    <row r="107" spans="2:15" ht="15.6" x14ac:dyDescent="0.3">
      <c r="B107" s="17" t="s">
        <v>61</v>
      </c>
    </row>
    <row r="109" spans="2:15" x14ac:dyDescent="0.25">
      <c r="B109" s="43" t="s">
        <v>71</v>
      </c>
      <c r="C109" s="27" t="s">
        <v>9</v>
      </c>
      <c r="D109" s="27" t="s">
        <v>10</v>
      </c>
      <c r="E109" s="27" t="s">
        <v>11</v>
      </c>
      <c r="F109" s="27" t="s">
        <v>12</v>
      </c>
      <c r="G109" s="27" t="s">
        <v>13</v>
      </c>
      <c r="H109" s="27" t="s">
        <v>14</v>
      </c>
      <c r="I109" s="27" t="s">
        <v>15</v>
      </c>
      <c r="J109" s="27" t="s">
        <v>16</v>
      </c>
      <c r="K109" s="27" t="s">
        <v>17</v>
      </c>
      <c r="L109" s="27" t="s">
        <v>18</v>
      </c>
      <c r="M109" s="27" t="s">
        <v>19</v>
      </c>
      <c r="N109" s="27" t="s">
        <v>20</v>
      </c>
      <c r="O109" s="22"/>
    </row>
    <row r="110" spans="2:15" ht="13.8" x14ac:dyDescent="0.25">
      <c r="B110" s="36" t="s">
        <v>73</v>
      </c>
      <c r="C110" s="21">
        <f>C130/C120</f>
        <v>0</v>
      </c>
      <c r="D110" s="21">
        <f t="shared" ref="D110:N111" si="34">D130/D120</f>
        <v>0</v>
      </c>
      <c r="E110" s="21">
        <f t="shared" si="34"/>
        <v>0</v>
      </c>
      <c r="F110" s="21">
        <f t="shared" si="34"/>
        <v>0</v>
      </c>
      <c r="G110" s="21">
        <f t="shared" si="34"/>
        <v>0</v>
      </c>
      <c r="H110" s="21">
        <f t="shared" si="34"/>
        <v>0</v>
      </c>
      <c r="I110" s="21">
        <f t="shared" si="34"/>
        <v>0</v>
      </c>
      <c r="J110" s="21">
        <f t="shared" si="34"/>
        <v>0</v>
      </c>
      <c r="K110" s="21">
        <f t="shared" si="34"/>
        <v>0</v>
      </c>
      <c r="L110" s="21">
        <f t="shared" si="34"/>
        <v>0</v>
      </c>
      <c r="M110" s="21">
        <f t="shared" si="34"/>
        <v>0</v>
      </c>
      <c r="N110" s="21">
        <f t="shared" si="34"/>
        <v>0</v>
      </c>
      <c r="O110" s="22"/>
    </row>
    <row r="111" spans="2:15" x14ac:dyDescent="0.25">
      <c r="B111" s="36" t="s">
        <v>62</v>
      </c>
      <c r="C111" s="52">
        <f>C131/C121</f>
        <v>3.255961568348921E-2</v>
      </c>
      <c r="D111" s="52">
        <f t="shared" si="34"/>
        <v>1.9269160571506627E-2</v>
      </c>
      <c r="E111" s="52">
        <f t="shared" si="34"/>
        <v>1.7792153384880945E-2</v>
      </c>
      <c r="F111" s="52">
        <f t="shared" si="34"/>
        <v>3.0202234038408552E-2</v>
      </c>
      <c r="G111" s="52">
        <f t="shared" si="34"/>
        <v>1.3648995033653811E-2</v>
      </c>
      <c r="H111" s="52">
        <f t="shared" si="34"/>
        <v>1.8394194837187988E-2</v>
      </c>
      <c r="I111" s="52">
        <f t="shared" si="34"/>
        <v>3.0823801894895992E-2</v>
      </c>
      <c r="J111" s="52">
        <f t="shared" si="34"/>
        <v>3.0574083022595913E-2</v>
      </c>
      <c r="K111" s="52">
        <f t="shared" si="34"/>
        <v>2.9841708404198065E-2</v>
      </c>
      <c r="L111" s="52">
        <f t="shared" si="34"/>
        <v>1.419163186433418E-2</v>
      </c>
      <c r="M111" s="52">
        <f t="shared" si="34"/>
        <v>2.5712748239372817E-2</v>
      </c>
      <c r="N111" s="52">
        <f t="shared" si="34"/>
        <v>2.8574409898144387E-2</v>
      </c>
      <c r="O111" s="22"/>
    </row>
    <row r="112" spans="2:15" ht="13.8" x14ac:dyDescent="0.25">
      <c r="B112" s="36" t="s">
        <v>74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2"/>
    </row>
    <row r="113" spans="2:15" x14ac:dyDescent="0.25">
      <c r="B113" s="36" t="s">
        <v>64</v>
      </c>
      <c r="C113" s="53">
        <f t="shared" ref="C113:N113" si="35">C104</f>
        <v>6.7360000000000003E-2</v>
      </c>
      <c r="D113" s="53">
        <f t="shared" si="35"/>
        <v>8.1669999999999993E-2</v>
      </c>
      <c r="E113" s="53">
        <f t="shared" si="35"/>
        <v>9.4810000000000005E-2</v>
      </c>
      <c r="F113" s="53">
        <f t="shared" si="35"/>
        <v>9.9589999999999998E-2</v>
      </c>
      <c r="G113" s="53">
        <f t="shared" si="35"/>
        <v>0.10793000000000001</v>
      </c>
      <c r="H113" s="53">
        <f t="shared" si="35"/>
        <v>0.11896</v>
      </c>
      <c r="I113" s="53">
        <f t="shared" si="35"/>
        <v>7.7370000000000008E-2</v>
      </c>
      <c r="J113" s="53">
        <f t="shared" si="35"/>
        <v>7.4900000000000008E-2</v>
      </c>
      <c r="K113" s="53">
        <f t="shared" si="35"/>
        <v>8.584E-2</v>
      </c>
      <c r="L113" s="53">
        <f t="shared" si="35"/>
        <v>0.12059000000000002</v>
      </c>
      <c r="M113" s="53">
        <f t="shared" si="35"/>
        <v>9.8549999999999999E-2</v>
      </c>
      <c r="N113" s="53">
        <f t="shared" si="35"/>
        <v>7.4040000000000009E-2</v>
      </c>
      <c r="O113" s="22"/>
    </row>
    <row r="114" spans="2:15" x14ac:dyDescent="0.25">
      <c r="B114" s="36" t="s">
        <v>65</v>
      </c>
      <c r="C114" s="53">
        <f>C113</f>
        <v>6.7360000000000003E-2</v>
      </c>
      <c r="D114" s="53">
        <f t="shared" ref="D114:N114" si="36">D113</f>
        <v>8.1669999999999993E-2</v>
      </c>
      <c r="E114" s="53">
        <f t="shared" si="36"/>
        <v>9.4810000000000005E-2</v>
      </c>
      <c r="F114" s="53">
        <f t="shared" si="36"/>
        <v>9.9589999999999998E-2</v>
      </c>
      <c r="G114" s="53">
        <f t="shared" si="36"/>
        <v>0.10793000000000001</v>
      </c>
      <c r="H114" s="53">
        <f t="shared" si="36"/>
        <v>0.11896</v>
      </c>
      <c r="I114" s="53">
        <f t="shared" si="36"/>
        <v>7.7370000000000008E-2</v>
      </c>
      <c r="J114" s="53">
        <f t="shared" si="36"/>
        <v>7.4900000000000008E-2</v>
      </c>
      <c r="K114" s="53">
        <f t="shared" si="36"/>
        <v>8.584E-2</v>
      </c>
      <c r="L114" s="53">
        <f t="shared" si="36"/>
        <v>0.12059000000000002</v>
      </c>
      <c r="M114" s="53">
        <f t="shared" si="36"/>
        <v>9.8549999999999999E-2</v>
      </c>
      <c r="N114" s="53">
        <f t="shared" si="36"/>
        <v>7.4040000000000009E-2</v>
      </c>
      <c r="O114" s="22"/>
    </row>
    <row r="115" spans="2:15" x14ac:dyDescent="0.25">
      <c r="B115" s="36" t="s">
        <v>66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2"/>
    </row>
    <row r="116" spans="2:15" ht="13.8" x14ac:dyDescent="0.25">
      <c r="B116" s="36" t="s">
        <v>75</v>
      </c>
      <c r="C116" s="52">
        <f>C136/C126</f>
        <v>-0.46550084117192703</v>
      </c>
      <c r="D116" s="52">
        <f t="shared" ref="D116:N116" si="37">D136/D126</f>
        <v>-0.38931560391289899</v>
      </c>
      <c r="E116" s="52">
        <f t="shared" si="37"/>
        <v>-0.1728420378003418</v>
      </c>
      <c r="F116" s="52">
        <f t="shared" si="37"/>
        <v>-0.49905909501006313</v>
      </c>
      <c r="G116" s="52">
        <f t="shared" si="37"/>
        <v>-0.28761426811702828</v>
      </c>
      <c r="H116" s="52">
        <f t="shared" si="37"/>
        <v>-0.43301101735051217</v>
      </c>
      <c r="I116" s="52">
        <f t="shared" si="37"/>
        <v>-7.5147794788997732E-2</v>
      </c>
      <c r="J116" s="52">
        <f t="shared" si="37"/>
        <v>-0.61616486444131013</v>
      </c>
      <c r="K116" s="52">
        <f t="shared" si="37"/>
        <v>-0.56408162602194989</v>
      </c>
      <c r="L116" s="52">
        <f t="shared" si="37"/>
        <v>-0.63230521055422073</v>
      </c>
      <c r="M116" s="52">
        <f t="shared" si="37"/>
        <v>-1.079904997553387</v>
      </c>
      <c r="N116" s="52">
        <f t="shared" si="37"/>
        <v>-0.44231882115261251</v>
      </c>
      <c r="O116" s="22"/>
    </row>
    <row r="117" spans="2:15" x14ac:dyDescent="0.25">
      <c r="B117" s="36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2"/>
    </row>
    <row r="118" spans="2:15" ht="13.8" x14ac:dyDescent="0.3">
      <c r="B118" s="14"/>
    </row>
    <row r="119" spans="2:15" x14ac:dyDescent="0.25">
      <c r="B119" s="43" t="s">
        <v>42</v>
      </c>
      <c r="C119" s="27" t="s">
        <v>9</v>
      </c>
      <c r="D119" s="27" t="s">
        <v>10</v>
      </c>
      <c r="E119" s="27" t="s">
        <v>11</v>
      </c>
      <c r="F119" s="27" t="s">
        <v>12</v>
      </c>
      <c r="G119" s="27" t="s">
        <v>13</v>
      </c>
      <c r="H119" s="27" t="s">
        <v>14</v>
      </c>
      <c r="I119" s="27" t="s">
        <v>15</v>
      </c>
      <c r="J119" s="27" t="s">
        <v>16</v>
      </c>
      <c r="K119" s="27" t="s">
        <v>17</v>
      </c>
      <c r="L119" s="27" t="s">
        <v>18</v>
      </c>
      <c r="M119" s="27" t="s">
        <v>19</v>
      </c>
      <c r="N119" s="27" t="s">
        <v>20</v>
      </c>
      <c r="O119" s="22"/>
    </row>
    <row r="120" spans="2:15" ht="13.8" x14ac:dyDescent="0.25">
      <c r="B120" s="36" t="s">
        <v>73</v>
      </c>
      <c r="C120" s="21">
        <f t="shared" ref="C120:N120" si="38">C6</f>
        <v>94511</v>
      </c>
      <c r="D120" s="21">
        <f t="shared" si="38"/>
        <v>138414</v>
      </c>
      <c r="E120" s="21">
        <f t="shared" si="38"/>
        <v>397880</v>
      </c>
      <c r="F120" s="21">
        <f t="shared" si="38"/>
        <v>345816</v>
      </c>
      <c r="G120" s="21">
        <f t="shared" si="38"/>
        <v>613732</v>
      </c>
      <c r="H120" s="21">
        <f t="shared" si="38"/>
        <v>578542</v>
      </c>
      <c r="I120" s="21">
        <f t="shared" si="38"/>
        <v>3063403</v>
      </c>
      <c r="J120" s="21">
        <f t="shared" si="38"/>
        <v>542385</v>
      </c>
      <c r="K120" s="21">
        <f t="shared" si="38"/>
        <v>400093</v>
      </c>
      <c r="L120" s="21">
        <f t="shared" si="38"/>
        <v>265941</v>
      </c>
      <c r="M120" s="21">
        <f t="shared" si="38"/>
        <v>108313</v>
      </c>
      <c r="N120" s="21">
        <f t="shared" si="38"/>
        <v>104441</v>
      </c>
      <c r="O120" s="22"/>
    </row>
    <row r="121" spans="2:15" x14ac:dyDescent="0.25">
      <c r="B121" s="36" t="s">
        <v>62</v>
      </c>
      <c r="C121" s="21">
        <f t="shared" ref="C121:N121" si="39">C5</f>
        <v>26638460</v>
      </c>
      <c r="D121" s="21">
        <f t="shared" si="39"/>
        <v>22525933</v>
      </c>
      <c r="E121" s="21">
        <f t="shared" si="39"/>
        <v>22824466</v>
      </c>
      <c r="F121" s="21">
        <f t="shared" si="39"/>
        <v>21201426</v>
      </c>
      <c r="G121" s="21">
        <f t="shared" si="39"/>
        <v>20761541</v>
      </c>
      <c r="H121" s="21">
        <f t="shared" si="39"/>
        <v>22411430</v>
      </c>
      <c r="I121" s="21">
        <f t="shared" si="39"/>
        <v>27183550</v>
      </c>
      <c r="J121" s="21">
        <f t="shared" si="39"/>
        <v>29800080</v>
      </c>
      <c r="K121" s="21">
        <f t="shared" si="39"/>
        <v>26664650</v>
      </c>
      <c r="L121" s="21">
        <f t="shared" si="39"/>
        <v>24653520</v>
      </c>
      <c r="M121" s="21">
        <f t="shared" si="39"/>
        <v>26490560</v>
      </c>
      <c r="N121" s="21">
        <f t="shared" si="39"/>
        <v>26180099</v>
      </c>
      <c r="O121" s="22"/>
    </row>
    <row r="122" spans="2:15" ht="13.8" x14ac:dyDescent="0.25">
      <c r="B122" s="36" t="s">
        <v>74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2"/>
    </row>
    <row r="123" spans="2:15" x14ac:dyDescent="0.25">
      <c r="B123" s="36" t="s">
        <v>64</v>
      </c>
      <c r="C123" s="21">
        <f t="shared" ref="C123:N123" si="40">C10</f>
        <v>11857515.582866395</v>
      </c>
      <c r="D123" s="21">
        <f t="shared" si="40"/>
        <v>9622023.1807263028</v>
      </c>
      <c r="E123" s="21">
        <f t="shared" si="40"/>
        <v>9762280.3277595527</v>
      </c>
      <c r="F123" s="21">
        <f t="shared" si="40"/>
        <v>8781484.063210018</v>
      </c>
      <c r="G123" s="21">
        <f t="shared" si="40"/>
        <v>8617766.7836335953</v>
      </c>
      <c r="H123" s="21">
        <f t="shared" si="40"/>
        <v>10048719.993989917</v>
      </c>
      <c r="I123" s="21">
        <f t="shared" si="40"/>
        <v>13273301.06429049</v>
      </c>
      <c r="J123" s="21">
        <f t="shared" si="40"/>
        <v>12412525.51885589</v>
      </c>
      <c r="K123" s="21">
        <f t="shared" si="40"/>
        <v>10389066.07256606</v>
      </c>
      <c r="L123" s="21">
        <f t="shared" si="40"/>
        <v>8880508.9790484942</v>
      </c>
      <c r="M123" s="21">
        <f t="shared" si="40"/>
        <v>10024251.15366471</v>
      </c>
      <c r="N123" s="21">
        <f t="shared" si="40"/>
        <v>11131416.311750781</v>
      </c>
      <c r="O123" s="22"/>
    </row>
    <row r="124" spans="2:15" x14ac:dyDescent="0.25">
      <c r="B124" s="36" t="s">
        <v>65</v>
      </c>
      <c r="C124" s="21">
        <f t="shared" ref="C124:N124" si="41">C11</f>
        <v>14187867.817133604</v>
      </c>
      <c r="D124" s="21">
        <f t="shared" si="41"/>
        <v>12392224.169273701</v>
      </c>
      <c r="E124" s="21">
        <f t="shared" si="41"/>
        <v>12660135.672240447</v>
      </c>
      <c r="F124" s="21">
        <f t="shared" si="41"/>
        <v>11998668.806789981</v>
      </c>
      <c r="G124" s="21">
        <f t="shared" si="41"/>
        <v>11931677.426366406</v>
      </c>
      <c r="H124" s="21">
        <f t="shared" si="41"/>
        <v>12124793.026010083</v>
      </c>
      <c r="I124" s="21">
        <f t="shared" si="41"/>
        <v>13859064.815709511</v>
      </c>
      <c r="J124" s="21">
        <f t="shared" si="41"/>
        <v>14786274.581144111</v>
      </c>
      <c r="K124" s="21">
        <f t="shared" si="41"/>
        <v>13770382.737433936</v>
      </c>
      <c r="L124" s="21">
        <f t="shared" si="41"/>
        <v>13120661.630951505</v>
      </c>
      <c r="M124" s="21">
        <f t="shared" si="41"/>
        <v>13794428.86633529</v>
      </c>
      <c r="N124" s="21">
        <f t="shared" si="41"/>
        <v>12948728.368249219</v>
      </c>
      <c r="O124" s="22"/>
    </row>
    <row r="125" spans="2:15" x14ac:dyDescent="0.25">
      <c r="B125" s="36" t="s">
        <v>66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2"/>
    </row>
    <row r="126" spans="2:15" ht="13.8" x14ac:dyDescent="0.25">
      <c r="B126" s="36" t="s">
        <v>75</v>
      </c>
      <c r="C126" s="21">
        <f t="shared" ref="C126:N126" si="42">C6</f>
        <v>94511</v>
      </c>
      <c r="D126" s="21">
        <f t="shared" si="42"/>
        <v>138414</v>
      </c>
      <c r="E126" s="21">
        <f t="shared" si="42"/>
        <v>397880</v>
      </c>
      <c r="F126" s="21">
        <f t="shared" si="42"/>
        <v>345816</v>
      </c>
      <c r="G126" s="21">
        <f t="shared" si="42"/>
        <v>613732</v>
      </c>
      <c r="H126" s="21">
        <f t="shared" si="42"/>
        <v>578542</v>
      </c>
      <c r="I126" s="21">
        <f t="shared" si="42"/>
        <v>3063403</v>
      </c>
      <c r="J126" s="21">
        <f t="shared" si="42"/>
        <v>542385</v>
      </c>
      <c r="K126" s="21">
        <f t="shared" si="42"/>
        <v>400093</v>
      </c>
      <c r="L126" s="21">
        <f t="shared" si="42"/>
        <v>265941</v>
      </c>
      <c r="M126" s="21">
        <f t="shared" si="42"/>
        <v>108313</v>
      </c>
      <c r="N126" s="21">
        <f t="shared" si="42"/>
        <v>104441</v>
      </c>
      <c r="O126" s="22"/>
    </row>
    <row r="127" spans="2:15" x14ac:dyDescent="0.25">
      <c r="B127" s="36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2"/>
    </row>
    <row r="128" spans="2:15" x14ac:dyDescent="0.25">
      <c r="B128" s="42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2"/>
    </row>
    <row r="129" spans="2:15" x14ac:dyDescent="0.25">
      <c r="B129" s="43" t="s">
        <v>72</v>
      </c>
      <c r="C129" s="27" t="s">
        <v>9</v>
      </c>
      <c r="D129" s="27" t="s">
        <v>10</v>
      </c>
      <c r="E129" s="27" t="s">
        <v>11</v>
      </c>
      <c r="F129" s="27" t="s">
        <v>12</v>
      </c>
      <c r="G129" s="27" t="s">
        <v>13</v>
      </c>
      <c r="H129" s="27" t="s">
        <v>14</v>
      </c>
      <c r="I129" s="27" t="s">
        <v>15</v>
      </c>
      <c r="J129" s="27" t="s">
        <v>16</v>
      </c>
      <c r="K129" s="27" t="s">
        <v>17</v>
      </c>
      <c r="L129" s="27" t="s">
        <v>18</v>
      </c>
      <c r="M129" s="27" t="s">
        <v>19</v>
      </c>
      <c r="N129" s="27" t="s">
        <v>20</v>
      </c>
      <c r="O129" s="22"/>
    </row>
    <row r="130" spans="2:15" ht="13.8" x14ac:dyDescent="0.25">
      <c r="B130" s="36" t="s">
        <v>73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22"/>
    </row>
    <row r="131" spans="2:15" x14ac:dyDescent="0.25">
      <c r="B131" s="36" t="s">
        <v>62</v>
      </c>
      <c r="C131" s="50">
        <f>'Consumption and Rates'!E20</f>
        <v>867338.02</v>
      </c>
      <c r="D131" s="50">
        <f>'Consumption and Rates'!F20</f>
        <v>434055.82</v>
      </c>
      <c r="E131" s="50">
        <f>'Consumption and Rates'!G20</f>
        <v>406096.4</v>
      </c>
      <c r="F131" s="50">
        <f>'Consumption and Rates'!H20</f>
        <v>640330.43000000005</v>
      </c>
      <c r="G131" s="50">
        <f>'Consumption and Rates'!I20</f>
        <v>283374.17</v>
      </c>
      <c r="H131" s="50">
        <f>'Consumption and Rates'!J20</f>
        <v>412240.21</v>
      </c>
      <c r="I131" s="50">
        <f>'Consumption and Rates'!K20</f>
        <v>837900.36</v>
      </c>
      <c r="J131" s="50">
        <f>'Consumption and Rates'!L20</f>
        <v>911110.12</v>
      </c>
      <c r="K131" s="50">
        <f>'Consumption and Rates'!M20</f>
        <v>795718.71</v>
      </c>
      <c r="L131" s="50">
        <f>'Consumption and Rates'!N20</f>
        <v>349873.68</v>
      </c>
      <c r="M131" s="50">
        <f>'Consumption and Rates'!O20</f>
        <v>681145.1</v>
      </c>
      <c r="N131" s="50">
        <f>'Consumption and Rates'!P20</f>
        <v>748080.88</v>
      </c>
      <c r="O131" s="22"/>
    </row>
    <row r="132" spans="2:15" ht="13.8" x14ac:dyDescent="0.25">
      <c r="B132" s="36" t="s">
        <v>74</v>
      </c>
      <c r="C132" s="50">
        <f>'Consumption and Rates'!E21</f>
        <v>42055.53</v>
      </c>
      <c r="D132" s="50">
        <f>'Consumption and Rates'!F21</f>
        <v>42561.15</v>
      </c>
      <c r="E132" s="50">
        <f>'Consumption and Rates'!G21</f>
        <v>51460.46</v>
      </c>
      <c r="F132" s="50">
        <f>'Consumption and Rates'!H21</f>
        <v>50269.69</v>
      </c>
      <c r="G132" s="50">
        <f>'Consumption and Rates'!I21</f>
        <v>53508.3</v>
      </c>
      <c r="H132" s="50">
        <f>'Consumption and Rates'!J21</f>
        <v>61521.39</v>
      </c>
      <c r="I132" s="50">
        <f>'Consumption and Rates'!K21</f>
        <v>183589.54</v>
      </c>
      <c r="J132" s="50">
        <f>'Consumption and Rates'!L21</f>
        <v>176471.41</v>
      </c>
      <c r="K132" s="50">
        <f>'Consumption and Rates'!M21</f>
        <v>170595.12</v>
      </c>
      <c r="L132" s="50">
        <f>'Consumption and Rates'!N21</f>
        <v>228584.94</v>
      </c>
      <c r="M132" s="50">
        <f>'Consumption and Rates'!O21</f>
        <v>188534.09</v>
      </c>
      <c r="N132" s="50">
        <f>'Consumption and Rates'!P21</f>
        <v>171791.25</v>
      </c>
      <c r="O132" s="22"/>
    </row>
    <row r="133" spans="2:15" x14ac:dyDescent="0.25">
      <c r="B133" s="36" t="s">
        <v>64</v>
      </c>
      <c r="C133" s="21">
        <f>C113*C123</f>
        <v>798722.24966188043</v>
      </c>
      <c r="D133" s="21">
        <f t="shared" ref="D133:N133" si="43">D113*D123</f>
        <v>785830.63316991704</v>
      </c>
      <c r="E133" s="21">
        <f t="shared" si="43"/>
        <v>925561.79787488328</v>
      </c>
      <c r="F133" s="21">
        <f t="shared" si="43"/>
        <v>874547.99785508565</v>
      </c>
      <c r="G133" s="21">
        <f t="shared" si="43"/>
        <v>930115.56895757408</v>
      </c>
      <c r="H133" s="21">
        <f t="shared" si="43"/>
        <v>1195395.7304850405</v>
      </c>
      <c r="I133" s="21">
        <f t="shared" si="43"/>
        <v>1026955.3033441553</v>
      </c>
      <c r="J133" s="21">
        <f t="shared" si="43"/>
        <v>929698.16136230633</v>
      </c>
      <c r="K133" s="21">
        <f t="shared" si="43"/>
        <v>891797.43166907062</v>
      </c>
      <c r="L133" s="21">
        <f t="shared" si="43"/>
        <v>1070900.5777834582</v>
      </c>
      <c r="M133" s="21">
        <f t="shared" si="43"/>
        <v>987889.95119365712</v>
      </c>
      <c r="N133" s="21">
        <f t="shared" si="43"/>
        <v>824170.06372202793</v>
      </c>
      <c r="O133" s="22"/>
    </row>
    <row r="134" spans="2:15" x14ac:dyDescent="0.25">
      <c r="B134" s="36" t="s">
        <v>65</v>
      </c>
      <c r="C134" s="21">
        <f>C114*C124</f>
        <v>955694.77616211958</v>
      </c>
      <c r="D134" s="21">
        <f t="shared" ref="D134:N134" si="44">D114*D124</f>
        <v>1012072.9479045831</v>
      </c>
      <c r="E134" s="21">
        <f t="shared" si="44"/>
        <v>1200307.4630851168</v>
      </c>
      <c r="F134" s="21">
        <f t="shared" si="44"/>
        <v>1194947.4264682143</v>
      </c>
      <c r="G134" s="21">
        <f t="shared" si="44"/>
        <v>1287785.9446277262</v>
      </c>
      <c r="H134" s="21">
        <f t="shared" si="44"/>
        <v>1442365.3783741593</v>
      </c>
      <c r="I134" s="21">
        <f t="shared" si="44"/>
        <v>1072275.8447914449</v>
      </c>
      <c r="J134" s="21">
        <f t="shared" si="44"/>
        <v>1107491.9661276941</v>
      </c>
      <c r="K134" s="21">
        <f t="shared" si="44"/>
        <v>1182049.6541813291</v>
      </c>
      <c r="L134" s="21">
        <f t="shared" si="44"/>
        <v>1582220.5860764422</v>
      </c>
      <c r="M134" s="21">
        <f t="shared" si="44"/>
        <v>1359440.9647773427</v>
      </c>
      <c r="N134" s="21">
        <f t="shared" si="44"/>
        <v>958723.84838517231</v>
      </c>
      <c r="O134" s="22"/>
    </row>
    <row r="135" spans="2:15" x14ac:dyDescent="0.25">
      <c r="B135" s="36" t="s">
        <v>66</v>
      </c>
      <c r="C135" s="21">
        <f>C232</f>
        <v>-342456.72743354365</v>
      </c>
      <c r="D135" s="21">
        <f t="shared" ref="D135:N135" si="45">D232</f>
        <v>44979.836292338194</v>
      </c>
      <c r="E135" s="21">
        <f t="shared" si="45"/>
        <v>-197466.99377709869</v>
      </c>
      <c r="F135" s="21">
        <f t="shared" si="45"/>
        <v>-390618.62319095607</v>
      </c>
      <c r="G135" s="21">
        <f t="shared" si="45"/>
        <v>59764.455975210542</v>
      </c>
      <c r="H135" s="21">
        <f t="shared" si="45"/>
        <v>-340145.74213970458</v>
      </c>
      <c r="I135" s="21">
        <f t="shared" si="45"/>
        <v>-211619.72063714234</v>
      </c>
      <c r="J135" s="21">
        <f t="shared" si="45"/>
        <v>81318.557552431594</v>
      </c>
      <c r="K135" s="21">
        <f t="shared" si="45"/>
        <v>-82763.04581996199</v>
      </c>
      <c r="L135" s="21">
        <f t="shared" si="45"/>
        <v>-43053.120784491723</v>
      </c>
      <c r="M135" s="21">
        <f t="shared" si="45"/>
        <v>-480897.64261103177</v>
      </c>
      <c r="N135" s="21">
        <f t="shared" si="45"/>
        <v>-222470.61904161106</v>
      </c>
      <c r="O135" s="22"/>
    </row>
    <row r="136" spans="2:15" ht="13.8" x14ac:dyDescent="0.25">
      <c r="B136" s="36" t="s">
        <v>75</v>
      </c>
      <c r="C136" s="50">
        <f>'Consumption and Rates'!E22</f>
        <v>-43994.95</v>
      </c>
      <c r="D136" s="50">
        <f>'Consumption and Rates'!F22</f>
        <v>-53886.73</v>
      </c>
      <c r="E136" s="50">
        <f>'Consumption and Rates'!G22</f>
        <v>-68770.39</v>
      </c>
      <c r="F136" s="50">
        <f>'Consumption and Rates'!H22</f>
        <v>-172582.62</v>
      </c>
      <c r="G136" s="50">
        <f>'Consumption and Rates'!I22</f>
        <v>-176518.08</v>
      </c>
      <c r="H136" s="50">
        <f>'Consumption and Rates'!J22</f>
        <v>-250515.06</v>
      </c>
      <c r="I136" s="50">
        <f>'Consumption and Rates'!K22</f>
        <v>-230207.98</v>
      </c>
      <c r="J136" s="50">
        <f>'Consumption and Rates'!L22</f>
        <v>-334198.58</v>
      </c>
      <c r="K136" s="50">
        <f>'Consumption and Rates'!M22</f>
        <v>-225685.11</v>
      </c>
      <c r="L136" s="50">
        <f>'Consumption and Rates'!N22</f>
        <v>-168155.88</v>
      </c>
      <c r="M136" s="50">
        <f>'Consumption and Rates'!O22</f>
        <v>-116967.75</v>
      </c>
      <c r="N136" s="50">
        <f>'Consumption and Rates'!P22</f>
        <v>-46196.22</v>
      </c>
      <c r="O136" s="22"/>
    </row>
    <row r="137" spans="2:15" x14ac:dyDescent="0.25">
      <c r="B137" s="38" t="s">
        <v>68</v>
      </c>
      <c r="C137" s="33">
        <f>SUM(C130:C136)</f>
        <v>2277358.8983904561</v>
      </c>
      <c r="D137" s="33">
        <f t="shared" ref="D137:N137" si="46">SUM(D130:D136)</f>
        <v>2265613.6573668383</v>
      </c>
      <c r="E137" s="33">
        <f t="shared" si="46"/>
        <v>2317188.7371829012</v>
      </c>
      <c r="F137" s="33">
        <f t="shared" si="46"/>
        <v>2196894.3011323437</v>
      </c>
      <c r="G137" s="33">
        <f t="shared" si="46"/>
        <v>2438030.3595605106</v>
      </c>
      <c r="H137" s="33">
        <f t="shared" si="46"/>
        <v>2520861.9067194951</v>
      </c>
      <c r="I137" s="33">
        <f t="shared" si="46"/>
        <v>2678893.3474984579</v>
      </c>
      <c r="J137" s="33">
        <f t="shared" si="46"/>
        <v>2871891.6350424322</v>
      </c>
      <c r="K137" s="33">
        <f t="shared" si="46"/>
        <v>2731712.7600304377</v>
      </c>
      <c r="L137" s="33">
        <f t="shared" si="46"/>
        <v>3020370.7830754085</v>
      </c>
      <c r="M137" s="33">
        <f t="shared" si="46"/>
        <v>2619144.7133599683</v>
      </c>
      <c r="N137" s="33">
        <f t="shared" si="46"/>
        <v>2434099.2030655891</v>
      </c>
      <c r="O137" s="22"/>
    </row>
    <row r="138" spans="2:15" x14ac:dyDescent="0.25">
      <c r="B138" s="42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2"/>
    </row>
    <row r="140" spans="2:15" ht="15.6" x14ac:dyDescent="0.3">
      <c r="B140" s="17" t="s">
        <v>78</v>
      </c>
    </row>
    <row r="141" spans="2:15" x14ac:dyDescent="0.25">
      <c r="B141" s="22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2:15" x14ac:dyDescent="0.25">
      <c r="B142" s="55" t="s">
        <v>43</v>
      </c>
      <c r="C142" s="27" t="s">
        <v>9</v>
      </c>
      <c r="D142" s="27" t="s">
        <v>10</v>
      </c>
      <c r="E142" s="27" t="s">
        <v>11</v>
      </c>
      <c r="F142" s="27" t="s">
        <v>12</v>
      </c>
      <c r="G142" s="27" t="s">
        <v>13</v>
      </c>
      <c r="H142" s="27" t="s">
        <v>14</v>
      </c>
      <c r="I142" s="27" t="s">
        <v>15</v>
      </c>
      <c r="J142" s="27" t="s">
        <v>16</v>
      </c>
      <c r="K142" s="27" t="s">
        <v>17</v>
      </c>
      <c r="L142" s="27" t="s">
        <v>18</v>
      </c>
      <c r="M142" s="27" t="s">
        <v>19</v>
      </c>
      <c r="N142" s="27" t="s">
        <v>20</v>
      </c>
    </row>
    <row r="143" spans="2:15" x14ac:dyDescent="0.25">
      <c r="B143" s="36" t="s">
        <v>36</v>
      </c>
      <c r="C143" s="51">
        <f t="shared" ref="C143:N143" si="47">C74</f>
        <v>7.6999999999999999E-2</v>
      </c>
      <c r="D143" s="51">
        <f t="shared" si="47"/>
        <v>7.6999999999999999E-2</v>
      </c>
      <c r="E143" s="51">
        <f t="shared" si="47"/>
        <v>7.6999999999999999E-2</v>
      </c>
      <c r="F143" s="51">
        <f t="shared" si="47"/>
        <v>7.6999999999999999E-2</v>
      </c>
      <c r="G143" s="51">
        <f t="shared" si="47"/>
        <v>7.6999999999999999E-2</v>
      </c>
      <c r="H143" s="51">
        <f t="shared" si="47"/>
        <v>7.6999999999999999E-2</v>
      </c>
      <c r="I143" s="51">
        <f t="shared" si="47"/>
        <v>7.6999999999999999E-2</v>
      </c>
      <c r="J143" s="51">
        <f t="shared" si="47"/>
        <v>7.6999999999999999E-2</v>
      </c>
      <c r="K143" s="51">
        <f t="shared" si="47"/>
        <v>7.6999999999999999E-2</v>
      </c>
      <c r="L143" s="51">
        <f t="shared" si="47"/>
        <v>7.6999999999999999E-2</v>
      </c>
      <c r="M143" s="51">
        <f t="shared" si="47"/>
        <v>7.6999999999999999E-2</v>
      </c>
      <c r="N143" s="51">
        <f t="shared" si="47"/>
        <v>7.6999999999999999E-2</v>
      </c>
    </row>
    <row r="144" spans="2:15" x14ac:dyDescent="0.25">
      <c r="B144" s="36" t="s">
        <v>37</v>
      </c>
      <c r="C144" s="51">
        <f t="shared" ref="C144:N144" si="48">C75</f>
        <v>8.8999999999999996E-2</v>
      </c>
      <c r="D144" s="51">
        <f t="shared" si="48"/>
        <v>8.8999999999999996E-2</v>
      </c>
      <c r="E144" s="51">
        <f t="shared" si="48"/>
        <v>8.8999999999999996E-2</v>
      </c>
      <c r="F144" s="51">
        <f t="shared" si="48"/>
        <v>8.8999999999999996E-2</v>
      </c>
      <c r="G144" s="51">
        <f t="shared" si="48"/>
        <v>8.8999999999999996E-2</v>
      </c>
      <c r="H144" s="51">
        <f t="shared" si="48"/>
        <v>8.8999999999999996E-2</v>
      </c>
      <c r="I144" s="51">
        <f t="shared" si="48"/>
        <v>8.8999999999999996E-2</v>
      </c>
      <c r="J144" s="51">
        <f t="shared" si="48"/>
        <v>8.8999999999999996E-2</v>
      </c>
      <c r="K144" s="51">
        <f t="shared" si="48"/>
        <v>8.8999999999999996E-2</v>
      </c>
      <c r="L144" s="51">
        <f t="shared" si="48"/>
        <v>8.8999999999999996E-2</v>
      </c>
      <c r="M144" s="51">
        <f t="shared" si="48"/>
        <v>8.8999999999999996E-2</v>
      </c>
      <c r="N144" s="51">
        <f t="shared" si="48"/>
        <v>8.8999999999999996E-2</v>
      </c>
    </row>
    <row r="145" spans="2:14" x14ac:dyDescent="0.25">
      <c r="B145" s="36" t="s">
        <v>38</v>
      </c>
      <c r="C145" s="51">
        <f t="shared" ref="C145:N145" si="49">C76</f>
        <v>6.5000000000000002E-2</v>
      </c>
      <c r="D145" s="51">
        <f t="shared" si="49"/>
        <v>6.5000000000000002E-2</v>
      </c>
      <c r="E145" s="51">
        <f t="shared" si="49"/>
        <v>6.5000000000000002E-2</v>
      </c>
      <c r="F145" s="51">
        <f t="shared" si="49"/>
        <v>6.5000000000000002E-2</v>
      </c>
      <c r="G145" s="51">
        <f t="shared" si="49"/>
        <v>6.5000000000000002E-2</v>
      </c>
      <c r="H145" s="51">
        <f t="shared" si="49"/>
        <v>6.5000000000000002E-2</v>
      </c>
      <c r="I145" s="51">
        <f t="shared" si="49"/>
        <v>6.5000000000000002E-2</v>
      </c>
      <c r="J145" s="51">
        <f t="shared" si="49"/>
        <v>6.5000000000000002E-2</v>
      </c>
      <c r="K145" s="51">
        <f t="shared" si="49"/>
        <v>6.5000000000000002E-2</v>
      </c>
      <c r="L145" s="51">
        <f t="shared" si="49"/>
        <v>6.5000000000000002E-2</v>
      </c>
      <c r="M145" s="51">
        <f t="shared" si="49"/>
        <v>6.5000000000000002E-2</v>
      </c>
      <c r="N145" s="51">
        <f t="shared" si="49"/>
        <v>6.5000000000000002E-2</v>
      </c>
    </row>
    <row r="146" spans="2:14" x14ac:dyDescent="0.25">
      <c r="B146" s="36" t="s">
        <v>39</v>
      </c>
      <c r="C146" s="51">
        <f t="shared" ref="C146:N146" si="50">C77</f>
        <v>9.4E-2</v>
      </c>
      <c r="D146" s="51">
        <f t="shared" si="50"/>
        <v>9.4E-2</v>
      </c>
      <c r="E146" s="51">
        <f t="shared" si="50"/>
        <v>9.4E-2</v>
      </c>
      <c r="F146" s="51">
        <f t="shared" si="50"/>
        <v>9.4E-2</v>
      </c>
      <c r="G146" s="51">
        <f t="shared" si="50"/>
        <v>9.4E-2</v>
      </c>
      <c r="H146" s="51">
        <f t="shared" si="50"/>
        <v>9.4E-2</v>
      </c>
      <c r="I146" s="51">
        <f t="shared" si="50"/>
        <v>9.4E-2</v>
      </c>
      <c r="J146" s="51">
        <f t="shared" si="50"/>
        <v>9.4E-2</v>
      </c>
      <c r="K146" s="51">
        <f t="shared" si="50"/>
        <v>9.4E-2</v>
      </c>
      <c r="L146" s="51">
        <f t="shared" si="50"/>
        <v>9.4E-2</v>
      </c>
      <c r="M146" s="51">
        <f t="shared" si="50"/>
        <v>9.4E-2</v>
      </c>
      <c r="N146" s="51">
        <f t="shared" si="50"/>
        <v>9.4E-2</v>
      </c>
    </row>
    <row r="147" spans="2:14" x14ac:dyDescent="0.25">
      <c r="B147" s="36" t="s">
        <v>40</v>
      </c>
      <c r="C147" s="51">
        <f t="shared" ref="C147:N147" si="51">C78</f>
        <v>0.13200000000000001</v>
      </c>
      <c r="D147" s="51">
        <f t="shared" si="51"/>
        <v>0.13200000000000001</v>
      </c>
      <c r="E147" s="51">
        <f t="shared" si="51"/>
        <v>0.13200000000000001</v>
      </c>
      <c r="F147" s="51">
        <f t="shared" si="51"/>
        <v>0.13200000000000001</v>
      </c>
      <c r="G147" s="51">
        <f t="shared" si="51"/>
        <v>0.13200000000000001</v>
      </c>
      <c r="H147" s="51">
        <f t="shared" si="51"/>
        <v>0.13200000000000001</v>
      </c>
      <c r="I147" s="51">
        <f t="shared" si="51"/>
        <v>0.13200000000000001</v>
      </c>
      <c r="J147" s="51">
        <f t="shared" si="51"/>
        <v>0.13200000000000001</v>
      </c>
      <c r="K147" s="51">
        <f t="shared" si="51"/>
        <v>0.13200000000000001</v>
      </c>
      <c r="L147" s="51">
        <f t="shared" si="51"/>
        <v>0.13200000000000001</v>
      </c>
      <c r="M147" s="51">
        <f t="shared" si="51"/>
        <v>0.13200000000000001</v>
      </c>
      <c r="N147" s="51">
        <f t="shared" si="51"/>
        <v>0.13200000000000001</v>
      </c>
    </row>
    <row r="148" spans="2:14" x14ac:dyDescent="0.25">
      <c r="B148" s="42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2:14" x14ac:dyDescent="0.25">
      <c r="B149" s="56" t="s">
        <v>42</v>
      </c>
      <c r="C149" s="27" t="s">
        <v>9</v>
      </c>
      <c r="D149" s="27" t="s">
        <v>10</v>
      </c>
      <c r="E149" s="27" t="s">
        <v>11</v>
      </c>
      <c r="F149" s="27" t="s">
        <v>12</v>
      </c>
      <c r="G149" s="27" t="s">
        <v>13</v>
      </c>
      <c r="H149" s="27" t="s">
        <v>14</v>
      </c>
      <c r="I149" s="27" t="s">
        <v>15</v>
      </c>
      <c r="J149" s="27" t="s">
        <v>16</v>
      </c>
      <c r="K149" s="27" t="s">
        <v>17</v>
      </c>
      <c r="L149" s="27" t="s">
        <v>18</v>
      </c>
      <c r="M149" s="27" t="s">
        <v>19</v>
      </c>
      <c r="N149" s="27" t="s">
        <v>20</v>
      </c>
    </row>
    <row r="150" spans="2:14" x14ac:dyDescent="0.25">
      <c r="B150" s="36" t="s">
        <v>36</v>
      </c>
      <c r="C150" s="21">
        <f t="shared" ref="C150:N150" si="52">C89</f>
        <v>162901.3537078888</v>
      </c>
      <c r="D150" s="21">
        <f t="shared" si="52"/>
        <v>149520.97633761706</v>
      </c>
      <c r="E150" s="21">
        <f t="shared" si="52"/>
        <v>144758.8478847674</v>
      </c>
      <c r="F150" s="21">
        <f t="shared" si="52"/>
        <v>132618.83218379904</v>
      </c>
      <c r="G150" s="21">
        <f t="shared" si="52"/>
        <v>100402.7193764156</v>
      </c>
      <c r="H150" s="21">
        <f t="shared" si="52"/>
        <v>97847.64981903632</v>
      </c>
      <c r="I150" s="21">
        <f t="shared" si="52"/>
        <v>106893.96733346276</v>
      </c>
      <c r="J150" s="21">
        <f t="shared" si="52"/>
        <v>102882.99291395632</v>
      </c>
      <c r="K150" s="21">
        <f t="shared" si="52"/>
        <v>101320.09344603284</v>
      </c>
      <c r="L150" s="21">
        <f t="shared" si="52"/>
        <v>112598.56530153862</v>
      </c>
      <c r="M150" s="21">
        <f t="shared" si="52"/>
        <v>142112.7498970021</v>
      </c>
      <c r="N150" s="21">
        <f t="shared" si="52"/>
        <v>227270.06332210489</v>
      </c>
    </row>
    <row r="151" spans="2:14" x14ac:dyDescent="0.25">
      <c r="B151" s="36" t="s">
        <v>37</v>
      </c>
      <c r="C151" s="21">
        <f t="shared" ref="C151:N151" si="53">C90</f>
        <v>305171.06999999995</v>
      </c>
      <c r="D151" s="21">
        <f t="shared" si="53"/>
        <v>280798.05999999994</v>
      </c>
      <c r="E151" s="21">
        <f t="shared" si="53"/>
        <v>288343.24000000005</v>
      </c>
      <c r="F151" s="21">
        <f t="shared" si="53"/>
        <v>308430.25</v>
      </c>
      <c r="G151" s="21">
        <f t="shared" si="53"/>
        <v>314365.26999999996</v>
      </c>
      <c r="H151" s="21">
        <f t="shared" si="53"/>
        <v>302641.37999999995</v>
      </c>
      <c r="I151" s="21">
        <f t="shared" si="53"/>
        <v>371587.81909090903</v>
      </c>
      <c r="J151" s="21">
        <f t="shared" si="53"/>
        <v>332739.33090909093</v>
      </c>
      <c r="K151" s="21">
        <f t="shared" si="53"/>
        <v>311558.31</v>
      </c>
      <c r="L151" s="21">
        <f t="shared" si="53"/>
        <v>372609.00999999995</v>
      </c>
      <c r="M151" s="21">
        <f t="shared" si="53"/>
        <v>386483.03810714278</v>
      </c>
      <c r="N151" s="21">
        <f t="shared" si="53"/>
        <v>300285.52189285716</v>
      </c>
    </row>
    <row r="152" spans="2:14" x14ac:dyDescent="0.25">
      <c r="B152" s="36" t="s">
        <v>38</v>
      </c>
      <c r="C152" s="21">
        <f t="shared" ref="C152:N152" si="54">C91</f>
        <v>7149140.5746995565</v>
      </c>
      <c r="D152" s="21">
        <f t="shared" si="54"/>
        <v>5989782.5835709898</v>
      </c>
      <c r="E152" s="21">
        <f t="shared" si="54"/>
        <v>6171094.5702072876</v>
      </c>
      <c r="F152" s="21">
        <f t="shared" si="54"/>
        <v>5497158.5704870541</v>
      </c>
      <c r="G152" s="21">
        <f t="shared" si="54"/>
        <v>5395256.6000235677</v>
      </c>
      <c r="H152" s="21">
        <f t="shared" si="54"/>
        <v>6247061.3813993046</v>
      </c>
      <c r="I152" s="21">
        <f t="shared" si="54"/>
        <v>7254160.6455311365</v>
      </c>
      <c r="J152" s="21">
        <f t="shared" si="54"/>
        <v>7445026.7234999584</v>
      </c>
      <c r="K152" s="21">
        <f t="shared" si="54"/>
        <v>6254455.3332916787</v>
      </c>
      <c r="L152" s="21">
        <f t="shared" si="54"/>
        <v>5647468.9032232491</v>
      </c>
      <c r="M152" s="21">
        <f t="shared" si="54"/>
        <v>5911488.5218611117</v>
      </c>
      <c r="N152" s="21">
        <f t="shared" si="54"/>
        <v>6920101.3761568265</v>
      </c>
    </row>
    <row r="153" spans="2:14" x14ac:dyDescent="0.25">
      <c r="B153" s="36" t="s">
        <v>39</v>
      </c>
      <c r="C153" s="21">
        <f t="shared" ref="C153:N153" si="55">C92</f>
        <v>1916845.0351638917</v>
      </c>
      <c r="D153" s="21">
        <f t="shared" si="55"/>
        <v>1615222.1053725083</v>
      </c>
      <c r="E153" s="21">
        <f t="shared" si="55"/>
        <v>1682021.7789668741</v>
      </c>
      <c r="F153" s="21">
        <f t="shared" si="55"/>
        <v>1558459.1449825093</v>
      </c>
      <c r="G153" s="21">
        <f t="shared" si="55"/>
        <v>1599685.1959589538</v>
      </c>
      <c r="H153" s="21">
        <f t="shared" si="55"/>
        <v>1850997.7591086761</v>
      </c>
      <c r="I153" s="21">
        <f t="shared" si="55"/>
        <v>2151147.9362469385</v>
      </c>
      <c r="J153" s="21">
        <f t="shared" si="55"/>
        <v>2106935.6339582377</v>
      </c>
      <c r="K153" s="21">
        <f t="shared" si="55"/>
        <v>1847963.8054632936</v>
      </c>
      <c r="L153" s="21">
        <f t="shared" si="55"/>
        <v>1669168.7806698214</v>
      </c>
      <c r="M153" s="21">
        <f t="shared" si="55"/>
        <v>1787791.1999888236</v>
      </c>
      <c r="N153" s="21">
        <f t="shared" si="55"/>
        <v>1819811.9003978868</v>
      </c>
    </row>
    <row r="154" spans="2:14" x14ac:dyDescent="0.25">
      <c r="B154" s="36" t="s">
        <v>40</v>
      </c>
      <c r="C154" s="21">
        <f t="shared" ref="C154:N154" si="56">C93</f>
        <v>2056195.7201109191</v>
      </c>
      <c r="D154" s="21">
        <f t="shared" si="56"/>
        <v>1732328.589877066</v>
      </c>
      <c r="E154" s="21">
        <f t="shared" si="56"/>
        <v>1770709.0521418981</v>
      </c>
      <c r="F154" s="21">
        <f t="shared" si="56"/>
        <v>1613896.5434660593</v>
      </c>
      <c r="G154" s="21">
        <f t="shared" si="56"/>
        <v>1647657.7654491139</v>
      </c>
      <c r="H154" s="21">
        <f t="shared" si="56"/>
        <v>1998963.7263324081</v>
      </c>
      <c r="I154" s="21">
        <f t="shared" si="56"/>
        <v>2469378.469996043</v>
      </c>
      <c r="J154" s="21">
        <f t="shared" si="56"/>
        <v>2404178.6112931208</v>
      </c>
      <c r="K154" s="21">
        <f t="shared" si="56"/>
        <v>1974515.082015703</v>
      </c>
      <c r="L154" s="21">
        <f t="shared" si="56"/>
        <v>1649083.807348191</v>
      </c>
      <c r="M154" s="21">
        <f t="shared" si="56"/>
        <v>1861986.0028091336</v>
      </c>
      <c r="N154" s="21">
        <f t="shared" si="56"/>
        <v>1919119.8315064232</v>
      </c>
    </row>
    <row r="155" spans="2:14" x14ac:dyDescent="0.25">
      <c r="B155" s="38" t="s">
        <v>80</v>
      </c>
      <c r="C155" s="33">
        <f>SUM(C150:C154)</f>
        <v>11590253.753682256</v>
      </c>
      <c r="D155" s="33">
        <f t="shared" ref="D155:N155" si="57">SUM(D150:D154)</f>
        <v>9767652.3151581809</v>
      </c>
      <c r="E155" s="33">
        <f t="shared" si="57"/>
        <v>10056927.489200827</v>
      </c>
      <c r="F155" s="33">
        <f t="shared" si="57"/>
        <v>9110563.3411194216</v>
      </c>
      <c r="G155" s="33">
        <f t="shared" si="57"/>
        <v>9057367.5508080516</v>
      </c>
      <c r="H155" s="33">
        <f t="shared" si="57"/>
        <v>10497511.896659425</v>
      </c>
      <c r="I155" s="33">
        <f t="shared" si="57"/>
        <v>12353168.838198489</v>
      </c>
      <c r="J155" s="33">
        <f t="shared" si="57"/>
        <v>12391763.292574363</v>
      </c>
      <c r="K155" s="33">
        <f t="shared" si="57"/>
        <v>10489812.624216707</v>
      </c>
      <c r="L155" s="33">
        <f t="shared" si="57"/>
        <v>9450929.0665428005</v>
      </c>
      <c r="M155" s="33">
        <f t="shared" si="57"/>
        <v>10089861.512663214</v>
      </c>
      <c r="N155" s="33">
        <f t="shared" si="57"/>
        <v>11186588.6932761</v>
      </c>
    </row>
    <row r="156" spans="2:14" x14ac:dyDescent="0.25">
      <c r="B156" s="42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2:14" x14ac:dyDescent="0.25">
      <c r="B157" s="56" t="s">
        <v>72</v>
      </c>
      <c r="C157" s="27" t="s">
        <v>9</v>
      </c>
      <c r="D157" s="27" t="s">
        <v>10</v>
      </c>
      <c r="E157" s="27" t="s">
        <v>11</v>
      </c>
      <c r="F157" s="27" t="s">
        <v>12</v>
      </c>
      <c r="G157" s="27" t="s">
        <v>13</v>
      </c>
      <c r="H157" s="27" t="s">
        <v>14</v>
      </c>
      <c r="I157" s="27" t="s">
        <v>15</v>
      </c>
      <c r="J157" s="27" t="s">
        <v>16</v>
      </c>
      <c r="K157" s="27" t="s">
        <v>17</v>
      </c>
      <c r="L157" s="27" t="s">
        <v>18</v>
      </c>
      <c r="M157" s="27" t="s">
        <v>19</v>
      </c>
      <c r="N157" s="27" t="s">
        <v>20</v>
      </c>
    </row>
    <row r="158" spans="2:14" x14ac:dyDescent="0.25">
      <c r="B158" s="36" t="s">
        <v>36</v>
      </c>
      <c r="C158" s="21">
        <f>C150*C143</f>
        <v>12543.404235507438</v>
      </c>
      <c r="D158" s="21">
        <f t="shared" ref="D158:N158" si="58">D150*D143</f>
        <v>11513.115177996513</v>
      </c>
      <c r="E158" s="21">
        <f t="shared" si="58"/>
        <v>11146.431287127089</v>
      </c>
      <c r="F158" s="21">
        <f t="shared" si="58"/>
        <v>10211.650078152526</v>
      </c>
      <c r="G158" s="21">
        <f t="shared" si="58"/>
        <v>7731.009391984001</v>
      </c>
      <c r="H158" s="21">
        <f t="shared" si="58"/>
        <v>7534.2690360657962</v>
      </c>
      <c r="I158" s="21">
        <f t="shared" si="58"/>
        <v>8230.8354846766324</v>
      </c>
      <c r="J158" s="21">
        <f t="shared" si="58"/>
        <v>7921.9904543746361</v>
      </c>
      <c r="K158" s="21">
        <f t="shared" si="58"/>
        <v>7801.6471953445289</v>
      </c>
      <c r="L158" s="21">
        <f t="shared" si="58"/>
        <v>8670.0895282184738</v>
      </c>
      <c r="M158" s="21">
        <f t="shared" si="58"/>
        <v>10942.68174206916</v>
      </c>
      <c r="N158" s="21">
        <f t="shared" si="58"/>
        <v>17499.794875802076</v>
      </c>
    </row>
    <row r="159" spans="2:14" x14ac:dyDescent="0.25">
      <c r="B159" s="36" t="s">
        <v>37</v>
      </c>
      <c r="C159" s="21">
        <f t="shared" ref="C159:N162" si="59">C151*C144</f>
        <v>27160.225229999993</v>
      </c>
      <c r="D159" s="21">
        <f t="shared" si="59"/>
        <v>24991.027339999993</v>
      </c>
      <c r="E159" s="21">
        <f t="shared" si="59"/>
        <v>25662.548360000004</v>
      </c>
      <c r="F159" s="21">
        <f t="shared" si="59"/>
        <v>27450.292249999999</v>
      </c>
      <c r="G159" s="21">
        <f t="shared" si="59"/>
        <v>27978.509029999994</v>
      </c>
      <c r="H159" s="21">
        <f t="shared" si="59"/>
        <v>26935.082819999992</v>
      </c>
      <c r="I159" s="21">
        <f t="shared" si="59"/>
        <v>33071.3158990909</v>
      </c>
      <c r="J159" s="21">
        <f t="shared" si="59"/>
        <v>29613.80045090909</v>
      </c>
      <c r="K159" s="21">
        <f t="shared" si="59"/>
        <v>27728.689589999998</v>
      </c>
      <c r="L159" s="21">
        <f t="shared" si="59"/>
        <v>33162.201889999997</v>
      </c>
      <c r="M159" s="21">
        <f t="shared" si="59"/>
        <v>34396.990391535706</v>
      </c>
      <c r="N159" s="21">
        <f t="shared" si="59"/>
        <v>26725.411448464285</v>
      </c>
    </row>
    <row r="160" spans="2:14" x14ac:dyDescent="0.25">
      <c r="B160" s="36" t="s">
        <v>38</v>
      </c>
      <c r="C160" s="21">
        <f t="shared" si="59"/>
        <v>464694.1373554712</v>
      </c>
      <c r="D160" s="21">
        <f t="shared" si="59"/>
        <v>389335.86793211434</v>
      </c>
      <c r="E160" s="21">
        <f t="shared" si="59"/>
        <v>401121.14706347371</v>
      </c>
      <c r="F160" s="21">
        <f t="shared" si="59"/>
        <v>357315.30708165851</v>
      </c>
      <c r="G160" s="21">
        <f t="shared" si="59"/>
        <v>350691.67900153191</v>
      </c>
      <c r="H160" s="21">
        <f t="shared" si="59"/>
        <v>406058.9897909548</v>
      </c>
      <c r="I160" s="21">
        <f t="shared" si="59"/>
        <v>471520.44195952389</v>
      </c>
      <c r="J160" s="21">
        <f t="shared" si="59"/>
        <v>483926.73702749732</v>
      </c>
      <c r="K160" s="21">
        <f t="shared" si="59"/>
        <v>406539.59666395915</v>
      </c>
      <c r="L160" s="21">
        <f t="shared" si="59"/>
        <v>367085.47870951123</v>
      </c>
      <c r="M160" s="21">
        <f t="shared" si="59"/>
        <v>384246.75392097229</v>
      </c>
      <c r="N160" s="21">
        <f t="shared" si="59"/>
        <v>449806.58945019374</v>
      </c>
    </row>
    <row r="161" spans="2:14" x14ac:dyDescent="0.25">
      <c r="B161" s="36" t="s">
        <v>39</v>
      </c>
      <c r="C161" s="21">
        <f t="shared" si="59"/>
        <v>180183.43330540584</v>
      </c>
      <c r="D161" s="21">
        <f t="shared" si="59"/>
        <v>151830.87790501578</v>
      </c>
      <c r="E161" s="21">
        <f t="shared" si="59"/>
        <v>158110.04722288618</v>
      </c>
      <c r="F161" s="21">
        <f t="shared" si="59"/>
        <v>146495.15962835588</v>
      </c>
      <c r="G161" s="21">
        <f t="shared" si="59"/>
        <v>150370.40842014167</v>
      </c>
      <c r="H161" s="21">
        <f t="shared" si="59"/>
        <v>173993.78935621557</v>
      </c>
      <c r="I161" s="21">
        <f t="shared" si="59"/>
        <v>202207.90600721224</v>
      </c>
      <c r="J161" s="21">
        <f t="shared" si="59"/>
        <v>198051.94959207435</v>
      </c>
      <c r="K161" s="21">
        <f t="shared" si="59"/>
        <v>173708.59771354959</v>
      </c>
      <c r="L161" s="21">
        <f t="shared" si="59"/>
        <v>156901.86538296321</v>
      </c>
      <c r="M161" s="21">
        <f t="shared" si="59"/>
        <v>168052.37279894942</v>
      </c>
      <c r="N161" s="21">
        <f t="shared" si="59"/>
        <v>171062.31863740136</v>
      </c>
    </row>
    <row r="162" spans="2:14" x14ac:dyDescent="0.25">
      <c r="B162" s="36" t="s">
        <v>40</v>
      </c>
      <c r="C162" s="21">
        <f t="shared" si="59"/>
        <v>271417.83505464136</v>
      </c>
      <c r="D162" s="21">
        <f t="shared" si="59"/>
        <v>228667.37386377272</v>
      </c>
      <c r="E162" s="21">
        <f t="shared" si="59"/>
        <v>233733.59488273057</v>
      </c>
      <c r="F162" s="21">
        <f t="shared" si="59"/>
        <v>213034.34373751984</v>
      </c>
      <c r="G162" s="21">
        <f t="shared" si="59"/>
        <v>217490.82503928305</v>
      </c>
      <c r="H162" s="21">
        <f t="shared" si="59"/>
        <v>263863.21187587787</v>
      </c>
      <c r="I162" s="21">
        <f t="shared" si="59"/>
        <v>325957.9580394777</v>
      </c>
      <c r="J162" s="21">
        <f t="shared" si="59"/>
        <v>317351.57669069193</v>
      </c>
      <c r="K162" s="21">
        <f t="shared" si="59"/>
        <v>260635.99082607281</v>
      </c>
      <c r="L162" s="21">
        <f t="shared" si="59"/>
        <v>217679.06256996121</v>
      </c>
      <c r="M162" s="21">
        <f t="shared" si="59"/>
        <v>245782.15237080565</v>
      </c>
      <c r="N162" s="21">
        <f t="shared" si="59"/>
        <v>253323.81775884787</v>
      </c>
    </row>
    <row r="163" spans="2:14" x14ac:dyDescent="0.25">
      <c r="B163" s="38" t="s">
        <v>79</v>
      </c>
      <c r="C163" s="33">
        <f>SUM(C158:C162)</f>
        <v>955999.03518102574</v>
      </c>
      <c r="D163" s="33">
        <f t="shared" ref="D163:N163" si="60">SUM(D158:D162)</f>
        <v>806338.26221889933</v>
      </c>
      <c r="E163" s="33">
        <f t="shared" si="60"/>
        <v>829773.76881621755</v>
      </c>
      <c r="F163" s="33">
        <f t="shared" si="60"/>
        <v>754506.75277568679</v>
      </c>
      <c r="G163" s="33">
        <f t="shared" si="60"/>
        <v>754262.43088294065</v>
      </c>
      <c r="H163" s="33">
        <f t="shared" si="60"/>
        <v>878385.34287911397</v>
      </c>
      <c r="I163" s="33">
        <f t="shared" si="60"/>
        <v>1040988.4573899814</v>
      </c>
      <c r="J163" s="33">
        <f t="shared" si="60"/>
        <v>1036866.0542155474</v>
      </c>
      <c r="K163" s="33">
        <f t="shared" si="60"/>
        <v>876414.52198892599</v>
      </c>
      <c r="L163" s="33">
        <f t="shared" si="60"/>
        <v>783498.69808065402</v>
      </c>
      <c r="M163" s="33">
        <f t="shared" si="60"/>
        <v>843420.95122433221</v>
      </c>
      <c r="N163" s="33">
        <f t="shared" si="60"/>
        <v>918417.93217070925</v>
      </c>
    </row>
    <row r="166" spans="2:14" ht="15.6" x14ac:dyDescent="0.3">
      <c r="B166" s="17" t="s">
        <v>81</v>
      </c>
    </row>
    <row r="168" spans="2:14" x14ac:dyDescent="0.25">
      <c r="B168" s="26" t="s">
        <v>71</v>
      </c>
      <c r="C168" s="27" t="s">
        <v>9</v>
      </c>
      <c r="D168" s="27" t="s">
        <v>10</v>
      </c>
      <c r="E168" s="27" t="s">
        <v>11</v>
      </c>
      <c r="F168" s="27" t="s">
        <v>12</v>
      </c>
      <c r="G168" s="27" t="s">
        <v>13</v>
      </c>
      <c r="H168" s="27" t="s">
        <v>14</v>
      </c>
      <c r="I168" s="27" t="s">
        <v>15</v>
      </c>
      <c r="J168" s="27" t="s">
        <v>16</v>
      </c>
      <c r="K168" s="27" t="s">
        <v>17</v>
      </c>
      <c r="L168" s="27" t="s">
        <v>18</v>
      </c>
      <c r="M168" s="27" t="s">
        <v>19</v>
      </c>
      <c r="N168" s="27" t="s">
        <v>20</v>
      </c>
    </row>
    <row r="169" spans="2:14" x14ac:dyDescent="0.25">
      <c r="B169" s="36" t="s">
        <v>82</v>
      </c>
      <c r="C169" s="53">
        <f t="shared" ref="C169:N169" si="61">C100</f>
        <v>4.4003996441883672E-2</v>
      </c>
      <c r="D169" s="53">
        <f t="shared" si="61"/>
        <v>-3.7927750095897114E-3</v>
      </c>
      <c r="E169" s="53">
        <f t="shared" si="61"/>
        <v>7.9252293530603091E-3</v>
      </c>
      <c r="F169" s="53">
        <f t="shared" si="61"/>
        <v>2.7708769714529759E-2</v>
      </c>
      <c r="G169" s="53">
        <f t="shared" si="61"/>
        <v>-3.158890781222095E-2</v>
      </c>
      <c r="H169" s="53">
        <f t="shared" si="61"/>
        <v>-1.4347664117604496E-3</v>
      </c>
      <c r="I169" s="53">
        <f t="shared" si="61"/>
        <v>2.2842203427129105E-2</v>
      </c>
      <c r="J169" s="53">
        <f t="shared" si="61"/>
        <v>2.2224800140417714E-3</v>
      </c>
      <c r="K169" s="53">
        <f t="shared" si="61"/>
        <v>5.6754717773006141E-3</v>
      </c>
      <c r="L169" s="53">
        <f t="shared" si="61"/>
        <v>-3.2840188721693746E-2</v>
      </c>
      <c r="M169" s="53">
        <f t="shared" si="61"/>
        <v>3.3014357517321728E-2</v>
      </c>
      <c r="N169" s="53">
        <f t="shared" si="61"/>
        <v>2.8045742891430886E-2</v>
      </c>
    </row>
    <row r="170" spans="2:14" x14ac:dyDescent="0.25">
      <c r="B170" s="36" t="s">
        <v>84</v>
      </c>
      <c r="C170" s="53">
        <f t="shared" ref="C170:N170" si="62">C101</f>
        <v>2.027265640113602E-2</v>
      </c>
      <c r="D170" s="53">
        <f t="shared" si="62"/>
        <v>3.1947010734836571E-2</v>
      </c>
      <c r="E170" s="53">
        <f t="shared" si="62"/>
        <v>1.9313256392928611E-2</v>
      </c>
      <c r="F170" s="53">
        <f t="shared" si="62"/>
        <v>1.7580130490640739E-2</v>
      </c>
      <c r="G170" s="53">
        <f t="shared" si="62"/>
        <v>2.9714422556118624E-2</v>
      </c>
      <c r="H170" s="53">
        <f t="shared" si="62"/>
        <v>1.361094860425865E-2</v>
      </c>
      <c r="I170" s="53">
        <f t="shared" si="62"/>
        <v>1.7939624194798772E-2</v>
      </c>
      <c r="J170" s="53">
        <f t="shared" si="62"/>
        <v>3.0637300850248426E-2</v>
      </c>
      <c r="K170" s="53">
        <f t="shared" si="62"/>
        <v>3.0647676309430862E-2</v>
      </c>
      <c r="L170" s="53">
        <f t="shared" si="62"/>
        <v>2.9512862822852107E-2</v>
      </c>
      <c r="M170" s="53">
        <f t="shared" si="62"/>
        <v>1.4071701950838605E-2</v>
      </c>
      <c r="N170" s="53">
        <f t="shared" si="62"/>
        <v>2.5717193901436633E-2</v>
      </c>
    </row>
    <row r="171" spans="2:14" x14ac:dyDescent="0.25">
      <c r="B171" s="42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</row>
    <row r="172" spans="2:14" x14ac:dyDescent="0.25">
      <c r="B172" s="57" t="s">
        <v>42</v>
      </c>
      <c r="C172" s="27" t="s">
        <v>9</v>
      </c>
      <c r="D172" s="27" t="s">
        <v>10</v>
      </c>
      <c r="E172" s="27" t="s">
        <v>11</v>
      </c>
      <c r="F172" s="27" t="s">
        <v>12</v>
      </c>
      <c r="G172" s="27" t="s">
        <v>13</v>
      </c>
      <c r="H172" s="27" t="s">
        <v>14</v>
      </c>
      <c r="I172" s="27" t="s">
        <v>15</v>
      </c>
      <c r="J172" s="27" t="s">
        <v>16</v>
      </c>
      <c r="K172" s="27" t="s">
        <v>17</v>
      </c>
      <c r="L172" s="27" t="s">
        <v>18</v>
      </c>
      <c r="M172" s="27" t="s">
        <v>19</v>
      </c>
      <c r="N172" s="27" t="s">
        <v>20</v>
      </c>
    </row>
    <row r="173" spans="2:14" x14ac:dyDescent="0.25">
      <c r="B173" s="36" t="s">
        <v>82</v>
      </c>
      <c r="C173" s="21">
        <f t="shared" ref="C173:N173" si="63">C62</f>
        <v>14555668.740191851</v>
      </c>
      <c r="D173" s="21">
        <f t="shared" si="63"/>
        <v>13229879.891999863</v>
      </c>
      <c r="E173" s="21">
        <f t="shared" si="63"/>
        <v>13842176.502297215</v>
      </c>
      <c r="F173" s="21">
        <f t="shared" si="63"/>
        <v>13215398.708029868</v>
      </c>
      <c r="G173" s="21">
        <f t="shared" si="63"/>
        <v>13366152.827721704</v>
      </c>
      <c r="H173" s="21">
        <f t="shared" si="63"/>
        <v>13482764.649896229</v>
      </c>
      <c r="I173" s="21">
        <f t="shared" si="63"/>
        <v>16012913.374995358</v>
      </c>
      <c r="J173" s="21">
        <f t="shared" si="63"/>
        <v>17905206.72403935</v>
      </c>
      <c r="K173" s="21">
        <f t="shared" si="63"/>
        <v>16809213.336386949</v>
      </c>
      <c r="L173" s="21">
        <f t="shared" si="63"/>
        <v>16881729.047940388</v>
      </c>
      <c r="M173" s="21">
        <f t="shared" si="63"/>
        <v>16664908.633470377</v>
      </c>
      <c r="N173" s="21">
        <f t="shared" si="63"/>
        <v>15217303.498058915</v>
      </c>
    </row>
    <row r="174" spans="2:14" x14ac:dyDescent="0.25">
      <c r="B174" s="36" t="s">
        <v>84</v>
      </c>
      <c r="C174" s="21">
        <f t="shared" ref="C174:N174" si="64">C54</f>
        <v>13868081.140191851</v>
      </c>
      <c r="D174" s="21">
        <f t="shared" si="64"/>
        <v>12579780.241999863</v>
      </c>
      <c r="E174" s="21">
        <f t="shared" si="64"/>
        <v>13042246.502297215</v>
      </c>
      <c r="F174" s="21">
        <f t="shared" si="64"/>
        <v>12448309.578029867</v>
      </c>
      <c r="G174" s="21">
        <f t="shared" si="64"/>
        <v>12540324.037721703</v>
      </c>
      <c r="H174" s="21">
        <f t="shared" si="64"/>
        <v>12666305.669896228</v>
      </c>
      <c r="I174" s="21">
        <f t="shared" si="64"/>
        <v>12898326.254995357</v>
      </c>
      <c r="J174" s="21">
        <f t="shared" si="64"/>
        <v>14761541.824039349</v>
      </c>
      <c r="K174" s="21">
        <f t="shared" si="64"/>
        <v>13903919.146386949</v>
      </c>
      <c r="L174" s="21">
        <f t="shared" si="64"/>
        <v>13963438.657940388</v>
      </c>
      <c r="M174" s="21">
        <f t="shared" si="64"/>
        <v>13884715.653470377</v>
      </c>
      <c r="N174" s="21">
        <f t="shared" si="64"/>
        <v>13012908.178058915</v>
      </c>
    </row>
    <row r="175" spans="2:14" x14ac:dyDescent="0.25">
      <c r="B175" s="42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</row>
    <row r="176" spans="2:14" x14ac:dyDescent="0.25">
      <c r="B176" s="49" t="s">
        <v>72</v>
      </c>
      <c r="C176" s="27" t="s">
        <v>9</v>
      </c>
      <c r="D176" s="27" t="s">
        <v>10</v>
      </c>
      <c r="E176" s="27" t="s">
        <v>11</v>
      </c>
      <c r="F176" s="27" t="s">
        <v>12</v>
      </c>
      <c r="G176" s="27" t="s">
        <v>13</v>
      </c>
      <c r="H176" s="27" t="s">
        <v>14</v>
      </c>
      <c r="I176" s="27" t="s">
        <v>15</v>
      </c>
      <c r="J176" s="27" t="s">
        <v>16</v>
      </c>
      <c r="K176" s="27" t="s">
        <v>17</v>
      </c>
      <c r="L176" s="27" t="s">
        <v>18</v>
      </c>
      <c r="M176" s="27" t="s">
        <v>19</v>
      </c>
      <c r="N176" s="27" t="s">
        <v>20</v>
      </c>
    </row>
    <row r="177" spans="2:14" x14ac:dyDescent="0.25">
      <c r="B177" s="36" t="s">
        <v>82</v>
      </c>
      <c r="C177" s="21">
        <f>C169*C173</f>
        <v>640507.59545263962</v>
      </c>
      <c r="D177" s="21">
        <f t="shared" ref="D177:N177" si="65">D169*D173</f>
        <v>-50177.957834250512</v>
      </c>
      <c r="E177" s="21">
        <f t="shared" si="65"/>
        <v>109702.42352624757</v>
      </c>
      <c r="F177" s="21">
        <f t="shared" si="65"/>
        <v>366182.43948649371</v>
      </c>
      <c r="G177" s="21">
        <f t="shared" si="65"/>
        <v>-422222.16947895725</v>
      </c>
      <c r="H177" s="21">
        <f t="shared" si="65"/>
        <v>-19344.617857342248</v>
      </c>
      <c r="I177" s="21">
        <f t="shared" si="65"/>
        <v>365770.22477264045</v>
      </c>
      <c r="J177" s="21">
        <f t="shared" si="65"/>
        <v>39793.964091463793</v>
      </c>
      <c r="K177" s="21">
        <f t="shared" si="65"/>
        <v>95400.215889289218</v>
      </c>
      <c r="L177" s="21">
        <f t="shared" si="65"/>
        <v>-554399.16788286169</v>
      </c>
      <c r="M177" s="21">
        <f t="shared" si="65"/>
        <v>550181.25161889254</v>
      </c>
      <c r="N177" s="21">
        <f t="shared" si="65"/>
        <v>426780.58140743215</v>
      </c>
    </row>
    <row r="178" spans="2:14" x14ac:dyDescent="0.25">
      <c r="B178" s="36" t="s">
        <v>83</v>
      </c>
      <c r="C178" s="21">
        <f t="shared" ref="C178:N178" si="66">C132</f>
        <v>42055.53</v>
      </c>
      <c r="D178" s="21">
        <f t="shared" si="66"/>
        <v>42561.15</v>
      </c>
      <c r="E178" s="21">
        <f t="shared" si="66"/>
        <v>51460.46</v>
      </c>
      <c r="F178" s="21">
        <f t="shared" si="66"/>
        <v>50269.69</v>
      </c>
      <c r="G178" s="21">
        <f t="shared" si="66"/>
        <v>53508.3</v>
      </c>
      <c r="H178" s="21">
        <f t="shared" si="66"/>
        <v>61521.39</v>
      </c>
      <c r="I178" s="21">
        <f t="shared" si="66"/>
        <v>183589.54</v>
      </c>
      <c r="J178" s="21">
        <f t="shared" si="66"/>
        <v>176471.41</v>
      </c>
      <c r="K178" s="21">
        <f t="shared" si="66"/>
        <v>170595.12</v>
      </c>
      <c r="L178" s="21">
        <f t="shared" si="66"/>
        <v>228584.94</v>
      </c>
      <c r="M178" s="21">
        <f t="shared" si="66"/>
        <v>188534.09</v>
      </c>
      <c r="N178" s="21">
        <f t="shared" si="66"/>
        <v>171791.25</v>
      </c>
    </row>
    <row r="179" spans="2:14" x14ac:dyDescent="0.25">
      <c r="B179" s="36" t="s">
        <v>84</v>
      </c>
      <c r="C179" s="21">
        <f>C170*C174</f>
        <v>281142.84389818407</v>
      </c>
      <c r="D179" s="21">
        <f t="shared" ref="D179:N179" si="67">D170*D174</f>
        <v>401886.37443305459</v>
      </c>
      <c r="E179" s="21">
        <f t="shared" si="67"/>
        <v>251888.25063864249</v>
      </c>
      <c r="F179" s="21">
        <f t="shared" si="67"/>
        <v>218842.90676965803</v>
      </c>
      <c r="G179" s="21">
        <f t="shared" si="67"/>
        <v>372628.48744751437</v>
      </c>
      <c r="H179" s="21">
        <f t="shared" si="67"/>
        <v>172400.43547878749</v>
      </c>
      <c r="I179" s="21">
        <f t="shared" si="67"/>
        <v>231391.12575652296</v>
      </c>
      <c r="J179" s="21">
        <f t="shared" si="67"/>
        <v>452253.79787661845</v>
      </c>
      <c r="K179" s="21">
        <f t="shared" si="67"/>
        <v>426122.81343096547</v>
      </c>
      <c r="L179" s="21">
        <f t="shared" si="67"/>
        <v>412101.04964710481</v>
      </c>
      <c r="M179" s="21">
        <f t="shared" si="67"/>
        <v>195381.58034777842</v>
      </c>
      <c r="N179" s="21">
        <f t="shared" si="67"/>
        <v>334655.48283673159</v>
      </c>
    </row>
    <row r="180" spans="2:14" x14ac:dyDescent="0.25">
      <c r="B180" s="38" t="s">
        <v>21</v>
      </c>
      <c r="C180" s="33">
        <f>SUM(C177:C179)</f>
        <v>963705.96935082367</v>
      </c>
      <c r="D180" s="33">
        <f t="shared" ref="D180:N180" si="68">SUM(D177:D179)</f>
        <v>394269.56659880409</v>
      </c>
      <c r="E180" s="33">
        <f t="shared" si="68"/>
        <v>413051.13416489004</v>
      </c>
      <c r="F180" s="33">
        <f t="shared" si="68"/>
        <v>635295.03625615174</v>
      </c>
      <c r="G180" s="33">
        <f t="shared" si="68"/>
        <v>3914.6179685571115</v>
      </c>
      <c r="H180" s="33">
        <f t="shared" si="68"/>
        <v>214577.20762144524</v>
      </c>
      <c r="I180" s="33">
        <f t="shared" si="68"/>
        <v>780750.89052916341</v>
      </c>
      <c r="J180" s="33">
        <f t="shared" si="68"/>
        <v>668519.1719680822</v>
      </c>
      <c r="K180" s="33">
        <f t="shared" si="68"/>
        <v>692118.14932025468</v>
      </c>
      <c r="L180" s="33">
        <f t="shared" si="68"/>
        <v>86286.821764243126</v>
      </c>
      <c r="M180" s="33">
        <f t="shared" si="68"/>
        <v>934096.9219666709</v>
      </c>
      <c r="N180" s="33">
        <f t="shared" si="68"/>
        <v>933227.3142441638</v>
      </c>
    </row>
    <row r="183" spans="2:14" ht="15.6" x14ac:dyDescent="0.3">
      <c r="B183" s="17" t="s">
        <v>121</v>
      </c>
    </row>
    <row r="184" spans="2:14" x14ac:dyDescent="0.25">
      <c r="B184" s="10"/>
    </row>
    <row r="185" spans="2:14" x14ac:dyDescent="0.25">
      <c r="B185" s="26" t="s">
        <v>71</v>
      </c>
      <c r="C185" s="27" t="s">
        <v>9</v>
      </c>
      <c r="D185" s="27" t="s">
        <v>10</v>
      </c>
      <c r="E185" s="27" t="s">
        <v>11</v>
      </c>
      <c r="F185" s="27" t="s">
        <v>12</v>
      </c>
      <c r="G185" s="27" t="s">
        <v>13</v>
      </c>
      <c r="H185" s="27" t="s">
        <v>14</v>
      </c>
      <c r="I185" s="27" t="s">
        <v>15</v>
      </c>
      <c r="J185" s="27" t="s">
        <v>16</v>
      </c>
      <c r="K185" s="27" t="s">
        <v>17</v>
      </c>
      <c r="L185" s="27" t="s">
        <v>18</v>
      </c>
      <c r="M185" s="27" t="s">
        <v>19</v>
      </c>
      <c r="N185" s="27" t="s">
        <v>20</v>
      </c>
    </row>
    <row r="186" spans="2:14" x14ac:dyDescent="0.25">
      <c r="B186" s="58" t="s">
        <v>85</v>
      </c>
      <c r="C186" s="52">
        <f t="shared" ref="C186:N186" si="69">(SUM(C130:C131,C136)-(C196/(C62/C20)))/C19</f>
        <v>4.4003996441883672E-2</v>
      </c>
      <c r="D186" s="52">
        <f t="shared" si="69"/>
        <v>-3.7927750095897114E-3</v>
      </c>
      <c r="E186" s="52">
        <f t="shared" si="69"/>
        <v>7.9252293530603091E-3</v>
      </c>
      <c r="F186" s="52">
        <f t="shared" si="69"/>
        <v>2.7708769714529759E-2</v>
      </c>
      <c r="G186" s="52">
        <f t="shared" si="69"/>
        <v>-3.158890781222095E-2</v>
      </c>
      <c r="H186" s="52">
        <f t="shared" si="69"/>
        <v>-1.4347664117604496E-3</v>
      </c>
      <c r="I186" s="52">
        <f t="shared" si="69"/>
        <v>2.2842203427129105E-2</v>
      </c>
      <c r="J186" s="52">
        <f t="shared" si="69"/>
        <v>2.2224800140417714E-3</v>
      </c>
      <c r="K186" s="52">
        <f t="shared" si="69"/>
        <v>5.6754717773006141E-3</v>
      </c>
      <c r="L186" s="52">
        <f t="shared" si="69"/>
        <v>-3.2840188721693746E-2</v>
      </c>
      <c r="M186" s="52">
        <f t="shared" si="69"/>
        <v>3.3014357517321728E-2</v>
      </c>
      <c r="N186" s="52">
        <f t="shared" si="69"/>
        <v>2.8045742891430886E-2</v>
      </c>
    </row>
    <row r="187" spans="2:14" x14ac:dyDescent="0.25">
      <c r="B187" s="58" t="s">
        <v>86</v>
      </c>
      <c r="C187" s="61">
        <f>'Consumption and Rates'!E10/100</f>
        <v>2.027265640113602E-2</v>
      </c>
      <c r="D187" s="61">
        <f>'Consumption and Rates'!F10/100</f>
        <v>3.1947010734836571E-2</v>
      </c>
      <c r="E187" s="61">
        <f>'Consumption and Rates'!G10/100</f>
        <v>1.9313256392928611E-2</v>
      </c>
      <c r="F187" s="61">
        <f>'Consumption and Rates'!H10/100</f>
        <v>1.7580130490640739E-2</v>
      </c>
      <c r="G187" s="61">
        <f>'Consumption and Rates'!I10/100</f>
        <v>2.9714422556118624E-2</v>
      </c>
      <c r="H187" s="61">
        <f>'Consumption and Rates'!J10/100</f>
        <v>1.361094860425865E-2</v>
      </c>
      <c r="I187" s="61">
        <f>'Consumption and Rates'!K10/100</f>
        <v>1.7939624194798772E-2</v>
      </c>
      <c r="J187" s="61">
        <f>'Consumption and Rates'!L10/100</f>
        <v>3.0637300850248426E-2</v>
      </c>
      <c r="K187" s="61">
        <f>'Consumption and Rates'!M10/100</f>
        <v>3.0647676309430862E-2</v>
      </c>
      <c r="L187" s="61">
        <f>'Consumption and Rates'!N10/100</f>
        <v>2.9512862822852107E-2</v>
      </c>
      <c r="M187" s="61">
        <f>'Consumption and Rates'!O10/100</f>
        <v>1.4071701950838605E-2</v>
      </c>
      <c r="N187" s="61">
        <f>'Consumption and Rates'!P10/100</f>
        <v>2.5717193901436633E-2</v>
      </c>
    </row>
    <row r="188" spans="2:14" x14ac:dyDescent="0.25">
      <c r="B188" s="42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2:14" x14ac:dyDescent="0.25">
      <c r="B189" s="57" t="s">
        <v>42</v>
      </c>
      <c r="C189" s="27" t="s">
        <v>9</v>
      </c>
      <c r="D189" s="27" t="s">
        <v>10</v>
      </c>
      <c r="E189" s="27" t="s">
        <v>11</v>
      </c>
      <c r="F189" s="27" t="s">
        <v>12</v>
      </c>
      <c r="G189" s="27" t="s">
        <v>13</v>
      </c>
      <c r="H189" s="27" t="s">
        <v>14</v>
      </c>
      <c r="I189" s="27" t="s">
        <v>15</v>
      </c>
      <c r="J189" s="27" t="s">
        <v>16</v>
      </c>
      <c r="K189" s="27" t="s">
        <v>17</v>
      </c>
      <c r="L189" s="27" t="s">
        <v>18</v>
      </c>
      <c r="M189" s="27" t="s">
        <v>19</v>
      </c>
      <c r="N189" s="27" t="s">
        <v>20</v>
      </c>
    </row>
    <row r="190" spans="2:14" x14ac:dyDescent="0.25">
      <c r="B190" s="58" t="s">
        <v>85</v>
      </c>
      <c r="C190" s="21">
        <f t="shared" ref="C190:N190" si="70">C61</f>
        <v>11590253.753682258</v>
      </c>
      <c r="D190" s="21">
        <f t="shared" si="70"/>
        <v>9767652.3151581828</v>
      </c>
      <c r="E190" s="21">
        <f t="shared" si="70"/>
        <v>10056927.489200827</v>
      </c>
      <c r="F190" s="21">
        <f t="shared" si="70"/>
        <v>9110563.3411194198</v>
      </c>
      <c r="G190" s="21">
        <f t="shared" si="70"/>
        <v>9057367.5508080516</v>
      </c>
      <c r="H190" s="21">
        <f t="shared" si="70"/>
        <v>10497511.896659425</v>
      </c>
      <c r="I190" s="21">
        <f t="shared" si="70"/>
        <v>12353168.83819849</v>
      </c>
      <c r="J190" s="21">
        <f t="shared" si="70"/>
        <v>12391763.292574363</v>
      </c>
      <c r="K190" s="21">
        <f t="shared" si="70"/>
        <v>10489812.624216707</v>
      </c>
      <c r="L190" s="21">
        <f t="shared" si="70"/>
        <v>9450929.0665428005</v>
      </c>
      <c r="M190" s="21">
        <f t="shared" si="70"/>
        <v>10089861.512663214</v>
      </c>
      <c r="N190" s="21">
        <f t="shared" si="70"/>
        <v>11186588.693276098</v>
      </c>
    </row>
    <row r="191" spans="2:14" x14ac:dyDescent="0.25">
      <c r="B191" s="58" t="s">
        <v>86</v>
      </c>
      <c r="C191" s="21">
        <f t="shared" ref="C191:N191" si="71">C62</f>
        <v>14555668.740191851</v>
      </c>
      <c r="D191" s="21">
        <f t="shared" si="71"/>
        <v>13229879.891999863</v>
      </c>
      <c r="E191" s="21">
        <f t="shared" si="71"/>
        <v>13842176.502297215</v>
      </c>
      <c r="F191" s="21">
        <f t="shared" si="71"/>
        <v>13215398.708029868</v>
      </c>
      <c r="G191" s="21">
        <f t="shared" si="71"/>
        <v>13366152.827721704</v>
      </c>
      <c r="H191" s="21">
        <f t="shared" si="71"/>
        <v>13482764.649896229</v>
      </c>
      <c r="I191" s="21">
        <f t="shared" si="71"/>
        <v>16012913.374995358</v>
      </c>
      <c r="J191" s="21">
        <f t="shared" si="71"/>
        <v>17905206.72403935</v>
      </c>
      <c r="K191" s="21">
        <f t="shared" si="71"/>
        <v>16809213.336386949</v>
      </c>
      <c r="L191" s="21">
        <f t="shared" si="71"/>
        <v>16881729.047940388</v>
      </c>
      <c r="M191" s="21">
        <f t="shared" si="71"/>
        <v>16664908.633470377</v>
      </c>
      <c r="N191" s="21">
        <f t="shared" si="71"/>
        <v>15217303.498058915</v>
      </c>
    </row>
    <row r="192" spans="2:14" x14ac:dyDescent="0.25">
      <c r="B192" s="60" t="s">
        <v>21</v>
      </c>
      <c r="C192" s="33">
        <f>SUM(C190:C191)</f>
        <v>26145922.49387411</v>
      </c>
      <c r="D192" s="33">
        <f t="shared" ref="D192:N192" si="72">SUM(D190:D191)</f>
        <v>22997532.207158044</v>
      </c>
      <c r="E192" s="33">
        <f t="shared" si="72"/>
        <v>23899103.991498042</v>
      </c>
      <c r="F192" s="33">
        <f t="shared" si="72"/>
        <v>22325962.04914929</v>
      </c>
      <c r="G192" s="33">
        <f t="shared" si="72"/>
        <v>22423520.378529757</v>
      </c>
      <c r="H192" s="33">
        <f t="shared" si="72"/>
        <v>23980276.546555653</v>
      </c>
      <c r="I192" s="33">
        <f t="shared" si="72"/>
        <v>28366082.213193849</v>
      </c>
      <c r="J192" s="33">
        <f t="shared" si="72"/>
        <v>30296970.016613714</v>
      </c>
      <c r="K192" s="33">
        <f t="shared" si="72"/>
        <v>27299025.960603654</v>
      </c>
      <c r="L192" s="33">
        <f t="shared" si="72"/>
        <v>26332658.114483189</v>
      </c>
      <c r="M192" s="33">
        <f t="shared" si="72"/>
        <v>26754770.14613359</v>
      </c>
      <c r="N192" s="33">
        <f t="shared" si="72"/>
        <v>26403892.191335015</v>
      </c>
    </row>
    <row r="193" spans="2:15" x14ac:dyDescent="0.25">
      <c r="B193" s="42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</row>
    <row r="194" spans="2:15" x14ac:dyDescent="0.25">
      <c r="B194" s="49" t="s">
        <v>72</v>
      </c>
      <c r="C194" s="27" t="s">
        <v>9</v>
      </c>
      <c r="D194" s="27" t="s">
        <v>10</v>
      </c>
      <c r="E194" s="27" t="s">
        <v>11</v>
      </c>
      <c r="F194" s="27" t="s">
        <v>12</v>
      </c>
      <c r="G194" s="27" t="s">
        <v>13</v>
      </c>
      <c r="H194" s="27" t="s">
        <v>14</v>
      </c>
      <c r="I194" s="27" t="s">
        <v>15</v>
      </c>
      <c r="J194" s="27" t="s">
        <v>16</v>
      </c>
      <c r="K194" s="27" t="s">
        <v>17</v>
      </c>
      <c r="L194" s="27" t="s">
        <v>18</v>
      </c>
      <c r="M194" s="27" t="s">
        <v>19</v>
      </c>
      <c r="N194" s="27" t="s">
        <v>20</v>
      </c>
    </row>
    <row r="195" spans="2:15" x14ac:dyDescent="0.25">
      <c r="B195" s="58" t="s">
        <v>85</v>
      </c>
      <c r="C195" s="72">
        <f t="shared" ref="C195:N195" si="73">C186*C190</f>
        <v>510017.48493756296</v>
      </c>
      <c r="D195" s="72">
        <f t="shared" si="73"/>
        <v>-37046.507603293045</v>
      </c>
      <c r="E195" s="72">
        <f t="shared" si="73"/>
        <v>79703.4569390135</v>
      </c>
      <c r="F195" s="72">
        <f t="shared" si="73"/>
        <v>252442.50158871483</v>
      </c>
      <c r="G195" s="72">
        <f t="shared" si="73"/>
        <v>-286112.34858387697</v>
      </c>
      <c r="H195" s="72">
        <f t="shared" si="73"/>
        <v>-15061.477476382674</v>
      </c>
      <c r="I195" s="72">
        <f t="shared" si="73"/>
        <v>282173.595571802</v>
      </c>
      <c r="J195" s="72">
        <f t="shared" si="73"/>
        <v>27540.446256482977</v>
      </c>
      <c r="K195" s="72">
        <f t="shared" si="73"/>
        <v>59534.635497913616</v>
      </c>
      <c r="L195" s="72">
        <f t="shared" si="73"/>
        <v>-310370.29414060648</v>
      </c>
      <c r="M195" s="72">
        <f t="shared" si="73"/>
        <v>333110.29527932795</v>
      </c>
      <c r="N195" s="72">
        <f t="shared" si="73"/>
        <v>313736.19032380922</v>
      </c>
    </row>
    <row r="196" spans="2:15" x14ac:dyDescent="0.25">
      <c r="B196" s="58" t="s">
        <v>86</v>
      </c>
      <c r="C196" s="72">
        <f t="shared" ref="C196:N196" si="74">C191*C187</f>
        <v>295082.07105866581</v>
      </c>
      <c r="D196" s="72">
        <f t="shared" si="74"/>
        <v>422655.11493031814</v>
      </c>
      <c r="E196" s="72">
        <f t="shared" si="74"/>
        <v>267337.50382503791</v>
      </c>
      <c r="F196" s="72">
        <f t="shared" si="74"/>
        <v>232328.43377301013</v>
      </c>
      <c r="G196" s="72">
        <f t="shared" si="74"/>
        <v>397167.51307258254</v>
      </c>
      <c r="H196" s="72">
        <f t="shared" si="74"/>
        <v>183513.21669305293</v>
      </c>
      <c r="I196" s="72">
        <f t="shared" si="74"/>
        <v>287265.64821128361</v>
      </c>
      <c r="J196" s="72">
        <f t="shared" si="74"/>
        <v>548567.20519028464</v>
      </c>
      <c r="K196" s="72">
        <f t="shared" si="74"/>
        <v>515163.3293497556</v>
      </c>
      <c r="L196" s="72">
        <f t="shared" si="74"/>
        <v>498228.1536044224</v>
      </c>
      <c r="M196" s="72">
        <f t="shared" si="74"/>
        <v>234503.62732815222</v>
      </c>
      <c r="N196" s="72">
        <f t="shared" si="74"/>
        <v>391346.34471659106</v>
      </c>
    </row>
    <row r="197" spans="2:15" x14ac:dyDescent="0.25">
      <c r="B197" s="60" t="s">
        <v>21</v>
      </c>
      <c r="C197" s="33">
        <f>SUM(C195:C196)</f>
        <v>805099.55599622871</v>
      </c>
      <c r="D197" s="33">
        <f t="shared" ref="D197:N197" si="75">SUM(D195:D196)</f>
        <v>385608.60732702509</v>
      </c>
      <c r="E197" s="33">
        <f t="shared" si="75"/>
        <v>347040.96076405142</v>
      </c>
      <c r="F197" s="33">
        <f t="shared" si="75"/>
        <v>484770.93536172493</v>
      </c>
      <c r="G197" s="33">
        <f t="shared" si="75"/>
        <v>111055.16448870557</v>
      </c>
      <c r="H197" s="33">
        <f t="shared" si="75"/>
        <v>168451.73921667025</v>
      </c>
      <c r="I197" s="33">
        <f t="shared" si="75"/>
        <v>569439.24378308561</v>
      </c>
      <c r="J197" s="33">
        <f t="shared" si="75"/>
        <v>576107.65144676762</v>
      </c>
      <c r="K197" s="33">
        <f t="shared" si="75"/>
        <v>574697.96484766924</v>
      </c>
      <c r="L197" s="33">
        <f t="shared" si="75"/>
        <v>187857.85946381593</v>
      </c>
      <c r="M197" s="33">
        <f t="shared" si="75"/>
        <v>567613.9226074802</v>
      </c>
      <c r="N197" s="33">
        <f t="shared" si="75"/>
        <v>705082.53504040022</v>
      </c>
    </row>
    <row r="200" spans="2:15" ht="15.6" x14ac:dyDescent="0.3">
      <c r="B200" s="17" t="s">
        <v>98</v>
      </c>
      <c r="C200" s="19"/>
    </row>
    <row r="202" spans="2:15" x14ac:dyDescent="0.25">
      <c r="B202" s="64" t="s">
        <v>99</v>
      </c>
      <c r="C202" s="27" t="s">
        <v>9</v>
      </c>
      <c r="D202" s="27" t="s">
        <v>10</v>
      </c>
      <c r="E202" s="27" t="s">
        <v>11</v>
      </c>
      <c r="F202" s="27" t="s">
        <v>12</v>
      </c>
      <c r="G202" s="27" t="s">
        <v>13</v>
      </c>
      <c r="H202" s="27" t="s">
        <v>14</v>
      </c>
      <c r="I202" s="27" t="s">
        <v>15</v>
      </c>
      <c r="J202" s="27" t="s">
        <v>16</v>
      </c>
      <c r="K202" s="27" t="s">
        <v>17</v>
      </c>
      <c r="L202" s="27" t="s">
        <v>18</v>
      </c>
      <c r="M202" s="27" t="s">
        <v>19</v>
      </c>
      <c r="N202" s="27" t="s">
        <v>20</v>
      </c>
      <c r="O202" s="27" t="s">
        <v>21</v>
      </c>
    </row>
    <row r="203" spans="2:15" x14ac:dyDescent="0.25">
      <c r="B203" s="21" t="s">
        <v>36</v>
      </c>
      <c r="C203" s="21">
        <f t="shared" ref="C203:N203" si="76">C40*C74</f>
        <v>12832.644939932283</v>
      </c>
      <c r="D203" s="21">
        <f t="shared" si="76"/>
        <v>11341.462364824178</v>
      </c>
      <c r="E203" s="21">
        <f t="shared" si="76"/>
        <v>10819.863919262612</v>
      </c>
      <c r="F203" s="21">
        <f t="shared" si="76"/>
        <v>9842.7988547803143</v>
      </c>
      <c r="G203" s="21">
        <f t="shared" si="76"/>
        <v>7355.7836279102121</v>
      </c>
      <c r="H203" s="21">
        <f t="shared" si="76"/>
        <v>7212.162334096166</v>
      </c>
      <c r="I203" s="21">
        <f t="shared" si="76"/>
        <v>8843.91356013318</v>
      </c>
      <c r="J203" s="21">
        <f t="shared" si="76"/>
        <v>7935.2636387092971</v>
      </c>
      <c r="K203" s="21">
        <f t="shared" si="76"/>
        <v>7726.7183972541434</v>
      </c>
      <c r="L203" s="21">
        <f t="shared" si="76"/>
        <v>8146.7977764289344</v>
      </c>
      <c r="M203" s="21">
        <f t="shared" si="76"/>
        <v>10871.525832089381</v>
      </c>
      <c r="N203" s="21">
        <f t="shared" si="76"/>
        <v>17413.485690224985</v>
      </c>
      <c r="O203" s="21">
        <f>SUM(C203:N203)</f>
        <v>120342.42093564567</v>
      </c>
    </row>
    <row r="204" spans="2:15" x14ac:dyDescent="0.25">
      <c r="B204" s="21" t="s">
        <v>37</v>
      </c>
      <c r="C204" s="21">
        <f t="shared" ref="C204:N204" si="77">C41*C75</f>
        <v>27786.517943713603</v>
      </c>
      <c r="D204" s="21">
        <f t="shared" si="77"/>
        <v>24618.427910509683</v>
      </c>
      <c r="E204" s="21">
        <f t="shared" si="77"/>
        <v>24910.688804709098</v>
      </c>
      <c r="F204" s="21">
        <f t="shared" si="77"/>
        <v>26458.77042925141</v>
      </c>
      <c r="G204" s="21">
        <f t="shared" si="77"/>
        <v>26620.56766734787</v>
      </c>
      <c r="H204" s="21">
        <f t="shared" si="77"/>
        <v>25783.548324364379</v>
      </c>
      <c r="I204" s="21">
        <f t="shared" si="77"/>
        <v>35534.650118560698</v>
      </c>
      <c r="J204" s="21">
        <f t="shared" si="77"/>
        <v>29663.417959854425</v>
      </c>
      <c r="K204" s="21">
        <f t="shared" si="77"/>
        <v>27462.376934277774</v>
      </c>
      <c r="L204" s="21">
        <f t="shared" si="77"/>
        <v>31160.664689751244</v>
      </c>
      <c r="M204" s="21">
        <f t="shared" si="77"/>
        <v>34173.320434795038</v>
      </c>
      <c r="N204" s="21">
        <f t="shared" si="77"/>
        <v>26593.601417963924</v>
      </c>
      <c r="O204" s="21">
        <f t="shared" ref="O204:O207" si="78">SUM(C204:N204)</f>
        <v>340766.55263509916</v>
      </c>
    </row>
    <row r="205" spans="2:15" x14ac:dyDescent="0.25">
      <c r="B205" s="21" t="s">
        <v>38</v>
      </c>
      <c r="C205" s="21">
        <f t="shared" ref="C205:N205" si="79">C42*C76</f>
        <v>475409.60638662253</v>
      </c>
      <c r="D205" s="21">
        <f t="shared" si="79"/>
        <v>383531.13168425992</v>
      </c>
      <c r="E205" s="21">
        <f t="shared" si="79"/>
        <v>389369.12762182695</v>
      </c>
      <c r="F205" s="21">
        <f t="shared" si="79"/>
        <v>344408.8534587851</v>
      </c>
      <c r="G205" s="21">
        <f t="shared" si="79"/>
        <v>333670.80287323368</v>
      </c>
      <c r="H205" s="21">
        <f t="shared" si="79"/>
        <v>388699.06789533561</v>
      </c>
      <c r="I205" s="21">
        <f t="shared" si="79"/>
        <v>506641.88809134666</v>
      </c>
      <c r="J205" s="21">
        <f t="shared" si="79"/>
        <v>484737.54951484257</v>
      </c>
      <c r="K205" s="21">
        <f t="shared" si="79"/>
        <v>402635.09770477039</v>
      </c>
      <c r="L205" s="21">
        <f t="shared" si="79"/>
        <v>344929.67482937843</v>
      </c>
      <c r="M205" s="21">
        <f t="shared" si="79"/>
        <v>381748.15000682301</v>
      </c>
      <c r="N205" s="21">
        <f t="shared" si="79"/>
        <v>447588.13828101248</v>
      </c>
      <c r="O205" s="21">
        <f t="shared" si="78"/>
        <v>4883369.0883482378</v>
      </c>
    </row>
    <row r="206" spans="2:15" x14ac:dyDescent="0.25">
      <c r="B206" s="21" t="s">
        <v>39</v>
      </c>
      <c r="C206" s="21">
        <f t="shared" ref="C206:N206" si="80">C43*C77</f>
        <v>184338.31679607843</v>
      </c>
      <c r="D206" s="21">
        <f t="shared" si="80"/>
        <v>149567.18151043524</v>
      </c>
      <c r="E206" s="21">
        <f t="shared" si="80"/>
        <v>153477.7500665634</v>
      </c>
      <c r="F206" s="21">
        <f t="shared" si="80"/>
        <v>141203.66232542414</v>
      </c>
      <c r="G206" s="21">
        <f t="shared" si="80"/>
        <v>143072.15685521171</v>
      </c>
      <c r="H206" s="21">
        <f t="shared" si="80"/>
        <v>166555.16918159087</v>
      </c>
      <c r="I206" s="21">
        <f t="shared" si="80"/>
        <v>217269.46738670935</v>
      </c>
      <c r="J206" s="21">
        <f t="shared" si="80"/>
        <v>198383.78286679418</v>
      </c>
      <c r="K206" s="21">
        <f t="shared" si="80"/>
        <v>172040.26074332497</v>
      </c>
      <c r="L206" s="21">
        <f t="shared" si="80"/>
        <v>147431.89950451764</v>
      </c>
      <c r="M206" s="21">
        <f t="shared" si="80"/>
        <v>166959.59501443262</v>
      </c>
      <c r="N206" s="21">
        <f t="shared" si="80"/>
        <v>170218.63735374599</v>
      </c>
      <c r="O206" s="21">
        <f t="shared" si="78"/>
        <v>2010517.8796048285</v>
      </c>
    </row>
    <row r="207" spans="2:15" x14ac:dyDescent="0.25">
      <c r="B207" s="21" t="s">
        <v>40</v>
      </c>
      <c r="C207" s="21">
        <f t="shared" ref="C207:N207" si="81">C44*C78</f>
        <v>277676.50968002272</v>
      </c>
      <c r="D207" s="21">
        <f t="shared" si="81"/>
        <v>225258.09693067448</v>
      </c>
      <c r="E207" s="21">
        <f t="shared" si="81"/>
        <v>226885.68429178584</v>
      </c>
      <c r="F207" s="21">
        <f t="shared" si="81"/>
        <v>205339.40925518819</v>
      </c>
      <c r="G207" s="21">
        <f t="shared" si="81"/>
        <v>206934.87343365955</v>
      </c>
      <c r="H207" s="21">
        <f t="shared" si="81"/>
        <v>252582.4746813864</v>
      </c>
      <c r="I207" s="21">
        <f t="shared" si="81"/>
        <v>350237.10661031568</v>
      </c>
      <c r="J207" s="21">
        <f t="shared" si="81"/>
        <v>317883.29482397815</v>
      </c>
      <c r="K207" s="21">
        <f t="shared" si="81"/>
        <v>258132.78335684142</v>
      </c>
      <c r="L207" s="21">
        <f t="shared" si="81"/>
        <v>204540.82938224167</v>
      </c>
      <c r="M207" s="21">
        <f t="shared" si="81"/>
        <v>244183.92872499692</v>
      </c>
      <c r="N207" s="21">
        <f t="shared" si="81"/>
        <v>252074.42183431174</v>
      </c>
      <c r="O207" s="21">
        <f t="shared" si="78"/>
        <v>3021729.4130054028</v>
      </c>
    </row>
    <row r="208" spans="2:15" x14ac:dyDescent="0.25">
      <c r="B208" s="33" t="s">
        <v>21</v>
      </c>
      <c r="C208" s="33">
        <f>SUM(C203:C207)</f>
        <v>978043.59574636957</v>
      </c>
      <c r="D208" s="33">
        <f t="shared" ref="D208:O208" si="82">SUM(D203:D207)</f>
        <v>794316.30040070345</v>
      </c>
      <c r="E208" s="33">
        <f t="shared" si="82"/>
        <v>805463.11470414791</v>
      </c>
      <c r="F208" s="33">
        <f t="shared" si="82"/>
        <v>727253.49432342919</v>
      </c>
      <c r="G208" s="33">
        <f t="shared" si="82"/>
        <v>717654.1844573631</v>
      </c>
      <c r="H208" s="33">
        <f t="shared" si="82"/>
        <v>840832.42241677339</v>
      </c>
      <c r="I208" s="33">
        <f t="shared" si="82"/>
        <v>1118527.0257670656</v>
      </c>
      <c r="J208" s="33">
        <f t="shared" si="82"/>
        <v>1038603.3088041786</v>
      </c>
      <c r="K208" s="33">
        <f t="shared" si="82"/>
        <v>867997.23713646876</v>
      </c>
      <c r="L208" s="33">
        <f t="shared" si="82"/>
        <v>736209.86618231796</v>
      </c>
      <c r="M208" s="33">
        <f t="shared" si="82"/>
        <v>837936.52001313702</v>
      </c>
      <c r="N208" s="33">
        <f t="shared" si="82"/>
        <v>913888.2845772591</v>
      </c>
      <c r="O208" s="33">
        <f t="shared" si="82"/>
        <v>10376725.354529213</v>
      </c>
    </row>
    <row r="210" spans="2:15" x14ac:dyDescent="0.25">
      <c r="B210" s="64" t="s">
        <v>100</v>
      </c>
      <c r="C210" s="27" t="s">
        <v>9</v>
      </c>
      <c r="D210" s="27" t="s">
        <v>10</v>
      </c>
      <c r="E210" s="27" t="s">
        <v>11</v>
      </c>
      <c r="F210" s="27" t="s">
        <v>12</v>
      </c>
      <c r="G210" s="27" t="s">
        <v>13</v>
      </c>
      <c r="H210" s="27" t="s">
        <v>14</v>
      </c>
      <c r="I210" s="27" t="s">
        <v>15</v>
      </c>
      <c r="J210" s="27" t="s">
        <v>16</v>
      </c>
      <c r="K210" s="27" t="s">
        <v>17</v>
      </c>
      <c r="L210" s="27" t="s">
        <v>18</v>
      </c>
      <c r="M210" s="27" t="s">
        <v>19</v>
      </c>
      <c r="N210" s="27" t="s">
        <v>20</v>
      </c>
      <c r="O210" s="27" t="s">
        <v>21</v>
      </c>
    </row>
    <row r="211" spans="2:15" x14ac:dyDescent="0.25">
      <c r="B211" s="21" t="s">
        <v>36</v>
      </c>
      <c r="C211" s="21">
        <f t="shared" ref="C211:N211" si="83">C40*C$100</f>
        <v>7333.6060035939836</v>
      </c>
      <c r="D211" s="21">
        <f t="shared" si="83"/>
        <v>-558.64435103256324</v>
      </c>
      <c r="E211" s="21">
        <f t="shared" si="83"/>
        <v>1113.6351055721848</v>
      </c>
      <c r="F211" s="21">
        <f t="shared" si="83"/>
        <v>3541.9720365395451</v>
      </c>
      <c r="G211" s="21">
        <f t="shared" si="83"/>
        <v>-3017.6775442688295</v>
      </c>
      <c r="H211" s="21">
        <f t="shared" si="83"/>
        <v>-134.38660094967565</v>
      </c>
      <c r="I211" s="21">
        <f t="shared" si="83"/>
        <v>2623.5645796429571</v>
      </c>
      <c r="J211" s="21">
        <f t="shared" si="83"/>
        <v>229.03850445693243</v>
      </c>
      <c r="K211" s="21">
        <f t="shared" si="83"/>
        <v>569.51652200993931</v>
      </c>
      <c r="L211" s="21">
        <f t="shared" si="83"/>
        <v>-3474.576317602613</v>
      </c>
      <c r="M211" s="21">
        <f t="shared" si="83"/>
        <v>4661.2524750571092</v>
      </c>
      <c r="N211" s="21">
        <f t="shared" si="83"/>
        <v>6342.5213313202712</v>
      </c>
      <c r="O211" s="21">
        <f>SUM(C211:N211)</f>
        <v>19229.821744339242</v>
      </c>
    </row>
    <row r="212" spans="2:15" x14ac:dyDescent="0.25">
      <c r="B212" s="21" t="s">
        <v>37</v>
      </c>
      <c r="C212" s="21">
        <f t="shared" ref="C212:N212" si="84">C41*C$100</f>
        <v>13738.402659859665</v>
      </c>
      <c r="D212" s="21">
        <f t="shared" si="84"/>
        <v>-1049.1253725209774</v>
      </c>
      <c r="E212" s="21">
        <f t="shared" si="84"/>
        <v>2218.2350800003524</v>
      </c>
      <c r="F212" s="21">
        <f t="shared" si="84"/>
        <v>8237.5278286936755</v>
      </c>
      <c r="G212" s="21">
        <f t="shared" si="84"/>
        <v>-9448.4793028409167</v>
      </c>
      <c r="H212" s="21">
        <f t="shared" si="84"/>
        <v>-415.65583271685881</v>
      </c>
      <c r="I212" s="21">
        <f t="shared" si="84"/>
        <v>9120.1090642698964</v>
      </c>
      <c r="J212" s="21">
        <f t="shared" si="84"/>
        <v>740.74554566229438</v>
      </c>
      <c r="K212" s="21">
        <f t="shared" si="84"/>
        <v>1751.2578115515155</v>
      </c>
      <c r="L212" s="21">
        <f t="shared" si="84"/>
        <v>-11498.001225897184</v>
      </c>
      <c r="M212" s="21">
        <f t="shared" si="84"/>
        <v>12676.51930773393</v>
      </c>
      <c r="N212" s="21">
        <f t="shared" si="84"/>
        <v>8380.1944710720018</v>
      </c>
      <c r="O212" s="21">
        <f t="shared" ref="O212:O215" si="85">SUM(C212:N212)</f>
        <v>34451.730034867389</v>
      </c>
    </row>
    <row r="213" spans="2:15" x14ac:dyDescent="0.25">
      <c r="B213" s="21" t="s">
        <v>38</v>
      </c>
      <c r="C213" s="21">
        <f t="shared" ref="C213:N213" si="86">C42*C$100</f>
        <v>321844.96350575774</v>
      </c>
      <c r="D213" s="21">
        <f t="shared" si="86"/>
        <v>-22379.189102334178</v>
      </c>
      <c r="E213" s="21">
        <f t="shared" si="86"/>
        <v>47474.455990830589</v>
      </c>
      <c r="F213" s="21">
        <f t="shared" si="86"/>
        <v>146817.62474053388</v>
      </c>
      <c r="G213" s="21">
        <f t="shared" si="86"/>
        <v>-162158.40356295891</v>
      </c>
      <c r="H213" s="21">
        <f t="shared" si="86"/>
        <v>-8579.8825676741853</v>
      </c>
      <c r="I213" s="21">
        <f t="shared" si="86"/>
        <v>178043.33957672797</v>
      </c>
      <c r="J213" s="21">
        <f t="shared" si="86"/>
        <v>16574.146397728018</v>
      </c>
      <c r="K213" s="21">
        <f t="shared" si="86"/>
        <v>35156.063593447689</v>
      </c>
      <c r="L213" s="21">
        <f t="shared" si="86"/>
        <v>-174270.08641706529</v>
      </c>
      <c r="M213" s="21">
        <f t="shared" si="86"/>
        <v>193894.92162925261</v>
      </c>
      <c r="N213" s="21">
        <f t="shared" si="86"/>
        <v>193122.18226897676</v>
      </c>
      <c r="O213" s="21">
        <f t="shared" si="85"/>
        <v>765540.1360532227</v>
      </c>
    </row>
    <row r="214" spans="2:15" x14ac:dyDescent="0.25">
      <c r="B214" s="21" t="s">
        <v>39</v>
      </c>
      <c r="C214" s="21">
        <f t="shared" ref="C214:N214" si="87">C43*C$100</f>
        <v>86293.857834015536</v>
      </c>
      <c r="D214" s="21">
        <f t="shared" si="87"/>
        <v>-6034.8368966760327</v>
      </c>
      <c r="E214" s="21">
        <f t="shared" si="87"/>
        <v>12939.85499860832</v>
      </c>
      <c r="F214" s="21">
        <f t="shared" si="87"/>
        <v>41623.188959823397</v>
      </c>
      <c r="G214" s="21">
        <f t="shared" si="87"/>
        <v>-48079.714610584022</v>
      </c>
      <c r="H214" s="21">
        <f t="shared" si="87"/>
        <v>-2542.2102387960185</v>
      </c>
      <c r="I214" s="21">
        <f t="shared" si="87"/>
        <v>52796.950771821357</v>
      </c>
      <c r="J214" s="21">
        <f t="shared" si="87"/>
        <v>4690.46800565375</v>
      </c>
      <c r="K214" s="21">
        <f t="shared" si="87"/>
        <v>10387.33664264021</v>
      </c>
      <c r="L214" s="21">
        <f t="shared" si="87"/>
        <v>-51507.355354533465</v>
      </c>
      <c r="M214" s="21">
        <f t="shared" si="87"/>
        <v>58638.976178231118</v>
      </c>
      <c r="N214" s="21">
        <f t="shared" si="87"/>
        <v>50786.256793115674</v>
      </c>
      <c r="O214" s="21">
        <f t="shared" si="85"/>
        <v>209992.77308331983</v>
      </c>
    </row>
    <row r="215" spans="2:15" x14ac:dyDescent="0.25">
      <c r="B215" s="21" t="s">
        <v>40</v>
      </c>
      <c r="C215" s="21">
        <f t="shared" ref="C215:N215" si="88">C44*C$100</f>
        <v>92567.243514806032</v>
      </c>
      <c r="D215" s="21">
        <f t="shared" si="88"/>
        <v>-6472.3733389878707</v>
      </c>
      <c r="E215" s="21">
        <f t="shared" si="88"/>
        <v>13622.129431351785</v>
      </c>
      <c r="F215" s="21">
        <f t="shared" si="88"/>
        <v>43103.806093709012</v>
      </c>
      <c r="G215" s="21">
        <f t="shared" si="88"/>
        <v>-49521.565454768795</v>
      </c>
      <c r="H215" s="21">
        <f t="shared" si="88"/>
        <v>-2745.4306884256616</v>
      </c>
      <c r="I215" s="21">
        <f t="shared" si="88"/>
        <v>60607.479067590415</v>
      </c>
      <c r="J215" s="21">
        <f t="shared" si="88"/>
        <v>5352.1914359396933</v>
      </c>
      <c r="K215" s="21">
        <f t="shared" si="88"/>
        <v>11098.676717710659</v>
      </c>
      <c r="L215" s="21">
        <f t="shared" si="88"/>
        <v>-50887.571501549828</v>
      </c>
      <c r="M215" s="21">
        <f t="shared" si="88"/>
        <v>61072.54184023678</v>
      </c>
      <c r="N215" s="21">
        <f t="shared" si="88"/>
        <v>53557.685032357564</v>
      </c>
      <c r="O215" s="21">
        <f t="shared" si="85"/>
        <v>231354.81214996974</v>
      </c>
    </row>
    <row r="216" spans="2:15" x14ac:dyDescent="0.25">
      <c r="B216" s="33" t="s">
        <v>21</v>
      </c>
      <c r="C216" s="33">
        <f>SUM(C211:C215)</f>
        <v>521778.07351803291</v>
      </c>
      <c r="D216" s="33">
        <f t="shared" ref="D216:O216" si="89">SUM(D211:D215)</f>
        <v>-36494.16906155162</v>
      </c>
      <c r="E216" s="33">
        <f t="shared" si="89"/>
        <v>77368.310606363229</v>
      </c>
      <c r="F216" s="33">
        <f t="shared" si="89"/>
        <v>243324.11965929953</v>
      </c>
      <c r="G216" s="33">
        <f t="shared" si="89"/>
        <v>-272225.84047542146</v>
      </c>
      <c r="H216" s="33">
        <f t="shared" si="89"/>
        <v>-14417.565928562401</v>
      </c>
      <c r="I216" s="33">
        <f t="shared" si="89"/>
        <v>303191.44306005264</v>
      </c>
      <c r="J216" s="33">
        <f t="shared" si="89"/>
        <v>27586.589889440689</v>
      </c>
      <c r="K216" s="33">
        <f t="shared" si="89"/>
        <v>58962.851287360019</v>
      </c>
      <c r="L216" s="33">
        <f t="shared" si="89"/>
        <v>-291637.59081664839</v>
      </c>
      <c r="M216" s="33">
        <f t="shared" si="89"/>
        <v>330944.21143051155</v>
      </c>
      <c r="N216" s="33">
        <f t="shared" si="89"/>
        <v>312188.83989684226</v>
      </c>
      <c r="O216" s="33">
        <f t="shared" si="89"/>
        <v>1260569.2730657188</v>
      </c>
    </row>
    <row r="218" spans="2:15" x14ac:dyDescent="0.25">
      <c r="B218" s="64" t="s">
        <v>101</v>
      </c>
      <c r="C218" s="27" t="s">
        <v>9</v>
      </c>
      <c r="D218" s="27" t="s">
        <v>10</v>
      </c>
      <c r="E218" s="27" t="s">
        <v>11</v>
      </c>
      <c r="F218" s="27" t="s">
        <v>12</v>
      </c>
      <c r="G218" s="27" t="s">
        <v>13</v>
      </c>
      <c r="H218" s="27" t="s">
        <v>14</v>
      </c>
      <c r="I218" s="27" t="s">
        <v>15</v>
      </c>
      <c r="J218" s="27" t="s">
        <v>16</v>
      </c>
      <c r="K218" s="27" t="s">
        <v>17</v>
      </c>
      <c r="L218" s="27" t="s">
        <v>18</v>
      </c>
      <c r="M218" s="27" t="s">
        <v>19</v>
      </c>
      <c r="N218" s="27" t="s">
        <v>20</v>
      </c>
      <c r="O218" s="27" t="s">
        <v>21</v>
      </c>
    </row>
    <row r="219" spans="2:15" x14ac:dyDescent="0.25">
      <c r="B219" s="21" t="s">
        <v>36</v>
      </c>
      <c r="C219" s="21">
        <f t="shared" ref="C219:N219" si="90">C40*C$104</f>
        <v>11226.064456543359</v>
      </c>
      <c r="D219" s="21">
        <f t="shared" si="90"/>
        <v>12029.314692664811</v>
      </c>
      <c r="E219" s="21">
        <f t="shared" si="90"/>
        <v>13322.484392016733</v>
      </c>
      <c r="F219" s="21">
        <f t="shared" si="90"/>
        <v>12730.445947371058</v>
      </c>
      <c r="G219" s="21">
        <f t="shared" si="90"/>
        <v>10310.515934549991</v>
      </c>
      <c r="H219" s="21">
        <f t="shared" si="90"/>
        <v>11142.32248394909</v>
      </c>
      <c r="I219" s="21">
        <f t="shared" si="90"/>
        <v>8886.4102876299257</v>
      </c>
      <c r="J219" s="21">
        <f t="shared" si="90"/>
        <v>7718.8473576535898</v>
      </c>
      <c r="K219" s="21">
        <f t="shared" si="90"/>
        <v>8613.7858080557889</v>
      </c>
      <c r="L219" s="21">
        <f t="shared" si="90"/>
        <v>12758.731738435914</v>
      </c>
      <c r="M219" s="21">
        <f t="shared" si="90"/>
        <v>13914.141178602706</v>
      </c>
      <c r="N219" s="21">
        <f t="shared" si="90"/>
        <v>16744.084162392963</v>
      </c>
      <c r="O219" s="21">
        <f>SUM(C219:N219)</f>
        <v>139397.14843986594</v>
      </c>
    </row>
    <row r="220" spans="2:15" x14ac:dyDescent="0.25">
      <c r="B220" s="21" t="s">
        <v>37</v>
      </c>
      <c r="C220" s="21">
        <f t="shared" ref="C220:N220" si="91">C41*C$104</f>
        <v>21030.335378523017</v>
      </c>
      <c r="D220" s="21">
        <f t="shared" si="91"/>
        <v>22590.865252262087</v>
      </c>
      <c r="E220" s="21">
        <f t="shared" si="91"/>
        <v>26536.880961510895</v>
      </c>
      <c r="F220" s="21">
        <f t="shared" si="91"/>
        <v>29607.066820776945</v>
      </c>
      <c r="G220" s="21">
        <f t="shared" si="91"/>
        <v>32282.672677942202</v>
      </c>
      <c r="H220" s="21">
        <f t="shared" si="91"/>
        <v>34463.043917599847</v>
      </c>
      <c r="I220" s="21">
        <f t="shared" si="91"/>
        <v>30891.189659247655</v>
      </c>
      <c r="J220" s="21">
        <f t="shared" si="91"/>
        <v>24963.932642619067</v>
      </c>
      <c r="K220" s="21">
        <f t="shared" si="91"/>
        <v>26487.308270094429</v>
      </c>
      <c r="L220" s="21">
        <f t="shared" si="91"/>
        <v>42220.950055473069</v>
      </c>
      <c r="M220" s="21">
        <f t="shared" si="91"/>
        <v>37840.232908416299</v>
      </c>
      <c r="N220" s="21">
        <f t="shared" si="91"/>
        <v>22123.485943663476</v>
      </c>
      <c r="O220" s="21">
        <f t="shared" ref="O220:O223" si="92">SUM(C220:N220)</f>
        <v>351037.96448812896</v>
      </c>
    </row>
    <row r="221" spans="2:15" x14ac:dyDescent="0.25">
      <c r="B221" s="21" t="s">
        <v>38</v>
      </c>
      <c r="C221" s="21">
        <f t="shared" ref="C221:N221" si="93">C42*C$104</f>
        <v>492670.63209542911</v>
      </c>
      <c r="D221" s="21">
        <f t="shared" si="93"/>
        <v>481892.11576390004</v>
      </c>
      <c r="E221" s="21">
        <f t="shared" si="93"/>
        <v>567939.79984346789</v>
      </c>
      <c r="F221" s="21">
        <f t="shared" si="93"/>
        <v>527687.34947631392</v>
      </c>
      <c r="G221" s="21">
        <f t="shared" si="93"/>
        <v>554047.53467858641</v>
      </c>
      <c r="H221" s="21">
        <f t="shared" si="93"/>
        <v>711379.09410506336</v>
      </c>
      <c r="I221" s="21">
        <f t="shared" si="93"/>
        <v>603059.73664042295</v>
      </c>
      <c r="J221" s="21">
        <f t="shared" si="93"/>
        <v>558566.80705633399</v>
      </c>
      <c r="K221" s="21">
        <f t="shared" si="93"/>
        <v>531726.10441503837</v>
      </c>
      <c r="L221" s="21">
        <f t="shared" si="93"/>
        <v>639924.14596422692</v>
      </c>
      <c r="M221" s="21">
        <f t="shared" si="93"/>
        <v>578788.92589496006</v>
      </c>
      <c r="N221" s="21">
        <f t="shared" si="93"/>
        <v>509837.3193588641</v>
      </c>
      <c r="O221" s="21">
        <f t="shared" si="92"/>
        <v>6757519.5652926071</v>
      </c>
    </row>
    <row r="222" spans="2:15" x14ac:dyDescent="0.25">
      <c r="B222" s="21" t="s">
        <v>39</v>
      </c>
      <c r="C222" s="21">
        <f t="shared" ref="C222:N222" si="94">C43*C$104</f>
        <v>132096.05339770048</v>
      </c>
      <c r="D222" s="21">
        <f t="shared" si="94"/>
        <v>129948.42248890686</v>
      </c>
      <c r="E222" s="21">
        <f t="shared" si="94"/>
        <v>154800.27110437103</v>
      </c>
      <c r="F222" s="21">
        <f t="shared" si="94"/>
        <v>149600.77373392545</v>
      </c>
      <c r="G222" s="21">
        <f t="shared" si="94"/>
        <v>164274.2328657766</v>
      </c>
      <c r="H222" s="21">
        <f t="shared" si="94"/>
        <v>210780.88218980902</v>
      </c>
      <c r="I222" s="21">
        <f t="shared" si="94"/>
        <v>178831.26267776283</v>
      </c>
      <c r="J222" s="21">
        <f t="shared" si="94"/>
        <v>158073.88656088177</v>
      </c>
      <c r="K222" s="21">
        <f t="shared" si="94"/>
        <v>157105.70193837251</v>
      </c>
      <c r="L222" s="21">
        <f t="shared" si="94"/>
        <v>189136.3059707424</v>
      </c>
      <c r="M222" s="21">
        <f t="shared" si="94"/>
        <v>175041.14987949294</v>
      </c>
      <c r="N222" s="21">
        <f t="shared" si="94"/>
        <v>134074.33946458888</v>
      </c>
      <c r="O222" s="21">
        <f t="shared" si="92"/>
        <v>1933763.2822723307</v>
      </c>
    </row>
    <row r="223" spans="2:15" x14ac:dyDescent="0.25">
      <c r="B223" s="21" t="s">
        <v>40</v>
      </c>
      <c r="C223" s="21">
        <f t="shared" ref="C223:N223" si="95">C44*C$104</f>
        <v>141699.16433368431</v>
      </c>
      <c r="D223" s="21">
        <f t="shared" si="95"/>
        <v>139369.91497218318</v>
      </c>
      <c r="E223" s="21">
        <f t="shared" si="95"/>
        <v>162962.3615735168</v>
      </c>
      <c r="F223" s="21">
        <f t="shared" si="95"/>
        <v>154922.36187669841</v>
      </c>
      <c r="G223" s="21">
        <f t="shared" si="95"/>
        <v>169200.61280071878</v>
      </c>
      <c r="H223" s="21">
        <f t="shared" si="95"/>
        <v>227630.38778861912</v>
      </c>
      <c r="I223" s="21">
        <f t="shared" si="95"/>
        <v>205286.70407909187</v>
      </c>
      <c r="J223" s="21">
        <f t="shared" si="95"/>
        <v>180374.68774481793</v>
      </c>
      <c r="K223" s="21">
        <f t="shared" si="95"/>
        <v>167864.5312375096</v>
      </c>
      <c r="L223" s="21">
        <f t="shared" si="95"/>
        <v>186860.44405457974</v>
      </c>
      <c r="M223" s="21">
        <f t="shared" si="95"/>
        <v>182305.5013321852</v>
      </c>
      <c r="N223" s="21">
        <f t="shared" si="95"/>
        <v>141390.83479251849</v>
      </c>
      <c r="O223" s="21">
        <f t="shared" si="92"/>
        <v>2059867.5065861235</v>
      </c>
    </row>
    <row r="224" spans="2:15" x14ac:dyDescent="0.25">
      <c r="B224" s="33" t="s">
        <v>21</v>
      </c>
      <c r="C224" s="33">
        <f>SUM(C219:C223)</f>
        <v>798722.24966188031</v>
      </c>
      <c r="D224" s="33">
        <f t="shared" ref="D224:O224" si="96">SUM(D219:D223)</f>
        <v>785830.63316991704</v>
      </c>
      <c r="E224" s="33">
        <f t="shared" si="96"/>
        <v>925561.79787488328</v>
      </c>
      <c r="F224" s="33">
        <f t="shared" si="96"/>
        <v>874547.99785508576</v>
      </c>
      <c r="G224" s="33">
        <f t="shared" si="96"/>
        <v>930115.56895757397</v>
      </c>
      <c r="H224" s="33">
        <f t="shared" si="96"/>
        <v>1195395.7304850405</v>
      </c>
      <c r="I224" s="33">
        <f t="shared" si="96"/>
        <v>1026955.3033441553</v>
      </c>
      <c r="J224" s="33">
        <f t="shared" si="96"/>
        <v>929698.16136230633</v>
      </c>
      <c r="K224" s="33">
        <f t="shared" si="96"/>
        <v>891797.43166907062</v>
      </c>
      <c r="L224" s="33">
        <f t="shared" si="96"/>
        <v>1070900.5777834579</v>
      </c>
      <c r="M224" s="33">
        <f t="shared" si="96"/>
        <v>987889.95119365724</v>
      </c>
      <c r="N224" s="33">
        <f t="shared" si="96"/>
        <v>824170.06372202793</v>
      </c>
      <c r="O224" s="33">
        <f t="shared" si="96"/>
        <v>11241585.467079056</v>
      </c>
    </row>
    <row r="226" spans="2:15" x14ac:dyDescent="0.25">
      <c r="B226" s="64" t="s">
        <v>102</v>
      </c>
      <c r="C226" s="27" t="s">
        <v>9</v>
      </c>
      <c r="D226" s="27" t="s">
        <v>10</v>
      </c>
      <c r="E226" s="27" t="s">
        <v>11</v>
      </c>
      <c r="F226" s="27" t="s">
        <v>12</v>
      </c>
      <c r="G226" s="27" t="s">
        <v>13</v>
      </c>
      <c r="H226" s="27" t="s">
        <v>14</v>
      </c>
      <c r="I226" s="27" t="s">
        <v>15</v>
      </c>
      <c r="J226" s="27" t="s">
        <v>16</v>
      </c>
      <c r="K226" s="27" t="s">
        <v>17</v>
      </c>
      <c r="L226" s="27" t="s">
        <v>18</v>
      </c>
      <c r="M226" s="27" t="s">
        <v>19</v>
      </c>
      <c r="N226" s="27" t="s">
        <v>20</v>
      </c>
      <c r="O226" s="27" t="s">
        <v>21</v>
      </c>
    </row>
    <row r="227" spans="2:15" x14ac:dyDescent="0.25">
      <c r="B227" s="21" t="s">
        <v>36</v>
      </c>
      <c r="C227" s="21">
        <f>C203-C211-C219</f>
        <v>-5727.0255202050603</v>
      </c>
      <c r="D227" s="21">
        <f t="shared" ref="D227:N227" si="97">D203-D211-D219</f>
        <v>-129.20797680807118</v>
      </c>
      <c r="E227" s="21">
        <f t="shared" si="97"/>
        <v>-3616.2555783263051</v>
      </c>
      <c r="F227" s="21">
        <f t="shared" si="97"/>
        <v>-6429.6191291302885</v>
      </c>
      <c r="G227" s="21">
        <f t="shared" si="97"/>
        <v>62.945237629051917</v>
      </c>
      <c r="H227" s="21">
        <f t="shared" si="97"/>
        <v>-3795.7735489032484</v>
      </c>
      <c r="I227" s="21">
        <f t="shared" si="97"/>
        <v>-2666.0613071397029</v>
      </c>
      <c r="J227" s="21">
        <f t="shared" si="97"/>
        <v>-12.622223401224801</v>
      </c>
      <c r="K227" s="21">
        <f t="shared" si="97"/>
        <v>-1456.5839328115853</v>
      </c>
      <c r="L227" s="21">
        <f t="shared" si="97"/>
        <v>-1137.3576444043665</v>
      </c>
      <c r="M227" s="21">
        <f t="shared" si="97"/>
        <v>-7703.867821570434</v>
      </c>
      <c r="N227" s="21">
        <f t="shared" si="97"/>
        <v>-5673.1198034882491</v>
      </c>
      <c r="O227" s="21">
        <f>SUM(C227:N227)</f>
        <v>-38284.54924855948</v>
      </c>
    </row>
    <row r="228" spans="2:15" x14ac:dyDescent="0.25">
      <c r="B228" s="21" t="s">
        <v>37</v>
      </c>
      <c r="C228" s="21">
        <f t="shared" ref="C228:N231" si="98">C204-C212-C220</f>
        <v>-6982.2200946690791</v>
      </c>
      <c r="D228" s="21">
        <f t="shared" si="98"/>
        <v>3076.6880307685751</v>
      </c>
      <c r="E228" s="21">
        <f t="shared" si="98"/>
        <v>-3844.4272368021484</v>
      </c>
      <c r="F228" s="21">
        <f t="shared" si="98"/>
        <v>-11385.824220219209</v>
      </c>
      <c r="G228" s="21">
        <f t="shared" si="98"/>
        <v>3786.3742922465826</v>
      </c>
      <c r="H228" s="21">
        <f t="shared" si="98"/>
        <v>-8263.8397605186074</v>
      </c>
      <c r="I228" s="21">
        <f t="shared" si="98"/>
        <v>-4476.6486049568557</v>
      </c>
      <c r="J228" s="21">
        <f t="shared" si="98"/>
        <v>3958.7397715730622</v>
      </c>
      <c r="K228" s="21">
        <f t="shared" si="98"/>
        <v>-776.18914736817169</v>
      </c>
      <c r="L228" s="21">
        <f t="shared" si="98"/>
        <v>437.71586017535446</v>
      </c>
      <c r="M228" s="21">
        <f t="shared" si="98"/>
        <v>-16343.43178135519</v>
      </c>
      <c r="N228" s="21">
        <f t="shared" si="98"/>
        <v>-3910.0789967715536</v>
      </c>
      <c r="O228" s="21">
        <f t="shared" ref="O228:O231" si="99">SUM(C228:N228)</f>
        <v>-44723.14188789724</v>
      </c>
    </row>
    <row r="229" spans="2:15" x14ac:dyDescent="0.25">
      <c r="B229" s="21" t="s">
        <v>38</v>
      </c>
      <c r="C229" s="21">
        <f t="shared" si="98"/>
        <v>-339105.98921456432</v>
      </c>
      <c r="D229" s="21">
        <f t="shared" si="98"/>
        <v>-75981.794977305923</v>
      </c>
      <c r="E229" s="21">
        <f t="shared" si="98"/>
        <v>-226045.12821247155</v>
      </c>
      <c r="F229" s="21">
        <f t="shared" si="98"/>
        <v>-330096.12075806269</v>
      </c>
      <c r="G229" s="21">
        <f t="shared" si="98"/>
        <v>-58218.328242393793</v>
      </c>
      <c r="H229" s="21">
        <f t="shared" si="98"/>
        <v>-314100.14364205353</v>
      </c>
      <c r="I229" s="21">
        <f t="shared" si="98"/>
        <v>-274461.1881258043</v>
      </c>
      <c r="J229" s="21">
        <f t="shared" si="98"/>
        <v>-90403.403939219425</v>
      </c>
      <c r="K229" s="21">
        <f t="shared" si="98"/>
        <v>-164247.07030371565</v>
      </c>
      <c r="L229" s="21">
        <f t="shared" si="98"/>
        <v>-120724.38471778319</v>
      </c>
      <c r="M229" s="21">
        <f t="shared" si="98"/>
        <v>-390935.69751738966</v>
      </c>
      <c r="N229" s="21">
        <f t="shared" si="98"/>
        <v>-255371.36334682838</v>
      </c>
      <c r="O229" s="21">
        <f t="shared" si="99"/>
        <v>-2639690.6129975924</v>
      </c>
    </row>
    <row r="230" spans="2:15" x14ac:dyDescent="0.25">
      <c r="B230" s="21" t="s">
        <v>39</v>
      </c>
      <c r="C230" s="21">
        <f t="shared" si="98"/>
        <v>-34051.594435637584</v>
      </c>
      <c r="D230" s="21">
        <f t="shared" si="98"/>
        <v>25653.595918204432</v>
      </c>
      <c r="E230" s="21">
        <f t="shared" si="98"/>
        <v>-14262.376036415953</v>
      </c>
      <c r="F230" s="21">
        <f t="shared" si="98"/>
        <v>-50020.300368324708</v>
      </c>
      <c r="G230" s="21">
        <f t="shared" si="98"/>
        <v>26877.638600019127</v>
      </c>
      <c r="H230" s="21">
        <f t="shared" si="98"/>
        <v>-41683.502769422135</v>
      </c>
      <c r="I230" s="21">
        <f t="shared" si="98"/>
        <v>-14358.746062874852</v>
      </c>
      <c r="J230" s="21">
        <f t="shared" si="98"/>
        <v>35619.428300258645</v>
      </c>
      <c r="K230" s="21">
        <f t="shared" si="98"/>
        <v>4547.2221623122459</v>
      </c>
      <c r="L230" s="21">
        <f t="shared" si="98"/>
        <v>9802.9488883087179</v>
      </c>
      <c r="M230" s="21">
        <f t="shared" si="98"/>
        <v>-66720.531043291441</v>
      </c>
      <c r="N230" s="21">
        <f t="shared" si="98"/>
        <v>-14641.958903958555</v>
      </c>
      <c r="O230" s="21">
        <f t="shared" si="99"/>
        <v>-133238.17575082206</v>
      </c>
    </row>
    <row r="231" spans="2:15" x14ac:dyDescent="0.25">
      <c r="B231" s="21" t="s">
        <v>40</v>
      </c>
      <c r="C231" s="21">
        <f t="shared" si="98"/>
        <v>43410.101831532374</v>
      </c>
      <c r="D231" s="21">
        <f t="shared" si="98"/>
        <v>92360.555297479179</v>
      </c>
      <c r="E231" s="21">
        <f t="shared" si="98"/>
        <v>50301.19328691726</v>
      </c>
      <c r="F231" s="21">
        <f t="shared" si="98"/>
        <v>7313.2412847807573</v>
      </c>
      <c r="G231" s="21">
        <f t="shared" si="98"/>
        <v>87255.826087709574</v>
      </c>
      <c r="H231" s="21">
        <f t="shared" si="98"/>
        <v>27697.517581192951</v>
      </c>
      <c r="I231" s="21">
        <f t="shared" si="98"/>
        <v>84342.923463633371</v>
      </c>
      <c r="J231" s="21">
        <f t="shared" si="98"/>
        <v>132156.41564322053</v>
      </c>
      <c r="K231" s="21">
        <f t="shared" si="98"/>
        <v>79169.575401621172</v>
      </c>
      <c r="L231" s="21">
        <f t="shared" si="98"/>
        <v>68567.956829211762</v>
      </c>
      <c r="M231" s="21">
        <f t="shared" si="98"/>
        <v>805.88555257493863</v>
      </c>
      <c r="N231" s="21">
        <f t="shared" si="98"/>
        <v>57125.902009435667</v>
      </c>
      <c r="O231" s="21">
        <f t="shared" si="99"/>
        <v>730507.09426930966</v>
      </c>
    </row>
    <row r="232" spans="2:15" x14ac:dyDescent="0.25">
      <c r="B232" s="33" t="s">
        <v>21</v>
      </c>
      <c r="C232" s="33">
        <f>SUM(C227:C231)</f>
        <v>-342456.72743354365</v>
      </c>
      <c r="D232" s="33">
        <f t="shared" ref="D232:O232" si="100">SUM(D227:D231)</f>
        <v>44979.836292338194</v>
      </c>
      <c r="E232" s="33">
        <f t="shared" si="100"/>
        <v>-197466.99377709869</v>
      </c>
      <c r="F232" s="33">
        <f t="shared" si="100"/>
        <v>-390618.62319095607</v>
      </c>
      <c r="G232" s="33">
        <f t="shared" si="100"/>
        <v>59764.455975210542</v>
      </c>
      <c r="H232" s="33">
        <f t="shared" si="100"/>
        <v>-340145.74213970458</v>
      </c>
      <c r="I232" s="33">
        <f t="shared" si="100"/>
        <v>-211619.72063714234</v>
      </c>
      <c r="J232" s="33">
        <f t="shared" si="100"/>
        <v>81318.557552431594</v>
      </c>
      <c r="K232" s="33">
        <f t="shared" si="100"/>
        <v>-82763.04581996199</v>
      </c>
      <c r="L232" s="33">
        <f t="shared" si="100"/>
        <v>-43053.120784491723</v>
      </c>
      <c r="M232" s="33">
        <f t="shared" si="100"/>
        <v>-480897.64261103177</v>
      </c>
      <c r="N232" s="33">
        <f t="shared" si="100"/>
        <v>-222470.61904161106</v>
      </c>
      <c r="O232" s="33">
        <f t="shared" si="100"/>
        <v>-2125429.3856155616</v>
      </c>
    </row>
    <row r="235" spans="2:15" ht="15.6" x14ac:dyDescent="0.3">
      <c r="B235" s="17" t="s">
        <v>123</v>
      </c>
      <c r="C235" s="19"/>
    </row>
    <row r="237" spans="2:15" x14ac:dyDescent="0.25">
      <c r="B237" s="64" t="s">
        <v>88</v>
      </c>
      <c r="C237" s="27" t="s">
        <v>9</v>
      </c>
      <c r="D237" s="27" t="s">
        <v>10</v>
      </c>
      <c r="E237" s="27" t="s">
        <v>11</v>
      </c>
      <c r="F237" s="27" t="s">
        <v>12</v>
      </c>
      <c r="G237" s="27" t="s">
        <v>13</v>
      </c>
      <c r="H237" s="27" t="s">
        <v>14</v>
      </c>
      <c r="I237" s="27" t="s">
        <v>15</v>
      </c>
      <c r="J237" s="27" t="s">
        <v>16</v>
      </c>
      <c r="K237" s="27" t="s">
        <v>17</v>
      </c>
      <c r="L237" s="27" t="s">
        <v>18</v>
      </c>
      <c r="M237" s="27" t="s">
        <v>19</v>
      </c>
      <c r="N237" s="27" t="s">
        <v>20</v>
      </c>
      <c r="O237" s="27" t="s">
        <v>21</v>
      </c>
    </row>
    <row r="238" spans="2:15" x14ac:dyDescent="0.25">
      <c r="B238" s="65" t="s">
        <v>89</v>
      </c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2:15" x14ac:dyDescent="0.25">
      <c r="B239" s="21" t="s">
        <v>91</v>
      </c>
      <c r="C239" s="21">
        <f t="shared" ref="C239:N239" si="101">C163</f>
        <v>955999.03518102574</v>
      </c>
      <c r="D239" s="21">
        <f t="shared" si="101"/>
        <v>806338.26221889933</v>
      </c>
      <c r="E239" s="21">
        <f t="shared" si="101"/>
        <v>829773.76881621755</v>
      </c>
      <c r="F239" s="21">
        <f t="shared" si="101"/>
        <v>754506.75277568679</v>
      </c>
      <c r="G239" s="21">
        <f t="shared" si="101"/>
        <v>754262.43088294065</v>
      </c>
      <c r="H239" s="21">
        <f t="shared" si="101"/>
        <v>878385.34287911397</v>
      </c>
      <c r="I239" s="21">
        <f t="shared" si="101"/>
        <v>1040988.4573899814</v>
      </c>
      <c r="J239" s="21">
        <f t="shared" si="101"/>
        <v>1036866.0542155474</v>
      </c>
      <c r="K239" s="21">
        <f t="shared" si="101"/>
        <v>876414.52198892599</v>
      </c>
      <c r="L239" s="21">
        <f t="shared" si="101"/>
        <v>783498.69808065402</v>
      </c>
      <c r="M239" s="21">
        <f t="shared" si="101"/>
        <v>843420.95122433221</v>
      </c>
      <c r="N239" s="21">
        <f t="shared" si="101"/>
        <v>918417.93217070925</v>
      </c>
      <c r="O239" s="21">
        <f>SUM(C239:N239)</f>
        <v>10478872.207824035</v>
      </c>
    </row>
    <row r="240" spans="2:15" x14ac:dyDescent="0.25">
      <c r="B240" s="21" t="s">
        <v>92</v>
      </c>
      <c r="C240" s="21">
        <f t="shared" ref="C240:N240" si="102">-C7*C101</f>
        <v>13939.227160481752</v>
      </c>
      <c r="D240" s="21">
        <f t="shared" si="102"/>
        <v>20768.740497263498</v>
      </c>
      <c r="E240" s="21">
        <f t="shared" si="102"/>
        <v>15449.253186395383</v>
      </c>
      <c r="F240" s="21">
        <f t="shared" si="102"/>
        <v>13485.527003352077</v>
      </c>
      <c r="G240" s="21">
        <f t="shared" si="102"/>
        <v>24539.025625068152</v>
      </c>
      <c r="H240" s="21">
        <f t="shared" si="102"/>
        <v>11112.78121426544</v>
      </c>
      <c r="I240" s="21">
        <f t="shared" si="102"/>
        <v>55874.522454760627</v>
      </c>
      <c r="J240" s="21">
        <f t="shared" si="102"/>
        <v>96313.407313666132</v>
      </c>
      <c r="K240" s="21">
        <f t="shared" si="102"/>
        <v>89040.51591879013</v>
      </c>
      <c r="L240" s="21">
        <f t="shared" si="102"/>
        <v>86127.10395731758</v>
      </c>
      <c r="M240" s="21">
        <f t="shared" si="102"/>
        <v>39122.046980373794</v>
      </c>
      <c r="N240" s="21">
        <f t="shared" si="102"/>
        <v>56690.861879859462</v>
      </c>
      <c r="O240" s="21">
        <f>SUM(C240:N240)</f>
        <v>522463.01319159404</v>
      </c>
    </row>
    <row r="241" spans="2:15" x14ac:dyDescent="0.25">
      <c r="B241" s="21" t="s">
        <v>93</v>
      </c>
      <c r="C241" s="21">
        <f t="shared" ref="C241:N241" si="103">C54*C101</f>
        <v>281142.84389818407</v>
      </c>
      <c r="D241" s="21">
        <f t="shared" si="103"/>
        <v>401886.37443305459</v>
      </c>
      <c r="E241" s="21">
        <f t="shared" si="103"/>
        <v>251888.25063864249</v>
      </c>
      <c r="F241" s="21">
        <f t="shared" si="103"/>
        <v>218842.90676965803</v>
      </c>
      <c r="G241" s="21">
        <f t="shared" si="103"/>
        <v>372628.48744751437</v>
      </c>
      <c r="H241" s="21">
        <f t="shared" si="103"/>
        <v>172400.43547878749</v>
      </c>
      <c r="I241" s="21">
        <f t="shared" si="103"/>
        <v>231391.12575652296</v>
      </c>
      <c r="J241" s="21">
        <f t="shared" si="103"/>
        <v>452253.79787661845</v>
      </c>
      <c r="K241" s="21">
        <f t="shared" si="103"/>
        <v>426122.81343096547</v>
      </c>
      <c r="L241" s="21">
        <f t="shared" si="103"/>
        <v>412101.04964710481</v>
      </c>
      <c r="M241" s="21">
        <f t="shared" si="103"/>
        <v>195381.58034777842</v>
      </c>
      <c r="N241" s="21">
        <f t="shared" si="103"/>
        <v>334655.48283673159</v>
      </c>
      <c r="O241" s="21">
        <f>SUM(C241:N241)</f>
        <v>3750695.1485615629</v>
      </c>
    </row>
    <row r="242" spans="2:15" x14ac:dyDescent="0.25">
      <c r="B242" s="33" t="s">
        <v>21</v>
      </c>
      <c r="C242" s="33">
        <f>SUM(C239:C241)</f>
        <v>1251081.1062396916</v>
      </c>
      <c r="D242" s="33">
        <f t="shared" ref="D242:O242" si="104">SUM(D239:D241)</f>
        <v>1228993.3771492173</v>
      </c>
      <c r="E242" s="33">
        <f t="shared" si="104"/>
        <v>1097111.2726412555</v>
      </c>
      <c r="F242" s="33">
        <f t="shared" si="104"/>
        <v>986835.18654869683</v>
      </c>
      <c r="G242" s="33">
        <f t="shared" si="104"/>
        <v>1151429.9439555232</v>
      </c>
      <c r="H242" s="33">
        <f t="shared" si="104"/>
        <v>1061898.5595721668</v>
      </c>
      <c r="I242" s="33">
        <f t="shared" si="104"/>
        <v>1328254.1056012649</v>
      </c>
      <c r="J242" s="33">
        <f t="shared" si="104"/>
        <v>1585433.2594058318</v>
      </c>
      <c r="K242" s="33">
        <f t="shared" si="104"/>
        <v>1391577.8513386815</v>
      </c>
      <c r="L242" s="33">
        <f t="shared" si="104"/>
        <v>1281726.8516850765</v>
      </c>
      <c r="M242" s="33">
        <f t="shared" si="104"/>
        <v>1077924.5785524845</v>
      </c>
      <c r="N242" s="33">
        <f t="shared" si="104"/>
        <v>1309764.2768873004</v>
      </c>
      <c r="O242" s="33">
        <f t="shared" si="104"/>
        <v>14752030.369577192</v>
      </c>
    </row>
    <row r="243" spans="2:15" x14ac:dyDescent="0.25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2:15" x14ac:dyDescent="0.25">
      <c r="B244" s="65" t="s">
        <v>90</v>
      </c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2:15" x14ac:dyDescent="0.25">
      <c r="B245" s="21" t="s">
        <v>91</v>
      </c>
      <c r="C245" s="21">
        <v>0</v>
      </c>
      <c r="D245" s="21">
        <v>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f>SUM(C245:N245)</f>
        <v>0</v>
      </c>
    </row>
    <row r="246" spans="2:15" x14ac:dyDescent="0.25">
      <c r="B246" s="21" t="s">
        <v>92</v>
      </c>
      <c r="C246" s="21">
        <f t="shared" ref="C246:N246" si="105">C132</f>
        <v>42055.53</v>
      </c>
      <c r="D246" s="21">
        <f t="shared" si="105"/>
        <v>42561.15</v>
      </c>
      <c r="E246" s="21">
        <f t="shared" si="105"/>
        <v>51460.46</v>
      </c>
      <c r="F246" s="21">
        <f t="shared" si="105"/>
        <v>50269.69</v>
      </c>
      <c r="G246" s="21">
        <f t="shared" si="105"/>
        <v>53508.3</v>
      </c>
      <c r="H246" s="21">
        <f t="shared" si="105"/>
        <v>61521.39</v>
      </c>
      <c r="I246" s="21">
        <f t="shared" si="105"/>
        <v>183589.54</v>
      </c>
      <c r="J246" s="21">
        <f t="shared" si="105"/>
        <v>176471.41</v>
      </c>
      <c r="K246" s="21">
        <f t="shared" si="105"/>
        <v>170595.12</v>
      </c>
      <c r="L246" s="21">
        <f t="shared" si="105"/>
        <v>228584.94</v>
      </c>
      <c r="M246" s="21">
        <f t="shared" si="105"/>
        <v>188534.09</v>
      </c>
      <c r="N246" s="21">
        <f t="shared" si="105"/>
        <v>171791.25</v>
      </c>
      <c r="O246" s="21">
        <f>SUM(C246:N246)</f>
        <v>1420942.87</v>
      </c>
    </row>
    <row r="247" spans="2:15" x14ac:dyDescent="0.25">
      <c r="B247" s="21" t="s">
        <v>93</v>
      </c>
      <c r="C247" s="21">
        <f t="shared" ref="C247:N247" si="106">C54*C102</f>
        <v>1217201.4816746386</v>
      </c>
      <c r="D247" s="21">
        <f t="shared" si="106"/>
        <v>922475.2851458498</v>
      </c>
      <c r="E247" s="21">
        <f t="shared" si="106"/>
        <v>1027337.7569859516</v>
      </c>
      <c r="F247" s="21">
        <f t="shared" si="106"/>
        <v>1221179.1696047299</v>
      </c>
      <c r="G247" s="21">
        <f t="shared" si="106"/>
        <v>1177787.2336228222</v>
      </c>
      <c r="H247" s="21">
        <f t="shared" si="106"/>
        <v>1689178.524137361</v>
      </c>
      <c r="I247" s="21">
        <f t="shared" si="106"/>
        <v>1096615.6981997055</v>
      </c>
      <c r="J247" s="21">
        <f t="shared" si="106"/>
        <v>1149924.1080926654</v>
      </c>
      <c r="K247" s="21">
        <f t="shared" si="106"/>
        <v>1171266.1488916366</v>
      </c>
      <c r="L247" s="21">
        <f t="shared" si="106"/>
        <v>1245678.3626748619</v>
      </c>
      <c r="M247" s="21">
        <f t="shared" si="106"/>
        <v>1698794.9602021007</v>
      </c>
      <c r="N247" s="21">
        <f t="shared" si="106"/>
        <v>1196927.2942178592</v>
      </c>
      <c r="O247" s="21">
        <f>SUM(C247:N247)</f>
        <v>14814366.023450181</v>
      </c>
    </row>
    <row r="248" spans="2:15" x14ac:dyDescent="0.25">
      <c r="B248" s="33" t="s">
        <v>21</v>
      </c>
      <c r="C248" s="33">
        <f>SUM(C245:C247)</f>
        <v>1259257.0116746386</v>
      </c>
      <c r="D248" s="33">
        <f t="shared" ref="D248:M248" si="107">SUM(D245:D247)</f>
        <v>965036.43514584983</v>
      </c>
      <c r="E248" s="33">
        <f t="shared" si="107"/>
        <v>1078798.2169859516</v>
      </c>
      <c r="F248" s="33">
        <f t="shared" si="107"/>
        <v>1271448.8596047298</v>
      </c>
      <c r="G248" s="33">
        <f t="shared" si="107"/>
        <v>1231295.5336228223</v>
      </c>
      <c r="H248" s="33">
        <f t="shared" si="107"/>
        <v>1750699.9141373609</v>
      </c>
      <c r="I248" s="33">
        <f t="shared" si="107"/>
        <v>1280205.2381997055</v>
      </c>
      <c r="J248" s="33">
        <f t="shared" si="107"/>
        <v>1326395.5180926654</v>
      </c>
      <c r="K248" s="33">
        <f t="shared" si="107"/>
        <v>1341861.2688916367</v>
      </c>
      <c r="L248" s="33">
        <f t="shared" si="107"/>
        <v>1474263.3026748619</v>
      </c>
      <c r="M248" s="33">
        <f t="shared" si="107"/>
        <v>1887329.0502021008</v>
      </c>
      <c r="N248" s="33">
        <f>SUM(N245:N247)</f>
        <v>1368718.5442178592</v>
      </c>
      <c r="O248" s="33">
        <f t="shared" ref="O248" si="108">SUM(O245:O247)</f>
        <v>16235308.893450182</v>
      </c>
    </row>
    <row r="249" spans="2:15" x14ac:dyDescent="0.25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2:15" x14ac:dyDescent="0.25">
      <c r="B250" s="64" t="s">
        <v>94</v>
      </c>
      <c r="C250" s="27" t="s">
        <v>9</v>
      </c>
      <c r="D250" s="27" t="s">
        <v>10</v>
      </c>
      <c r="E250" s="27" t="s">
        <v>11</v>
      </c>
      <c r="F250" s="27" t="s">
        <v>12</v>
      </c>
      <c r="G250" s="27" t="s">
        <v>13</v>
      </c>
      <c r="H250" s="27" t="s">
        <v>14</v>
      </c>
      <c r="I250" s="27" t="s">
        <v>15</v>
      </c>
      <c r="J250" s="27" t="s">
        <v>16</v>
      </c>
      <c r="K250" s="27" t="s">
        <v>17</v>
      </c>
      <c r="L250" s="27" t="s">
        <v>18</v>
      </c>
      <c r="M250" s="27" t="s">
        <v>19</v>
      </c>
      <c r="N250" s="27" t="s">
        <v>20</v>
      </c>
      <c r="O250" s="27" t="s">
        <v>21</v>
      </c>
    </row>
    <row r="251" spans="2:15" x14ac:dyDescent="0.25">
      <c r="B251" s="65" t="s">
        <v>89</v>
      </c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2:15" x14ac:dyDescent="0.25">
      <c r="B252" s="21" t="s">
        <v>95</v>
      </c>
      <c r="C252" s="21">
        <f t="shared" ref="C252:N252" si="109">C10*C100</f>
        <v>521778.07351803302</v>
      </c>
      <c r="D252" s="21">
        <f t="shared" si="109"/>
        <v>-36494.169061551627</v>
      </c>
      <c r="E252" s="21">
        <f t="shared" si="109"/>
        <v>77368.310606363229</v>
      </c>
      <c r="F252" s="21">
        <f t="shared" si="109"/>
        <v>243324.11965929947</v>
      </c>
      <c r="G252" s="21">
        <f t="shared" si="109"/>
        <v>-272225.84047542146</v>
      </c>
      <c r="H252" s="21">
        <f t="shared" si="109"/>
        <v>-14417.565928562399</v>
      </c>
      <c r="I252" s="21">
        <f t="shared" si="109"/>
        <v>303191.44306005264</v>
      </c>
      <c r="J252" s="21">
        <f t="shared" si="109"/>
        <v>27586.589889440686</v>
      </c>
      <c r="K252" s="21">
        <f t="shared" si="109"/>
        <v>58962.851287360012</v>
      </c>
      <c r="L252" s="21">
        <f t="shared" si="109"/>
        <v>-291637.59081664839</v>
      </c>
      <c r="M252" s="21">
        <f t="shared" si="109"/>
        <v>330944.21143051155</v>
      </c>
      <c r="N252" s="21">
        <f t="shared" si="109"/>
        <v>312188.83989684226</v>
      </c>
      <c r="O252" s="21">
        <f>SUM(C252:N252)</f>
        <v>1260569.2730657191</v>
      </c>
    </row>
    <row r="253" spans="2:15" x14ac:dyDescent="0.25">
      <c r="B253" s="21" t="s">
        <v>96</v>
      </c>
      <c r="C253" s="21">
        <f t="shared" ref="C253:N253" si="110">C10*C104</f>
        <v>798722.24966188043</v>
      </c>
      <c r="D253" s="21">
        <f t="shared" si="110"/>
        <v>785830.63316991704</v>
      </c>
      <c r="E253" s="21">
        <f t="shared" si="110"/>
        <v>925561.79787488328</v>
      </c>
      <c r="F253" s="21">
        <f t="shared" si="110"/>
        <v>874547.99785508565</v>
      </c>
      <c r="G253" s="21">
        <f t="shared" si="110"/>
        <v>930115.56895757408</v>
      </c>
      <c r="H253" s="21">
        <f t="shared" si="110"/>
        <v>1195395.7304850405</v>
      </c>
      <c r="I253" s="21">
        <f t="shared" si="110"/>
        <v>1026955.3033441553</v>
      </c>
      <c r="J253" s="21">
        <f t="shared" si="110"/>
        <v>929698.16136230633</v>
      </c>
      <c r="K253" s="21">
        <f t="shared" si="110"/>
        <v>891797.43166907062</v>
      </c>
      <c r="L253" s="21">
        <f t="shared" si="110"/>
        <v>1070900.5777834582</v>
      </c>
      <c r="M253" s="21">
        <f t="shared" si="110"/>
        <v>987889.95119365712</v>
      </c>
      <c r="N253" s="21">
        <f t="shared" si="110"/>
        <v>824170.06372202793</v>
      </c>
      <c r="O253" s="21">
        <f>SUM(C253:N253)</f>
        <v>11241585.467079056</v>
      </c>
    </row>
    <row r="254" spans="2:15" x14ac:dyDescent="0.25">
      <c r="B254" s="21" t="s">
        <v>97</v>
      </c>
      <c r="C254" s="21">
        <f>C232</f>
        <v>-342456.72743354365</v>
      </c>
      <c r="D254" s="21">
        <f t="shared" ref="D254:N254" si="111">D232</f>
        <v>44979.836292338194</v>
      </c>
      <c r="E254" s="21">
        <f t="shared" si="111"/>
        <v>-197466.99377709869</v>
      </c>
      <c r="F254" s="21">
        <f t="shared" si="111"/>
        <v>-390618.62319095607</v>
      </c>
      <c r="G254" s="21">
        <f t="shared" si="111"/>
        <v>59764.455975210542</v>
      </c>
      <c r="H254" s="21">
        <f t="shared" si="111"/>
        <v>-340145.74213970458</v>
      </c>
      <c r="I254" s="21">
        <f t="shared" si="111"/>
        <v>-211619.72063714234</v>
      </c>
      <c r="J254" s="21">
        <f t="shared" si="111"/>
        <v>81318.557552431594</v>
      </c>
      <c r="K254" s="21">
        <f t="shared" si="111"/>
        <v>-82763.04581996199</v>
      </c>
      <c r="L254" s="21">
        <f t="shared" si="111"/>
        <v>-43053.120784491723</v>
      </c>
      <c r="M254" s="21">
        <f t="shared" si="111"/>
        <v>-480897.64261103177</v>
      </c>
      <c r="N254" s="21">
        <f t="shared" si="111"/>
        <v>-222470.61904161106</v>
      </c>
      <c r="O254" s="21">
        <f>SUM(C254:N254)</f>
        <v>-2125429.3856155616</v>
      </c>
    </row>
    <row r="255" spans="2:15" x14ac:dyDescent="0.25">
      <c r="B255" s="21" t="s">
        <v>92</v>
      </c>
      <c r="C255" s="21">
        <f t="shared" ref="C255:N255" si="112">-C7*C101</f>
        <v>13939.227160481752</v>
      </c>
      <c r="D255" s="21">
        <f t="shared" si="112"/>
        <v>20768.740497263498</v>
      </c>
      <c r="E255" s="21">
        <f t="shared" si="112"/>
        <v>15449.253186395383</v>
      </c>
      <c r="F255" s="21">
        <f t="shared" si="112"/>
        <v>13485.527003352077</v>
      </c>
      <c r="G255" s="21">
        <f t="shared" si="112"/>
        <v>24539.025625068152</v>
      </c>
      <c r="H255" s="21">
        <f t="shared" si="112"/>
        <v>11112.78121426544</v>
      </c>
      <c r="I255" s="21">
        <f t="shared" si="112"/>
        <v>55874.522454760627</v>
      </c>
      <c r="J255" s="21">
        <f t="shared" si="112"/>
        <v>96313.407313666132</v>
      </c>
      <c r="K255" s="21">
        <f t="shared" si="112"/>
        <v>89040.51591879013</v>
      </c>
      <c r="L255" s="21">
        <f t="shared" si="112"/>
        <v>86127.10395731758</v>
      </c>
      <c r="M255" s="21">
        <f t="shared" si="112"/>
        <v>39122.046980373794</v>
      </c>
      <c r="N255" s="21">
        <f t="shared" si="112"/>
        <v>56690.861879859462</v>
      </c>
      <c r="O255" s="21">
        <f>SUM(C255:N255)</f>
        <v>522463.01319159404</v>
      </c>
    </row>
    <row r="256" spans="2:15" x14ac:dyDescent="0.25">
      <c r="B256" s="21" t="s">
        <v>93</v>
      </c>
      <c r="C256" s="21">
        <f t="shared" ref="C256:N256" si="113">C11*C101</f>
        <v>287625.76932148531</v>
      </c>
      <c r="D256" s="21">
        <f t="shared" si="113"/>
        <v>395894.5185642881</v>
      </c>
      <c r="E256" s="21">
        <f t="shared" si="113"/>
        <v>244508.44620724136</v>
      </c>
      <c r="F256" s="21">
        <f t="shared" si="113"/>
        <v>210938.16333734849</v>
      </c>
      <c r="G256" s="21">
        <f t="shared" si="113"/>
        <v>354542.90485035331</v>
      </c>
      <c r="H256" s="21">
        <f t="shared" si="113"/>
        <v>165029.93471429695</v>
      </c>
      <c r="I256" s="21">
        <f t="shared" si="113"/>
        <v>248626.41448518672</v>
      </c>
      <c r="J256" s="21">
        <f t="shared" si="113"/>
        <v>453011.54279689316</v>
      </c>
      <c r="K256" s="21">
        <f t="shared" si="113"/>
        <v>422030.23279384978</v>
      </c>
      <c r="L256" s="21">
        <f t="shared" si="113"/>
        <v>387228.28685933078</v>
      </c>
      <c r="M256" s="21">
        <f t="shared" si="113"/>
        <v>194111.09158911466</v>
      </c>
      <c r="N256" s="21">
        <f t="shared" si="113"/>
        <v>333004.95822329831</v>
      </c>
      <c r="O256" s="21">
        <f>SUM(C256:N256)</f>
        <v>3696552.2637426867</v>
      </c>
    </row>
    <row r="257" spans="2:15" x14ac:dyDescent="0.25">
      <c r="B257" s="33" t="s">
        <v>21</v>
      </c>
      <c r="C257" s="33">
        <f t="shared" ref="C257:O257" si="114">SUM(C252:C256)</f>
        <v>1279608.5922283367</v>
      </c>
      <c r="D257" s="33">
        <f t="shared" si="114"/>
        <v>1210979.5594622551</v>
      </c>
      <c r="E257" s="33">
        <f t="shared" si="114"/>
        <v>1065420.8140977845</v>
      </c>
      <c r="F257" s="33">
        <f t="shared" si="114"/>
        <v>951677.18466412963</v>
      </c>
      <c r="G257" s="33">
        <f t="shared" si="114"/>
        <v>1096736.1149327846</v>
      </c>
      <c r="H257" s="33">
        <f t="shared" si="114"/>
        <v>1016975.138345336</v>
      </c>
      <c r="I257" s="33">
        <f t="shared" si="114"/>
        <v>1423027.9627070131</v>
      </c>
      <c r="J257" s="33">
        <f t="shared" si="114"/>
        <v>1587928.258914738</v>
      </c>
      <c r="K257" s="33">
        <f t="shared" si="114"/>
        <v>1379067.9858491085</v>
      </c>
      <c r="L257" s="33">
        <f t="shared" si="114"/>
        <v>1209565.2569989662</v>
      </c>
      <c r="M257" s="33">
        <f t="shared" si="114"/>
        <v>1071169.6585826254</v>
      </c>
      <c r="N257" s="33">
        <f t="shared" si="114"/>
        <v>1303584.1046804171</v>
      </c>
      <c r="O257" s="33">
        <f t="shared" si="114"/>
        <v>14595740.631463496</v>
      </c>
    </row>
    <row r="258" spans="2:15" x14ac:dyDescent="0.25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2:15" x14ac:dyDescent="0.25">
      <c r="B259" s="65" t="s">
        <v>90</v>
      </c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2:15" x14ac:dyDescent="0.25">
      <c r="B260" s="21" t="s">
        <v>91</v>
      </c>
      <c r="C260" s="21">
        <v>0</v>
      </c>
      <c r="D260" s="21">
        <v>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f>SUM(C260:N260)</f>
        <v>0</v>
      </c>
    </row>
    <row r="261" spans="2:15" x14ac:dyDescent="0.25">
      <c r="B261" s="21" t="s">
        <v>92</v>
      </c>
      <c r="C261" s="21">
        <f t="shared" ref="C261:N261" si="115">C132</f>
        <v>42055.53</v>
      </c>
      <c r="D261" s="21">
        <f t="shared" si="115"/>
        <v>42561.15</v>
      </c>
      <c r="E261" s="21">
        <f t="shared" si="115"/>
        <v>51460.46</v>
      </c>
      <c r="F261" s="21">
        <f t="shared" si="115"/>
        <v>50269.69</v>
      </c>
      <c r="G261" s="21">
        <f t="shared" si="115"/>
        <v>53508.3</v>
      </c>
      <c r="H261" s="21">
        <f t="shared" si="115"/>
        <v>61521.39</v>
      </c>
      <c r="I261" s="21">
        <f t="shared" si="115"/>
        <v>183589.54</v>
      </c>
      <c r="J261" s="21">
        <f t="shared" si="115"/>
        <v>176471.41</v>
      </c>
      <c r="K261" s="21">
        <f t="shared" si="115"/>
        <v>170595.12</v>
      </c>
      <c r="L261" s="21">
        <f t="shared" si="115"/>
        <v>228584.94</v>
      </c>
      <c r="M261" s="21">
        <f t="shared" si="115"/>
        <v>188534.09</v>
      </c>
      <c r="N261" s="21">
        <f t="shared" si="115"/>
        <v>171791.25</v>
      </c>
      <c r="O261" s="21">
        <f>SUM(C261:N261)</f>
        <v>1420942.87</v>
      </c>
    </row>
    <row r="262" spans="2:15" x14ac:dyDescent="0.25">
      <c r="B262" s="21" t="s">
        <v>93</v>
      </c>
      <c r="C262" s="21">
        <f t="shared" ref="C262:N262" si="116">C11*C104</f>
        <v>955694.77616211958</v>
      </c>
      <c r="D262" s="21">
        <f t="shared" si="116"/>
        <v>1012072.9479045831</v>
      </c>
      <c r="E262" s="21">
        <f t="shared" si="116"/>
        <v>1200307.4630851168</v>
      </c>
      <c r="F262" s="21">
        <f t="shared" si="116"/>
        <v>1194947.4264682143</v>
      </c>
      <c r="G262" s="21">
        <f t="shared" si="116"/>
        <v>1287785.9446277262</v>
      </c>
      <c r="H262" s="21">
        <f t="shared" si="116"/>
        <v>1442365.3783741593</v>
      </c>
      <c r="I262" s="21">
        <f t="shared" si="116"/>
        <v>1072275.8447914449</v>
      </c>
      <c r="J262" s="21">
        <f t="shared" si="116"/>
        <v>1107491.9661276941</v>
      </c>
      <c r="K262" s="21">
        <f t="shared" si="116"/>
        <v>1182049.6541813291</v>
      </c>
      <c r="L262" s="21">
        <f t="shared" si="116"/>
        <v>1582220.5860764422</v>
      </c>
      <c r="M262" s="21">
        <f t="shared" si="116"/>
        <v>1359440.9647773427</v>
      </c>
      <c r="N262" s="21">
        <f t="shared" si="116"/>
        <v>958723.84838517231</v>
      </c>
      <c r="O262" s="21">
        <f>SUM(C262:N262)</f>
        <v>14355376.800961345</v>
      </c>
    </row>
    <row r="263" spans="2:15" x14ac:dyDescent="0.25">
      <c r="B263" s="33" t="s">
        <v>21</v>
      </c>
      <c r="C263" s="33">
        <f>SUM(C260:C262)</f>
        <v>997750.30616211961</v>
      </c>
      <c r="D263" s="33">
        <f t="shared" ref="D263:O263" si="117">SUM(D260:D262)</f>
        <v>1054634.097904583</v>
      </c>
      <c r="E263" s="33">
        <f t="shared" si="117"/>
        <v>1251767.9230851168</v>
      </c>
      <c r="F263" s="33">
        <f t="shared" si="117"/>
        <v>1245217.1164682142</v>
      </c>
      <c r="G263" s="33">
        <f t="shared" si="117"/>
        <v>1341294.2446277263</v>
      </c>
      <c r="H263" s="33">
        <f t="shared" si="117"/>
        <v>1503886.7683741592</v>
      </c>
      <c r="I263" s="33">
        <f t="shared" si="117"/>
        <v>1255865.384791445</v>
      </c>
      <c r="J263" s="33">
        <f t="shared" si="117"/>
        <v>1283963.376127694</v>
      </c>
      <c r="K263" s="33">
        <f t="shared" si="117"/>
        <v>1352644.7741813292</v>
      </c>
      <c r="L263" s="33">
        <f t="shared" si="117"/>
        <v>1810805.5260764421</v>
      </c>
      <c r="M263" s="33">
        <f t="shared" si="117"/>
        <v>1547975.0547773428</v>
      </c>
      <c r="N263" s="33">
        <f t="shared" si="117"/>
        <v>1130515.0983851724</v>
      </c>
      <c r="O263" s="33">
        <f t="shared" si="117"/>
        <v>15776319.670961346</v>
      </c>
    </row>
    <row r="264" spans="2:15" x14ac:dyDescent="0.25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2:15" x14ac:dyDescent="0.25">
      <c r="B265" s="64" t="s">
        <v>104</v>
      </c>
      <c r="C265" s="27" t="s">
        <v>9</v>
      </c>
      <c r="D265" s="27" t="s">
        <v>10</v>
      </c>
      <c r="E265" s="27" t="s">
        <v>11</v>
      </c>
      <c r="F265" s="27" t="s">
        <v>12</v>
      </c>
      <c r="G265" s="27" t="s">
        <v>13</v>
      </c>
      <c r="H265" s="27" t="s">
        <v>14</v>
      </c>
      <c r="I265" s="27" t="s">
        <v>15</v>
      </c>
      <c r="J265" s="27" t="s">
        <v>16</v>
      </c>
      <c r="K265" s="27" t="s">
        <v>17</v>
      </c>
      <c r="L265" s="27" t="s">
        <v>18</v>
      </c>
      <c r="M265" s="27" t="s">
        <v>19</v>
      </c>
      <c r="N265" s="27" t="s">
        <v>20</v>
      </c>
      <c r="O265" s="27" t="s">
        <v>21</v>
      </c>
    </row>
    <row r="266" spans="2:15" x14ac:dyDescent="0.25">
      <c r="B266" s="65" t="s">
        <v>105</v>
      </c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2:15" x14ac:dyDescent="0.25">
      <c r="B267" s="21" t="s">
        <v>91</v>
      </c>
      <c r="C267" s="21">
        <f>SUM(C252:C254)-C239</f>
        <v>22044.560565344058</v>
      </c>
      <c r="D267" s="21">
        <f t="shared" ref="D267:N267" si="118">SUM(D252:D254)-D239</f>
        <v>-12021.961818195763</v>
      </c>
      <c r="E267" s="21">
        <f t="shared" si="118"/>
        <v>-24310.654112069751</v>
      </c>
      <c r="F267" s="21">
        <f t="shared" si="118"/>
        <v>-27253.258452257724</v>
      </c>
      <c r="G267" s="21">
        <f t="shared" si="118"/>
        <v>-36608.246425577556</v>
      </c>
      <c r="H267" s="21">
        <f t="shared" si="118"/>
        <v>-37552.920462340349</v>
      </c>
      <c r="I267" s="21">
        <f t="shared" si="118"/>
        <v>77538.568377084215</v>
      </c>
      <c r="J267" s="21">
        <f t="shared" si="118"/>
        <v>1737.2545886312146</v>
      </c>
      <c r="K267" s="21">
        <f t="shared" si="118"/>
        <v>-8417.2848524572328</v>
      </c>
      <c r="L267" s="21">
        <f t="shared" si="118"/>
        <v>-47288.831898336066</v>
      </c>
      <c r="M267" s="21">
        <f t="shared" si="118"/>
        <v>-5484.4312111953041</v>
      </c>
      <c r="N267" s="21">
        <f t="shared" si="118"/>
        <v>-4529.647593450034</v>
      </c>
      <c r="O267" s="21">
        <f>SUM(C267:N267)</f>
        <v>-102146.85329482029</v>
      </c>
    </row>
    <row r="268" spans="2:15" x14ac:dyDescent="0.25">
      <c r="B268" s="21" t="s">
        <v>92</v>
      </c>
      <c r="C268" s="21">
        <f>C255-C240</f>
        <v>0</v>
      </c>
      <c r="D268" s="21">
        <f t="shared" ref="D268:N268" si="119">D255-D240</f>
        <v>0</v>
      </c>
      <c r="E268" s="21">
        <f t="shared" si="119"/>
        <v>0</v>
      </c>
      <c r="F268" s="21">
        <f t="shared" si="119"/>
        <v>0</v>
      </c>
      <c r="G268" s="21">
        <f t="shared" si="119"/>
        <v>0</v>
      </c>
      <c r="H268" s="21">
        <f t="shared" si="119"/>
        <v>0</v>
      </c>
      <c r="I268" s="21">
        <f t="shared" si="119"/>
        <v>0</v>
      </c>
      <c r="J268" s="21">
        <f t="shared" si="119"/>
        <v>0</v>
      </c>
      <c r="K268" s="21">
        <f t="shared" si="119"/>
        <v>0</v>
      </c>
      <c r="L268" s="21">
        <f t="shared" si="119"/>
        <v>0</v>
      </c>
      <c r="M268" s="21">
        <f t="shared" si="119"/>
        <v>0</v>
      </c>
      <c r="N268" s="21">
        <f t="shared" si="119"/>
        <v>0</v>
      </c>
      <c r="O268" s="21">
        <f>SUM(C268:N268)</f>
        <v>0</v>
      </c>
    </row>
    <row r="269" spans="2:15" x14ac:dyDescent="0.25">
      <c r="B269" s="21" t="s">
        <v>93</v>
      </c>
      <c r="C269" s="21">
        <f>C256-C241</f>
        <v>6482.9254233012325</v>
      </c>
      <c r="D269" s="21">
        <f t="shared" ref="D269:N269" si="120">D256-D241</f>
        <v>-5991.8558687664918</v>
      </c>
      <c r="E269" s="21">
        <f t="shared" si="120"/>
        <v>-7379.8044314011349</v>
      </c>
      <c r="F269" s="21">
        <f t="shared" si="120"/>
        <v>-7904.7434323095367</v>
      </c>
      <c r="G269" s="21">
        <f t="shared" si="120"/>
        <v>-18085.582597161061</v>
      </c>
      <c r="H269" s="21">
        <f t="shared" si="120"/>
        <v>-7370.5007644905418</v>
      </c>
      <c r="I269" s="21">
        <f t="shared" si="120"/>
        <v>17235.288728663756</v>
      </c>
      <c r="J269" s="21">
        <f t="shared" si="120"/>
        <v>757.74492027470842</v>
      </c>
      <c r="K269" s="21">
        <f t="shared" si="120"/>
        <v>-4092.5806371156941</v>
      </c>
      <c r="L269" s="21">
        <f t="shared" si="120"/>
        <v>-24872.762787774031</v>
      </c>
      <c r="M269" s="21">
        <f t="shared" si="120"/>
        <v>-1270.4887586637633</v>
      </c>
      <c r="N269" s="21">
        <f t="shared" si="120"/>
        <v>-1650.5246134332847</v>
      </c>
      <c r="O269" s="21">
        <f>SUM(C269:N269)</f>
        <v>-54142.884818875842</v>
      </c>
    </row>
    <row r="270" spans="2:15" x14ac:dyDescent="0.25">
      <c r="B270" s="33" t="s">
        <v>21</v>
      </c>
      <c r="C270" s="33">
        <f t="shared" ref="C270:O270" si="121">SUM(C267:C269)</f>
        <v>28527.48598864529</v>
      </c>
      <c r="D270" s="33">
        <f t="shared" si="121"/>
        <v>-18013.817686962255</v>
      </c>
      <c r="E270" s="33">
        <f t="shared" si="121"/>
        <v>-31690.458543470886</v>
      </c>
      <c r="F270" s="33">
        <f t="shared" si="121"/>
        <v>-35158.00188456726</v>
      </c>
      <c r="G270" s="33">
        <f t="shared" si="121"/>
        <v>-54693.829022738617</v>
      </c>
      <c r="H270" s="33">
        <f t="shared" si="121"/>
        <v>-44923.421226830891</v>
      </c>
      <c r="I270" s="33">
        <f t="shared" si="121"/>
        <v>94773.857105747971</v>
      </c>
      <c r="J270" s="33">
        <f t="shared" si="121"/>
        <v>2494.999508905923</v>
      </c>
      <c r="K270" s="33">
        <f t="shared" si="121"/>
        <v>-12509.865489572927</v>
      </c>
      <c r="L270" s="33">
        <f t="shared" si="121"/>
        <v>-72161.594686110097</v>
      </c>
      <c r="M270" s="33">
        <f t="shared" si="121"/>
        <v>-6754.9199698590674</v>
      </c>
      <c r="N270" s="33">
        <f t="shared" si="121"/>
        <v>-6180.1722068833187</v>
      </c>
      <c r="O270" s="33">
        <f t="shared" si="121"/>
        <v>-156289.73811369613</v>
      </c>
    </row>
    <row r="271" spans="2:15" x14ac:dyDescent="0.25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2:15" x14ac:dyDescent="0.25">
      <c r="B272" s="65" t="s">
        <v>106</v>
      </c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2:15" x14ac:dyDescent="0.25">
      <c r="B273" s="21" t="s">
        <v>91</v>
      </c>
      <c r="C273" s="21">
        <f>C260-C245</f>
        <v>0</v>
      </c>
      <c r="D273" s="21">
        <f t="shared" ref="D273:N273" si="122">D260-D245</f>
        <v>0</v>
      </c>
      <c r="E273" s="21">
        <f t="shared" si="122"/>
        <v>0</v>
      </c>
      <c r="F273" s="21">
        <f t="shared" si="122"/>
        <v>0</v>
      </c>
      <c r="G273" s="21">
        <f t="shared" si="122"/>
        <v>0</v>
      </c>
      <c r="H273" s="21">
        <f t="shared" si="122"/>
        <v>0</v>
      </c>
      <c r="I273" s="21">
        <f t="shared" si="122"/>
        <v>0</v>
      </c>
      <c r="J273" s="21">
        <f t="shared" si="122"/>
        <v>0</v>
      </c>
      <c r="K273" s="21">
        <f t="shared" si="122"/>
        <v>0</v>
      </c>
      <c r="L273" s="21">
        <f t="shared" si="122"/>
        <v>0</v>
      </c>
      <c r="M273" s="21">
        <f t="shared" si="122"/>
        <v>0</v>
      </c>
      <c r="N273" s="21">
        <f t="shared" si="122"/>
        <v>0</v>
      </c>
      <c r="O273" s="21">
        <f>SUM(C273:N273)</f>
        <v>0</v>
      </c>
    </row>
    <row r="274" spans="2:15" x14ac:dyDescent="0.25">
      <c r="B274" s="21" t="s">
        <v>92</v>
      </c>
      <c r="C274" s="21">
        <f t="shared" ref="C274:N275" si="123">C261-C246</f>
        <v>0</v>
      </c>
      <c r="D274" s="21">
        <f t="shared" si="123"/>
        <v>0</v>
      </c>
      <c r="E274" s="21">
        <f t="shared" si="123"/>
        <v>0</v>
      </c>
      <c r="F274" s="21">
        <f t="shared" si="123"/>
        <v>0</v>
      </c>
      <c r="G274" s="21">
        <f t="shared" si="123"/>
        <v>0</v>
      </c>
      <c r="H274" s="21">
        <f t="shared" si="123"/>
        <v>0</v>
      </c>
      <c r="I274" s="21">
        <f t="shared" si="123"/>
        <v>0</v>
      </c>
      <c r="J274" s="21">
        <f t="shared" si="123"/>
        <v>0</v>
      </c>
      <c r="K274" s="21">
        <f t="shared" si="123"/>
        <v>0</v>
      </c>
      <c r="L274" s="21">
        <f t="shared" si="123"/>
        <v>0</v>
      </c>
      <c r="M274" s="21">
        <f t="shared" si="123"/>
        <v>0</v>
      </c>
      <c r="N274" s="21">
        <f t="shared" si="123"/>
        <v>0</v>
      </c>
      <c r="O274" s="21">
        <f>SUM(C274:N274)</f>
        <v>0</v>
      </c>
    </row>
    <row r="275" spans="2:15" x14ac:dyDescent="0.25">
      <c r="B275" s="21" t="s">
        <v>93</v>
      </c>
      <c r="C275" s="21">
        <f t="shared" si="123"/>
        <v>-261506.70551251899</v>
      </c>
      <c r="D275" s="21">
        <f t="shared" si="123"/>
        <v>89597.662758733262</v>
      </c>
      <c r="E275" s="21">
        <f t="shared" si="123"/>
        <v>172969.70609916525</v>
      </c>
      <c r="F275" s="21">
        <f t="shared" si="123"/>
        <v>-26231.743136515608</v>
      </c>
      <c r="G275" s="21">
        <f t="shared" si="123"/>
        <v>109998.71100490401</v>
      </c>
      <c r="H275" s="21">
        <f t="shared" si="123"/>
        <v>-246813.14576320164</v>
      </c>
      <c r="I275" s="21">
        <f t="shared" si="123"/>
        <v>-24339.853408260504</v>
      </c>
      <c r="J275" s="21">
        <f t="shared" si="123"/>
        <v>-42432.141964971321</v>
      </c>
      <c r="K275" s="21">
        <f t="shared" si="123"/>
        <v>10783.505289692432</v>
      </c>
      <c r="L275" s="21">
        <f t="shared" si="123"/>
        <v>336542.22340158024</v>
      </c>
      <c r="M275" s="21">
        <f t="shared" si="123"/>
        <v>-339353.99542475794</v>
      </c>
      <c r="N275" s="21">
        <f t="shared" si="123"/>
        <v>-238203.44583268685</v>
      </c>
      <c r="O275" s="21">
        <f>SUM(C275:N275)</f>
        <v>-458989.22248883767</v>
      </c>
    </row>
    <row r="276" spans="2:15" x14ac:dyDescent="0.25">
      <c r="B276" s="33" t="s">
        <v>21</v>
      </c>
      <c r="C276" s="33">
        <f>SUM(C273:C275)</f>
        <v>-261506.70551251899</v>
      </c>
      <c r="D276" s="33">
        <f t="shared" ref="D276:O276" si="124">SUM(D273:D275)</f>
        <v>89597.662758733262</v>
      </c>
      <c r="E276" s="33">
        <f t="shared" si="124"/>
        <v>172969.70609916525</v>
      </c>
      <c r="F276" s="33">
        <f t="shared" si="124"/>
        <v>-26231.743136515608</v>
      </c>
      <c r="G276" s="33">
        <f t="shared" si="124"/>
        <v>109998.71100490401</v>
      </c>
      <c r="H276" s="33">
        <f t="shared" si="124"/>
        <v>-246813.14576320164</v>
      </c>
      <c r="I276" s="33">
        <f t="shared" si="124"/>
        <v>-24339.853408260504</v>
      </c>
      <c r="J276" s="33">
        <f t="shared" si="124"/>
        <v>-42432.141964971321</v>
      </c>
      <c r="K276" s="33">
        <f t="shared" si="124"/>
        <v>10783.505289692432</v>
      </c>
      <c r="L276" s="33">
        <f t="shared" si="124"/>
        <v>336542.22340158024</v>
      </c>
      <c r="M276" s="33">
        <f t="shared" si="124"/>
        <v>-339353.99542475794</v>
      </c>
      <c r="N276" s="33">
        <f t="shared" si="124"/>
        <v>-238203.44583268685</v>
      </c>
      <c r="O276" s="33">
        <f t="shared" si="124"/>
        <v>-458989.22248883767</v>
      </c>
    </row>
    <row r="277" spans="2:15" x14ac:dyDescent="0.25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2:15" x14ac:dyDescent="0.25">
      <c r="B278" s="22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2:15" ht="15.6" x14ac:dyDescent="0.3">
      <c r="B279" s="17" t="s">
        <v>124</v>
      </c>
      <c r="C279" s="52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2:15" x14ac:dyDescent="0.25">
      <c r="B280" s="22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2:15" x14ac:dyDescent="0.25">
      <c r="B281" s="64" t="s">
        <v>88</v>
      </c>
      <c r="C281" s="27" t="s">
        <v>9</v>
      </c>
      <c r="D281" s="27" t="s">
        <v>10</v>
      </c>
      <c r="E281" s="27" t="s">
        <v>11</v>
      </c>
      <c r="F281" s="27" t="s">
        <v>12</v>
      </c>
      <c r="G281" s="27" t="s">
        <v>13</v>
      </c>
      <c r="H281" s="27" t="s">
        <v>14</v>
      </c>
      <c r="I281" s="27" t="s">
        <v>15</v>
      </c>
      <c r="J281" s="27" t="s">
        <v>16</v>
      </c>
      <c r="K281" s="27" t="s">
        <v>17</v>
      </c>
      <c r="L281" s="27" t="s">
        <v>18</v>
      </c>
      <c r="M281" s="27" t="s">
        <v>19</v>
      </c>
      <c r="N281" s="27" t="s">
        <v>20</v>
      </c>
      <c r="O281" s="27" t="s">
        <v>21</v>
      </c>
    </row>
    <row r="282" spans="2:15" x14ac:dyDescent="0.25">
      <c r="B282" s="65" t="s">
        <v>89</v>
      </c>
      <c r="C282" s="50">
        <v>1263380</v>
      </c>
      <c r="D282" s="50">
        <v>1521078</v>
      </c>
      <c r="E282" s="50">
        <v>1138313</v>
      </c>
      <c r="F282" s="50">
        <v>1113098</v>
      </c>
      <c r="G282" s="50">
        <v>900965</v>
      </c>
      <c r="H282" s="50">
        <v>995168</v>
      </c>
      <c r="I282" s="50">
        <v>1265371</v>
      </c>
      <c r="J282" s="50">
        <v>1511965</v>
      </c>
      <c r="K282" s="50">
        <v>1561678</v>
      </c>
      <c r="L282" s="50">
        <v>1102794</v>
      </c>
      <c r="M282" s="50">
        <v>1230901</v>
      </c>
      <c r="N282" s="50">
        <v>1398165</v>
      </c>
      <c r="O282" s="50">
        <v>15002876</v>
      </c>
    </row>
    <row r="283" spans="2:15" x14ac:dyDescent="0.25">
      <c r="B283" s="65" t="s">
        <v>90</v>
      </c>
      <c r="C283" s="50">
        <v>1315761</v>
      </c>
      <c r="D283" s="50">
        <v>1309586</v>
      </c>
      <c r="E283" s="50">
        <v>907938</v>
      </c>
      <c r="F283" s="50">
        <v>1278627</v>
      </c>
      <c r="G283" s="50">
        <v>1199718</v>
      </c>
      <c r="H283" s="50">
        <v>1522623</v>
      </c>
      <c r="I283" s="50">
        <v>1258031</v>
      </c>
      <c r="J283" s="50">
        <v>1183376</v>
      </c>
      <c r="K283" s="50">
        <v>1574725</v>
      </c>
      <c r="L283" s="50">
        <v>1355346</v>
      </c>
      <c r="M283" s="50">
        <v>1820087</v>
      </c>
      <c r="N283" s="50">
        <v>1486790</v>
      </c>
      <c r="O283" s="50">
        <v>16212608</v>
      </c>
    </row>
    <row r="284" spans="2:15" x14ac:dyDescent="0.25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2:15" x14ac:dyDescent="0.25">
      <c r="B285" s="64" t="s">
        <v>94</v>
      </c>
      <c r="C285" s="27" t="s">
        <v>9</v>
      </c>
      <c r="D285" s="27" t="s">
        <v>10</v>
      </c>
      <c r="E285" s="27" t="s">
        <v>11</v>
      </c>
      <c r="F285" s="27" t="s">
        <v>12</v>
      </c>
      <c r="G285" s="27" t="s">
        <v>13</v>
      </c>
      <c r="H285" s="27" t="s">
        <v>14</v>
      </c>
      <c r="I285" s="27" t="s">
        <v>15</v>
      </c>
      <c r="J285" s="27" t="s">
        <v>16</v>
      </c>
      <c r="K285" s="27" t="s">
        <v>17</v>
      </c>
      <c r="L285" s="27" t="s">
        <v>18</v>
      </c>
      <c r="M285" s="27" t="s">
        <v>19</v>
      </c>
      <c r="N285" s="27" t="s">
        <v>20</v>
      </c>
      <c r="O285" s="27" t="s">
        <v>21</v>
      </c>
    </row>
    <row r="286" spans="2:15" x14ac:dyDescent="0.25">
      <c r="B286" s="65" t="s">
        <v>89</v>
      </c>
      <c r="C286" s="50">
        <v>1340242</v>
      </c>
      <c r="D286" s="50">
        <v>893438</v>
      </c>
      <c r="E286" s="50">
        <v>1209676</v>
      </c>
      <c r="F286" s="50">
        <v>1310598</v>
      </c>
      <c r="G286" s="50">
        <v>807932</v>
      </c>
      <c r="H286" s="50">
        <v>1310536</v>
      </c>
      <c r="I286" s="50">
        <v>1186439</v>
      </c>
      <c r="J286" s="50">
        <v>1418641</v>
      </c>
      <c r="K286" s="50">
        <v>1285498</v>
      </c>
      <c r="L286" s="50">
        <v>1209669</v>
      </c>
      <c r="M286" s="50">
        <v>1248154</v>
      </c>
      <c r="N286" s="50">
        <v>1477694</v>
      </c>
      <c r="O286" s="50">
        <v>14698517</v>
      </c>
    </row>
    <row r="287" spans="2:15" x14ac:dyDescent="0.25">
      <c r="B287" s="65" t="s">
        <v>90</v>
      </c>
      <c r="C287" s="50">
        <v>1082976</v>
      </c>
      <c r="D287" s="50">
        <v>1089574</v>
      </c>
      <c r="E287" s="50">
        <v>1311559</v>
      </c>
      <c r="F287" s="50">
        <v>1320551</v>
      </c>
      <c r="G287" s="50">
        <v>1457342</v>
      </c>
      <c r="H287" s="50">
        <v>1547541</v>
      </c>
      <c r="I287" s="50">
        <v>1533914</v>
      </c>
      <c r="J287" s="50">
        <v>1360828</v>
      </c>
      <c r="K287" s="50">
        <v>1312284</v>
      </c>
      <c r="L287" s="50">
        <v>1710695</v>
      </c>
      <c r="M287" s="50">
        <v>1568337</v>
      </c>
      <c r="N287" s="50">
        <v>815958</v>
      </c>
      <c r="O287" s="50">
        <v>16111559</v>
      </c>
    </row>
    <row r="288" spans="2:15" x14ac:dyDescent="0.25">
      <c r="B288" s="22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</row>
    <row r="289" spans="2:15" x14ac:dyDescent="0.25">
      <c r="B289" s="64" t="s">
        <v>104</v>
      </c>
      <c r="C289" s="27" t="s">
        <v>9</v>
      </c>
      <c r="D289" s="27" t="s">
        <v>10</v>
      </c>
      <c r="E289" s="27" t="s">
        <v>11</v>
      </c>
      <c r="F289" s="27" t="s">
        <v>12</v>
      </c>
      <c r="G289" s="27" t="s">
        <v>13</v>
      </c>
      <c r="H289" s="27" t="s">
        <v>14</v>
      </c>
      <c r="I289" s="27" t="s">
        <v>15</v>
      </c>
      <c r="J289" s="27" t="s">
        <v>16</v>
      </c>
      <c r="K289" s="27" t="s">
        <v>17</v>
      </c>
      <c r="L289" s="27" t="s">
        <v>18</v>
      </c>
      <c r="M289" s="27" t="s">
        <v>19</v>
      </c>
      <c r="N289" s="27" t="s">
        <v>20</v>
      </c>
      <c r="O289" s="27" t="s">
        <v>21</v>
      </c>
    </row>
    <row r="290" spans="2:15" x14ac:dyDescent="0.25">
      <c r="B290" s="65" t="s">
        <v>89</v>
      </c>
      <c r="C290" s="72">
        <f t="shared" ref="C290:N290" si="125">C286-C282</f>
        <v>76862</v>
      </c>
      <c r="D290" s="72">
        <f t="shared" si="125"/>
        <v>-627640</v>
      </c>
      <c r="E290" s="72">
        <f t="shared" si="125"/>
        <v>71363</v>
      </c>
      <c r="F290" s="72">
        <f t="shared" si="125"/>
        <v>197500</v>
      </c>
      <c r="G290" s="72">
        <f t="shared" si="125"/>
        <v>-93033</v>
      </c>
      <c r="H290" s="72">
        <f t="shared" si="125"/>
        <v>315368</v>
      </c>
      <c r="I290" s="72">
        <f t="shared" si="125"/>
        <v>-78932</v>
      </c>
      <c r="J290" s="72">
        <f t="shared" si="125"/>
        <v>-93324</v>
      </c>
      <c r="K290" s="72">
        <f t="shared" si="125"/>
        <v>-276180</v>
      </c>
      <c r="L290" s="72">
        <f t="shared" si="125"/>
        <v>106875</v>
      </c>
      <c r="M290" s="72">
        <f t="shared" si="125"/>
        <v>17253</v>
      </c>
      <c r="N290" s="72">
        <f t="shared" si="125"/>
        <v>79529</v>
      </c>
      <c r="O290" s="72">
        <f>SUM(C290:N290)</f>
        <v>-304359</v>
      </c>
    </row>
    <row r="291" spans="2:15" x14ac:dyDescent="0.25">
      <c r="B291" s="65" t="s">
        <v>90</v>
      </c>
      <c r="C291" s="72">
        <f t="shared" ref="C291:N291" si="126">C287-C283</f>
        <v>-232785</v>
      </c>
      <c r="D291" s="72">
        <f t="shared" si="126"/>
        <v>-220012</v>
      </c>
      <c r="E291" s="72">
        <f t="shared" si="126"/>
        <v>403621</v>
      </c>
      <c r="F291" s="72">
        <f t="shared" si="126"/>
        <v>41924</v>
      </c>
      <c r="G291" s="72">
        <f t="shared" si="126"/>
        <v>257624</v>
      </c>
      <c r="H291" s="72">
        <f t="shared" si="126"/>
        <v>24918</v>
      </c>
      <c r="I291" s="72">
        <f t="shared" si="126"/>
        <v>275883</v>
      </c>
      <c r="J291" s="72">
        <f t="shared" si="126"/>
        <v>177452</v>
      </c>
      <c r="K291" s="72">
        <f t="shared" si="126"/>
        <v>-262441</v>
      </c>
      <c r="L291" s="72">
        <f t="shared" si="126"/>
        <v>355349</v>
      </c>
      <c r="M291" s="72">
        <f t="shared" si="126"/>
        <v>-251750</v>
      </c>
      <c r="N291" s="72">
        <f t="shared" si="126"/>
        <v>-670832</v>
      </c>
      <c r="O291" s="72">
        <f>SUM(C291:N291)</f>
        <v>-101049</v>
      </c>
    </row>
    <row r="292" spans="2:15" x14ac:dyDescent="0.25">
      <c r="B292" s="22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2:15" x14ac:dyDescent="0.25">
      <c r="B293" s="22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</row>
    <row r="294" spans="2:15" ht="15.6" x14ac:dyDescent="0.3">
      <c r="B294" s="17" t="s">
        <v>125</v>
      </c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</row>
    <row r="295" spans="2:15" x14ac:dyDescent="0.25">
      <c r="B295" s="22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</row>
    <row r="296" spans="2:15" x14ac:dyDescent="0.25">
      <c r="B296" s="64" t="s">
        <v>88</v>
      </c>
      <c r="C296" s="27" t="s">
        <v>9</v>
      </c>
      <c r="D296" s="27" t="s">
        <v>10</v>
      </c>
      <c r="E296" s="27" t="s">
        <v>11</v>
      </c>
      <c r="F296" s="27" t="s">
        <v>12</v>
      </c>
      <c r="G296" s="27" t="s">
        <v>13</v>
      </c>
      <c r="H296" s="27" t="s">
        <v>14</v>
      </c>
      <c r="I296" s="27" t="s">
        <v>15</v>
      </c>
      <c r="J296" s="27" t="s">
        <v>16</v>
      </c>
      <c r="K296" s="27" t="s">
        <v>17</v>
      </c>
      <c r="L296" s="27" t="s">
        <v>18</v>
      </c>
      <c r="M296" s="27" t="s">
        <v>19</v>
      </c>
      <c r="N296" s="27" t="s">
        <v>20</v>
      </c>
      <c r="O296" s="27" t="s">
        <v>21</v>
      </c>
    </row>
    <row r="297" spans="2:15" x14ac:dyDescent="0.25">
      <c r="B297" s="65" t="s">
        <v>89</v>
      </c>
      <c r="C297" s="21">
        <f t="shared" ref="C297:N297" si="127">C282-C242</f>
        <v>12298.89376030839</v>
      </c>
      <c r="D297" s="21">
        <f t="shared" si="127"/>
        <v>292084.6228507827</v>
      </c>
      <c r="E297" s="21">
        <f t="shared" si="127"/>
        <v>41201.72735874448</v>
      </c>
      <c r="F297" s="21">
        <f t="shared" si="127"/>
        <v>126262.81345130317</v>
      </c>
      <c r="G297" s="21">
        <f t="shared" si="127"/>
        <v>-250464.94395552319</v>
      </c>
      <c r="H297" s="21">
        <f t="shared" si="127"/>
        <v>-66730.559572166763</v>
      </c>
      <c r="I297" s="21">
        <f t="shared" si="127"/>
        <v>-62883.105601264862</v>
      </c>
      <c r="J297" s="21">
        <f t="shared" si="127"/>
        <v>-73468.259405831806</v>
      </c>
      <c r="K297" s="21">
        <f t="shared" si="127"/>
        <v>170100.14866131847</v>
      </c>
      <c r="L297" s="21">
        <f t="shared" si="127"/>
        <v>-178932.85168507649</v>
      </c>
      <c r="M297" s="21">
        <f t="shared" si="127"/>
        <v>152976.42144751549</v>
      </c>
      <c r="N297" s="21">
        <f t="shared" si="127"/>
        <v>88400.723112699576</v>
      </c>
      <c r="O297" s="21">
        <f>SUM(C297:N297)</f>
        <v>250845.63042280916</v>
      </c>
    </row>
    <row r="298" spans="2:15" x14ac:dyDescent="0.25">
      <c r="B298" s="65" t="s">
        <v>90</v>
      </c>
      <c r="C298" s="21">
        <f t="shared" ref="C298:N298" si="128">C283-C248</f>
        <v>56503.988325361395</v>
      </c>
      <c r="D298" s="21">
        <f t="shared" si="128"/>
        <v>344549.56485415017</v>
      </c>
      <c r="E298" s="21">
        <f t="shared" si="128"/>
        <v>-170860.21698595164</v>
      </c>
      <c r="F298" s="21">
        <f t="shared" si="128"/>
        <v>7178.1403952701949</v>
      </c>
      <c r="G298" s="21">
        <f t="shared" si="128"/>
        <v>-31577.533622822259</v>
      </c>
      <c r="H298" s="21">
        <f t="shared" si="128"/>
        <v>-228076.91413736087</v>
      </c>
      <c r="I298" s="21">
        <f t="shared" si="128"/>
        <v>-22174.238199705491</v>
      </c>
      <c r="J298" s="21">
        <f t="shared" si="128"/>
        <v>-143019.51809266536</v>
      </c>
      <c r="K298" s="21">
        <f t="shared" si="128"/>
        <v>232863.73110836325</v>
      </c>
      <c r="L298" s="21">
        <f t="shared" si="128"/>
        <v>-118917.30267486186</v>
      </c>
      <c r="M298" s="21">
        <f t="shared" si="128"/>
        <v>-67242.050202100771</v>
      </c>
      <c r="N298" s="21">
        <f t="shared" si="128"/>
        <v>118071.45578214084</v>
      </c>
      <c r="O298" s="21">
        <f>SUM(C298:N298)</f>
        <v>-22700.893450182397</v>
      </c>
    </row>
    <row r="299" spans="2:15" x14ac:dyDescent="0.25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</row>
    <row r="300" spans="2:15" x14ac:dyDescent="0.25">
      <c r="B300" s="64" t="s">
        <v>94</v>
      </c>
      <c r="C300" s="27" t="s">
        <v>9</v>
      </c>
      <c r="D300" s="27" t="s">
        <v>10</v>
      </c>
      <c r="E300" s="27" t="s">
        <v>11</v>
      </c>
      <c r="F300" s="27" t="s">
        <v>12</v>
      </c>
      <c r="G300" s="27" t="s">
        <v>13</v>
      </c>
      <c r="H300" s="27" t="s">
        <v>14</v>
      </c>
      <c r="I300" s="27" t="s">
        <v>15</v>
      </c>
      <c r="J300" s="27" t="s">
        <v>16</v>
      </c>
      <c r="K300" s="27" t="s">
        <v>17</v>
      </c>
      <c r="L300" s="27" t="s">
        <v>18</v>
      </c>
      <c r="M300" s="27" t="s">
        <v>19</v>
      </c>
      <c r="N300" s="27" t="s">
        <v>20</v>
      </c>
      <c r="O300" s="27" t="s">
        <v>21</v>
      </c>
    </row>
    <row r="301" spans="2:15" x14ac:dyDescent="0.25">
      <c r="B301" s="65" t="s">
        <v>89</v>
      </c>
      <c r="C301" s="21">
        <f t="shared" ref="C301:N301" si="129">C286-C257</f>
        <v>60633.407771663275</v>
      </c>
      <c r="D301" s="21">
        <f t="shared" si="129"/>
        <v>-317541.5594622551</v>
      </c>
      <c r="E301" s="21">
        <f t="shared" si="129"/>
        <v>144255.18590221554</v>
      </c>
      <c r="F301" s="21">
        <f t="shared" si="129"/>
        <v>358920.81533587037</v>
      </c>
      <c r="G301" s="21">
        <f t="shared" si="129"/>
        <v>-288804.11493278458</v>
      </c>
      <c r="H301" s="21">
        <f t="shared" si="129"/>
        <v>293560.86165466404</v>
      </c>
      <c r="I301" s="21">
        <f t="shared" si="129"/>
        <v>-236588.96270701312</v>
      </c>
      <c r="J301" s="21">
        <f t="shared" si="129"/>
        <v>-169287.25891473796</v>
      </c>
      <c r="K301" s="21">
        <f t="shared" si="129"/>
        <v>-93569.985849108547</v>
      </c>
      <c r="L301" s="21">
        <f t="shared" si="129"/>
        <v>103.74300103378482</v>
      </c>
      <c r="M301" s="21">
        <f t="shared" si="129"/>
        <v>176984.34141737456</v>
      </c>
      <c r="N301" s="21">
        <f t="shared" si="129"/>
        <v>174109.89531958289</v>
      </c>
      <c r="O301" s="21">
        <f>SUM(C301:N301)</f>
        <v>102776.36853650515</v>
      </c>
    </row>
    <row r="302" spans="2:15" x14ac:dyDescent="0.25">
      <c r="B302" s="65" t="s">
        <v>90</v>
      </c>
      <c r="C302" s="21">
        <f t="shared" ref="C302:N302" si="130">C287-C263</f>
        <v>85225.69383788039</v>
      </c>
      <c r="D302" s="21">
        <f t="shared" si="130"/>
        <v>34939.902095417026</v>
      </c>
      <c r="E302" s="21">
        <f t="shared" si="130"/>
        <v>59791.076914883219</v>
      </c>
      <c r="F302" s="21">
        <f t="shared" si="130"/>
        <v>75333.883531785803</v>
      </c>
      <c r="G302" s="21">
        <f t="shared" si="130"/>
        <v>116047.75537227374</v>
      </c>
      <c r="H302" s="21">
        <f t="shared" si="130"/>
        <v>43654.231625840766</v>
      </c>
      <c r="I302" s="21">
        <f t="shared" si="130"/>
        <v>278048.61520855501</v>
      </c>
      <c r="J302" s="21">
        <f t="shared" si="130"/>
        <v>76864.623872305965</v>
      </c>
      <c r="K302" s="21">
        <f t="shared" si="130"/>
        <v>-40360.77418132918</v>
      </c>
      <c r="L302" s="21">
        <f t="shared" si="130"/>
        <v>-100110.5260764421</v>
      </c>
      <c r="M302" s="21">
        <f t="shared" si="130"/>
        <v>20361.945222657174</v>
      </c>
      <c r="N302" s="21">
        <f t="shared" si="130"/>
        <v>-314557.09838517243</v>
      </c>
      <c r="O302" s="21">
        <f>SUM(C302:N302)</f>
        <v>335239.32903865539</v>
      </c>
    </row>
    <row r="303" spans="2:15" x14ac:dyDescent="0.25">
      <c r="B303" s="21"/>
    </row>
    <row r="304" spans="2:15" x14ac:dyDescent="0.25">
      <c r="B304" s="64" t="s">
        <v>104</v>
      </c>
      <c r="C304" s="27" t="s">
        <v>9</v>
      </c>
      <c r="D304" s="27" t="s">
        <v>10</v>
      </c>
      <c r="E304" s="27" t="s">
        <v>11</v>
      </c>
      <c r="F304" s="27" t="s">
        <v>12</v>
      </c>
      <c r="G304" s="27" t="s">
        <v>13</v>
      </c>
      <c r="H304" s="27" t="s">
        <v>14</v>
      </c>
      <c r="I304" s="27" t="s">
        <v>15</v>
      </c>
      <c r="J304" s="27" t="s">
        <v>16</v>
      </c>
      <c r="K304" s="27" t="s">
        <v>17</v>
      </c>
      <c r="L304" s="27" t="s">
        <v>18</v>
      </c>
      <c r="M304" s="27" t="s">
        <v>19</v>
      </c>
      <c r="N304" s="27" t="s">
        <v>20</v>
      </c>
      <c r="O304" s="27" t="s">
        <v>21</v>
      </c>
    </row>
    <row r="305" spans="2:15" x14ac:dyDescent="0.25">
      <c r="B305" s="65" t="s">
        <v>89</v>
      </c>
      <c r="C305" s="21">
        <f t="shared" ref="C305:M305" si="131">C290-C270</f>
        <v>48334.51401135471</v>
      </c>
      <c r="D305" s="21">
        <f t="shared" si="131"/>
        <v>-609626.1823130378</v>
      </c>
      <c r="E305" s="21">
        <f t="shared" si="131"/>
        <v>103053.45854347089</v>
      </c>
      <c r="F305" s="21">
        <f t="shared" si="131"/>
        <v>232658.00188456726</v>
      </c>
      <c r="G305" s="21">
        <f t="shared" si="131"/>
        <v>-38339.170977261383</v>
      </c>
      <c r="H305" s="21">
        <f t="shared" si="131"/>
        <v>360291.42122683092</v>
      </c>
      <c r="I305" s="21">
        <f t="shared" si="131"/>
        <v>-173705.85710574797</v>
      </c>
      <c r="J305" s="21">
        <f t="shared" si="131"/>
        <v>-95818.999508905923</v>
      </c>
      <c r="K305" s="21">
        <f t="shared" si="131"/>
        <v>-263670.13451042707</v>
      </c>
      <c r="L305" s="21">
        <f t="shared" si="131"/>
        <v>179036.5946861101</v>
      </c>
      <c r="M305" s="21">
        <f t="shared" si="131"/>
        <v>24007.919969859067</v>
      </c>
      <c r="N305" s="21">
        <f>N290-N270</f>
        <v>85709.172206883319</v>
      </c>
      <c r="O305" s="21">
        <f>SUM(C305:N305)</f>
        <v>-148069.26188630395</v>
      </c>
    </row>
    <row r="306" spans="2:15" x14ac:dyDescent="0.25">
      <c r="B306" s="65" t="s">
        <v>90</v>
      </c>
      <c r="C306" s="21">
        <f t="shared" ref="C306:M306" si="132">C291-C276</f>
        <v>28721.705512518995</v>
      </c>
      <c r="D306" s="21">
        <f t="shared" si="132"/>
        <v>-309609.66275873326</v>
      </c>
      <c r="E306" s="21">
        <f t="shared" si="132"/>
        <v>230651.29390083475</v>
      </c>
      <c r="F306" s="21">
        <f t="shared" si="132"/>
        <v>68155.743136515608</v>
      </c>
      <c r="G306" s="21">
        <f t="shared" si="132"/>
        <v>147625.28899509599</v>
      </c>
      <c r="H306" s="21">
        <f t="shared" si="132"/>
        <v>271731.14576320164</v>
      </c>
      <c r="I306" s="21">
        <f t="shared" si="132"/>
        <v>300222.8534082605</v>
      </c>
      <c r="J306" s="21">
        <f t="shared" si="132"/>
        <v>219884.14196497132</v>
      </c>
      <c r="K306" s="21">
        <f t="shared" si="132"/>
        <v>-273224.50528969243</v>
      </c>
      <c r="L306" s="21">
        <f t="shared" si="132"/>
        <v>18806.776598419761</v>
      </c>
      <c r="M306" s="21">
        <f t="shared" si="132"/>
        <v>87603.995424757944</v>
      </c>
      <c r="N306" s="21">
        <f>N291-N276</f>
        <v>-432628.55416731315</v>
      </c>
      <c r="O306" s="21">
        <f>SUM(C306:N306)</f>
        <v>357940.22248883767</v>
      </c>
    </row>
    <row r="309" spans="2:15" ht="15.6" x14ac:dyDescent="0.3">
      <c r="B309" s="17" t="s">
        <v>126</v>
      </c>
    </row>
    <row r="311" spans="2:15" x14ac:dyDescent="0.25">
      <c r="B311" s="65" t="s">
        <v>119</v>
      </c>
    </row>
    <row r="312" spans="2:15" x14ac:dyDescent="0.25">
      <c r="B312" s="13" t="s">
        <v>130</v>
      </c>
      <c r="C312" s="21">
        <f t="shared" ref="C312:N312" si="133">C54</f>
        <v>13868081.140191851</v>
      </c>
      <c r="D312" s="21">
        <f t="shared" si="133"/>
        <v>12579780.241999863</v>
      </c>
      <c r="E312" s="21">
        <f t="shared" si="133"/>
        <v>13042246.502297215</v>
      </c>
      <c r="F312" s="21">
        <f t="shared" si="133"/>
        <v>12448309.578029867</v>
      </c>
      <c r="G312" s="21">
        <f t="shared" si="133"/>
        <v>12540324.037721703</v>
      </c>
      <c r="H312" s="21">
        <f t="shared" si="133"/>
        <v>12666305.669896228</v>
      </c>
      <c r="I312" s="21">
        <f t="shared" si="133"/>
        <v>12898326.254995357</v>
      </c>
      <c r="J312" s="21">
        <f t="shared" si="133"/>
        <v>14761541.824039349</v>
      </c>
      <c r="K312" s="21">
        <f t="shared" si="133"/>
        <v>13903919.146386949</v>
      </c>
      <c r="L312" s="21">
        <f t="shared" si="133"/>
        <v>13963438.657940388</v>
      </c>
      <c r="M312" s="21">
        <f t="shared" si="133"/>
        <v>13884715.653470377</v>
      </c>
      <c r="N312" s="21">
        <f t="shared" si="133"/>
        <v>13012908.178058915</v>
      </c>
      <c r="O312" s="79">
        <f>SUM(C312:N312)</f>
        <v>159569896.88502806</v>
      </c>
    </row>
    <row r="313" spans="2:15" x14ac:dyDescent="0.25">
      <c r="B313" s="13" t="s">
        <v>111</v>
      </c>
      <c r="C313" s="21">
        <f t="shared" ref="C313:N313" si="134">C11</f>
        <v>14187867.817133604</v>
      </c>
      <c r="D313" s="21">
        <f t="shared" si="134"/>
        <v>12392224.169273701</v>
      </c>
      <c r="E313" s="21">
        <f t="shared" si="134"/>
        <v>12660135.672240447</v>
      </c>
      <c r="F313" s="21">
        <f t="shared" si="134"/>
        <v>11998668.806789981</v>
      </c>
      <c r="G313" s="21">
        <f t="shared" si="134"/>
        <v>11931677.426366406</v>
      </c>
      <c r="H313" s="21">
        <f t="shared" si="134"/>
        <v>12124793.026010083</v>
      </c>
      <c r="I313" s="21">
        <f t="shared" si="134"/>
        <v>13859064.815709511</v>
      </c>
      <c r="J313" s="21">
        <f t="shared" si="134"/>
        <v>14786274.581144111</v>
      </c>
      <c r="K313" s="21">
        <f t="shared" si="134"/>
        <v>13770382.737433936</v>
      </c>
      <c r="L313" s="21">
        <f t="shared" si="134"/>
        <v>13120661.630951505</v>
      </c>
      <c r="M313" s="21">
        <f t="shared" si="134"/>
        <v>13794428.86633529</v>
      </c>
      <c r="N313" s="21">
        <f t="shared" si="134"/>
        <v>12948728.368249219</v>
      </c>
      <c r="O313" s="79">
        <f>SUM(C313:N313)</f>
        <v>157574907.9176378</v>
      </c>
    </row>
    <row r="314" spans="2:15" x14ac:dyDescent="0.25">
      <c r="B314" s="13" t="s">
        <v>109</v>
      </c>
      <c r="C314" s="21">
        <f>C312-C313</f>
        <v>-319786.67694175243</v>
      </c>
      <c r="D314" s="21">
        <f t="shared" ref="D314:N314" si="135">D312-D313</f>
        <v>187556.07272616215</v>
      </c>
      <c r="E314" s="21">
        <f t="shared" si="135"/>
        <v>382110.83005676791</v>
      </c>
      <c r="F314" s="21">
        <f t="shared" si="135"/>
        <v>449640.77123988606</v>
      </c>
      <c r="G314" s="21">
        <f t="shared" si="135"/>
        <v>608646.61135529727</v>
      </c>
      <c r="H314" s="21">
        <f t="shared" si="135"/>
        <v>541512.6438861452</v>
      </c>
      <c r="I314" s="21">
        <f t="shared" si="135"/>
        <v>-960738.56071415357</v>
      </c>
      <c r="J314" s="21">
        <f t="shared" si="135"/>
        <v>-24732.757104761899</v>
      </c>
      <c r="K314" s="21">
        <f t="shared" si="135"/>
        <v>133536.4089530129</v>
      </c>
      <c r="L314" s="21">
        <f t="shared" si="135"/>
        <v>842777.02698888257</v>
      </c>
      <c r="M314" s="21">
        <f t="shared" si="135"/>
        <v>90286.787135086954</v>
      </c>
      <c r="N314" s="21">
        <f t="shared" si="135"/>
        <v>64179.809809695929</v>
      </c>
      <c r="O314" s="79">
        <f>SUM(C314:N314)</f>
        <v>1994988.967390269</v>
      </c>
    </row>
    <row r="315" spans="2:15" x14ac:dyDescent="0.25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79"/>
    </row>
    <row r="316" spans="2:15" x14ac:dyDescent="0.25">
      <c r="B316" s="13" t="s">
        <v>127</v>
      </c>
      <c r="C316" s="52">
        <f t="shared" ref="C316:N316" si="136">C104</f>
        <v>6.7360000000000003E-2</v>
      </c>
      <c r="D316" s="52">
        <f t="shared" si="136"/>
        <v>8.1669999999999993E-2</v>
      </c>
      <c r="E316" s="52">
        <f t="shared" si="136"/>
        <v>9.4810000000000005E-2</v>
      </c>
      <c r="F316" s="52">
        <f t="shared" si="136"/>
        <v>9.9589999999999998E-2</v>
      </c>
      <c r="G316" s="52">
        <f t="shared" si="136"/>
        <v>0.10793000000000001</v>
      </c>
      <c r="H316" s="52">
        <f t="shared" si="136"/>
        <v>0.11896</v>
      </c>
      <c r="I316" s="52">
        <f t="shared" si="136"/>
        <v>7.7370000000000008E-2</v>
      </c>
      <c r="J316" s="52">
        <f t="shared" si="136"/>
        <v>7.4900000000000008E-2</v>
      </c>
      <c r="K316" s="52">
        <f t="shared" si="136"/>
        <v>8.584E-2</v>
      </c>
      <c r="L316" s="52">
        <f t="shared" si="136"/>
        <v>0.12059000000000002</v>
      </c>
      <c r="M316" s="52">
        <f t="shared" si="136"/>
        <v>9.8549999999999999E-2</v>
      </c>
      <c r="N316" s="52">
        <f t="shared" si="136"/>
        <v>7.4040000000000009E-2</v>
      </c>
      <c r="O316" s="79"/>
    </row>
    <row r="318" spans="2:15" x14ac:dyDescent="0.25">
      <c r="B318" s="13" t="s">
        <v>128</v>
      </c>
      <c r="C318" s="1">
        <f>C316*C314</f>
        <v>-21540.830558796446</v>
      </c>
      <c r="D318" s="1">
        <f t="shared" ref="D318:N318" si="137">D316*D314</f>
        <v>15317.704459545661</v>
      </c>
      <c r="E318" s="1">
        <f t="shared" si="137"/>
        <v>36227.927797682169</v>
      </c>
      <c r="F318" s="1">
        <f t="shared" si="137"/>
        <v>44779.724407780253</v>
      </c>
      <c r="G318" s="1">
        <f t="shared" si="137"/>
        <v>65691.228763577237</v>
      </c>
      <c r="H318" s="1">
        <f t="shared" si="137"/>
        <v>64418.344116695829</v>
      </c>
      <c r="I318" s="1">
        <f t="shared" si="137"/>
        <v>-74332.342442454072</v>
      </c>
      <c r="J318" s="1">
        <f t="shared" si="137"/>
        <v>-1852.4835071466664</v>
      </c>
      <c r="K318" s="1">
        <f t="shared" si="137"/>
        <v>11462.765344526628</v>
      </c>
      <c r="L318" s="1">
        <f t="shared" si="137"/>
        <v>101630.48168458937</v>
      </c>
      <c r="M318" s="1">
        <f t="shared" si="137"/>
        <v>8897.7628721628189</v>
      </c>
      <c r="N318" s="1">
        <f t="shared" si="137"/>
        <v>4751.8731183098871</v>
      </c>
      <c r="O318" s="79">
        <f>SUM(C318:N318)</f>
        <v>255452.15605647271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Inputs &gt;&gt;</vt:lpstr>
      <vt:lpstr>Consumption and Rates</vt:lpstr>
      <vt:lpstr>Calculations &gt;&gt;</vt:lpstr>
      <vt:lpstr>OEB Model (CND)</vt:lpstr>
      <vt:lpstr>OEB Model (BCP)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Molon</dc:creator>
  <cp:lastModifiedBy>Dan Molon</cp:lastModifiedBy>
  <dcterms:created xsi:type="dcterms:W3CDTF">2019-08-03T01:17:02Z</dcterms:created>
  <dcterms:modified xsi:type="dcterms:W3CDTF">2019-11-05T17:56:31Z</dcterms:modified>
</cp:coreProperties>
</file>