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API_2020_COS\DRO\Models\"/>
    </mc:Choice>
  </mc:AlternateContent>
  <xr:revisionPtr revIDLastSave="0" documentId="13_ncr:1_{6B9950B6-1CD7-4682-872A-10DD32942AC6}" xr6:coauthVersionLast="36" xr6:coauthVersionMax="36" xr10:uidLastSave="{00000000-0000-0000-0000-000000000000}"/>
  <bookViews>
    <workbookView xWindow="0" yWindow="0" windowWidth="28800" windowHeight="11730" tabRatio="918" activeTab="2" xr2:uid="{00000000-000D-0000-FFFF-FFFF00000000}"/>
  </bookViews>
  <sheets>
    <sheet name="Cover" sheetId="12" r:id="rId1"/>
    <sheet name="Rates" sheetId="3" r:id="rId2"/>
    <sheet name="Summary" sheetId="21" r:id="rId3"/>
    <sheet name="Residential_R1RPP_750" sheetId="2" r:id="rId4"/>
    <sheet name="Residential_R1RET_750" sheetId="40" r:id="rId5"/>
    <sheet name="Residential_R1RPP_10th_PCT" sheetId="36" r:id="rId6"/>
    <sheet name="Residential_R1GSRPP_2000" sheetId="37" r:id="rId7"/>
    <sheet name="Residential_R1GSRET_2000" sheetId="42" r:id="rId8"/>
    <sheet name="Residential - R2" sheetId="14" r:id="rId9"/>
    <sheet name="Residential - R2 Large" sheetId="45" r:id="rId10"/>
    <sheet name="Seasonal_RPP_750" sheetId="4" r:id="rId11"/>
    <sheet name="Seasonal_RET_750" sheetId="44" r:id="rId12"/>
    <sheet name="Seasonal_RPP_AVG" sheetId="38" r:id="rId13"/>
    <sheet name="Seasonal_RPP_10th_PCT" sheetId="39" r:id="rId14"/>
    <sheet name="Street Lighting Non-RPP" sheetId="10" r:id="rId15"/>
  </sheets>
  <externalReferences>
    <externalReference r:id="rId16"/>
  </externalReferences>
  <definedNames>
    <definedName name="EBNUMBER">'[1]LDC Info'!$E$16</definedName>
    <definedName name="_xlnm.Print_Area" localSheetId="8">'Residential - R2'!$A$1:$O$37</definedName>
    <definedName name="_xlnm.Print_Area" localSheetId="9">'Residential - R2 Large'!$A$1:$O$37</definedName>
    <definedName name="_xlnm.Print_Area" localSheetId="7">Residential_R1GSRET_2000!$A$1:$O$40</definedName>
    <definedName name="_xlnm.Print_Area" localSheetId="6">Residential_R1GSRPP_2000!$A$1:$O$41</definedName>
    <definedName name="_xlnm.Print_Area" localSheetId="4">Residential_R1RET_750!$A$1:$O$41</definedName>
    <definedName name="_xlnm.Print_Area" localSheetId="5">Residential_R1RPP_10th_PCT!$A$1:$O$42</definedName>
    <definedName name="_xlnm.Print_Area" localSheetId="3">Residential_R1RPP_750!$A$1:$O$42</definedName>
    <definedName name="_xlnm.Print_Area" localSheetId="11">Seasonal_RET_750!$A$1:$O$40</definedName>
    <definedName name="_xlnm.Print_Area" localSheetId="13">Seasonal_RPP_10th_PCT!$A$1:$O$41</definedName>
    <definedName name="_xlnm.Print_Area" localSheetId="10">Seasonal_RPP_750!$A$1:$O$41</definedName>
    <definedName name="_xlnm.Print_Area" localSheetId="12">Seasonal_RPP_AVG!$A$1:$O$41</definedName>
    <definedName name="_xlnm.Print_Area" localSheetId="14">'Street Lighting Non-RPP'!$A$1:$O$38</definedName>
    <definedName name="_xlnm.Print_Area" localSheetId="2">Summary!$A$1:$X$36</definedName>
  </definedNames>
  <calcPr calcId="191029"/>
</workbook>
</file>

<file path=xl/calcChain.xml><?xml version="1.0" encoding="utf-8"?>
<calcChain xmlns="http://schemas.openxmlformats.org/spreadsheetml/2006/main">
  <c r="F37" i="3" l="1"/>
  <c r="F23" i="3"/>
  <c r="F14" i="3"/>
  <c r="F15" i="3"/>
  <c r="F16" i="3"/>
  <c r="F17" i="3"/>
  <c r="D28" i="3"/>
  <c r="F28" i="3" s="1"/>
  <c r="D29" i="3"/>
  <c r="F29" i="3" s="1"/>
  <c r="D30" i="3"/>
  <c r="F30" i="3"/>
  <c r="K32" i="44" l="1"/>
  <c r="J32" i="44"/>
  <c r="F16" i="10" l="1"/>
  <c r="B36" i="21" l="1"/>
  <c r="B35" i="21"/>
  <c r="B34" i="21"/>
  <c r="B33" i="21"/>
  <c r="B32" i="21"/>
  <c r="B31" i="21"/>
  <c r="B30" i="21"/>
  <c r="B29" i="21"/>
  <c r="B28" i="21"/>
  <c r="B27" i="21"/>
  <c r="B26" i="21"/>
  <c r="B25" i="21"/>
  <c r="F16" i="45"/>
  <c r="F16" i="14"/>
  <c r="C31" i="21" l="1"/>
  <c r="D15" i="21"/>
  <c r="M15" i="21" s="1"/>
  <c r="C15" i="21"/>
  <c r="L15" i="21" s="1"/>
  <c r="K15" i="21"/>
  <c r="F37" i="45"/>
  <c r="G24" i="45" s="1"/>
  <c r="G25" i="45" s="1"/>
  <c r="H25" i="45" s="1"/>
  <c r="F30" i="45"/>
  <c r="G27" i="45"/>
  <c r="G28" i="45" s="1"/>
  <c r="J25" i="45"/>
  <c r="F25" i="45"/>
  <c r="J24" i="45"/>
  <c r="F24" i="45"/>
  <c r="L22" i="45"/>
  <c r="H22" i="45"/>
  <c r="K21" i="45"/>
  <c r="L21" i="45" s="1"/>
  <c r="G21" i="45"/>
  <c r="H21" i="45" s="1"/>
  <c r="O21" i="45" s="1"/>
  <c r="K20" i="45"/>
  <c r="L20" i="45" s="1"/>
  <c r="G20" i="45"/>
  <c r="H20" i="45" s="1"/>
  <c r="K19" i="45"/>
  <c r="G19" i="45"/>
  <c r="F19" i="45"/>
  <c r="O18" i="45"/>
  <c r="L18" i="45"/>
  <c r="N18" i="45" s="1"/>
  <c r="H18" i="45"/>
  <c r="K16" i="45"/>
  <c r="G16" i="45"/>
  <c r="H16" i="45" s="1"/>
  <c r="K15" i="45"/>
  <c r="G15" i="45"/>
  <c r="H19" i="45" l="1"/>
  <c r="N22" i="45"/>
  <c r="D31" i="21"/>
  <c r="H24" i="45"/>
  <c r="N21" i="45"/>
  <c r="G30" i="45"/>
  <c r="H30" i="45" s="1"/>
  <c r="N20" i="45"/>
  <c r="O20" i="45" s="1"/>
  <c r="M11" i="21" l="1"/>
  <c r="M12" i="21"/>
  <c r="M13" i="21"/>
  <c r="C11" i="21"/>
  <c r="L11" i="21" s="1"/>
  <c r="K11" i="21"/>
  <c r="C13" i="21"/>
  <c r="L13" i="21" s="1"/>
  <c r="K13" i="21"/>
  <c r="C19" i="21"/>
  <c r="C35" i="21" s="1"/>
  <c r="K19" i="21"/>
  <c r="M19" i="21"/>
  <c r="D27" i="21"/>
  <c r="D29" i="21"/>
  <c r="D35" i="21"/>
  <c r="D34" i="21"/>
  <c r="D33" i="21"/>
  <c r="D32" i="21"/>
  <c r="D28" i="21"/>
  <c r="D26" i="21"/>
  <c r="D25" i="21"/>
  <c r="F32" i="44"/>
  <c r="G32" i="44"/>
  <c r="K22" i="44"/>
  <c r="G22" i="44"/>
  <c r="F22" i="44"/>
  <c r="F20" i="4"/>
  <c r="F40" i="44"/>
  <c r="G20" i="44" s="1"/>
  <c r="J36" i="44"/>
  <c r="J27" i="44"/>
  <c r="F27" i="44"/>
  <c r="J26" i="44"/>
  <c r="F26" i="44"/>
  <c r="K23" i="44"/>
  <c r="L23" i="44" s="1"/>
  <c r="G23" i="44"/>
  <c r="H23" i="44" s="1"/>
  <c r="O23" i="44" s="1"/>
  <c r="K21" i="44"/>
  <c r="G21" i="44"/>
  <c r="F21" i="44"/>
  <c r="K18" i="44"/>
  <c r="G18" i="44"/>
  <c r="F18" i="44"/>
  <c r="F17" i="44"/>
  <c r="H17" i="44" s="1"/>
  <c r="O17" i="44" s="1"/>
  <c r="K16" i="44"/>
  <c r="G16" i="44"/>
  <c r="F40" i="42"/>
  <c r="G26" i="42" s="1"/>
  <c r="G27" i="42" s="1"/>
  <c r="J36" i="42"/>
  <c r="G32" i="42"/>
  <c r="F32" i="42"/>
  <c r="F31" i="42"/>
  <c r="H31" i="42" s="1"/>
  <c r="F30" i="42"/>
  <c r="F29" i="42"/>
  <c r="J27" i="42"/>
  <c r="F27" i="42"/>
  <c r="J26" i="42"/>
  <c r="F26" i="42"/>
  <c r="F24" i="42"/>
  <c r="H24" i="42" s="1"/>
  <c r="K23" i="42"/>
  <c r="L23" i="42" s="1"/>
  <c r="G23" i="42"/>
  <c r="H23" i="42" s="1"/>
  <c r="K22" i="42"/>
  <c r="G22" i="42"/>
  <c r="F22" i="42"/>
  <c r="B22" i="42"/>
  <c r="K21" i="42"/>
  <c r="G21" i="42"/>
  <c r="F21" i="42"/>
  <c r="B21" i="42"/>
  <c r="F20" i="42"/>
  <c r="K18" i="42"/>
  <c r="G18" i="42"/>
  <c r="F18" i="42"/>
  <c r="F17" i="42"/>
  <c r="H17" i="42" s="1"/>
  <c r="O17" i="42" s="1"/>
  <c r="K16" i="42"/>
  <c r="G16" i="42"/>
  <c r="G33" i="40"/>
  <c r="F33" i="40"/>
  <c r="K23" i="40"/>
  <c r="G23" i="40"/>
  <c r="F23" i="40"/>
  <c r="B23" i="40"/>
  <c r="F21" i="40"/>
  <c r="F41" i="40"/>
  <c r="G21" i="40" s="1"/>
  <c r="J37" i="40"/>
  <c r="F32" i="40"/>
  <c r="H32" i="40" s="1"/>
  <c r="F31" i="40"/>
  <c r="F30" i="40"/>
  <c r="J28" i="40"/>
  <c r="F28" i="40"/>
  <c r="J27" i="40"/>
  <c r="F27" i="40"/>
  <c r="F25" i="40"/>
  <c r="H25" i="40" s="1"/>
  <c r="K24" i="40"/>
  <c r="L24" i="40" s="1"/>
  <c r="G24" i="40"/>
  <c r="H24" i="40" s="1"/>
  <c r="K22" i="40"/>
  <c r="G22" i="40"/>
  <c r="F22" i="40"/>
  <c r="B22" i="40"/>
  <c r="K19" i="40"/>
  <c r="G19" i="40"/>
  <c r="F19" i="40"/>
  <c r="F18" i="40"/>
  <c r="H18" i="40" s="1"/>
  <c r="O18" i="40" s="1"/>
  <c r="B17" i="40"/>
  <c r="K16" i="40"/>
  <c r="G16" i="40"/>
  <c r="A53" i="3"/>
  <c r="C16" i="21"/>
  <c r="C32" i="21" s="1"/>
  <c r="F41" i="39"/>
  <c r="G25" i="39" s="1"/>
  <c r="J37" i="39"/>
  <c r="G33" i="39"/>
  <c r="K33" i="39" s="1"/>
  <c r="F33" i="39"/>
  <c r="K32" i="39"/>
  <c r="G32" i="39"/>
  <c r="F32" i="39"/>
  <c r="K31" i="39"/>
  <c r="G31" i="39"/>
  <c r="F31" i="39"/>
  <c r="F26" i="39"/>
  <c r="F25" i="39"/>
  <c r="K22" i="39"/>
  <c r="L22" i="39" s="1"/>
  <c r="G22" i="39"/>
  <c r="H22" i="39" s="1"/>
  <c r="K21" i="39"/>
  <c r="G21" i="39"/>
  <c r="F21" i="39"/>
  <c r="K18" i="39"/>
  <c r="G18" i="39"/>
  <c r="H18" i="39" s="1"/>
  <c r="F18" i="39"/>
  <c r="F17" i="39"/>
  <c r="H17" i="39" s="1"/>
  <c r="O17" i="39" s="1"/>
  <c r="K16" i="39"/>
  <c r="G16" i="39"/>
  <c r="C17" i="21"/>
  <c r="C33" i="21" s="1"/>
  <c r="F41" i="38"/>
  <c r="G25" i="38" s="1"/>
  <c r="G26" i="38" s="1"/>
  <c r="J37" i="38"/>
  <c r="G33" i="38"/>
  <c r="F33" i="38"/>
  <c r="G32" i="38"/>
  <c r="F32" i="38"/>
  <c r="G31" i="38"/>
  <c r="F31" i="38"/>
  <c r="F26" i="38"/>
  <c r="F25" i="38"/>
  <c r="K22" i="38"/>
  <c r="L22" i="38" s="1"/>
  <c r="G22" i="38"/>
  <c r="H22" i="38" s="1"/>
  <c r="O22" i="38" s="1"/>
  <c r="K21" i="38"/>
  <c r="G21" i="38"/>
  <c r="F21" i="38"/>
  <c r="H21" i="38" s="1"/>
  <c r="G20" i="38"/>
  <c r="K18" i="38"/>
  <c r="G18" i="38"/>
  <c r="F18" i="38"/>
  <c r="F17" i="38"/>
  <c r="H17" i="38" s="1"/>
  <c r="O17" i="38" s="1"/>
  <c r="K16" i="38"/>
  <c r="G16" i="38"/>
  <c r="N23" i="44" l="1"/>
  <c r="H22" i="40"/>
  <c r="H23" i="40"/>
  <c r="G20" i="42"/>
  <c r="H20" i="42" s="1"/>
  <c r="L19" i="21"/>
  <c r="H18" i="42"/>
  <c r="H21" i="42"/>
  <c r="H32" i="42"/>
  <c r="C29" i="21"/>
  <c r="C27" i="21"/>
  <c r="H21" i="44"/>
  <c r="H22" i="44"/>
  <c r="G26" i="44"/>
  <c r="H26" i="44" s="1"/>
  <c r="H18" i="44"/>
  <c r="H32" i="44"/>
  <c r="G27" i="44"/>
  <c r="H22" i="42"/>
  <c r="G30" i="42"/>
  <c r="H30" i="42" s="1"/>
  <c r="G29" i="42"/>
  <c r="H29" i="42" s="1"/>
  <c r="H27" i="42"/>
  <c r="N23" i="42"/>
  <c r="O23" i="42"/>
  <c r="H26" i="42"/>
  <c r="K32" i="42"/>
  <c r="G27" i="40"/>
  <c r="H27" i="40" s="1"/>
  <c r="H19" i="40"/>
  <c r="H33" i="40"/>
  <c r="H21" i="40"/>
  <c r="O24" i="40"/>
  <c r="N24" i="40"/>
  <c r="K33" i="40"/>
  <c r="H32" i="38"/>
  <c r="H31" i="39"/>
  <c r="H32" i="39"/>
  <c r="H33" i="39"/>
  <c r="H25" i="39"/>
  <c r="H31" i="38"/>
  <c r="G20" i="39"/>
  <c r="H33" i="38"/>
  <c r="H21" i="39"/>
  <c r="H18" i="38"/>
  <c r="N22" i="39"/>
  <c r="O22" i="39"/>
  <c r="G26" i="39"/>
  <c r="N22" i="38"/>
  <c r="G28" i="38"/>
  <c r="H26" i="38"/>
  <c r="G29" i="38"/>
  <c r="H25" i="38"/>
  <c r="K31" i="38"/>
  <c r="K32" i="38"/>
  <c r="K33" i="38"/>
  <c r="F17" i="4"/>
  <c r="H17" i="4" s="1"/>
  <c r="O17" i="4" s="1"/>
  <c r="A34" i="3"/>
  <c r="G30" i="44" l="1"/>
  <c r="G29" i="44"/>
  <c r="H27" i="44"/>
  <c r="G28" i="40"/>
  <c r="H28" i="40"/>
  <c r="G31" i="40"/>
  <c r="H31" i="40" s="1"/>
  <c r="G30" i="40"/>
  <c r="H30" i="40" s="1"/>
  <c r="G28" i="39"/>
  <c r="H26" i="39"/>
  <c r="G29" i="39"/>
  <c r="C12" i="21"/>
  <c r="C28" i="21" s="1"/>
  <c r="F41" i="37"/>
  <c r="G25" i="37" s="1"/>
  <c r="G26" i="37" s="1"/>
  <c r="J37" i="37"/>
  <c r="G33" i="37"/>
  <c r="F33" i="37"/>
  <c r="G32" i="37"/>
  <c r="F32" i="37"/>
  <c r="G31" i="37"/>
  <c r="F31" i="37"/>
  <c r="F30" i="37"/>
  <c r="H30" i="37" s="1"/>
  <c r="F29" i="37"/>
  <c r="F28" i="37"/>
  <c r="J26" i="37"/>
  <c r="F26" i="37"/>
  <c r="J25" i="37"/>
  <c r="F25" i="37"/>
  <c r="F23" i="37"/>
  <c r="H23" i="37" s="1"/>
  <c r="K22" i="37"/>
  <c r="L22" i="37" s="1"/>
  <c r="G22" i="37"/>
  <c r="H22" i="37" s="1"/>
  <c r="K21" i="37"/>
  <c r="G21" i="37"/>
  <c r="F21" i="37"/>
  <c r="B21" i="37"/>
  <c r="K18" i="37"/>
  <c r="G18" i="37"/>
  <c r="F18" i="37"/>
  <c r="F17" i="37"/>
  <c r="H17" i="37" s="1"/>
  <c r="O17" i="37" s="1"/>
  <c r="K16" i="37"/>
  <c r="G16" i="37"/>
  <c r="C9" i="21"/>
  <c r="C25" i="21" s="1"/>
  <c r="F42" i="36"/>
  <c r="G26" i="36" s="1"/>
  <c r="G27" i="36" s="1"/>
  <c r="J38" i="36"/>
  <c r="G34" i="36"/>
  <c r="F34" i="36"/>
  <c r="G33" i="36"/>
  <c r="F33" i="36"/>
  <c r="G32" i="36"/>
  <c r="F32" i="36"/>
  <c r="F31" i="36"/>
  <c r="H31" i="36" s="1"/>
  <c r="F30" i="36"/>
  <c r="F29" i="36"/>
  <c r="J27" i="36"/>
  <c r="F27" i="36"/>
  <c r="J26" i="36"/>
  <c r="F26" i="36"/>
  <c r="F24" i="36"/>
  <c r="H24" i="36" s="1"/>
  <c r="K23" i="36"/>
  <c r="L23" i="36" s="1"/>
  <c r="G23" i="36"/>
  <c r="H23" i="36" s="1"/>
  <c r="O23" i="36" s="1"/>
  <c r="K22" i="36"/>
  <c r="G22" i="36"/>
  <c r="F22" i="36"/>
  <c r="B22" i="36"/>
  <c r="K19" i="36"/>
  <c r="G19" i="36"/>
  <c r="F19" i="36"/>
  <c r="F18" i="36"/>
  <c r="H18" i="36" s="1"/>
  <c r="O18" i="36" s="1"/>
  <c r="B17" i="36"/>
  <c r="K16" i="36"/>
  <c r="G16" i="36"/>
  <c r="F19" i="2"/>
  <c r="F18" i="2"/>
  <c r="H18" i="2" s="1"/>
  <c r="O18" i="2" s="1"/>
  <c r="H22" i="36" l="1"/>
  <c r="G21" i="36"/>
  <c r="H19" i="36"/>
  <c r="H34" i="36"/>
  <c r="H18" i="37"/>
  <c r="G20" i="37"/>
  <c r="H33" i="36"/>
  <c r="H33" i="37"/>
  <c r="H32" i="36"/>
  <c r="H32" i="37"/>
  <c r="H31" i="37"/>
  <c r="H21" i="37"/>
  <c r="G29" i="37"/>
  <c r="H29" i="37" s="1"/>
  <c r="H26" i="37"/>
  <c r="G28" i="37"/>
  <c r="H28" i="37" s="1"/>
  <c r="N22" i="37"/>
  <c r="O22" i="37"/>
  <c r="H25" i="37"/>
  <c r="K31" i="37"/>
  <c r="K32" i="37"/>
  <c r="K33" i="37"/>
  <c r="N23" i="36"/>
  <c r="G30" i="36"/>
  <c r="H30" i="36" s="1"/>
  <c r="G29" i="36"/>
  <c r="H29" i="36" s="1"/>
  <c r="H27" i="36"/>
  <c r="H26" i="36"/>
  <c r="K32" i="36"/>
  <c r="K33" i="36"/>
  <c r="K34" i="36"/>
  <c r="F18" i="4" l="1"/>
  <c r="K10" i="21"/>
  <c r="M9" i="21"/>
  <c r="M10" i="21"/>
  <c r="M18" i="21"/>
  <c r="M17" i="21"/>
  <c r="M16" i="21"/>
  <c r="K12" i="21"/>
  <c r="K14" i="21"/>
  <c r="K18" i="21"/>
  <c r="K17" i="21"/>
  <c r="K16" i="21"/>
  <c r="K20" i="21"/>
  <c r="K9" i="21"/>
  <c r="D67" i="3"/>
  <c r="F20" i="44" s="1"/>
  <c r="H20" i="44" s="1"/>
  <c r="F20" i="39" l="1"/>
  <c r="H20" i="39" s="1"/>
  <c r="F20" i="38"/>
  <c r="H20" i="38" s="1"/>
  <c r="F21" i="36"/>
  <c r="H21" i="36" s="1"/>
  <c r="F20" i="37"/>
  <c r="H20" i="37" s="1"/>
  <c r="F16" i="44"/>
  <c r="H16" i="44" s="1"/>
  <c r="F15" i="44"/>
  <c r="H15" i="44" s="1"/>
  <c r="H19" i="44" l="1"/>
  <c r="F15" i="38"/>
  <c r="H15" i="38" s="1"/>
  <c r="F15" i="39"/>
  <c r="H15" i="39" s="1"/>
  <c r="F16" i="39"/>
  <c r="H16" i="39" s="1"/>
  <c r="F16" i="38"/>
  <c r="H16" i="38" s="1"/>
  <c r="K14" i="10"/>
  <c r="F19" i="21" l="1"/>
  <c r="H19" i="39"/>
  <c r="H19" i="38"/>
  <c r="J34" i="10"/>
  <c r="J37" i="4"/>
  <c r="F16" i="21" l="1"/>
  <c r="F17" i="21"/>
  <c r="J37" i="45"/>
  <c r="J38" i="2"/>
  <c r="G32" i="4"/>
  <c r="G31" i="4"/>
  <c r="G33" i="2"/>
  <c r="G32" i="2"/>
  <c r="K27" i="45" l="1"/>
  <c r="K24" i="45"/>
  <c r="J40" i="44"/>
  <c r="J40" i="42"/>
  <c r="J41" i="40"/>
  <c r="J41" i="38"/>
  <c r="J41" i="39"/>
  <c r="J42" i="36"/>
  <c r="J41" i="37"/>
  <c r="B17" i="2"/>
  <c r="K25" i="45" l="1"/>
  <c r="L25" i="45" s="1"/>
  <c r="N25" i="45" s="1"/>
  <c r="O25" i="45" s="1"/>
  <c r="L24" i="45"/>
  <c r="N24" i="45" s="1"/>
  <c r="O24" i="45" s="1"/>
  <c r="K28" i="45"/>
  <c r="K21" i="40"/>
  <c r="K27" i="40"/>
  <c r="K26" i="42"/>
  <c r="K20" i="42"/>
  <c r="K26" i="44"/>
  <c r="K20" i="44"/>
  <c r="K20" i="39"/>
  <c r="K25" i="39"/>
  <c r="K20" i="38"/>
  <c r="K25" i="38"/>
  <c r="K20" i="37"/>
  <c r="K25" i="37"/>
  <c r="K26" i="36"/>
  <c r="K21" i="36"/>
  <c r="F15" i="45"/>
  <c r="H15" i="45" s="1"/>
  <c r="F14" i="45"/>
  <c r="H14" i="45" s="1"/>
  <c r="J15" i="45"/>
  <c r="L15" i="45" s="1"/>
  <c r="J14" i="45"/>
  <c r="L14" i="45" s="1"/>
  <c r="F69" i="3"/>
  <c r="F66" i="3"/>
  <c r="F65" i="3"/>
  <c r="F64" i="3"/>
  <c r="D45" i="3"/>
  <c r="F31" i="44" s="1"/>
  <c r="H31" i="44" s="1"/>
  <c r="D44" i="3"/>
  <c r="F24" i="44" s="1"/>
  <c r="H24" i="44" s="1"/>
  <c r="H25" i="44" s="1"/>
  <c r="H28" i="44" s="1"/>
  <c r="H34" i="44" s="1"/>
  <c r="D43" i="3"/>
  <c r="F30" i="44" s="1"/>
  <c r="H30" i="44" s="1"/>
  <c r="D42" i="3"/>
  <c r="F29" i="44" s="1"/>
  <c r="H29" i="44" s="1"/>
  <c r="A44" i="3"/>
  <c r="A30" i="3"/>
  <c r="A45" i="3" s="1"/>
  <c r="A58" i="3" s="1"/>
  <c r="A29" i="3"/>
  <c r="A43" i="3" s="1"/>
  <c r="A57" i="3" s="1"/>
  <c r="A27" i="3"/>
  <c r="A26" i="3"/>
  <c r="A21" i="3"/>
  <c r="A20" i="3"/>
  <c r="A28" i="3"/>
  <c r="A42" i="3" s="1"/>
  <c r="A56" i="3" s="1"/>
  <c r="A23" i="3"/>
  <c r="A37" i="3" s="1"/>
  <c r="A22" i="3"/>
  <c r="J29" i="45" l="1"/>
  <c r="L29" i="45" s="1"/>
  <c r="F29" i="45"/>
  <c r="H29" i="45" s="1"/>
  <c r="J30" i="45"/>
  <c r="J33" i="40"/>
  <c r="L33" i="40" s="1"/>
  <c r="N33" i="40" s="1"/>
  <c r="O33" i="40" s="1"/>
  <c r="J20" i="42"/>
  <c r="L20" i="42" s="1"/>
  <c r="N20" i="42" s="1"/>
  <c r="O20" i="42" s="1"/>
  <c r="J21" i="40"/>
  <c r="L21" i="40" s="1"/>
  <c r="N21" i="40" s="1"/>
  <c r="O21" i="40" s="1"/>
  <c r="L32" i="44"/>
  <c r="N32" i="44" s="1"/>
  <c r="O32" i="44" s="1"/>
  <c r="J20" i="4"/>
  <c r="J32" i="42"/>
  <c r="L32" i="42" s="1"/>
  <c r="N32" i="42" s="1"/>
  <c r="O32" i="42" s="1"/>
  <c r="J27" i="45"/>
  <c r="L27" i="45" s="1"/>
  <c r="F27" i="45"/>
  <c r="H27" i="45" s="1"/>
  <c r="A51" i="3"/>
  <c r="B22" i="44"/>
  <c r="J29" i="42"/>
  <c r="J30" i="40"/>
  <c r="J28" i="45"/>
  <c r="L28" i="45" s="1"/>
  <c r="N28" i="45" s="1"/>
  <c r="O28" i="45" s="1"/>
  <c r="F28" i="45"/>
  <c r="H28" i="45" s="1"/>
  <c r="J30" i="42"/>
  <c r="J31" i="40"/>
  <c r="J25" i="40"/>
  <c r="L25" i="40" s="1"/>
  <c r="N25" i="40" s="1"/>
  <c r="J24" i="42"/>
  <c r="L24" i="42" s="1"/>
  <c r="N24" i="42" s="1"/>
  <c r="H35" i="44"/>
  <c r="H36" i="44"/>
  <c r="J31" i="42"/>
  <c r="L31" i="42" s="1"/>
  <c r="N31" i="42" s="1"/>
  <c r="O31" i="42" s="1"/>
  <c r="J32" i="40"/>
  <c r="L32" i="40" s="1"/>
  <c r="N32" i="40" s="1"/>
  <c r="O32" i="40" s="1"/>
  <c r="A36" i="3"/>
  <c r="B21" i="44" s="1"/>
  <c r="B19" i="45"/>
  <c r="N15" i="45"/>
  <c r="O15" i="45" s="1"/>
  <c r="K30" i="45"/>
  <c r="H17" i="45"/>
  <c r="N14" i="45"/>
  <c r="J15" i="37"/>
  <c r="L15" i="37" s="1"/>
  <c r="J15" i="42"/>
  <c r="L15" i="42" s="1"/>
  <c r="F15" i="37"/>
  <c r="H15" i="37" s="1"/>
  <c r="F15" i="42"/>
  <c r="H15" i="42" s="1"/>
  <c r="J16" i="37"/>
  <c r="L16" i="37" s="1"/>
  <c r="J16" i="42"/>
  <c r="L16" i="42" s="1"/>
  <c r="K27" i="42"/>
  <c r="L26" i="42"/>
  <c r="N26" i="42" s="1"/>
  <c r="O26" i="42" s="1"/>
  <c r="L27" i="40"/>
  <c r="N27" i="40" s="1"/>
  <c r="O27" i="40" s="1"/>
  <c r="K28" i="40"/>
  <c r="F15" i="36"/>
  <c r="H15" i="36" s="1"/>
  <c r="F15" i="40"/>
  <c r="H15" i="40" s="1"/>
  <c r="F16" i="36"/>
  <c r="H16" i="36" s="1"/>
  <c r="F16" i="40"/>
  <c r="H16" i="40" s="1"/>
  <c r="F16" i="37"/>
  <c r="H16" i="37" s="1"/>
  <c r="F16" i="42"/>
  <c r="H16" i="42" s="1"/>
  <c r="K27" i="44"/>
  <c r="L26" i="44"/>
  <c r="N26" i="44" s="1"/>
  <c r="O26" i="44" s="1"/>
  <c r="F23" i="39"/>
  <c r="H23" i="39" s="1"/>
  <c r="F23" i="38"/>
  <c r="H23" i="38" s="1"/>
  <c r="J33" i="39"/>
  <c r="L33" i="39" s="1"/>
  <c r="N33" i="39" s="1"/>
  <c r="O33" i="39" s="1"/>
  <c r="J33" i="38"/>
  <c r="L33" i="38" s="1"/>
  <c r="N33" i="38" s="1"/>
  <c r="O33" i="38" s="1"/>
  <c r="J34" i="36"/>
  <c r="L34" i="36" s="1"/>
  <c r="N34" i="36" s="1"/>
  <c r="O34" i="36" s="1"/>
  <c r="J33" i="37"/>
  <c r="L33" i="37" s="1"/>
  <c r="N33" i="37" s="1"/>
  <c r="O33" i="37" s="1"/>
  <c r="F30" i="39"/>
  <c r="H30" i="39" s="1"/>
  <c r="F30" i="38"/>
  <c r="H30" i="38" s="1"/>
  <c r="B21" i="38"/>
  <c r="F28" i="39"/>
  <c r="H28" i="39" s="1"/>
  <c r="F28" i="38"/>
  <c r="H28" i="38" s="1"/>
  <c r="J25" i="39"/>
  <c r="L25" i="39" s="1"/>
  <c r="N25" i="39" s="1"/>
  <c r="O25" i="39" s="1"/>
  <c r="J25" i="38"/>
  <c r="L25" i="38" s="1"/>
  <c r="N25" i="38" s="1"/>
  <c r="O25" i="38" s="1"/>
  <c r="J31" i="38"/>
  <c r="L31" i="38" s="1"/>
  <c r="N31" i="38" s="1"/>
  <c r="O31" i="38" s="1"/>
  <c r="J31" i="39"/>
  <c r="L31" i="39" s="1"/>
  <c r="N31" i="39" s="1"/>
  <c r="O31" i="39" s="1"/>
  <c r="J32" i="36"/>
  <c r="L32" i="36" s="1"/>
  <c r="N32" i="36" s="1"/>
  <c r="O32" i="36" s="1"/>
  <c r="J31" i="37"/>
  <c r="L31" i="37" s="1"/>
  <c r="N31" i="37" s="1"/>
  <c r="O31" i="37" s="1"/>
  <c r="F29" i="39"/>
  <c r="H29" i="39" s="1"/>
  <c r="F29" i="38"/>
  <c r="H29" i="38" s="1"/>
  <c r="J26" i="39"/>
  <c r="J26" i="38"/>
  <c r="J32" i="39"/>
  <c r="L32" i="39" s="1"/>
  <c r="N32" i="39" s="1"/>
  <c r="O32" i="39" s="1"/>
  <c r="J32" i="38"/>
  <c r="L32" i="38" s="1"/>
  <c r="N32" i="38" s="1"/>
  <c r="O32" i="38" s="1"/>
  <c r="J32" i="37"/>
  <c r="L32" i="37" s="1"/>
  <c r="N32" i="37" s="1"/>
  <c r="O32" i="37" s="1"/>
  <c r="J33" i="36"/>
  <c r="L33" i="36" s="1"/>
  <c r="N33" i="36" s="1"/>
  <c r="O33" i="36" s="1"/>
  <c r="K26" i="39"/>
  <c r="K26" i="38"/>
  <c r="K27" i="36"/>
  <c r="L26" i="36"/>
  <c r="N26" i="36" s="1"/>
  <c r="O26" i="36" s="1"/>
  <c r="J24" i="36"/>
  <c r="L24" i="36" s="1"/>
  <c r="N24" i="36" s="1"/>
  <c r="J23" i="37"/>
  <c r="L23" i="37" s="1"/>
  <c r="N23" i="37" s="1"/>
  <c r="K26" i="37"/>
  <c r="L25" i="37"/>
  <c r="N25" i="37" s="1"/>
  <c r="O25" i="37" s="1"/>
  <c r="J29" i="36"/>
  <c r="J28" i="37"/>
  <c r="J30" i="36"/>
  <c r="J29" i="37"/>
  <c r="J31" i="36"/>
  <c r="L31" i="36" s="1"/>
  <c r="N31" i="36" s="1"/>
  <c r="O31" i="36" s="1"/>
  <c r="J30" i="37"/>
  <c r="L30" i="37" s="1"/>
  <c r="N30" i="37" s="1"/>
  <c r="O30" i="37" s="1"/>
  <c r="F44" i="3"/>
  <c r="J24" i="44" s="1"/>
  <c r="L24" i="44" s="1"/>
  <c r="N24" i="44" s="1"/>
  <c r="D58" i="3"/>
  <c r="F58" i="3" s="1"/>
  <c r="F42" i="3"/>
  <c r="J29" i="44" s="1"/>
  <c r="F43" i="3"/>
  <c r="J30" i="44" s="1"/>
  <c r="A50" i="3"/>
  <c r="B21" i="4"/>
  <c r="F67" i="3"/>
  <c r="J20" i="44" s="1"/>
  <c r="L20" i="44" s="1"/>
  <c r="N20" i="44" s="1"/>
  <c r="O20" i="44" s="1"/>
  <c r="F21" i="2"/>
  <c r="D56" i="3"/>
  <c r="F56" i="3" s="1"/>
  <c r="D57" i="3"/>
  <c r="F57" i="3" s="1"/>
  <c r="F45" i="3"/>
  <c r="J31" i="44" s="1"/>
  <c r="L31" i="44" s="1"/>
  <c r="N31" i="44" s="1"/>
  <c r="O31" i="44" s="1"/>
  <c r="F22" i="2"/>
  <c r="N27" i="45" l="1"/>
  <c r="O27" i="45" s="1"/>
  <c r="N29" i="45"/>
  <c r="O29" i="45" s="1"/>
  <c r="H37" i="44"/>
  <c r="F35" i="21" s="1"/>
  <c r="H19" i="37"/>
  <c r="H24" i="37" s="1"/>
  <c r="H27" i="37" s="1"/>
  <c r="O15" i="21"/>
  <c r="P15" i="21" s="1"/>
  <c r="H24" i="38"/>
  <c r="H27" i="38" s="1"/>
  <c r="H35" i="38" s="1"/>
  <c r="B21" i="39"/>
  <c r="H24" i="39"/>
  <c r="H27" i="39" s="1"/>
  <c r="H35" i="39" s="1"/>
  <c r="L30" i="45"/>
  <c r="N30" i="45" s="1"/>
  <c r="O30" i="45" s="1"/>
  <c r="H17" i="36"/>
  <c r="H20" i="36" s="1"/>
  <c r="N16" i="37"/>
  <c r="O16" i="37" s="1"/>
  <c r="N15" i="37"/>
  <c r="O15" i="37" s="1"/>
  <c r="O14" i="45"/>
  <c r="F15" i="21"/>
  <c r="H23" i="45"/>
  <c r="K30" i="42"/>
  <c r="L30" i="42" s="1"/>
  <c r="N30" i="42" s="1"/>
  <c r="O30" i="42" s="1"/>
  <c r="K29" i="42"/>
  <c r="L29" i="42" s="1"/>
  <c r="L27" i="42"/>
  <c r="N27" i="42" s="1"/>
  <c r="O27" i="42" s="1"/>
  <c r="H17" i="40"/>
  <c r="H20" i="40" s="1"/>
  <c r="H19" i="42"/>
  <c r="K31" i="40"/>
  <c r="L31" i="40" s="1"/>
  <c r="N31" i="40" s="1"/>
  <c r="O31" i="40" s="1"/>
  <c r="K30" i="40"/>
  <c r="L30" i="40" s="1"/>
  <c r="L28" i="40"/>
  <c r="N28" i="40" s="1"/>
  <c r="O28" i="40" s="1"/>
  <c r="N16" i="42"/>
  <c r="O16" i="42" s="1"/>
  <c r="N15" i="42"/>
  <c r="K30" i="44"/>
  <c r="L30" i="44" s="1"/>
  <c r="N30" i="44" s="1"/>
  <c r="O30" i="44" s="1"/>
  <c r="L27" i="44"/>
  <c r="N27" i="44" s="1"/>
  <c r="O27" i="44" s="1"/>
  <c r="K29" i="44"/>
  <c r="L29" i="44" s="1"/>
  <c r="J20" i="39"/>
  <c r="L20" i="39" s="1"/>
  <c r="N20" i="39" s="1"/>
  <c r="O20" i="39" s="1"/>
  <c r="J20" i="38"/>
  <c r="L20" i="38" s="1"/>
  <c r="N20" i="38" s="1"/>
  <c r="O20" i="38" s="1"/>
  <c r="J21" i="36"/>
  <c r="L21" i="36" s="1"/>
  <c r="N21" i="36" s="1"/>
  <c r="O21" i="36" s="1"/>
  <c r="J20" i="37"/>
  <c r="L20" i="37" s="1"/>
  <c r="N20" i="37" s="1"/>
  <c r="O20" i="37" s="1"/>
  <c r="J23" i="39"/>
  <c r="L23" i="39" s="1"/>
  <c r="N23" i="39" s="1"/>
  <c r="J23" i="38"/>
  <c r="L23" i="38" s="1"/>
  <c r="N23" i="38" s="1"/>
  <c r="J28" i="39"/>
  <c r="J28" i="38"/>
  <c r="J30" i="39"/>
  <c r="L30" i="39" s="1"/>
  <c r="N30" i="39" s="1"/>
  <c r="O30" i="39" s="1"/>
  <c r="J30" i="38"/>
  <c r="L30" i="38" s="1"/>
  <c r="N30" i="38" s="1"/>
  <c r="O30" i="38" s="1"/>
  <c r="J29" i="39"/>
  <c r="J29" i="38"/>
  <c r="K29" i="38"/>
  <c r="K28" i="38"/>
  <c r="L26" i="38"/>
  <c r="N26" i="38" s="1"/>
  <c r="O26" i="38" s="1"/>
  <c r="K29" i="39"/>
  <c r="K28" i="39"/>
  <c r="L26" i="39"/>
  <c r="N26" i="39" s="1"/>
  <c r="O26" i="39" s="1"/>
  <c r="L27" i="36"/>
  <c r="N27" i="36" s="1"/>
  <c r="O27" i="36" s="1"/>
  <c r="K30" i="36"/>
  <c r="L30" i="36" s="1"/>
  <c r="N30" i="36" s="1"/>
  <c r="O30" i="36" s="1"/>
  <c r="K29" i="36"/>
  <c r="L29" i="36" s="1"/>
  <c r="K29" i="37"/>
  <c r="L29" i="37" s="1"/>
  <c r="N29" i="37" s="1"/>
  <c r="O29" i="37" s="1"/>
  <c r="K28" i="37"/>
  <c r="L28" i="37" s="1"/>
  <c r="L26" i="37"/>
  <c r="N26" i="37" s="1"/>
  <c r="O26" i="37" s="1"/>
  <c r="J21" i="2"/>
  <c r="H22" i="10"/>
  <c r="L22" i="10"/>
  <c r="N22" i="10" s="1"/>
  <c r="K20" i="10"/>
  <c r="K19" i="10"/>
  <c r="G20" i="10"/>
  <c r="G19" i="10"/>
  <c r="L16" i="21"/>
  <c r="L17" i="21"/>
  <c r="L9" i="21"/>
  <c r="G20" i="14"/>
  <c r="K20" i="14"/>
  <c r="L29" i="38" l="1"/>
  <c r="N29" i="38" s="1"/>
  <c r="O29" i="38" s="1"/>
  <c r="F12" i="21"/>
  <c r="L28" i="38"/>
  <c r="N28" i="38" s="1"/>
  <c r="O28" i="38" s="1"/>
  <c r="L28" i="39"/>
  <c r="N28" i="39" s="1"/>
  <c r="O28" i="39" s="1"/>
  <c r="O12" i="21"/>
  <c r="P12" i="21" s="1"/>
  <c r="H26" i="45"/>
  <c r="F11" i="21"/>
  <c r="H26" i="40"/>
  <c r="N30" i="40"/>
  <c r="O30" i="40" s="1"/>
  <c r="N29" i="42"/>
  <c r="O29" i="42" s="1"/>
  <c r="F13" i="21"/>
  <c r="H25" i="42"/>
  <c r="N29" i="44"/>
  <c r="O29" i="44" s="1"/>
  <c r="O15" i="42"/>
  <c r="O13" i="21"/>
  <c r="P13" i="21" s="1"/>
  <c r="L29" i="39"/>
  <c r="N29" i="39" s="1"/>
  <c r="O29" i="39" s="1"/>
  <c r="H36" i="39"/>
  <c r="H37" i="39"/>
  <c r="H37" i="38"/>
  <c r="H36" i="38"/>
  <c r="F9" i="21"/>
  <c r="H25" i="36"/>
  <c r="H28" i="36" s="1"/>
  <c r="H35" i="37"/>
  <c r="N28" i="37"/>
  <c r="O28" i="37" s="1"/>
  <c r="N29" i="36"/>
  <c r="O29" i="36" s="1"/>
  <c r="H38" i="39" l="1"/>
  <c r="F32" i="21" s="1"/>
  <c r="H32" i="45"/>
  <c r="H29" i="40"/>
  <c r="H35" i="40" s="1"/>
  <c r="H28" i="42"/>
  <c r="H34" i="42" s="1"/>
  <c r="H38" i="38"/>
  <c r="F33" i="21" s="1"/>
  <c r="H36" i="36"/>
  <c r="H37" i="37"/>
  <c r="H36" i="37"/>
  <c r="H33" i="45" l="1"/>
  <c r="H34" i="45" s="1"/>
  <c r="H36" i="42"/>
  <c r="H35" i="42"/>
  <c r="H37" i="40"/>
  <c r="H36" i="40"/>
  <c r="H38" i="37"/>
  <c r="F28" i="21" s="1"/>
  <c r="H38" i="36"/>
  <c r="H37" i="36"/>
  <c r="H38" i="40" l="1"/>
  <c r="F27" i="21" s="1"/>
  <c r="H37" i="42"/>
  <c r="F29" i="21" s="1"/>
  <c r="F31" i="21"/>
  <c r="H39" i="36"/>
  <c r="F25" i="21" l="1"/>
  <c r="L12" i="21"/>
  <c r="D20" i="21" l="1"/>
  <c r="C20" i="21"/>
  <c r="C18" i="21"/>
  <c r="D14" i="21"/>
  <c r="C14" i="21"/>
  <c r="C10" i="21"/>
  <c r="M14" i="21" l="1"/>
  <c r="D30" i="21"/>
  <c r="L18" i="21"/>
  <c r="C34" i="21"/>
  <c r="L10" i="21"/>
  <c r="C26" i="21"/>
  <c r="L20" i="21"/>
  <c r="C36" i="21"/>
  <c r="L14" i="21"/>
  <c r="C30" i="21"/>
  <c r="M20" i="21"/>
  <c r="D36" i="21"/>
  <c r="F20" i="10"/>
  <c r="F19" i="10"/>
  <c r="B20" i="10"/>
  <c r="B19" i="10"/>
  <c r="F21" i="4"/>
  <c r="F20" i="14"/>
  <c r="F19" i="14"/>
  <c r="B20" i="14"/>
  <c r="B19" i="14"/>
  <c r="B22" i="2"/>
  <c r="K16" i="10" l="1"/>
  <c r="G16" i="10"/>
  <c r="J37" i="14"/>
  <c r="F37" i="14"/>
  <c r="J30" i="14"/>
  <c r="F30" i="14"/>
  <c r="J29" i="14"/>
  <c r="L29" i="14" s="1"/>
  <c r="F29" i="14"/>
  <c r="H29" i="14" s="1"/>
  <c r="J28" i="14"/>
  <c r="F28" i="14"/>
  <c r="J27" i="14"/>
  <c r="F27" i="14"/>
  <c r="J25" i="14"/>
  <c r="F25" i="14"/>
  <c r="J24" i="14"/>
  <c r="F24" i="14"/>
  <c r="L22" i="14"/>
  <c r="H22" i="14"/>
  <c r="K21" i="14"/>
  <c r="L21" i="14" s="1"/>
  <c r="G21" i="14"/>
  <c r="H21" i="14" s="1"/>
  <c r="O21" i="14" s="1"/>
  <c r="H20" i="14"/>
  <c r="K19" i="14"/>
  <c r="G19" i="14"/>
  <c r="H19" i="14" s="1"/>
  <c r="K16" i="14"/>
  <c r="G16" i="14"/>
  <c r="K15" i="14"/>
  <c r="J15" i="14"/>
  <c r="G15" i="14"/>
  <c r="F15" i="14"/>
  <c r="J14" i="14"/>
  <c r="L14" i="14" s="1"/>
  <c r="F14" i="14"/>
  <c r="H14" i="14" s="1"/>
  <c r="N22" i="14" l="1"/>
  <c r="N21" i="14"/>
  <c r="H16" i="14"/>
  <c r="H15" i="14"/>
  <c r="N29" i="14"/>
  <c r="O29" i="14" s="1"/>
  <c r="L18" i="14"/>
  <c r="G27" i="14"/>
  <c r="G24" i="14"/>
  <c r="N14" i="14"/>
  <c r="L15" i="14"/>
  <c r="H18" i="14"/>
  <c r="K24" i="14"/>
  <c r="K27" i="14"/>
  <c r="O14" i="14" l="1"/>
  <c r="L27" i="14"/>
  <c r="K28" i="14"/>
  <c r="G25" i="14"/>
  <c r="H25" i="14" s="1"/>
  <c r="H24" i="14"/>
  <c r="L24" i="14"/>
  <c r="K25" i="14"/>
  <c r="L25" i="14" s="1"/>
  <c r="N15" i="14"/>
  <c r="O15" i="14" s="1"/>
  <c r="G28" i="14"/>
  <c r="H27" i="14"/>
  <c r="H17" i="14"/>
  <c r="N18" i="14"/>
  <c r="O18" i="14" s="1"/>
  <c r="O14" i="21" l="1"/>
  <c r="P14" i="21" s="1"/>
  <c r="L28" i="14"/>
  <c r="K30" i="14"/>
  <c r="L30" i="14" s="1"/>
  <c r="H28" i="14"/>
  <c r="G30" i="14"/>
  <c r="H30" i="14" s="1"/>
  <c r="F14" i="21"/>
  <c r="H23" i="14"/>
  <c r="N25" i="14"/>
  <c r="O25" i="14" s="1"/>
  <c r="N24" i="14"/>
  <c r="O24" i="14" s="1"/>
  <c r="N27" i="14"/>
  <c r="O27" i="14" s="1"/>
  <c r="J29" i="10"/>
  <c r="L29" i="10" s="1"/>
  <c r="F29" i="10"/>
  <c r="H29" i="10" s="1"/>
  <c r="J28" i="10"/>
  <c r="F28" i="10"/>
  <c r="J27" i="10"/>
  <c r="F27" i="10"/>
  <c r="J25" i="10"/>
  <c r="J24" i="10"/>
  <c r="F25" i="10"/>
  <c r="F24" i="10"/>
  <c r="K15" i="10"/>
  <c r="G15" i="10"/>
  <c r="F15" i="10"/>
  <c r="F14" i="10"/>
  <c r="H14" i="10" s="1"/>
  <c r="J38" i="10"/>
  <c r="K18" i="10" s="1"/>
  <c r="F38" i="10"/>
  <c r="G27" i="10" s="1"/>
  <c r="K30" i="10"/>
  <c r="J30" i="10"/>
  <c r="G30" i="10"/>
  <c r="F30" i="10"/>
  <c r="J18" i="10"/>
  <c r="F18" i="10"/>
  <c r="L21" i="10"/>
  <c r="H21" i="10"/>
  <c r="O21" i="10" s="1"/>
  <c r="H20" i="10"/>
  <c r="H19" i="10"/>
  <c r="H16" i="10"/>
  <c r="N28" i="14" l="1"/>
  <c r="O28" i="14" s="1"/>
  <c r="N30" i="14"/>
  <c r="O30" i="14" s="1"/>
  <c r="H26" i="14"/>
  <c r="G24" i="10"/>
  <c r="H24" i="10" s="1"/>
  <c r="G18" i="10"/>
  <c r="H18" i="10" s="1"/>
  <c r="H30" i="10"/>
  <c r="L30" i="10"/>
  <c r="N29" i="10"/>
  <c r="O29" i="10" s="1"/>
  <c r="H27" i="10"/>
  <c r="N21" i="10"/>
  <c r="H15" i="10"/>
  <c r="K27" i="10"/>
  <c r="K24" i="10"/>
  <c r="L18" i="10"/>
  <c r="G28" i="10"/>
  <c r="H28" i="10" s="1"/>
  <c r="H32" i="14" l="1"/>
  <c r="G25" i="10"/>
  <c r="H25" i="10" s="1"/>
  <c r="N18" i="10"/>
  <c r="O18" i="10" s="1"/>
  <c r="N30" i="10"/>
  <c r="O30" i="10" s="1"/>
  <c r="L24" i="10"/>
  <c r="N24" i="10" s="1"/>
  <c r="O24" i="10" s="1"/>
  <c r="K25" i="10"/>
  <c r="L25" i="10" s="1"/>
  <c r="L27" i="10"/>
  <c r="K28" i="10"/>
  <c r="L28" i="10" s="1"/>
  <c r="N28" i="10" s="1"/>
  <c r="O28" i="10" s="1"/>
  <c r="H17" i="10"/>
  <c r="F20" i="21" l="1"/>
  <c r="H23" i="10"/>
  <c r="H33" i="14"/>
  <c r="N25" i="10"/>
  <c r="O25" i="10" s="1"/>
  <c r="N27" i="10"/>
  <c r="O27" i="10" s="1"/>
  <c r="H34" i="14" l="1"/>
  <c r="F30" i="21" s="1"/>
  <c r="H26" i="10"/>
  <c r="H32" i="10" l="1"/>
  <c r="H34" i="10" l="1"/>
  <c r="H33" i="10"/>
  <c r="H35" i="10" l="1"/>
  <c r="F36" i="21" s="1"/>
  <c r="J30" i="4" l="1"/>
  <c r="L30" i="4" s="1"/>
  <c r="F30" i="4"/>
  <c r="H30" i="4" s="1"/>
  <c r="J29" i="4"/>
  <c r="J28" i="4"/>
  <c r="F29" i="4"/>
  <c r="F28" i="4"/>
  <c r="J26" i="4"/>
  <c r="J25" i="4"/>
  <c r="F25" i="4"/>
  <c r="F26" i="4"/>
  <c r="J23" i="4"/>
  <c r="L23" i="4" s="1"/>
  <c r="F23" i="4"/>
  <c r="H23" i="4" s="1"/>
  <c r="F16" i="4"/>
  <c r="F15" i="4"/>
  <c r="H15" i="4" s="1"/>
  <c r="J41" i="4"/>
  <c r="K25" i="4" s="1"/>
  <c r="F41" i="4"/>
  <c r="G25" i="4" s="1"/>
  <c r="J33" i="4"/>
  <c r="G33" i="4"/>
  <c r="K33" i="4" s="1"/>
  <c r="F33" i="4"/>
  <c r="J32" i="4"/>
  <c r="K32" i="4"/>
  <c r="F32" i="4"/>
  <c r="J31" i="4"/>
  <c r="K31" i="4"/>
  <c r="F31" i="4"/>
  <c r="K22" i="4"/>
  <c r="L22" i="4" s="1"/>
  <c r="G22" i="4"/>
  <c r="H22" i="4" s="1"/>
  <c r="O22" i="4" s="1"/>
  <c r="K21" i="4"/>
  <c r="G21" i="4"/>
  <c r="H21" i="4" s="1"/>
  <c r="K18" i="4"/>
  <c r="G18" i="4"/>
  <c r="K16" i="4"/>
  <c r="G16" i="4"/>
  <c r="J34" i="2"/>
  <c r="F34" i="2"/>
  <c r="L31" i="4" l="1"/>
  <c r="H16" i="4"/>
  <c r="H18" i="4"/>
  <c r="K20" i="4"/>
  <c r="L33" i="4"/>
  <c r="H25" i="4"/>
  <c r="N30" i="4"/>
  <c r="O30" i="4" s="1"/>
  <c r="L32" i="4"/>
  <c r="G20" i="4"/>
  <c r="N23" i="4"/>
  <c r="N22" i="4"/>
  <c r="L25" i="4"/>
  <c r="K26" i="4"/>
  <c r="H31" i="4"/>
  <c r="H32" i="4"/>
  <c r="H33" i="4"/>
  <c r="G26" i="4"/>
  <c r="F32" i="2"/>
  <c r="F33" i="2"/>
  <c r="J32" i="2"/>
  <c r="J33" i="2"/>
  <c r="J31" i="2"/>
  <c r="F31" i="2"/>
  <c r="J30" i="2"/>
  <c r="F30" i="2"/>
  <c r="J29" i="2"/>
  <c r="F29" i="2"/>
  <c r="J27" i="2"/>
  <c r="J26" i="2"/>
  <c r="F27" i="2"/>
  <c r="F26" i="2"/>
  <c r="J42" i="2"/>
  <c r="F42" i="2"/>
  <c r="F16" i="2"/>
  <c r="F15" i="2"/>
  <c r="J24" i="2"/>
  <c r="F24" i="2"/>
  <c r="N31" i="4" l="1"/>
  <c r="O31" i="4" s="1"/>
  <c r="H20" i="4"/>
  <c r="N25" i="4"/>
  <c r="O25" i="4" s="1"/>
  <c r="L20" i="4"/>
  <c r="H19" i="4"/>
  <c r="L26" i="4"/>
  <c r="K29" i="4"/>
  <c r="L29" i="4" s="1"/>
  <c r="K28" i="4"/>
  <c r="L28" i="4" s="1"/>
  <c r="N33" i="4"/>
  <c r="O33" i="4" s="1"/>
  <c r="H26" i="4"/>
  <c r="G29" i="4"/>
  <c r="H29" i="4" s="1"/>
  <c r="G28" i="4"/>
  <c r="H28" i="4" s="1"/>
  <c r="N32" i="4"/>
  <c r="O32" i="4" s="1"/>
  <c r="G34" i="2"/>
  <c r="K34" i="2" s="1"/>
  <c r="L34" i="2" s="1"/>
  <c r="K33" i="2"/>
  <c r="L33" i="2" s="1"/>
  <c r="K32" i="2"/>
  <c r="L32" i="2" s="1"/>
  <c r="L31" i="2"/>
  <c r="H31" i="2"/>
  <c r="K26" i="2"/>
  <c r="K27" i="2" s="1"/>
  <c r="G26" i="2"/>
  <c r="G27" i="2" s="1"/>
  <c r="L24" i="2"/>
  <c r="H24" i="2"/>
  <c r="K21" i="2"/>
  <c r="G21" i="2"/>
  <c r="K23" i="2"/>
  <c r="L23" i="2" s="1"/>
  <c r="G23" i="2"/>
  <c r="H23" i="2" s="1"/>
  <c r="O23" i="2" s="1"/>
  <c r="K22" i="2"/>
  <c r="G22" i="2"/>
  <c r="H22" i="2" s="1"/>
  <c r="K19" i="2"/>
  <c r="G19" i="2"/>
  <c r="H19" i="2" s="1"/>
  <c r="K16" i="2"/>
  <c r="G16" i="2"/>
  <c r="H16" i="2" s="1"/>
  <c r="H15" i="2"/>
  <c r="F18" i="21" l="1"/>
  <c r="H24" i="4"/>
  <c r="H17" i="2"/>
  <c r="N20" i="4"/>
  <c r="O20" i="4" s="1"/>
  <c r="N31" i="2"/>
  <c r="O31" i="2" s="1"/>
  <c r="N26" i="4"/>
  <c r="O26" i="4" s="1"/>
  <c r="N28" i="4"/>
  <c r="O28" i="4" s="1"/>
  <c r="N29" i="4"/>
  <c r="O29" i="4" s="1"/>
  <c r="H34" i="2"/>
  <c r="N34" i="2" s="1"/>
  <c r="O34" i="2" s="1"/>
  <c r="L26" i="2"/>
  <c r="H32" i="2"/>
  <c r="N32" i="2" s="1"/>
  <c r="H33" i="2"/>
  <c r="N33" i="2" s="1"/>
  <c r="H26" i="2"/>
  <c r="H21" i="2"/>
  <c r="N24" i="2"/>
  <c r="L21" i="2"/>
  <c r="G30" i="2"/>
  <c r="H30" i="2" s="1"/>
  <c r="G29" i="2"/>
  <c r="H29" i="2" s="1"/>
  <c r="H27" i="2"/>
  <c r="K29" i="2"/>
  <c r="L29" i="2" s="1"/>
  <c r="L27" i="2"/>
  <c r="K30" i="2"/>
  <c r="L30" i="2" s="1"/>
  <c r="N23" i="2"/>
  <c r="H20" i="2" l="1"/>
  <c r="F10" i="21" s="1"/>
  <c r="N30" i="2"/>
  <c r="O30" i="2" s="1"/>
  <c r="H27" i="4"/>
  <c r="N26" i="2"/>
  <c r="O26" i="2" s="1"/>
  <c r="N21" i="2"/>
  <c r="O21" i="2" s="1"/>
  <c r="O33" i="2"/>
  <c r="O32" i="2"/>
  <c r="N29" i="2"/>
  <c r="O29" i="2" s="1"/>
  <c r="N27" i="2"/>
  <c r="O27" i="2" s="1"/>
  <c r="H25" i="2" l="1"/>
  <c r="H28" i="2" s="1"/>
  <c r="H35" i="4"/>
  <c r="H36" i="4" l="1"/>
  <c r="H37" i="4"/>
  <c r="H36" i="2"/>
  <c r="H38" i="4" l="1"/>
  <c r="F34" i="21" s="1"/>
  <c r="H38" i="2"/>
  <c r="H37" i="2"/>
  <c r="H39" i="2" l="1"/>
  <c r="F26" i="21" s="1"/>
  <c r="J18" i="42" l="1"/>
  <c r="L18" i="42" s="1"/>
  <c r="N18" i="42" s="1"/>
  <c r="O18" i="42" s="1"/>
  <c r="J19" i="40"/>
  <c r="L19" i="40" s="1"/>
  <c r="N19" i="40" s="1"/>
  <c r="O19" i="40" s="1"/>
  <c r="J18" i="37"/>
  <c r="L18" i="37" s="1"/>
  <c r="N18" i="37" s="1"/>
  <c r="O18" i="37" s="1"/>
  <c r="J19" i="36"/>
  <c r="L19" i="36" s="1"/>
  <c r="N19" i="36" s="1"/>
  <c r="O19" i="36" s="1"/>
  <c r="J19" i="2"/>
  <c r="L19" i="2" s="1"/>
  <c r="N19" i="2" s="1"/>
  <c r="O19" i="2" s="1"/>
  <c r="J18" i="39"/>
  <c r="L18" i="39" s="1"/>
  <c r="N18" i="39" s="1"/>
  <c r="O18" i="39" s="1"/>
  <c r="J18" i="44"/>
  <c r="L18" i="44" s="1"/>
  <c r="N18" i="44" s="1"/>
  <c r="O18" i="44" s="1"/>
  <c r="J18" i="38"/>
  <c r="L18" i="38" s="1"/>
  <c r="N18" i="38" s="1"/>
  <c r="O18" i="38" s="1"/>
  <c r="J18" i="4"/>
  <c r="L18" i="4" s="1"/>
  <c r="N18" i="4" s="1"/>
  <c r="O18" i="4" s="1"/>
  <c r="J17" i="39" l="1"/>
  <c r="L17" i="39" s="1"/>
  <c r="J17" i="44"/>
  <c r="L17" i="44" s="1"/>
  <c r="J17" i="38"/>
  <c r="L17" i="38" s="1"/>
  <c r="J17" i="4"/>
  <c r="L17" i="4" s="1"/>
  <c r="J18" i="40"/>
  <c r="L18" i="40" s="1"/>
  <c r="J17" i="42"/>
  <c r="L17" i="42" s="1"/>
  <c r="J18" i="2"/>
  <c r="L18" i="2" s="1"/>
  <c r="J17" i="37"/>
  <c r="L17" i="37" s="1"/>
  <c r="J18" i="36"/>
  <c r="L18" i="36" s="1"/>
  <c r="N17" i="37" l="1"/>
  <c r="L19" i="37"/>
  <c r="N18" i="2"/>
  <c r="N17" i="42"/>
  <c r="L19" i="42"/>
  <c r="N18" i="40"/>
  <c r="F51" i="3"/>
  <c r="J20" i="10" s="1"/>
  <c r="L20" i="10" s="1"/>
  <c r="N20" i="10" s="1"/>
  <c r="O20" i="10" s="1"/>
  <c r="J22" i="44"/>
  <c r="L22" i="44" s="1"/>
  <c r="N22" i="44" s="1"/>
  <c r="O22" i="44" s="1"/>
  <c r="J20" i="14"/>
  <c r="L20" i="14" s="1"/>
  <c r="N20" i="14" s="1"/>
  <c r="O20" i="14" s="1"/>
  <c r="J23" i="40"/>
  <c r="L23" i="40" s="1"/>
  <c r="N23" i="40" s="1"/>
  <c r="O23" i="40" s="1"/>
  <c r="J22" i="42"/>
  <c r="L22" i="42" s="1"/>
  <c r="N22" i="42" s="1"/>
  <c r="O22" i="42" s="1"/>
  <c r="N17" i="4"/>
  <c r="J16" i="14"/>
  <c r="L16" i="14" s="1"/>
  <c r="J16" i="45"/>
  <c r="L16" i="45" s="1"/>
  <c r="N17" i="44"/>
  <c r="N17" i="38"/>
  <c r="N18" i="36"/>
  <c r="N17" i="39"/>
  <c r="J16" i="10"/>
  <c r="L16" i="10" s="1"/>
  <c r="N19" i="42" l="1"/>
  <c r="G13" i="21"/>
  <c r="H13" i="21" s="1"/>
  <c r="I13" i="21" s="1"/>
  <c r="N16" i="14"/>
  <c r="O16" i="14" s="1"/>
  <c r="L17" i="14"/>
  <c r="G12" i="21"/>
  <c r="H12" i="21" s="1"/>
  <c r="I12" i="21" s="1"/>
  <c r="N19" i="37"/>
  <c r="N16" i="10"/>
  <c r="O16" i="10" s="1"/>
  <c r="N16" i="45"/>
  <c r="O16" i="45" s="1"/>
  <c r="L17" i="45"/>
  <c r="J19" i="10"/>
  <c r="L19" i="10" s="1"/>
  <c r="J19" i="45" l="1"/>
  <c r="L19" i="45" s="1"/>
  <c r="J19" i="14"/>
  <c r="L19" i="14" s="1"/>
  <c r="N19" i="10"/>
  <c r="O19" i="10" s="1"/>
  <c r="J21" i="38"/>
  <c r="L21" i="38" s="1"/>
  <c r="J21" i="39"/>
  <c r="L21" i="39" s="1"/>
  <c r="J21" i="44"/>
  <c r="L21" i="44" s="1"/>
  <c r="J21" i="4"/>
  <c r="L21" i="4" s="1"/>
  <c r="O19" i="37"/>
  <c r="R12" i="21" s="1"/>
  <c r="Q12" i="21"/>
  <c r="O19" i="42"/>
  <c r="R13" i="21" s="1"/>
  <c r="Q13" i="21"/>
  <c r="N17" i="14"/>
  <c r="G14" i="21"/>
  <c r="H14" i="21" s="1"/>
  <c r="I14" i="21" s="1"/>
  <c r="G15" i="21"/>
  <c r="H15" i="21" s="1"/>
  <c r="I15" i="21" s="1"/>
  <c r="N17" i="45"/>
  <c r="N21" i="4" l="1"/>
  <c r="O21" i="4" s="1"/>
  <c r="N21" i="44"/>
  <c r="O21" i="44" s="1"/>
  <c r="O17" i="14"/>
  <c r="R14" i="21" s="1"/>
  <c r="Q14" i="21"/>
  <c r="Q15" i="21"/>
  <c r="O17" i="45"/>
  <c r="R15" i="21" s="1"/>
  <c r="N21" i="39"/>
  <c r="O21" i="39" s="1"/>
  <c r="N21" i="38"/>
  <c r="O21" i="38" s="1"/>
  <c r="N19" i="14"/>
  <c r="O19" i="14" s="1"/>
  <c r="L23" i="14"/>
  <c r="N19" i="45"/>
  <c r="O19" i="45" s="1"/>
  <c r="L23" i="45"/>
  <c r="L26" i="14" l="1"/>
  <c r="N23" i="14"/>
  <c r="J21" i="42"/>
  <c r="L21" i="42" s="1"/>
  <c r="J22" i="40"/>
  <c r="L22" i="40" s="1"/>
  <c r="J21" i="37"/>
  <c r="L21" i="37" s="1"/>
  <c r="J22" i="2"/>
  <c r="L22" i="2" s="1"/>
  <c r="J22" i="36"/>
  <c r="L22" i="36" s="1"/>
  <c r="L26" i="45"/>
  <c r="N23" i="45"/>
  <c r="S15" i="21" l="1"/>
  <c r="O23" i="45"/>
  <c r="T15" i="21" s="1"/>
  <c r="N22" i="2"/>
  <c r="O22" i="2" s="1"/>
  <c r="N21" i="42"/>
  <c r="O21" i="42" s="1"/>
  <c r="L25" i="42"/>
  <c r="N21" i="37"/>
  <c r="O21" i="37" s="1"/>
  <c r="L24" i="37"/>
  <c r="L32" i="45"/>
  <c r="N26" i="45"/>
  <c r="N22" i="40"/>
  <c r="O22" i="40" s="1"/>
  <c r="S14" i="21"/>
  <c r="O23" i="14"/>
  <c r="T14" i="21" s="1"/>
  <c r="N22" i="36"/>
  <c r="O22" i="36" s="1"/>
  <c r="N26" i="14"/>
  <c r="L32" i="14"/>
  <c r="U15" i="21" l="1"/>
  <c r="O26" i="45"/>
  <c r="V15" i="21" s="1"/>
  <c r="N32" i="45"/>
  <c r="O32" i="45" s="1"/>
  <c r="L33" i="45"/>
  <c r="N33" i="45" s="1"/>
  <c r="O33" i="45" s="1"/>
  <c r="O26" i="14"/>
  <c r="V14" i="21" s="1"/>
  <c r="U14" i="21"/>
  <c r="L27" i="37"/>
  <c r="N24" i="37"/>
  <c r="N32" i="14"/>
  <c r="O32" i="14" s="1"/>
  <c r="L33" i="14"/>
  <c r="N33" i="14" s="1"/>
  <c r="O33" i="14" s="1"/>
  <c r="L28" i="42"/>
  <c r="N25" i="42"/>
  <c r="L34" i="14" l="1"/>
  <c r="N34" i="14" s="1"/>
  <c r="L34" i="45"/>
  <c r="G31" i="21" s="1"/>
  <c r="H31" i="21" s="1"/>
  <c r="I31" i="21" s="1"/>
  <c r="O24" i="37"/>
  <c r="T12" i="21" s="1"/>
  <c r="S12" i="21"/>
  <c r="O25" i="42"/>
  <c r="T13" i="21" s="1"/>
  <c r="S13" i="21"/>
  <c r="L35" i="37"/>
  <c r="N27" i="37"/>
  <c r="L34" i="42"/>
  <c r="N28" i="42"/>
  <c r="G30" i="21" l="1"/>
  <c r="H30" i="21" s="1"/>
  <c r="I30" i="21" s="1"/>
  <c r="N34" i="45"/>
  <c r="W15" i="21" s="1"/>
  <c r="O27" i="37"/>
  <c r="V12" i="21" s="1"/>
  <c r="U12" i="21"/>
  <c r="L36" i="37"/>
  <c r="N36" i="37" s="1"/>
  <c r="O36" i="37" s="1"/>
  <c r="L37" i="37"/>
  <c r="N37" i="37" s="1"/>
  <c r="O37" i="37" s="1"/>
  <c r="N35" i="37"/>
  <c r="O35" i="37" s="1"/>
  <c r="O34" i="14"/>
  <c r="X14" i="21" s="1"/>
  <c r="W14" i="21"/>
  <c r="O28" i="42"/>
  <c r="V13" i="21" s="1"/>
  <c r="U13" i="21"/>
  <c r="L35" i="42"/>
  <c r="N35" i="42" s="1"/>
  <c r="O35" i="42" s="1"/>
  <c r="L36" i="42"/>
  <c r="N36" i="42" s="1"/>
  <c r="O36" i="42" s="1"/>
  <c r="N34" i="42"/>
  <c r="O34" i="42" s="1"/>
  <c r="O34" i="45" l="1"/>
  <c r="X15" i="21" s="1"/>
  <c r="L37" i="42"/>
  <c r="L38" i="37"/>
  <c r="G29" i="21" l="1"/>
  <c r="H29" i="21" s="1"/>
  <c r="I29" i="21" s="1"/>
  <c r="N37" i="42"/>
  <c r="G28" i="21"/>
  <c r="H28" i="21" s="1"/>
  <c r="I28" i="21" s="1"/>
  <c r="N38" i="37"/>
  <c r="O38" i="37" l="1"/>
  <c r="X12" i="21" s="1"/>
  <c r="W12" i="21"/>
  <c r="O37" i="42"/>
  <c r="X13" i="21" s="1"/>
  <c r="W13" i="21"/>
  <c r="J15" i="2" l="1"/>
  <c r="L15" i="2" s="1"/>
  <c r="J15" i="36"/>
  <c r="L15" i="36" s="1"/>
  <c r="J15" i="40"/>
  <c r="L15" i="40" s="1"/>
  <c r="N15" i="40" l="1"/>
  <c r="N15" i="36"/>
  <c r="N15" i="2"/>
  <c r="O15" i="2" l="1"/>
  <c r="O15" i="36"/>
  <c r="O15" i="40"/>
  <c r="J16" i="36" l="1"/>
  <c r="L16" i="36" s="1"/>
  <c r="J16" i="40"/>
  <c r="L16" i="40" s="1"/>
  <c r="J16" i="2"/>
  <c r="L16" i="2" s="1"/>
  <c r="N16" i="2" l="1"/>
  <c r="L17" i="2"/>
  <c r="N17" i="2" s="1"/>
  <c r="O17" i="2" s="1"/>
  <c r="N16" i="40"/>
  <c r="L17" i="40"/>
  <c r="N17" i="40" s="1"/>
  <c r="O17" i="40" s="1"/>
  <c r="N16" i="36"/>
  <c r="L17" i="36"/>
  <c r="N17" i="36" s="1"/>
  <c r="O17" i="36" s="1"/>
  <c r="O16" i="36" l="1"/>
  <c r="O9" i="21"/>
  <c r="P9" i="21" s="1"/>
  <c r="L20" i="40"/>
  <c r="O16" i="40"/>
  <c r="O11" i="21"/>
  <c r="P11" i="21" s="1"/>
  <c r="L20" i="2"/>
  <c r="L20" i="36"/>
  <c r="O16" i="2"/>
  <c r="O10" i="21"/>
  <c r="P10" i="21" s="1"/>
  <c r="G9" i="21" l="1"/>
  <c r="H9" i="21" s="1"/>
  <c r="I9" i="21" s="1"/>
  <c r="N20" i="36"/>
  <c r="L25" i="36"/>
  <c r="G11" i="21"/>
  <c r="H11" i="21" s="1"/>
  <c r="I11" i="21" s="1"/>
  <c r="N20" i="40"/>
  <c r="L26" i="40"/>
  <c r="G10" i="21"/>
  <c r="H10" i="21" s="1"/>
  <c r="I10" i="21" s="1"/>
  <c r="N20" i="2"/>
  <c r="L25" i="2"/>
  <c r="O20" i="2" l="1"/>
  <c r="R10" i="21" s="1"/>
  <c r="Q10" i="21"/>
  <c r="L28" i="36"/>
  <c r="N25" i="36"/>
  <c r="N26" i="40"/>
  <c r="L29" i="40"/>
  <c r="Q11" i="21"/>
  <c r="O20" i="40"/>
  <c r="R11" i="21" s="1"/>
  <c r="O20" i="36"/>
  <c r="R9" i="21" s="1"/>
  <c r="Q9" i="21"/>
  <c r="N25" i="2"/>
  <c r="L28" i="2"/>
  <c r="S9" i="21" l="1"/>
  <c r="O25" i="36"/>
  <c r="T9" i="21" s="1"/>
  <c r="O26" i="40"/>
  <c r="T11" i="21" s="1"/>
  <c r="S11" i="21"/>
  <c r="N28" i="36"/>
  <c r="L36" i="36"/>
  <c r="O25" i="2"/>
  <c r="T10" i="21" s="1"/>
  <c r="S10" i="21"/>
  <c r="N29" i="40"/>
  <c r="L35" i="40"/>
  <c r="L36" i="2"/>
  <c r="N28" i="2"/>
  <c r="U11" i="21" l="1"/>
  <c r="O29" i="40"/>
  <c r="V11" i="21" s="1"/>
  <c r="L37" i="2"/>
  <c r="N37" i="2" s="1"/>
  <c r="O37" i="2" s="1"/>
  <c r="L38" i="2"/>
  <c r="N38" i="2" s="1"/>
  <c r="O38" i="2" s="1"/>
  <c r="N36" i="2"/>
  <c r="O36" i="2" s="1"/>
  <c r="L36" i="40"/>
  <c r="N36" i="40" s="1"/>
  <c r="O36" i="40" s="1"/>
  <c r="N35" i="40"/>
  <c r="O35" i="40" s="1"/>
  <c r="L37" i="40"/>
  <c r="N37" i="40" s="1"/>
  <c r="O37" i="40" s="1"/>
  <c r="N36" i="36"/>
  <c r="O36" i="36" s="1"/>
  <c r="L38" i="36"/>
  <c r="N38" i="36" s="1"/>
  <c r="O38" i="36" s="1"/>
  <c r="L37" i="36"/>
  <c r="N37" i="36" s="1"/>
  <c r="O37" i="36" s="1"/>
  <c r="O28" i="36"/>
  <c r="V9" i="21" s="1"/>
  <c r="U9" i="21"/>
  <c r="O28" i="2"/>
  <c r="V10" i="21" s="1"/>
  <c r="U10" i="21"/>
  <c r="L39" i="2" l="1"/>
  <c r="L39" i="36"/>
  <c r="G25" i="21" s="1"/>
  <c r="H25" i="21" s="1"/>
  <c r="I25" i="21" s="1"/>
  <c r="G26" i="21"/>
  <c r="H26" i="21" s="1"/>
  <c r="I26" i="21" s="1"/>
  <c r="N39" i="2"/>
  <c r="L38" i="40"/>
  <c r="N39" i="36"/>
  <c r="O39" i="36" l="1"/>
  <c r="X9" i="21" s="1"/>
  <c r="W9" i="21"/>
  <c r="W10" i="21"/>
  <c r="O39" i="2"/>
  <c r="X10" i="21" s="1"/>
  <c r="G27" i="21"/>
  <c r="H27" i="21" s="1"/>
  <c r="I27" i="21" s="1"/>
  <c r="N38" i="40"/>
  <c r="W11" i="21" l="1"/>
  <c r="O38" i="40"/>
  <c r="X11" i="21" s="1"/>
  <c r="J14" i="10" l="1"/>
  <c r="L14" i="10" s="1"/>
  <c r="N14" i="10" l="1"/>
  <c r="O14" i="10" l="1"/>
  <c r="J15" i="10"/>
  <c r="L15" i="10" s="1"/>
  <c r="N15" i="10" l="1"/>
  <c r="L17" i="10"/>
  <c r="L23" i="10" l="1"/>
  <c r="G20" i="21"/>
  <c r="H20" i="21" s="1"/>
  <c r="I20" i="21" s="1"/>
  <c r="N17" i="10"/>
  <c r="O15" i="10"/>
  <c r="O20" i="21"/>
  <c r="P20" i="21" s="1"/>
  <c r="Q20" i="21" l="1"/>
  <c r="O17" i="10"/>
  <c r="R20" i="21" s="1"/>
  <c r="L26" i="10"/>
  <c r="N23" i="10"/>
  <c r="O23" i="10" l="1"/>
  <c r="T20" i="21" s="1"/>
  <c r="S20" i="21"/>
  <c r="N26" i="10"/>
  <c r="L32" i="10"/>
  <c r="J15" i="44" l="1"/>
  <c r="L15" i="44" s="1"/>
  <c r="J15" i="39"/>
  <c r="L15" i="39" s="1"/>
  <c r="J15" i="38"/>
  <c r="L15" i="38" s="1"/>
  <c r="J15" i="4"/>
  <c r="L15" i="4" s="1"/>
  <c r="U20" i="21"/>
  <c r="O26" i="10"/>
  <c r="V20" i="21" s="1"/>
  <c r="L34" i="10"/>
  <c r="N34" i="10" s="1"/>
  <c r="O34" i="10" s="1"/>
  <c r="N32" i="10"/>
  <c r="O32" i="10" s="1"/>
  <c r="L33" i="10"/>
  <c r="N33" i="10" s="1"/>
  <c r="O33" i="10" s="1"/>
  <c r="N15" i="4" l="1"/>
  <c r="N15" i="38"/>
  <c r="L35" i="10"/>
  <c r="N15" i="39"/>
  <c r="N15" i="44"/>
  <c r="O15" i="44" l="1"/>
  <c r="O15" i="38"/>
  <c r="G36" i="21"/>
  <c r="H36" i="21" s="1"/>
  <c r="I36" i="21" s="1"/>
  <c r="N35" i="10"/>
  <c r="O15" i="39"/>
  <c r="O15" i="4"/>
  <c r="O35" i="10" l="1"/>
  <c r="X20" i="21" s="1"/>
  <c r="W20" i="21"/>
  <c r="J16" i="44" l="1"/>
  <c r="L16" i="44" s="1"/>
  <c r="J16" i="39"/>
  <c r="L16" i="39" s="1"/>
  <c r="J16" i="38"/>
  <c r="L16" i="38" s="1"/>
  <c r="J16" i="4"/>
  <c r="L16" i="4" s="1"/>
  <c r="N16" i="39" l="1"/>
  <c r="L19" i="39"/>
  <c r="N16" i="4"/>
  <c r="L19" i="4"/>
  <c r="N16" i="38"/>
  <c r="L19" i="38"/>
  <c r="N16" i="44"/>
  <c r="L19" i="44"/>
  <c r="O16" i="38" l="1"/>
  <c r="O17" i="21"/>
  <c r="P17" i="21" s="1"/>
  <c r="N19" i="44"/>
  <c r="L25" i="44"/>
  <c r="G19" i="21"/>
  <c r="H19" i="21" s="1"/>
  <c r="I19" i="21" s="1"/>
  <c r="O16" i="44"/>
  <c r="O19" i="21"/>
  <c r="P19" i="21" s="1"/>
  <c r="N19" i="4"/>
  <c r="G18" i="21"/>
  <c r="H18" i="21" s="1"/>
  <c r="I18" i="21" s="1"/>
  <c r="L24" i="4"/>
  <c r="N19" i="39"/>
  <c r="L24" i="39"/>
  <c r="G16" i="21"/>
  <c r="H16" i="21" s="1"/>
  <c r="I16" i="21" s="1"/>
  <c r="N19" i="38"/>
  <c r="G17" i="21"/>
  <c r="H17" i="21" s="1"/>
  <c r="I17" i="21" s="1"/>
  <c r="L24" i="38"/>
  <c r="O16" i="4"/>
  <c r="O18" i="21"/>
  <c r="P18" i="21" s="1"/>
  <c r="O16" i="39"/>
  <c r="O16" i="21"/>
  <c r="P16" i="21" s="1"/>
  <c r="N24" i="38" l="1"/>
  <c r="L27" i="38"/>
  <c r="O19" i="38"/>
  <c r="R17" i="21" s="1"/>
  <c r="Q17" i="21"/>
  <c r="L27" i="39"/>
  <c r="N24" i="39"/>
  <c r="Q18" i="21"/>
  <c r="O19" i="4"/>
  <c r="R18" i="21" s="1"/>
  <c r="O19" i="39"/>
  <c r="R16" i="21" s="1"/>
  <c r="Q16" i="21"/>
  <c r="Q19" i="21"/>
  <c r="O19" i="44"/>
  <c r="R19" i="21" s="1"/>
  <c r="L28" i="44"/>
  <c r="N25" i="44"/>
  <c r="L27" i="4"/>
  <c r="N24" i="4"/>
  <c r="L35" i="4" l="1"/>
  <c r="N27" i="4"/>
  <c r="N28" i="44"/>
  <c r="L34" i="44"/>
  <c r="S19" i="21"/>
  <c r="O25" i="44"/>
  <c r="T19" i="21" s="1"/>
  <c r="O24" i="4"/>
  <c r="T18" i="21" s="1"/>
  <c r="S18" i="21"/>
  <c r="O24" i="39"/>
  <c r="T16" i="21" s="1"/>
  <c r="S16" i="21"/>
  <c r="N27" i="38"/>
  <c r="L35" i="38"/>
  <c r="N27" i="39"/>
  <c r="L35" i="39"/>
  <c r="S17" i="21"/>
  <c r="O24" i="38"/>
  <c r="T17" i="21" s="1"/>
  <c r="L36" i="39" l="1"/>
  <c r="N36" i="39" s="1"/>
  <c r="O36" i="39" s="1"/>
  <c r="L37" i="39"/>
  <c r="N37" i="39" s="1"/>
  <c r="O37" i="39" s="1"/>
  <c r="N35" i="39"/>
  <c r="O35" i="39" s="1"/>
  <c r="O28" i="44"/>
  <c r="V19" i="21" s="1"/>
  <c r="U19" i="21"/>
  <c r="N35" i="38"/>
  <c r="O35" i="38" s="1"/>
  <c r="L37" i="38"/>
  <c r="N37" i="38" s="1"/>
  <c r="O37" i="38" s="1"/>
  <c r="L36" i="38"/>
  <c r="N36" i="38" s="1"/>
  <c r="O36" i="38" s="1"/>
  <c r="L36" i="44"/>
  <c r="N36" i="44" s="1"/>
  <c r="O36" i="44" s="1"/>
  <c r="L35" i="44"/>
  <c r="N35" i="44" s="1"/>
  <c r="O35" i="44" s="1"/>
  <c r="N34" i="44"/>
  <c r="O34" i="44" s="1"/>
  <c r="U17" i="21"/>
  <c r="O27" i="38"/>
  <c r="V17" i="21" s="1"/>
  <c r="O27" i="4"/>
  <c r="V18" i="21" s="1"/>
  <c r="U18" i="21"/>
  <c r="O27" i="39"/>
  <c r="V16" i="21" s="1"/>
  <c r="U16" i="21"/>
  <c r="L37" i="4"/>
  <c r="N37" i="4" s="1"/>
  <c r="O37" i="4" s="1"/>
  <c r="N35" i="4"/>
  <c r="O35" i="4" s="1"/>
  <c r="L36" i="4"/>
  <c r="N36" i="4" s="1"/>
  <c r="O36" i="4" s="1"/>
  <c r="L37" i="44" l="1"/>
  <c r="L38" i="39"/>
  <c r="G32" i="21" s="1"/>
  <c r="H32" i="21" s="1"/>
  <c r="I32" i="21" s="1"/>
  <c r="L38" i="4"/>
  <c r="N38" i="4" s="1"/>
  <c r="N37" i="44"/>
  <c r="G35" i="21"/>
  <c r="H35" i="21" s="1"/>
  <c r="I35" i="21" s="1"/>
  <c r="L38" i="38"/>
  <c r="N38" i="39" l="1"/>
  <c r="G34" i="21"/>
  <c r="H34" i="21" s="1"/>
  <c r="I34" i="21" s="1"/>
  <c r="N38" i="38"/>
  <c r="G33" i="21"/>
  <c r="H33" i="21" s="1"/>
  <c r="I33" i="21" s="1"/>
  <c r="W16" i="21"/>
  <c r="O38" i="39"/>
  <c r="X16" i="21" s="1"/>
  <c r="O37" i="44"/>
  <c r="X19" i="21" s="1"/>
  <c r="W19" i="21"/>
  <c r="O38" i="4"/>
  <c r="X18" i="21" s="1"/>
  <c r="W18" i="21"/>
  <c r="W17" i="21" l="1"/>
  <c r="O38" i="38"/>
  <c r="X1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Beharriell, Greg</author>
  </authors>
  <commentList>
    <comment ref="J36" authorId="0" shapeId="0" xr:uid="{DDF8A38D-74E0-42E7-9CCC-DBC07640938B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No change at 4th decimal place</t>
        </r>
      </text>
    </comment>
  </commentList>
</comments>
</file>

<file path=xl/sharedStrings.xml><?xml version="1.0" encoding="utf-8"?>
<sst xmlns="http://schemas.openxmlformats.org/spreadsheetml/2006/main" count="1059" uniqueCount="145">
  <si>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</si>
  <si>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</si>
  <si>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</si>
  <si>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</si>
  <si>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</si>
  <si>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</si>
  <si>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</si>
  <si>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</si>
  <si>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</si>
  <si>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</si>
  <si>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</si>
  <si>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</si>
  <si>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</si>
  <si>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</si>
  <si>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</si>
  <si>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</si>
  <si>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</si>
  <si>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</si>
  <si>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</si>
  <si>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</si>
  <si>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</si>
  <si>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</si>
  <si>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</si>
  <si>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</si>
  <si>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</si>
  <si>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</si>
  <si>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</si>
  <si>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</si>
  <si>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</si>
  <si>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</si>
  <si>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</si>
  <si>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</si>
  <si>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</si>
  <si>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</si>
  <si>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HST</t>
  </si>
  <si>
    <t>Loss Factor (%)</t>
  </si>
  <si>
    <t>Note that cells with the highlighted color shown to the left indicate quantities that are loss adjusted.</t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</si>
  <si>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</si>
  <si>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</si>
  <si>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</si>
  <si>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</si>
  <si>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</si>
  <si>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</si>
  <si>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</si>
  <si>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</si>
  <si>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Rural Rate Protection Charge</t>
  </si>
  <si>
    <t>Standard Supply Service - Administrative Charge (if applicable)</t>
  </si>
  <si>
    <t>Residential - R2</t>
  </si>
  <si>
    <t>$/kW</t>
  </si>
  <si>
    <t>Seasonal</t>
  </si>
  <si>
    <t>Street Lighting</t>
  </si>
  <si>
    <t>Loss Factor</t>
  </si>
  <si>
    <t>Total Loss Factor</t>
  </si>
  <si>
    <t>%</t>
  </si>
  <si>
    <t>Monthly</t>
  </si>
  <si>
    <t>per kWh</t>
  </si>
  <si>
    <t>UOM</t>
  </si>
  <si>
    <t>Billing Demand</t>
  </si>
  <si>
    <t>kW</t>
  </si>
  <si>
    <t>per kW</t>
  </si>
  <si>
    <t>Energy Price Non - RPP</t>
  </si>
  <si>
    <t>Cost of Power (Non-RPP)</t>
  </si>
  <si>
    <t>Street Lighting (Non - RPP)</t>
  </si>
  <si>
    <t>Algoma Power Inc.</t>
  </si>
  <si>
    <t>Total Bill  (before Taxes)</t>
  </si>
  <si>
    <t>Residential - R1 [RPP]</t>
  </si>
  <si>
    <t>Seasonal [RPP]</t>
  </si>
  <si>
    <t>Customer Classification and Billing Type</t>
  </si>
  <si>
    <t>Energy</t>
  </si>
  <si>
    <t>Demand</t>
  </si>
  <si>
    <t>kWh</t>
  </si>
  <si>
    <t>Change</t>
  </si>
  <si>
    <t>Total Bill</t>
  </si>
  <si>
    <t>Distribution Volumetric Rate - General Service</t>
  </si>
  <si>
    <t>Monthly Service Charge - General Service</t>
  </si>
  <si>
    <t>Total Bill (including HST)</t>
  </si>
  <si>
    <t>2020 Cost of Service Rate Application</t>
  </si>
  <si>
    <t>EB-2019-0019</t>
  </si>
  <si>
    <t>GA Rate Riders</t>
  </si>
  <si>
    <t>Wholesale Market Service Rate (Incl CBR)</t>
  </si>
  <si>
    <t>Rate Rider for the Disposition of Account 1574 - effective until June 30, 2019</t>
  </si>
  <si>
    <t>DRP Adjustment</t>
  </si>
  <si>
    <t>8% Rebate</t>
  </si>
  <si>
    <t>Monthly Distribution Charge (Sub-Total A)</t>
  </si>
  <si>
    <t>Residential - R1(i) (RPP)</t>
  </si>
  <si>
    <t>Residential - R1(ii) (RPP)</t>
  </si>
  <si>
    <t>Residential - R2 (non-RPP)</t>
  </si>
  <si>
    <t>Seasonal (RPP)</t>
  </si>
  <si>
    <t>Street Lighting (non-RPP)</t>
  </si>
  <si>
    <t>From OEB Bill Impact Model</t>
  </si>
  <si>
    <t>Weighted-Averages Energy Price RPP-TOU</t>
  </si>
  <si>
    <t>A</t>
  </si>
  <si>
    <t>Total</t>
  </si>
  <si>
    <t>B</t>
  </si>
  <si>
    <t>C</t>
  </si>
  <si>
    <t>Residential - R1(i) (Retailer)</t>
  </si>
  <si>
    <t>Residential - R1(ii) (Retailer)</t>
  </si>
  <si>
    <t>Seasonal (Retailer)</t>
  </si>
  <si>
    <t>Fixed Rate Riders</t>
  </si>
  <si>
    <t>Residential - R2 [NON-RPP - Other]</t>
  </si>
  <si>
    <t>Volumetric Rate Riders</t>
  </si>
  <si>
    <t>Total Fixed Rate Riders</t>
  </si>
  <si>
    <t>Rate Rider for Group 2 Accounts</t>
  </si>
  <si>
    <t>Residential - R1 [Non-RPP - Retailer]</t>
  </si>
  <si>
    <t>non-TOU</t>
  </si>
  <si>
    <t>Non-RPP Average Price</t>
  </si>
  <si>
    <t>Residential - R1 (General Service) [RPP]</t>
  </si>
  <si>
    <t>Residential - R1 (General Service) [Non-RPP - Retailer]</t>
  </si>
  <si>
    <t>Seasonal [Non-RPP - Retailer]</t>
  </si>
  <si>
    <t>Distribution Charge and Total Bill Impacts
Algoma Power Inc.  2020</t>
  </si>
  <si>
    <t>Sub-Total</t>
  </si>
  <si>
    <t>Base Distribution</t>
  </si>
  <si>
    <t>GA Rate Riders - N/A - Class A</t>
  </si>
  <si>
    <t>Residential - R2 [NON-RPP - Other] - Class A</t>
  </si>
  <si>
    <t>Rate Rider for the Disposition of Account 1575 &amp; 1576 - effective until December 31, 2019;
Rate Rider for Disposition of LRAMVA - effective Jan 1, 2020 until December 31, 2024</t>
  </si>
  <si>
    <t>Residential - R2 (Class A)</t>
  </si>
  <si>
    <t>Bill Impact Model (Non-OEB)</t>
  </si>
  <si>
    <t>8.2.6 (Table 4)</t>
  </si>
  <si>
    <t>Application Reference</t>
  </si>
  <si>
    <t>8.3.13</t>
  </si>
  <si>
    <t>8.3.3</t>
  </si>
  <si>
    <t>8.3.10</t>
  </si>
  <si>
    <t>8.3.5</t>
  </si>
  <si>
    <t>8.3.9</t>
  </si>
  <si>
    <t>8.3.4</t>
  </si>
  <si>
    <t>8.3.1</t>
  </si>
  <si>
    <t>9.7.2</t>
  </si>
  <si>
    <t>Total Deferral/Variance Account Rate Riders (Group 1, excl GA)</t>
  </si>
  <si>
    <t>9.11.3</t>
  </si>
  <si>
    <t>IRR Adjustment</t>
  </si>
  <si>
    <t>N/A</t>
  </si>
  <si>
    <t>EB-2019-0158</t>
  </si>
  <si>
    <t>DVA,LF</t>
  </si>
  <si>
    <t>LRAMVA, LF</t>
  </si>
  <si>
    <t>RTSR,LF</t>
  </si>
  <si>
    <t>DVA/LF</t>
  </si>
  <si>
    <t>LRAMVA,LF</t>
  </si>
  <si>
    <t>LF</t>
  </si>
  <si>
    <t>RR,CA,LF</t>
  </si>
  <si>
    <t>RRRP Factor</t>
  </si>
  <si>
    <t>Settlement Adjustment</t>
  </si>
  <si>
    <t>Settlement</t>
  </si>
  <si>
    <t>R2 Forecast Increase</t>
  </si>
  <si>
    <t>R2 Forecast Increase/
Pole Rental Disposition</t>
  </si>
  <si>
    <t>Updates to Rev Reqmt, Cost Alloc, Rate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</si>
</sst>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000_);_(* \(#,##0.0000\);_(* &quot;-&quot;??_);_(@_)"/>
    <numFmt numFmtId="169" formatCode="0.0%"/>
    <numFmt numFmtId="170" formatCode="_-&quot;$&quot;* #,##0.00000_-;\-&quot;$&quot;* #,##0.00000_-;_-&quot;$&quot;* &quot;-&quot;??_-;_-@_-"/>
    <numFmt numFmtId="171" formatCode="0.0000"/>
    <numFmt numFmtId="172" formatCode="_(* #,##0_);_(* \(#,##0\);_(* &quot;-&quot;??_);_(@_)"/>
    <numFmt numFmtId="173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166" fontId="2" fillId="2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quotePrefix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164" fontId="0" fillId="0" borderId="6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10" fontId="0" fillId="0" borderId="6" xfId="3" applyNumberFormat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167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4" fontId="0" fillId="4" borderId="4" xfId="2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center"/>
    </xf>
    <xf numFmtId="10" fontId="2" fillId="4" borderId="4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167" fontId="0" fillId="5" borderId="8" xfId="2" applyNumberFormat="1" applyFont="1" applyFill="1" applyBorder="1" applyAlignment="1" applyProtection="1">
      <alignment vertical="top"/>
      <protection locked="0"/>
    </xf>
    <xf numFmtId="0" fontId="0" fillId="6" borderId="8" xfId="0" applyFill="1" applyBorder="1" applyAlignment="1" applyProtection="1">
      <alignment vertical="center"/>
    </xf>
    <xf numFmtId="167" fontId="0" fillId="5" borderId="8" xfId="2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8" xfId="0" applyNumberFormat="1" applyFill="1" applyBorder="1" applyAlignment="1" applyProtection="1">
      <alignment vertical="center"/>
    </xf>
    <xf numFmtId="1" fontId="0" fillId="6" borderId="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1" xfId="0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1" fillId="0" borderId="6" xfId="2" applyBorder="1" applyAlignment="1" applyProtection="1">
      <alignment vertical="center"/>
    </xf>
    <xf numFmtId="10" fontId="1" fillId="0" borderId="6" xfId="3" applyNumberFormat="1" applyBorder="1" applyAlignment="1" applyProtection="1">
      <alignment vertical="center"/>
    </xf>
    <xf numFmtId="167" fontId="1" fillId="0" borderId="8" xfId="2" applyNumberFormat="1" applyFill="1" applyBorder="1" applyAlignment="1" applyProtection="1">
      <alignment vertical="top"/>
      <protection locked="0"/>
    </xf>
    <xf numFmtId="1" fontId="5" fillId="5" borderId="8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5" fillId="0" borderId="0" xfId="4" applyProtection="1"/>
    <xf numFmtId="0" fontId="5" fillId="7" borderId="12" xfId="0" applyFont="1" applyFill="1" applyBorder="1" applyProtection="1"/>
    <xf numFmtId="0" fontId="0" fillId="7" borderId="13" xfId="0" applyFill="1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167" fontId="1" fillId="7" borderId="14" xfId="2" applyNumberFormat="1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center"/>
      <protection locked="0"/>
    </xf>
    <xf numFmtId="164" fontId="1" fillId="7" borderId="13" xfId="2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  <protection locked="0"/>
    </xf>
    <xf numFmtId="164" fontId="0" fillId="7" borderId="14" xfId="0" applyNumberFormat="1" applyFill="1" applyBorder="1" applyAlignment="1" applyProtection="1">
      <alignment vertical="center"/>
    </xf>
    <xf numFmtId="10" fontId="1" fillId="7" borderId="16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9" fontId="5" fillId="0" borderId="8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0" fontId="5" fillId="0" borderId="6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5" fillId="7" borderId="12" xfId="4" applyFont="1" applyFill="1" applyBorder="1" applyProtection="1"/>
    <xf numFmtId="0" fontId="5" fillId="7" borderId="13" xfId="4" applyFill="1" applyBorder="1" applyAlignment="1" applyProtection="1">
      <alignment vertical="top"/>
    </xf>
    <xf numFmtId="0" fontId="5" fillId="7" borderId="13" xfId="4" applyFill="1" applyBorder="1" applyAlignment="1" applyProtection="1">
      <alignment vertical="top"/>
      <protection locked="0"/>
    </xf>
    <xf numFmtId="0" fontId="5" fillId="7" borderId="15" xfId="4" applyFill="1" applyBorder="1" applyAlignment="1" applyProtection="1">
      <alignment vertical="center"/>
      <protection locked="0"/>
    </xf>
    <xf numFmtId="0" fontId="5" fillId="7" borderId="13" xfId="4" applyFill="1" applyBorder="1" applyAlignment="1" applyProtection="1">
      <alignment vertical="center"/>
    </xf>
    <xf numFmtId="0" fontId="5" fillId="7" borderId="14" xfId="4" applyFill="1" applyBorder="1" applyAlignment="1" applyProtection="1">
      <alignment vertical="center"/>
      <protection locked="0"/>
    </xf>
    <xf numFmtId="164" fontId="5" fillId="7" borderId="14" xfId="4" applyNumberFormat="1" applyFill="1" applyBorder="1" applyAlignment="1" applyProtection="1">
      <alignment vertical="center"/>
    </xf>
    <xf numFmtId="10" fontId="1" fillId="2" borderId="1" xfId="3" applyNumberFormat="1" applyFill="1" applyBorder="1" applyProtection="1">
      <protection locked="0"/>
    </xf>
    <xf numFmtId="0" fontId="0" fillId="6" borderId="0" xfId="0" applyFill="1" applyProtection="1"/>
    <xf numFmtId="164" fontId="2" fillId="0" borderId="19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166" fontId="0" fillId="0" borderId="8" xfId="0" applyNumberFormat="1" applyFill="1" applyBorder="1" applyAlignment="1" applyProtection="1">
      <alignment vertical="center"/>
    </xf>
    <xf numFmtId="170" fontId="0" fillId="5" borderId="8" xfId="2" applyNumberFormat="1" applyFont="1" applyFill="1" applyBorder="1" applyAlignment="1" applyProtection="1">
      <alignment vertical="top"/>
      <protection locked="0"/>
    </xf>
    <xf numFmtId="170" fontId="1" fillId="0" borderId="8" xfId="2" applyNumberFormat="1" applyFill="1" applyBorder="1" applyAlignment="1" applyProtection="1">
      <alignment vertical="top"/>
      <protection locked="0"/>
    </xf>
    <xf numFmtId="170" fontId="0" fillId="5" borderId="8" xfId="2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8" fontId="10" fillId="0" borderId="0" xfId="1" applyNumberFormat="1" applyFont="1" applyFill="1" applyBorder="1"/>
    <xf numFmtId="0" fontId="9" fillId="0" borderId="0" xfId="0" applyFont="1" applyBorder="1" applyAlignment="1">
      <alignment horizontal="center"/>
    </xf>
    <xf numFmtId="171" fontId="0" fillId="0" borderId="0" xfId="0" applyNumberFormat="1" applyBorder="1"/>
    <xf numFmtId="0" fontId="7" fillId="0" borderId="0" xfId="0" applyFont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Protection="1"/>
    <xf numFmtId="0" fontId="7" fillId="0" borderId="9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center"/>
    </xf>
    <xf numFmtId="164" fontId="2" fillId="0" borderId="1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10" fontId="2" fillId="0" borderId="1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center"/>
    </xf>
    <xf numFmtId="10" fontId="10" fillId="0" borderId="0" xfId="3" applyNumberFormat="1" applyFont="1" applyFill="1" applyBorder="1"/>
    <xf numFmtId="0" fontId="0" fillId="0" borderId="0" xfId="0" applyBorder="1" applyAlignment="1" applyProtection="1">
      <alignment vertical="center"/>
    </xf>
    <xf numFmtId="167" fontId="0" fillId="0" borderId="8" xfId="2" applyNumberFormat="1" applyFont="1" applyFill="1" applyBorder="1" applyAlignment="1" applyProtection="1">
      <alignment vertical="top"/>
      <protection locked="0"/>
    </xf>
    <xf numFmtId="167" fontId="0" fillId="0" borderId="8" xfId="2" applyNumberFormat="1" applyFont="1" applyFill="1" applyBorder="1" applyAlignment="1" applyProtection="1">
      <alignment vertical="center"/>
      <protection locked="0"/>
    </xf>
    <xf numFmtId="167" fontId="1" fillId="0" borderId="8" xfId="2" applyNumberForma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top"/>
      <protection locked="0"/>
    </xf>
    <xf numFmtId="0" fontId="12" fillId="0" borderId="0" xfId="0" applyFont="1"/>
    <xf numFmtId="0" fontId="13" fillId="0" borderId="19" xfId="4" applyFont="1" applyBorder="1" applyAlignment="1">
      <alignment horizontal="center"/>
    </xf>
    <xf numFmtId="0" fontId="13" fillId="4" borderId="22" xfId="4" applyFont="1" applyFill="1" applyBorder="1"/>
    <xf numFmtId="0" fontId="13" fillId="0" borderId="8" xfId="4" applyFont="1" applyBorder="1" applyAlignment="1">
      <alignment horizontal="center"/>
    </xf>
    <xf numFmtId="0" fontId="13" fillId="4" borderId="0" xfId="4" applyFont="1" applyFill="1" applyBorder="1"/>
    <xf numFmtId="0" fontId="15" fillId="4" borderId="0" xfId="4" applyFont="1" applyFill="1" applyBorder="1"/>
    <xf numFmtId="0" fontId="13" fillId="0" borderId="27" xfId="4" applyFont="1" applyBorder="1"/>
    <xf numFmtId="0" fontId="13" fillId="0" borderId="9" xfId="4" applyFont="1" applyBorder="1"/>
    <xf numFmtId="0" fontId="13" fillId="4" borderId="17" xfId="4" applyFont="1" applyFill="1" applyBorder="1"/>
    <xf numFmtId="0" fontId="13" fillId="0" borderId="1" xfId="4" applyFont="1" applyBorder="1" applyAlignment="1">
      <alignment horizontal="center"/>
    </xf>
    <xf numFmtId="0" fontId="13" fillId="0" borderId="26" xfId="4" applyFont="1" applyBorder="1" applyAlignment="1">
      <alignment horizontal="center"/>
    </xf>
    <xf numFmtId="0" fontId="15" fillId="0" borderId="28" xfId="4" applyFont="1" applyBorder="1"/>
    <xf numFmtId="172" fontId="15" fillId="0" borderId="1" xfId="1" applyNumberFormat="1" applyFont="1" applyBorder="1"/>
    <xf numFmtId="164" fontId="15" fillId="0" borderId="1" xfId="4" applyNumberFormat="1" applyFont="1" applyBorder="1"/>
    <xf numFmtId="169" fontId="15" fillId="0" borderId="26" xfId="4" applyNumberFormat="1" applyFont="1" applyBorder="1" applyAlignment="1">
      <alignment horizontal="center"/>
    </xf>
    <xf numFmtId="169" fontId="15" fillId="0" borderId="1" xfId="4" applyNumberFormat="1" applyFont="1" applyBorder="1" applyAlignment="1">
      <alignment horizontal="center"/>
    </xf>
    <xf numFmtId="164" fontId="15" fillId="0" borderId="1" xfId="4" applyNumberFormat="1" applyFont="1" applyFill="1" applyBorder="1"/>
    <xf numFmtId="0" fontId="15" fillId="0" borderId="1" xfId="4" applyFont="1" applyFill="1" applyBorder="1"/>
    <xf numFmtId="172" fontId="15" fillId="0" borderId="1" xfId="1" applyNumberFormat="1" applyFont="1" applyFill="1" applyBorder="1"/>
    <xf numFmtId="0" fontId="15" fillId="0" borderId="33" xfId="4" applyFont="1" applyBorder="1"/>
    <xf numFmtId="172" fontId="15" fillId="0" borderId="31" xfId="1" applyNumberFormat="1" applyFont="1" applyBorder="1"/>
    <xf numFmtId="0" fontId="15" fillId="4" borderId="20" xfId="4" applyFont="1" applyFill="1" applyBorder="1"/>
    <xf numFmtId="164" fontId="15" fillId="0" borderId="31" xfId="4" applyNumberFormat="1" applyFont="1" applyBorder="1"/>
    <xf numFmtId="169" fontId="15" fillId="0" borderId="31" xfId="4" applyNumberFormat="1" applyFont="1" applyBorder="1" applyAlignment="1">
      <alignment horizontal="center"/>
    </xf>
    <xf numFmtId="169" fontId="15" fillId="0" borderId="32" xfId="4" applyNumberFormat="1" applyFont="1" applyBorder="1" applyAlignment="1">
      <alignment horizontal="center"/>
    </xf>
    <xf numFmtId="0" fontId="15" fillId="4" borderId="29" xfId="4" applyFont="1" applyFill="1" applyBorder="1"/>
    <xf numFmtId="172" fontId="15" fillId="4" borderId="0" xfId="1" applyNumberFormat="1" applyFont="1" applyFill="1" applyBorder="1"/>
    <xf numFmtId="164" fontId="15" fillId="4" borderId="0" xfId="4" applyNumberFormat="1" applyFont="1" applyFill="1" applyBorder="1"/>
    <xf numFmtId="169" fontId="15" fillId="4" borderId="30" xfId="4" applyNumberFormat="1" applyFont="1" applyFill="1" applyBorder="1" applyAlignment="1">
      <alignment horizontal="center"/>
    </xf>
    <xf numFmtId="172" fontId="15" fillId="0" borderId="5" xfId="1" applyNumberFormat="1" applyFont="1" applyBorder="1"/>
    <xf numFmtId="169" fontId="15" fillId="0" borderId="26" xfId="4" applyNumberFormat="1" applyFont="1" applyFill="1" applyBorder="1" applyAlignment="1">
      <alignment horizontal="center"/>
    </xf>
    <xf numFmtId="0" fontId="15" fillId="0" borderId="37" xfId="4" applyFont="1" applyBorder="1"/>
    <xf numFmtId="172" fontId="15" fillId="0" borderId="31" xfId="1" applyNumberFormat="1" applyFont="1" applyFill="1" applyBorder="1"/>
    <xf numFmtId="165" fontId="10" fillId="0" borderId="0" xfId="1" applyNumberFormat="1" applyFont="1" applyFill="1" applyBorder="1"/>
    <xf numFmtId="0" fontId="0" fillId="0" borderId="29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3" fontId="10" fillId="0" borderId="0" xfId="1" applyNumberFormat="1" applyFont="1" applyFill="1" applyBorder="1"/>
    <xf numFmtId="165" fontId="10" fillId="0" borderId="0" xfId="1" applyFont="1" applyFill="1" applyBorder="1"/>
    <xf numFmtId="169" fontId="10" fillId="0" borderId="0" xfId="3" applyNumberFormat="1" applyFont="1" applyFill="1" applyBorder="1"/>
    <xf numFmtId="169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71" fontId="10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169" fontId="0" fillId="0" borderId="8" xfId="0" applyNumberFormat="1" applyFill="1" applyBorder="1" applyAlignment="1" applyProtection="1">
      <alignment vertical="top"/>
      <protection locked="0"/>
    </xf>
    <xf numFmtId="169" fontId="5" fillId="0" borderId="8" xfId="0" applyNumberFormat="1" applyFont="1" applyFill="1" applyBorder="1" applyAlignment="1" applyProtection="1">
      <alignment vertical="center"/>
      <protection locked="0"/>
    </xf>
    <xf numFmtId="15" fontId="8" fillId="0" borderId="0" xfId="0" quotePrefix="1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wrapText="1"/>
    </xf>
    <xf numFmtId="0" fontId="13" fillId="0" borderId="25" xfId="4" applyFont="1" applyBorder="1" applyAlignment="1">
      <alignment horizontal="center" wrapText="1"/>
    </xf>
    <xf numFmtId="0" fontId="13" fillId="0" borderId="1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2" fillId="0" borderId="6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Departments\API%202015%20REG%20COS\Chap_2_App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H20"/>
  <sheetViews>
    <sheetView showGridLines="0" zoomScaleNormal="100" workbookViewId="0">
      <selection activeCell="C21" sqref="C2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01" t="s">
        <v>63</v>
      </c>
      <c r="C12" s="201"/>
      <c r="D12" s="201"/>
      <c r="E12" s="201"/>
      <c r="F12" s="201"/>
      <c r="G12" s="201"/>
      <c r="H12" s="201"/>
    </row>
    <row r="13" spans="2:8" ht="23.25" x14ac:dyDescent="0.35">
      <c r="B13" s="201" t="s">
        <v>76</v>
      </c>
      <c r="C13" s="201"/>
      <c r="D13" s="201"/>
      <c r="E13" s="201"/>
      <c r="F13" s="201"/>
      <c r="G13" s="201"/>
      <c r="H13" s="201"/>
    </row>
    <row r="14" spans="2:8" ht="23.25" x14ac:dyDescent="0.35">
      <c r="B14" s="201"/>
      <c r="C14" s="201"/>
      <c r="D14" s="201"/>
      <c r="E14" s="201"/>
      <c r="F14" s="201"/>
      <c r="G14" s="201"/>
      <c r="H14" s="201"/>
    </row>
    <row r="15" spans="2:8" ht="23.25" x14ac:dyDescent="0.35">
      <c r="B15" s="116"/>
    </row>
    <row r="16" spans="2:8" ht="23.25" x14ac:dyDescent="0.35">
      <c r="B16" s="201" t="s">
        <v>116</v>
      </c>
      <c r="C16" s="201"/>
      <c r="D16" s="201"/>
      <c r="E16" s="201"/>
      <c r="F16" s="201"/>
      <c r="G16" s="201"/>
      <c r="H16" s="201"/>
    </row>
    <row r="17" spans="2:8" ht="23.25" x14ac:dyDescent="0.35">
      <c r="B17" s="202" t="s">
        <v>141</v>
      </c>
      <c r="C17" s="202"/>
      <c r="D17" s="202"/>
      <c r="E17" s="202"/>
      <c r="F17" s="202"/>
      <c r="G17" s="202"/>
      <c r="H17" s="202"/>
    </row>
    <row r="18" spans="2:8" ht="23.25" x14ac:dyDescent="0.35">
      <c r="B18" s="201" t="s">
        <v>77</v>
      </c>
      <c r="C18" s="201"/>
      <c r="D18" s="201"/>
      <c r="E18" s="201"/>
      <c r="F18" s="201"/>
      <c r="G18" s="201"/>
      <c r="H18" s="201"/>
    </row>
    <row r="19" spans="2:8" ht="23.25" x14ac:dyDescent="0.35">
      <c r="B19" s="116"/>
    </row>
    <row r="20" spans="2:8" ht="23.25" x14ac:dyDescent="0.35">
      <c r="B20" s="199">
        <v>43711</v>
      </c>
      <c r="C20" s="200"/>
      <c r="D20" s="200"/>
      <c r="E20" s="200"/>
      <c r="F20" s="200"/>
      <c r="G20" s="200"/>
      <c r="H20" s="200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topLeftCell="A52" zoomScaleNormal="100" workbookViewId="0">
      <selection activeCell="G76" sqref="G76"/>
    </sheetView>
  </sheetViews>
  <sheetFormatPr defaultColWidth="9.140625" defaultRowHeight="15" x14ac:dyDescent="0.25"/>
  <cols>
    <col min="1" max="1" width="91.85546875" style="113" bestFit="1" customWidth="1"/>
    <col min="2" max="2" width="6.7109375" style="112" customWidth="1"/>
    <col min="3" max="3" width="1.7109375" style="112" customWidth="1"/>
    <col min="4" max="4" width="11.28515625" style="195" bestFit="1" customWidth="1"/>
    <col min="5" max="5" width="1.85546875" style="195" customWidth="1"/>
    <col min="6" max="6" width="10.85546875" style="195" customWidth="1"/>
    <col min="7" max="7" width="1.7109375" style="112" customWidth="1"/>
    <col min="8" max="8" width="16" style="112" customWidth="1"/>
    <col min="9" max="9" width="14" style="112" bestFit="1" customWidth="1"/>
    <col min="10" max="10" width="23.28515625" style="112" customWidth="1"/>
    <col min="11" max="16384" width="9.140625" style="113"/>
  </cols>
  <sheetData>
    <row r="1" spans="1:10" ht="38.25" x14ac:dyDescent="0.25">
      <c r="A1" s="110" t="s">
        <v>37</v>
      </c>
      <c r="B1" s="111" t="s">
        <v>56</v>
      </c>
      <c r="C1" s="111"/>
      <c r="D1" s="183" t="s">
        <v>38</v>
      </c>
      <c r="E1" s="184"/>
      <c r="F1" s="183" t="s">
        <v>39</v>
      </c>
      <c r="G1" s="180"/>
      <c r="H1" s="181" t="s">
        <v>118</v>
      </c>
      <c r="I1" s="181" t="s">
        <v>129</v>
      </c>
      <c r="J1" s="181" t="s">
        <v>140</v>
      </c>
    </row>
    <row r="2" spans="1:10" x14ac:dyDescent="0.25">
      <c r="A2" s="110" t="s">
        <v>40</v>
      </c>
      <c r="C2" s="114"/>
      <c r="D2" s="185"/>
      <c r="E2" s="186"/>
      <c r="F2" s="185"/>
    </row>
    <row r="3" spans="1:10" x14ac:dyDescent="0.25">
      <c r="A3" s="117" t="s">
        <v>17</v>
      </c>
      <c r="B3" s="118" t="s">
        <v>41</v>
      </c>
      <c r="C3" s="118"/>
      <c r="D3" s="177">
        <v>42.23</v>
      </c>
      <c r="E3" s="137"/>
      <c r="F3" s="177">
        <v>46.72</v>
      </c>
      <c r="H3" s="112" t="s">
        <v>117</v>
      </c>
      <c r="I3" s="112" t="s">
        <v>139</v>
      </c>
      <c r="J3" s="112" t="s">
        <v>130</v>
      </c>
    </row>
    <row r="4" spans="1:10" x14ac:dyDescent="0.25">
      <c r="A4" s="117" t="s">
        <v>74</v>
      </c>
      <c r="B4" s="118" t="s">
        <v>41</v>
      </c>
      <c r="C4" s="118"/>
      <c r="D4" s="177">
        <v>25.64</v>
      </c>
      <c r="E4" s="137"/>
      <c r="F4" s="177">
        <v>25.94</v>
      </c>
      <c r="H4" s="112" t="s">
        <v>117</v>
      </c>
      <c r="I4" s="112" t="s">
        <v>139</v>
      </c>
      <c r="J4" s="112" t="s">
        <v>130</v>
      </c>
    </row>
    <row r="5" spans="1:10" x14ac:dyDescent="0.25">
      <c r="A5" s="117" t="s">
        <v>81</v>
      </c>
      <c r="B5" s="118" t="s">
        <v>41</v>
      </c>
      <c r="C5" s="118"/>
      <c r="D5" s="177">
        <v>36.86</v>
      </c>
      <c r="E5" s="137"/>
      <c r="F5" s="177">
        <v>36.86</v>
      </c>
      <c r="H5" s="112" t="s">
        <v>119</v>
      </c>
      <c r="I5" s="185" t="s">
        <v>131</v>
      </c>
      <c r="J5" s="112" t="s">
        <v>130</v>
      </c>
    </row>
    <row r="6" spans="1:10" ht="30" x14ac:dyDescent="0.25">
      <c r="A6" s="117" t="s">
        <v>101</v>
      </c>
      <c r="B6" s="118" t="s">
        <v>41</v>
      </c>
      <c r="C6" s="118"/>
      <c r="D6" s="177">
        <v>0</v>
      </c>
      <c r="E6" s="137"/>
      <c r="F6" s="177">
        <v>-1.25</v>
      </c>
      <c r="H6" s="112" t="s">
        <v>126</v>
      </c>
      <c r="I6" s="112" t="s">
        <v>130</v>
      </c>
      <c r="J6" s="182" t="s">
        <v>143</v>
      </c>
    </row>
    <row r="7" spans="1:10" x14ac:dyDescent="0.25">
      <c r="A7" s="117" t="s">
        <v>18</v>
      </c>
      <c r="B7" s="118" t="s">
        <v>42</v>
      </c>
      <c r="C7" s="118"/>
      <c r="D7" s="119">
        <v>1.72E-2</v>
      </c>
      <c r="E7" s="137"/>
      <c r="F7" s="187">
        <v>1.2800000000000001E-2</v>
      </c>
      <c r="H7" s="112" t="s">
        <v>117</v>
      </c>
      <c r="I7" s="112" t="s">
        <v>139</v>
      </c>
      <c r="J7" s="112" t="s">
        <v>130</v>
      </c>
    </row>
    <row r="8" spans="1:10" x14ac:dyDescent="0.25">
      <c r="A8" s="117" t="s">
        <v>73</v>
      </c>
      <c r="B8" s="118" t="s">
        <v>42</v>
      </c>
      <c r="C8" s="118"/>
      <c r="D8" s="119">
        <v>3.61E-2</v>
      </c>
      <c r="E8" s="137"/>
      <c r="F8" s="187">
        <v>3.6499999999999998E-2</v>
      </c>
      <c r="H8" s="112" t="s">
        <v>117</v>
      </c>
      <c r="I8" s="112" t="s">
        <v>139</v>
      </c>
      <c r="J8" s="112" t="s">
        <v>130</v>
      </c>
    </row>
    <row r="9" spans="1:10" x14ac:dyDescent="0.25">
      <c r="A9" s="115" t="s">
        <v>127</v>
      </c>
      <c r="B9" s="118" t="s">
        <v>42</v>
      </c>
      <c r="C9" s="118"/>
      <c r="D9" s="119">
        <v>-1.1000000000000001E-3</v>
      </c>
      <c r="E9" s="137"/>
      <c r="F9" s="119">
        <v>1.1999999999999999E-3</v>
      </c>
      <c r="H9" s="112" t="s">
        <v>126</v>
      </c>
      <c r="I9" s="112" t="s">
        <v>132</v>
      </c>
      <c r="J9" s="112" t="s">
        <v>142</v>
      </c>
    </row>
    <row r="10" spans="1:10" x14ac:dyDescent="0.25">
      <c r="A10" s="115" t="s">
        <v>78</v>
      </c>
      <c r="B10" s="118" t="s">
        <v>42</v>
      </c>
      <c r="C10" s="118"/>
      <c r="D10" s="119">
        <v>-7.7999999999999996E-3</v>
      </c>
      <c r="E10" s="137"/>
      <c r="F10" s="119">
        <v>-2.7000000000000001E-3</v>
      </c>
      <c r="H10" s="112" t="s">
        <v>126</v>
      </c>
      <c r="I10" s="112" t="s">
        <v>132</v>
      </c>
      <c r="J10" s="112" t="s">
        <v>130</v>
      </c>
    </row>
    <row r="11" spans="1:10" ht="26.25" x14ac:dyDescent="0.25">
      <c r="A11" s="179" t="s">
        <v>114</v>
      </c>
      <c r="B11" s="118" t="s">
        <v>42</v>
      </c>
      <c r="C11" s="118"/>
      <c r="D11" s="119">
        <v>-1.9E-3</v>
      </c>
      <c r="E11" s="188"/>
      <c r="F11" s="119">
        <v>5.9999999999999995E-4</v>
      </c>
      <c r="H11" s="112" t="s">
        <v>126</v>
      </c>
      <c r="I11" s="112" t="s">
        <v>133</v>
      </c>
      <c r="J11" s="112" t="s">
        <v>130</v>
      </c>
    </row>
    <row r="12" spans="1:10" x14ac:dyDescent="0.25">
      <c r="A12" s="117" t="s">
        <v>43</v>
      </c>
      <c r="B12" s="118" t="s">
        <v>42</v>
      </c>
      <c r="C12" s="118"/>
      <c r="D12" s="119">
        <v>6.6E-3</v>
      </c>
      <c r="E12" s="189"/>
      <c r="F12" s="119">
        <v>7.1000000000000004E-3</v>
      </c>
      <c r="H12" s="112" t="s">
        <v>125</v>
      </c>
      <c r="I12" s="112" t="s">
        <v>134</v>
      </c>
      <c r="J12" s="112" t="s">
        <v>130</v>
      </c>
    </row>
    <row r="13" spans="1:10" x14ac:dyDescent="0.25">
      <c r="A13" s="117" t="s">
        <v>44</v>
      </c>
      <c r="B13" s="118" t="s">
        <v>42</v>
      </c>
      <c r="C13" s="118"/>
      <c r="D13" s="119">
        <v>6.0000000000000001E-3</v>
      </c>
      <c r="E13" s="190"/>
      <c r="F13" s="119">
        <v>6.0000000000000001E-3</v>
      </c>
      <c r="H13" s="112" t="s">
        <v>125</v>
      </c>
      <c r="I13" s="112" t="s">
        <v>134</v>
      </c>
      <c r="J13" s="112" t="s">
        <v>130</v>
      </c>
    </row>
    <row r="14" spans="1:10" x14ac:dyDescent="0.25">
      <c r="A14" s="117" t="s">
        <v>79</v>
      </c>
      <c r="B14" s="118" t="s">
        <v>42</v>
      </c>
      <c r="C14" s="118"/>
      <c r="D14" s="119">
        <v>3.3999999999999998E-3</v>
      </c>
      <c r="E14" s="188"/>
      <c r="F14" s="119">
        <f t="shared" ref="F14:F17" si="0">D14</f>
        <v>3.3999999999999998E-3</v>
      </c>
      <c r="H14" s="112" t="s">
        <v>120</v>
      </c>
      <c r="I14" s="112" t="s">
        <v>130</v>
      </c>
      <c r="J14" s="112" t="s">
        <v>130</v>
      </c>
    </row>
    <row r="15" spans="1:10" x14ac:dyDescent="0.25">
      <c r="A15" s="117" t="s">
        <v>45</v>
      </c>
      <c r="B15" s="118" t="s">
        <v>42</v>
      </c>
      <c r="C15" s="118"/>
      <c r="D15" s="119">
        <v>5.0000000000000001E-4</v>
      </c>
      <c r="E15" s="119"/>
      <c r="F15" s="119">
        <f t="shared" si="0"/>
        <v>5.0000000000000001E-4</v>
      </c>
      <c r="H15" s="112" t="s">
        <v>124</v>
      </c>
      <c r="I15" s="112" t="s">
        <v>130</v>
      </c>
      <c r="J15" s="112" t="s">
        <v>130</v>
      </c>
    </row>
    <row r="16" spans="1:10" x14ac:dyDescent="0.25">
      <c r="A16" s="117" t="s">
        <v>22</v>
      </c>
      <c r="B16" s="118" t="s">
        <v>41</v>
      </c>
      <c r="C16" s="118"/>
      <c r="D16" s="188">
        <v>0.56999999999999995</v>
      </c>
      <c r="E16" s="119"/>
      <c r="F16" s="188">
        <f t="shared" si="0"/>
        <v>0.56999999999999995</v>
      </c>
      <c r="H16" s="112" t="s">
        <v>123</v>
      </c>
      <c r="I16" s="112" t="s">
        <v>130</v>
      </c>
      <c r="J16" s="112" t="s">
        <v>130</v>
      </c>
    </row>
    <row r="17" spans="1:10" x14ac:dyDescent="0.25">
      <c r="A17" s="115" t="s">
        <v>46</v>
      </c>
      <c r="B17" s="118" t="s">
        <v>41</v>
      </c>
      <c r="C17" s="118"/>
      <c r="D17" s="188">
        <v>0.25</v>
      </c>
      <c r="E17" s="188"/>
      <c r="F17" s="188">
        <f t="shared" si="0"/>
        <v>0.25</v>
      </c>
      <c r="H17" s="112" t="s">
        <v>122</v>
      </c>
      <c r="I17" s="112" t="s">
        <v>130</v>
      </c>
      <c r="J17" s="112" t="s">
        <v>130</v>
      </c>
    </row>
    <row r="18" spans="1:10" x14ac:dyDescent="0.25">
      <c r="B18" s="118"/>
      <c r="C18" s="118"/>
      <c r="D18" s="191"/>
      <c r="E18" s="191"/>
      <c r="F18" s="191"/>
    </row>
    <row r="19" spans="1:10" x14ac:dyDescent="0.25">
      <c r="A19" s="110" t="s">
        <v>47</v>
      </c>
      <c r="B19" s="118"/>
      <c r="C19" s="118"/>
      <c r="D19" s="191"/>
      <c r="E19" s="191"/>
      <c r="F19" s="191"/>
    </row>
    <row r="20" spans="1:10" x14ac:dyDescent="0.25">
      <c r="A20" s="117" t="str">
        <f>A3</f>
        <v>Monthly Service Charge</v>
      </c>
      <c r="B20" s="118" t="s">
        <v>41</v>
      </c>
      <c r="C20" s="118"/>
      <c r="D20" s="177">
        <v>659.94</v>
      </c>
      <c r="E20" s="137"/>
      <c r="F20" s="177">
        <v>667.66</v>
      </c>
      <c r="H20" s="112" t="s">
        <v>117</v>
      </c>
      <c r="I20" s="112" t="s">
        <v>139</v>
      </c>
      <c r="J20" s="112" t="s">
        <v>130</v>
      </c>
    </row>
    <row r="21" spans="1:10" x14ac:dyDescent="0.25">
      <c r="A21" s="117" t="str">
        <f>A7</f>
        <v>Distribution Volumetric Rate</v>
      </c>
      <c r="B21" s="118" t="s">
        <v>48</v>
      </c>
      <c r="C21" s="118"/>
      <c r="D21" s="119">
        <v>3.4194</v>
      </c>
      <c r="E21" s="137"/>
      <c r="F21" s="119">
        <v>3.4594</v>
      </c>
      <c r="H21" s="112" t="s">
        <v>117</v>
      </c>
      <c r="I21" s="112" t="s">
        <v>139</v>
      </c>
      <c r="J21" s="112" t="s">
        <v>130</v>
      </c>
    </row>
    <row r="22" spans="1:10" x14ac:dyDescent="0.25">
      <c r="A22" s="115" t="str">
        <f>A9</f>
        <v>Total Deferral/Variance Account Rate Riders (Group 1, excl GA)</v>
      </c>
      <c r="B22" s="118" t="s">
        <v>48</v>
      </c>
      <c r="C22" s="118"/>
      <c r="D22" s="119">
        <v>-0.48799999999999999</v>
      </c>
      <c r="E22" s="137"/>
      <c r="F22" s="119">
        <v>0.38440000000000002</v>
      </c>
      <c r="H22" s="112" t="s">
        <v>126</v>
      </c>
      <c r="I22" s="112" t="s">
        <v>135</v>
      </c>
      <c r="J22" s="112" t="s">
        <v>142</v>
      </c>
    </row>
    <row r="23" spans="1:10" x14ac:dyDescent="0.25">
      <c r="A23" s="115" t="str">
        <f>A10</f>
        <v>GA Rate Riders</v>
      </c>
      <c r="B23" s="118" t="s">
        <v>42</v>
      </c>
      <c r="C23" s="118"/>
      <c r="D23" s="119">
        <v>-7.7999999999999996E-3</v>
      </c>
      <c r="E23" s="137"/>
      <c r="F23" s="119">
        <f>F10</f>
        <v>-2.7000000000000001E-3</v>
      </c>
      <c r="H23" s="112" t="s">
        <v>126</v>
      </c>
      <c r="I23" s="112" t="s">
        <v>135</v>
      </c>
      <c r="J23" s="112" t="s">
        <v>130</v>
      </c>
    </row>
    <row r="24" spans="1:10" ht="26.25" x14ac:dyDescent="0.25">
      <c r="A24" s="179" t="s">
        <v>114</v>
      </c>
      <c r="B24" s="118" t="s">
        <v>48</v>
      </c>
      <c r="C24" s="118"/>
      <c r="D24" s="119">
        <v>-0.80100000000000005</v>
      </c>
      <c r="E24" s="188"/>
      <c r="F24" s="119">
        <v>-3.5000000000000001E-3</v>
      </c>
      <c r="H24" s="112" t="s">
        <v>126</v>
      </c>
      <c r="I24" s="112" t="s">
        <v>136</v>
      </c>
      <c r="J24" s="112" t="s">
        <v>142</v>
      </c>
    </row>
    <row r="25" spans="1:10" ht="30" x14ac:dyDescent="0.25">
      <c r="A25" s="115" t="s">
        <v>102</v>
      </c>
      <c r="B25" s="118" t="s">
        <v>48</v>
      </c>
      <c r="C25" s="118"/>
      <c r="D25" s="119">
        <v>0</v>
      </c>
      <c r="E25" s="188"/>
      <c r="F25" s="119">
        <v>-0.52359999999999995</v>
      </c>
      <c r="H25" s="112" t="s">
        <v>126</v>
      </c>
      <c r="I25" s="185" t="s">
        <v>137</v>
      </c>
      <c r="J25" s="182" t="s">
        <v>143</v>
      </c>
    </row>
    <row r="26" spans="1:10" x14ac:dyDescent="0.25">
      <c r="A26" s="117" t="str">
        <f>A12</f>
        <v>Retail Transmission Rate - Network Service Rate</v>
      </c>
      <c r="B26" s="118" t="s">
        <v>48</v>
      </c>
      <c r="C26" s="118"/>
      <c r="D26" s="119">
        <v>2.5066000000000002</v>
      </c>
      <c r="E26" s="189"/>
      <c r="F26" s="119">
        <v>2.6970000000000001</v>
      </c>
      <c r="H26" s="112" t="s">
        <v>125</v>
      </c>
      <c r="I26" s="112" t="s">
        <v>134</v>
      </c>
      <c r="J26" s="112" t="s">
        <v>130</v>
      </c>
    </row>
    <row r="27" spans="1:10" x14ac:dyDescent="0.25">
      <c r="A27" s="117" t="str">
        <f>A13</f>
        <v>Retail Transmission Rate - Line and Transformation Connection Service Rate</v>
      </c>
      <c r="B27" s="118" t="s">
        <v>48</v>
      </c>
      <c r="C27" s="118"/>
      <c r="D27" s="119">
        <v>2.2787000000000002</v>
      </c>
      <c r="E27" s="190"/>
      <c r="F27" s="119">
        <v>2.2827999999999999</v>
      </c>
      <c r="H27" s="112" t="s">
        <v>125</v>
      </c>
      <c r="I27" s="112" t="s">
        <v>134</v>
      </c>
      <c r="J27" s="112" t="s">
        <v>130</v>
      </c>
    </row>
    <row r="28" spans="1:10" x14ac:dyDescent="0.25">
      <c r="A28" s="117" t="str">
        <f>A14</f>
        <v>Wholesale Market Service Rate (Incl CBR)</v>
      </c>
      <c r="B28" s="118" t="s">
        <v>42</v>
      </c>
      <c r="C28" s="118"/>
      <c r="D28" s="119">
        <f>D14</f>
        <v>3.3999999999999998E-3</v>
      </c>
      <c r="E28" s="188"/>
      <c r="F28" s="119">
        <f>D28</f>
        <v>3.3999999999999998E-3</v>
      </c>
      <c r="H28" s="112" t="s">
        <v>120</v>
      </c>
      <c r="I28" s="112" t="s">
        <v>130</v>
      </c>
      <c r="J28" s="112" t="s">
        <v>130</v>
      </c>
    </row>
    <row r="29" spans="1:10" x14ac:dyDescent="0.25">
      <c r="A29" s="117" t="str">
        <f>A15</f>
        <v>Rural Rate Protection Charge</v>
      </c>
      <c r="B29" s="118" t="s">
        <v>42</v>
      </c>
      <c r="C29" s="118"/>
      <c r="D29" s="119">
        <f>D15</f>
        <v>5.0000000000000001E-4</v>
      </c>
      <c r="E29" s="119"/>
      <c r="F29" s="119">
        <f>D29</f>
        <v>5.0000000000000001E-4</v>
      </c>
      <c r="H29" s="112" t="s">
        <v>124</v>
      </c>
      <c r="I29" s="112" t="s">
        <v>130</v>
      </c>
      <c r="J29" s="112" t="s">
        <v>130</v>
      </c>
    </row>
    <row r="30" spans="1:10" x14ac:dyDescent="0.25">
      <c r="A30" s="115" t="str">
        <f>A17</f>
        <v>Standard Supply Service - Administrative Charge (if applicable)</v>
      </c>
      <c r="B30" s="118" t="s">
        <v>41</v>
      </c>
      <c r="C30" s="118"/>
      <c r="D30" s="188">
        <f>D17</f>
        <v>0.25</v>
      </c>
      <c r="E30" s="188"/>
      <c r="F30" s="188">
        <f>D30</f>
        <v>0.25</v>
      </c>
      <c r="H30" s="112" t="s">
        <v>122</v>
      </c>
      <c r="I30" s="112" t="s">
        <v>130</v>
      </c>
      <c r="J30" s="112" t="s">
        <v>130</v>
      </c>
    </row>
    <row r="31" spans="1:10" x14ac:dyDescent="0.25">
      <c r="B31" s="118"/>
      <c r="C31" s="118"/>
      <c r="D31" s="191"/>
      <c r="E31" s="191"/>
      <c r="F31" s="191"/>
    </row>
    <row r="32" spans="1:10" x14ac:dyDescent="0.25">
      <c r="A32" s="110" t="s">
        <v>49</v>
      </c>
      <c r="B32" s="118"/>
      <c r="C32" s="118"/>
      <c r="D32" s="191"/>
      <c r="E32" s="191"/>
      <c r="F32" s="191"/>
    </row>
    <row r="33" spans="1:15" ht="30" x14ac:dyDescent="0.25">
      <c r="A33" s="117" t="s">
        <v>17</v>
      </c>
      <c r="B33" s="118" t="s">
        <v>41</v>
      </c>
      <c r="C33" s="118"/>
      <c r="D33" s="188">
        <v>54.75</v>
      </c>
      <c r="E33" s="137"/>
      <c r="F33" s="188">
        <v>58.8</v>
      </c>
      <c r="H33" s="112" t="s">
        <v>117</v>
      </c>
      <c r="I33" s="112" t="s">
        <v>130</v>
      </c>
      <c r="J33" s="196" t="s">
        <v>144</v>
      </c>
    </row>
    <row r="34" spans="1:15" ht="30" x14ac:dyDescent="0.25">
      <c r="A34" s="117" t="str">
        <f>A6</f>
        <v>Total Fixed Rate Riders</v>
      </c>
      <c r="B34" s="118" t="s">
        <v>41</v>
      </c>
      <c r="C34" s="118"/>
      <c r="D34" s="188">
        <v>0</v>
      </c>
      <c r="E34" s="137"/>
      <c r="F34" s="188">
        <v>-0.2</v>
      </c>
      <c r="H34" s="112" t="s">
        <v>126</v>
      </c>
      <c r="I34" s="112" t="s">
        <v>130</v>
      </c>
      <c r="J34" s="182" t="s">
        <v>143</v>
      </c>
    </row>
    <row r="35" spans="1:15" ht="30" x14ac:dyDescent="0.25">
      <c r="A35" s="117" t="s">
        <v>18</v>
      </c>
      <c r="B35" s="118" t="s">
        <v>42</v>
      </c>
      <c r="C35" s="118"/>
      <c r="D35" s="119">
        <v>0.14940000000000001</v>
      </c>
      <c r="E35" s="137"/>
      <c r="F35" s="119">
        <v>0.12540000000000001</v>
      </c>
      <c r="I35" s="112" t="s">
        <v>138</v>
      </c>
      <c r="J35" s="196" t="s">
        <v>144</v>
      </c>
    </row>
    <row r="36" spans="1:15" x14ac:dyDescent="0.25">
      <c r="A36" s="115" t="str">
        <f>A22</f>
        <v>Total Deferral/Variance Account Rate Riders (Group 1, excl GA)</v>
      </c>
      <c r="B36" s="118" t="s">
        <v>42</v>
      </c>
      <c r="C36" s="118"/>
      <c r="D36" s="119">
        <v>-1.1999999999999999E-3</v>
      </c>
      <c r="E36" s="137"/>
      <c r="F36" s="119">
        <v>1.1999999999999999E-3</v>
      </c>
      <c r="H36" s="112" t="s">
        <v>126</v>
      </c>
      <c r="I36" s="112" t="s">
        <v>132</v>
      </c>
      <c r="J36" s="112" t="s">
        <v>142</v>
      </c>
    </row>
    <row r="37" spans="1:15" x14ac:dyDescent="0.25">
      <c r="A37" s="115" t="str">
        <f>A23</f>
        <v>GA Rate Riders</v>
      </c>
      <c r="B37" s="118" t="s">
        <v>42</v>
      </c>
      <c r="C37" s="118"/>
      <c r="D37" s="119">
        <v>-7.7999999999999996E-3</v>
      </c>
      <c r="E37" s="137"/>
      <c r="F37" s="119">
        <f>F10</f>
        <v>-2.7000000000000001E-3</v>
      </c>
      <c r="H37" s="112" t="s">
        <v>126</v>
      </c>
      <c r="I37" s="112" t="s">
        <v>132</v>
      </c>
      <c r="J37" s="112" t="s">
        <v>130</v>
      </c>
    </row>
    <row r="38" spans="1:15" x14ac:dyDescent="0.25">
      <c r="A38" s="115" t="s">
        <v>80</v>
      </c>
      <c r="B38" s="118" t="s">
        <v>42</v>
      </c>
      <c r="C38" s="118"/>
      <c r="D38" s="119">
        <v>3.0700000000000002E-2</v>
      </c>
      <c r="E38" s="188"/>
      <c r="F38" s="119">
        <v>3.0700000000000002E-2</v>
      </c>
      <c r="H38" s="112" t="s">
        <v>128</v>
      </c>
      <c r="I38" s="185" t="s">
        <v>130</v>
      </c>
      <c r="J38" s="112" t="s">
        <v>130</v>
      </c>
    </row>
    <row r="39" spans="1:15" ht="26.25" x14ac:dyDescent="0.25">
      <c r="A39" s="179" t="s">
        <v>114</v>
      </c>
      <c r="B39" s="118" t="s">
        <v>42</v>
      </c>
      <c r="C39" s="118"/>
      <c r="D39" s="119">
        <v>-1.9E-3</v>
      </c>
      <c r="E39" s="188"/>
      <c r="F39" s="119">
        <v>2E-3</v>
      </c>
      <c r="H39" s="112" t="s">
        <v>126</v>
      </c>
      <c r="I39" s="112" t="s">
        <v>136</v>
      </c>
      <c r="J39" s="112" t="s">
        <v>130</v>
      </c>
    </row>
    <row r="40" spans="1:15" x14ac:dyDescent="0.25">
      <c r="A40" s="117" t="s">
        <v>43</v>
      </c>
      <c r="B40" s="118" t="s">
        <v>42</v>
      </c>
      <c r="C40" s="118"/>
      <c r="D40" s="119">
        <v>6.6E-3</v>
      </c>
      <c r="E40" s="189"/>
      <c r="F40" s="119">
        <v>7.1000000000000004E-3</v>
      </c>
      <c r="H40" s="112" t="s">
        <v>125</v>
      </c>
      <c r="I40" s="112" t="s">
        <v>136</v>
      </c>
      <c r="J40" s="112" t="s">
        <v>130</v>
      </c>
    </row>
    <row r="41" spans="1:15" x14ac:dyDescent="0.25">
      <c r="A41" s="117" t="s">
        <v>44</v>
      </c>
      <c r="B41" s="118" t="s">
        <v>42</v>
      </c>
      <c r="C41" s="118"/>
      <c r="D41" s="119">
        <v>6.0000000000000001E-3</v>
      </c>
      <c r="E41" s="190"/>
      <c r="F41" s="119">
        <v>6.0000000000000001E-3</v>
      </c>
      <c r="H41" s="112" t="s">
        <v>125</v>
      </c>
      <c r="I41" s="112" t="s">
        <v>136</v>
      </c>
      <c r="J41" s="112" t="s">
        <v>130</v>
      </c>
    </row>
    <row r="42" spans="1:15" x14ac:dyDescent="0.25">
      <c r="A42" s="117" t="str">
        <f>A28</f>
        <v>Wholesale Market Service Rate (Incl CBR)</v>
      </c>
      <c r="B42" s="118" t="s">
        <v>42</v>
      </c>
      <c r="C42" s="118"/>
      <c r="D42" s="119">
        <f>D14</f>
        <v>3.3999999999999998E-3</v>
      </c>
      <c r="E42" s="188"/>
      <c r="F42" s="119">
        <f>D42</f>
        <v>3.3999999999999998E-3</v>
      </c>
      <c r="H42" s="112" t="s">
        <v>120</v>
      </c>
      <c r="I42" s="112" t="s">
        <v>130</v>
      </c>
      <c r="J42" s="112" t="s">
        <v>130</v>
      </c>
    </row>
    <row r="43" spans="1:15" x14ac:dyDescent="0.25">
      <c r="A43" s="117" t="str">
        <f>A29</f>
        <v>Rural Rate Protection Charge</v>
      </c>
      <c r="B43" s="118" t="s">
        <v>42</v>
      </c>
      <c r="C43" s="118"/>
      <c r="D43" s="119">
        <f>D15</f>
        <v>5.0000000000000001E-4</v>
      </c>
      <c r="E43" s="119"/>
      <c r="F43" s="119">
        <f t="shared" ref="F43:F45" si="1">D43</f>
        <v>5.0000000000000001E-4</v>
      </c>
      <c r="H43" s="112" t="s">
        <v>124</v>
      </c>
      <c r="I43" s="112" t="s">
        <v>130</v>
      </c>
      <c r="J43" s="112" t="s">
        <v>130</v>
      </c>
    </row>
    <row r="44" spans="1:15" x14ac:dyDescent="0.25">
      <c r="A44" s="117" t="str">
        <f>A16</f>
        <v>Smart Meter Entity Charge</v>
      </c>
      <c r="B44" s="118" t="s">
        <v>41</v>
      </c>
      <c r="C44" s="118"/>
      <c r="D44" s="188">
        <f>D16</f>
        <v>0.56999999999999995</v>
      </c>
      <c r="E44" s="119"/>
      <c r="F44" s="188">
        <f t="shared" si="1"/>
        <v>0.56999999999999995</v>
      </c>
      <c r="H44" s="112" t="s">
        <v>123</v>
      </c>
      <c r="I44" s="112" t="s">
        <v>130</v>
      </c>
      <c r="J44" s="112" t="s">
        <v>130</v>
      </c>
    </row>
    <row r="45" spans="1:15" x14ac:dyDescent="0.25">
      <c r="A45" s="115" t="str">
        <f>A30</f>
        <v>Standard Supply Service - Administrative Charge (if applicable)</v>
      </c>
      <c r="B45" s="118" t="s">
        <v>41</v>
      </c>
      <c r="C45" s="118"/>
      <c r="D45" s="188">
        <f>D17</f>
        <v>0.25</v>
      </c>
      <c r="E45" s="188"/>
      <c r="F45" s="188">
        <f t="shared" si="1"/>
        <v>0.25</v>
      </c>
      <c r="H45" s="112" t="s">
        <v>122</v>
      </c>
      <c r="I45" s="112" t="s">
        <v>130</v>
      </c>
      <c r="J45" s="112" t="s">
        <v>130</v>
      </c>
    </row>
    <row r="46" spans="1:15" x14ac:dyDescent="0.25">
      <c r="B46" s="118"/>
      <c r="C46" s="118"/>
      <c r="D46" s="191"/>
      <c r="E46" s="191"/>
      <c r="F46" s="191"/>
    </row>
    <row r="47" spans="1:15" x14ac:dyDescent="0.25">
      <c r="A47" s="110" t="s">
        <v>50</v>
      </c>
      <c r="B47" s="118"/>
      <c r="C47" s="118"/>
      <c r="D47" s="192"/>
      <c r="E47" s="191"/>
      <c r="F47" s="192"/>
    </row>
    <row r="48" spans="1:15" ht="30" x14ac:dyDescent="0.25">
      <c r="A48" s="117" t="s">
        <v>17</v>
      </c>
      <c r="B48" s="118" t="s">
        <v>41</v>
      </c>
      <c r="C48" s="118"/>
      <c r="D48" s="188">
        <v>2.0499999999999998</v>
      </c>
      <c r="E48" s="137"/>
      <c r="F48" s="188">
        <v>1.86</v>
      </c>
      <c r="H48" s="112" t="s">
        <v>117</v>
      </c>
      <c r="I48" s="112" t="s">
        <v>138</v>
      </c>
      <c r="J48" s="196" t="s">
        <v>144</v>
      </c>
      <c r="O48" s="121"/>
    </row>
    <row r="49" spans="1:10" ht="30" x14ac:dyDescent="0.25">
      <c r="A49" s="117" t="s">
        <v>18</v>
      </c>
      <c r="B49" s="118" t="s">
        <v>42</v>
      </c>
      <c r="C49" s="118"/>
      <c r="D49" s="119">
        <v>0.33100000000000002</v>
      </c>
      <c r="E49" s="137"/>
      <c r="F49" s="119">
        <v>0.2999</v>
      </c>
      <c r="H49" s="112" t="s">
        <v>117</v>
      </c>
      <c r="I49" s="112" t="s">
        <v>138</v>
      </c>
      <c r="J49" s="196" t="s">
        <v>144</v>
      </c>
    </row>
    <row r="50" spans="1:10" x14ac:dyDescent="0.25">
      <c r="A50" s="115" t="str">
        <f>A36</f>
        <v>Total Deferral/Variance Account Rate Riders (Group 1, excl GA)</v>
      </c>
      <c r="B50" s="118" t="s">
        <v>42</v>
      </c>
      <c r="C50" s="118"/>
      <c r="D50" s="119">
        <v>-1.1000000000000001E-3</v>
      </c>
      <c r="E50" s="137"/>
      <c r="F50" s="119">
        <v>-5.0000000000000001E-4</v>
      </c>
      <c r="H50" s="112" t="s">
        <v>126</v>
      </c>
      <c r="I50" s="112" t="s">
        <v>132</v>
      </c>
      <c r="J50" s="112" t="s">
        <v>142</v>
      </c>
    </row>
    <row r="51" spans="1:10" x14ac:dyDescent="0.25">
      <c r="A51" s="115" t="str">
        <f>A37</f>
        <v>GA Rate Riders</v>
      </c>
      <c r="B51" s="118" t="s">
        <v>42</v>
      </c>
      <c r="C51" s="118"/>
      <c r="D51" s="119">
        <v>-7.7999999999999996E-3</v>
      </c>
      <c r="E51" s="137"/>
      <c r="F51" s="119">
        <f>F10</f>
        <v>-2.7000000000000001E-3</v>
      </c>
      <c r="H51" s="112" t="s">
        <v>126</v>
      </c>
      <c r="I51" s="112" t="s">
        <v>132</v>
      </c>
      <c r="J51" s="112" t="s">
        <v>130</v>
      </c>
    </row>
    <row r="52" spans="1:10" ht="26.25" x14ac:dyDescent="0.25">
      <c r="A52" s="179" t="s">
        <v>114</v>
      </c>
      <c r="B52" s="118" t="s">
        <v>42</v>
      </c>
      <c r="C52" s="118"/>
      <c r="D52" s="119">
        <v>-1.9E-3</v>
      </c>
      <c r="E52" s="188"/>
      <c r="F52" s="119">
        <v>5.45E-2</v>
      </c>
      <c r="H52" s="112" t="s">
        <v>126</v>
      </c>
      <c r="I52" s="112" t="s">
        <v>136</v>
      </c>
      <c r="J52" s="112" t="s">
        <v>130</v>
      </c>
    </row>
    <row r="53" spans="1:10" ht="30" x14ac:dyDescent="0.25">
      <c r="A53" s="115" t="str">
        <f>A25</f>
        <v>Rate Rider for Group 2 Accounts</v>
      </c>
      <c r="B53" s="118" t="s">
        <v>42</v>
      </c>
      <c r="C53" s="118"/>
      <c r="D53" s="119">
        <v>0</v>
      </c>
      <c r="E53" s="188"/>
      <c r="F53" s="119">
        <v>-1.1999999999999999E-3</v>
      </c>
      <c r="H53" s="112" t="s">
        <v>126</v>
      </c>
      <c r="I53" s="112" t="s">
        <v>132</v>
      </c>
      <c r="J53" s="182" t="s">
        <v>143</v>
      </c>
    </row>
    <row r="54" spans="1:10" x14ac:dyDescent="0.25">
      <c r="A54" s="117" t="s">
        <v>43</v>
      </c>
      <c r="B54" s="118" t="s">
        <v>48</v>
      </c>
      <c r="C54" s="118"/>
      <c r="D54" s="119">
        <v>1.8149999999999999</v>
      </c>
      <c r="E54" s="189"/>
      <c r="F54" s="119">
        <v>1.9529000000000001</v>
      </c>
      <c r="H54" s="112" t="s">
        <v>125</v>
      </c>
      <c r="I54" s="112" t="s">
        <v>134</v>
      </c>
      <c r="J54" s="112" t="s">
        <v>130</v>
      </c>
    </row>
    <row r="55" spans="1:10" x14ac:dyDescent="0.25">
      <c r="A55" s="117" t="s">
        <v>44</v>
      </c>
      <c r="B55" s="118" t="s">
        <v>48</v>
      </c>
      <c r="C55" s="118"/>
      <c r="D55" s="119">
        <v>1.6437999999999999</v>
      </c>
      <c r="E55" s="190"/>
      <c r="F55" s="119">
        <v>1.6468</v>
      </c>
      <c r="H55" s="112" t="s">
        <v>125</v>
      </c>
      <c r="I55" s="112" t="s">
        <v>134</v>
      </c>
      <c r="J55" s="112" t="s">
        <v>130</v>
      </c>
    </row>
    <row r="56" spans="1:10" x14ac:dyDescent="0.25">
      <c r="A56" s="117" t="str">
        <f>A42</f>
        <v>Wholesale Market Service Rate (Incl CBR)</v>
      </c>
      <c r="B56" s="118" t="s">
        <v>42</v>
      </c>
      <c r="C56" s="118"/>
      <c r="D56" s="119">
        <f>D42</f>
        <v>3.3999999999999998E-3</v>
      </c>
      <c r="E56" s="188"/>
      <c r="F56" s="119">
        <f>D56</f>
        <v>3.3999999999999998E-3</v>
      </c>
      <c r="H56" s="112" t="s">
        <v>120</v>
      </c>
      <c r="I56" s="112" t="s">
        <v>130</v>
      </c>
      <c r="J56" s="112" t="s">
        <v>130</v>
      </c>
    </row>
    <row r="57" spans="1:10" x14ac:dyDescent="0.25">
      <c r="A57" s="117" t="str">
        <f>A43</f>
        <v>Rural Rate Protection Charge</v>
      </c>
      <c r="B57" s="118" t="s">
        <v>42</v>
      </c>
      <c r="C57" s="118"/>
      <c r="D57" s="119">
        <f>D43</f>
        <v>5.0000000000000001E-4</v>
      </c>
      <c r="E57" s="119"/>
      <c r="F57" s="119">
        <f>D57</f>
        <v>5.0000000000000001E-4</v>
      </c>
      <c r="H57" s="112" t="s">
        <v>124</v>
      </c>
      <c r="I57" s="112" t="s">
        <v>130</v>
      </c>
      <c r="J57" s="112" t="s">
        <v>130</v>
      </c>
    </row>
    <row r="58" spans="1:10" x14ac:dyDescent="0.25">
      <c r="A58" s="115" t="str">
        <f>A45</f>
        <v>Standard Supply Service - Administrative Charge (if applicable)</v>
      </c>
      <c r="B58" s="118" t="s">
        <v>41</v>
      </c>
      <c r="C58" s="118"/>
      <c r="D58" s="188">
        <f>D45</f>
        <v>0.25</v>
      </c>
      <c r="E58" s="188"/>
      <c r="F58" s="188">
        <f>D58</f>
        <v>0.25</v>
      </c>
      <c r="H58" s="112" t="s">
        <v>122</v>
      </c>
      <c r="I58" s="112" t="s">
        <v>130</v>
      </c>
      <c r="J58" s="112" t="s">
        <v>130</v>
      </c>
    </row>
    <row r="59" spans="1:10" x14ac:dyDescent="0.25">
      <c r="B59" s="118"/>
      <c r="C59" s="118"/>
      <c r="D59" s="191"/>
      <c r="E59" s="191"/>
      <c r="F59" s="191"/>
    </row>
    <row r="60" spans="1:10" x14ac:dyDescent="0.25">
      <c r="A60" s="110" t="s">
        <v>51</v>
      </c>
      <c r="B60" s="118"/>
      <c r="C60" s="118"/>
      <c r="D60" s="191"/>
      <c r="E60" s="188"/>
      <c r="F60" s="191"/>
    </row>
    <row r="61" spans="1:10" x14ac:dyDescent="0.25">
      <c r="A61" s="113" t="s">
        <v>52</v>
      </c>
      <c r="B61" s="118" t="s">
        <v>53</v>
      </c>
      <c r="C61" s="118"/>
      <c r="D61" s="119">
        <v>9.1700000000000004E-2</v>
      </c>
      <c r="E61" s="191"/>
      <c r="F61" s="119">
        <v>8.2899999999999974E-2</v>
      </c>
      <c r="H61" s="112" t="s">
        <v>121</v>
      </c>
      <c r="I61" s="112" t="s">
        <v>130</v>
      </c>
      <c r="J61" s="112" t="s">
        <v>130</v>
      </c>
    </row>
    <row r="62" spans="1:10" x14ac:dyDescent="0.25">
      <c r="B62" s="118"/>
      <c r="C62" s="118"/>
      <c r="D62" s="191"/>
      <c r="E62" s="191"/>
      <c r="F62" s="191"/>
    </row>
    <row r="63" spans="1:10" x14ac:dyDescent="0.25">
      <c r="A63" s="110" t="s">
        <v>4</v>
      </c>
      <c r="B63" s="118"/>
      <c r="C63" s="118"/>
      <c r="D63" s="191"/>
      <c r="E63" s="191"/>
      <c r="F63" s="191"/>
    </row>
    <row r="64" spans="1:10" x14ac:dyDescent="0.25">
      <c r="A64" s="113" t="s">
        <v>30</v>
      </c>
      <c r="B64" s="118" t="s">
        <v>42</v>
      </c>
      <c r="C64" s="118"/>
      <c r="D64" s="193">
        <v>0.10100000000000001</v>
      </c>
      <c r="E64" s="191"/>
      <c r="F64" s="193">
        <f>D64</f>
        <v>0.10100000000000001</v>
      </c>
      <c r="H64" s="203" t="s">
        <v>89</v>
      </c>
      <c r="I64" s="112" t="s">
        <v>130</v>
      </c>
      <c r="J64" s="112" t="s">
        <v>130</v>
      </c>
    </row>
    <row r="65" spans="1:10" x14ac:dyDescent="0.25">
      <c r="A65" s="113" t="s">
        <v>31</v>
      </c>
      <c r="B65" s="118" t="s">
        <v>42</v>
      </c>
      <c r="C65" s="118"/>
      <c r="D65" s="193">
        <v>0.14399999999999999</v>
      </c>
      <c r="E65" s="191"/>
      <c r="F65" s="193">
        <f>D65</f>
        <v>0.14399999999999999</v>
      </c>
      <c r="H65" s="203"/>
      <c r="I65" s="112" t="s">
        <v>130</v>
      </c>
      <c r="J65" s="112" t="s">
        <v>130</v>
      </c>
    </row>
    <row r="66" spans="1:10" x14ac:dyDescent="0.25">
      <c r="A66" s="113" t="s">
        <v>32</v>
      </c>
      <c r="B66" s="118" t="s">
        <v>42</v>
      </c>
      <c r="C66" s="118"/>
      <c r="D66" s="193">
        <v>0.20799999999999999</v>
      </c>
      <c r="E66" s="191"/>
      <c r="F66" s="193">
        <f>D66</f>
        <v>0.20799999999999999</v>
      </c>
      <c r="H66" s="203"/>
      <c r="I66" s="112" t="s">
        <v>130</v>
      </c>
      <c r="J66" s="112" t="s">
        <v>130</v>
      </c>
    </row>
    <row r="67" spans="1:10" x14ac:dyDescent="0.25">
      <c r="A67" s="113" t="s">
        <v>90</v>
      </c>
      <c r="B67" s="118" t="s">
        <v>42</v>
      </c>
      <c r="C67" s="118"/>
      <c r="D67" s="193">
        <f>(D64*0.65)+(D65*0.17)+(D66*0.18)</f>
        <v>0.12756999999999999</v>
      </c>
      <c r="E67" s="191"/>
      <c r="F67" s="193">
        <f>(F64*0.65)+(F65*0.17)+(F66*0.18)</f>
        <v>0.12756999999999999</v>
      </c>
      <c r="H67" s="203"/>
      <c r="I67" s="112" t="s">
        <v>130</v>
      </c>
      <c r="J67" s="112" t="s">
        <v>130</v>
      </c>
    </row>
    <row r="68" spans="1:10" x14ac:dyDescent="0.25">
      <c r="B68" s="118"/>
      <c r="C68" s="118"/>
      <c r="D68" s="191"/>
      <c r="E68" s="191"/>
      <c r="F68" s="191"/>
    </row>
    <row r="69" spans="1:10" ht="30" x14ac:dyDescent="0.25">
      <c r="A69" s="113" t="s">
        <v>60</v>
      </c>
      <c r="B69" s="118" t="s">
        <v>42</v>
      </c>
      <c r="C69" s="118"/>
      <c r="D69" s="193">
        <v>0.1101</v>
      </c>
      <c r="E69" s="191"/>
      <c r="F69" s="193">
        <f>D69</f>
        <v>0.1101</v>
      </c>
      <c r="H69" s="182" t="s">
        <v>89</v>
      </c>
      <c r="I69" s="112" t="s">
        <v>130</v>
      </c>
      <c r="J69" s="112" t="s">
        <v>130</v>
      </c>
    </row>
    <row r="70" spans="1:10" x14ac:dyDescent="0.25">
      <c r="B70" s="118"/>
      <c r="C70" s="118"/>
      <c r="D70" s="191"/>
      <c r="E70" s="191"/>
      <c r="F70" s="191"/>
    </row>
    <row r="71" spans="1:10" x14ac:dyDescent="0.25">
      <c r="B71" s="120"/>
      <c r="C71" s="120"/>
      <c r="D71" s="194"/>
      <c r="E71" s="194"/>
      <c r="F71" s="194"/>
    </row>
    <row r="72" spans="1:10" x14ac:dyDescent="0.25">
      <c r="B72" s="120"/>
      <c r="C72" s="120"/>
      <c r="D72" s="194"/>
      <c r="E72" s="194"/>
      <c r="F72" s="194"/>
    </row>
    <row r="73" spans="1:10" x14ac:dyDescent="0.25">
      <c r="B73" s="120"/>
      <c r="C73" s="120"/>
      <c r="D73" s="194"/>
      <c r="E73" s="194"/>
      <c r="F73" s="194"/>
    </row>
  </sheetData>
  <mergeCells count="1">
    <mergeCell ref="H64:H67"/>
  </mergeCells>
  <pageMargins left="0.7" right="0.7" top="0.75" bottom="0.75" header="0.3" footer="0.3"/>
  <pageSetup scale="64" fitToHeight="0" orientation="portrait" r:id="rId1"/>
  <rowBreaks count="1" manualBreakCount="1">
    <brk id="4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Y36"/>
  <sheetViews>
    <sheetView showGridLines="0" tabSelected="1" zoomScale="90" zoomScaleNormal="90" workbookViewId="0">
      <selection activeCell="M39" sqref="M39"/>
    </sheetView>
  </sheetViews>
  <sheetFormatPr defaultRowHeight="15" x14ac:dyDescent="0.25"/>
  <cols>
    <col min="1" max="1" width="4.140625" customWidth="1"/>
    <col min="2" max="2" width="27.85546875" customWidth="1"/>
    <col min="3" max="3" width="11.85546875" customWidth="1"/>
    <col min="4" max="4" width="11.140625" customWidth="1"/>
    <col min="5" max="5" width="2.140625" customWidth="1"/>
    <col min="6" max="6" width="14" bestFit="1" customWidth="1"/>
    <col min="7" max="7" width="15.140625" bestFit="1" customWidth="1"/>
    <col min="8" max="8" width="14" bestFit="1" customWidth="1"/>
    <col min="9" max="9" width="10.7109375" customWidth="1"/>
    <col min="11" max="11" width="27.85546875" customWidth="1"/>
    <col min="12" max="12" width="11.85546875" customWidth="1"/>
    <col min="13" max="13" width="11.140625" customWidth="1"/>
    <col min="14" max="14" width="2.140625" customWidth="1"/>
    <col min="15" max="16" width="10.7109375" customWidth="1"/>
    <col min="17" max="17" width="11.5703125" bestFit="1" customWidth="1"/>
    <col min="18" max="18" width="10.7109375" customWidth="1"/>
    <col min="19" max="19" width="12.7109375" customWidth="1"/>
    <col min="20" max="20" width="10.7109375" customWidth="1"/>
    <col min="21" max="21" width="12.7109375" customWidth="1"/>
    <col min="22" max="22" width="10.7109375" customWidth="1"/>
    <col min="23" max="23" width="14" customWidth="1"/>
    <col min="24" max="24" width="10.7109375" customWidth="1"/>
  </cols>
  <sheetData>
    <row r="3" spans="2:25" ht="16.5" x14ac:dyDescent="0.3">
      <c r="B3" s="214" t="s">
        <v>109</v>
      </c>
      <c r="C3" s="214"/>
      <c r="D3" s="214"/>
      <c r="E3" s="214"/>
      <c r="F3" s="214"/>
      <c r="G3" s="214"/>
      <c r="H3" s="214"/>
      <c r="I3" s="21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2:25" ht="16.5" x14ac:dyDescent="0.3">
      <c r="B4" s="214"/>
      <c r="C4" s="214"/>
      <c r="D4" s="214"/>
      <c r="E4" s="214"/>
      <c r="F4" s="214"/>
      <c r="G4" s="214"/>
      <c r="H4" s="214"/>
      <c r="I4" s="21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2:25" ht="17.25" thickBot="1" x14ac:dyDescent="0.35">
      <c r="B5" s="215"/>
      <c r="C5" s="215"/>
      <c r="D5" s="215"/>
      <c r="E5" s="215"/>
      <c r="F5" s="215"/>
      <c r="G5" s="215"/>
      <c r="H5" s="215"/>
      <c r="I5" s="215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5" ht="16.5" x14ac:dyDescent="0.3">
      <c r="B6" s="211" t="s">
        <v>67</v>
      </c>
      <c r="C6" s="145" t="s">
        <v>68</v>
      </c>
      <c r="D6" s="145" t="s">
        <v>69</v>
      </c>
      <c r="E6" s="146"/>
      <c r="F6" s="206" t="s">
        <v>83</v>
      </c>
      <c r="G6" s="206"/>
      <c r="H6" s="206"/>
      <c r="I6" s="207"/>
      <c r="J6" s="144"/>
      <c r="K6" s="211" t="s">
        <v>67</v>
      </c>
      <c r="L6" s="145" t="s">
        <v>68</v>
      </c>
      <c r="M6" s="145" t="s">
        <v>69</v>
      </c>
      <c r="N6" s="146"/>
      <c r="O6" s="208" t="s">
        <v>110</v>
      </c>
      <c r="P6" s="209"/>
      <c r="Q6" s="209"/>
      <c r="R6" s="209"/>
      <c r="S6" s="209"/>
      <c r="T6" s="209"/>
      <c r="U6" s="209"/>
      <c r="V6" s="210"/>
      <c r="W6" s="206" t="s">
        <v>92</v>
      </c>
      <c r="X6" s="207"/>
      <c r="Y6" s="178"/>
    </row>
    <row r="7" spans="2:25" ht="16.5" x14ac:dyDescent="0.3">
      <c r="B7" s="212"/>
      <c r="C7" s="147" t="s">
        <v>70</v>
      </c>
      <c r="D7" s="147" t="s">
        <v>58</v>
      </c>
      <c r="E7" s="148"/>
      <c r="F7" s="204">
        <v>2019</v>
      </c>
      <c r="G7" s="213">
        <v>2020</v>
      </c>
      <c r="H7" s="204" t="s">
        <v>71</v>
      </c>
      <c r="I7" s="205"/>
      <c r="J7" s="144"/>
      <c r="K7" s="212"/>
      <c r="L7" s="147" t="s">
        <v>70</v>
      </c>
      <c r="M7" s="147" t="s">
        <v>58</v>
      </c>
      <c r="N7" s="148"/>
      <c r="O7" s="204" t="s">
        <v>111</v>
      </c>
      <c r="P7" s="204"/>
      <c r="Q7" s="204" t="s">
        <v>91</v>
      </c>
      <c r="R7" s="204"/>
      <c r="S7" s="204" t="s">
        <v>93</v>
      </c>
      <c r="T7" s="204"/>
      <c r="U7" s="204" t="s">
        <v>94</v>
      </c>
      <c r="V7" s="205"/>
      <c r="W7" s="204" t="s">
        <v>72</v>
      </c>
      <c r="X7" s="205"/>
      <c r="Y7" s="178"/>
    </row>
    <row r="8" spans="2:25" ht="16.5" x14ac:dyDescent="0.3">
      <c r="B8" s="150"/>
      <c r="C8" s="151"/>
      <c r="D8" s="151"/>
      <c r="E8" s="152"/>
      <c r="F8" s="204"/>
      <c r="G8" s="213"/>
      <c r="H8" s="153" t="s">
        <v>41</v>
      </c>
      <c r="I8" s="154" t="s">
        <v>53</v>
      </c>
      <c r="J8" s="144"/>
      <c r="K8" s="150"/>
      <c r="L8" s="151"/>
      <c r="M8" s="151"/>
      <c r="N8" s="152"/>
      <c r="O8" s="153" t="s">
        <v>41</v>
      </c>
      <c r="P8" s="153" t="s">
        <v>53</v>
      </c>
      <c r="Q8" s="153" t="s">
        <v>41</v>
      </c>
      <c r="R8" s="153" t="s">
        <v>53</v>
      </c>
      <c r="S8" s="153" t="s">
        <v>41</v>
      </c>
      <c r="T8" s="153" t="s">
        <v>53</v>
      </c>
      <c r="U8" s="153" t="s">
        <v>41</v>
      </c>
      <c r="V8" s="154" t="s">
        <v>53</v>
      </c>
      <c r="W8" s="153" t="s">
        <v>41</v>
      </c>
      <c r="X8" s="154" t="s">
        <v>53</v>
      </c>
      <c r="Y8" s="178"/>
    </row>
    <row r="9" spans="2:25" ht="16.5" x14ac:dyDescent="0.3">
      <c r="B9" s="155" t="s">
        <v>84</v>
      </c>
      <c r="C9" s="156">
        <f>Residential_R1RPP_10th_PCT!F10</f>
        <v>269</v>
      </c>
      <c r="D9" s="156">
        <v>0</v>
      </c>
      <c r="E9" s="149"/>
      <c r="F9" s="157">
        <f>Residential_R1RPP_10th_PCT!H20</f>
        <v>36.3489</v>
      </c>
      <c r="G9" s="157">
        <f>Residential_R1RPP_10th_PCT!L20</f>
        <v>35.7714</v>
      </c>
      <c r="H9" s="157">
        <f>G9-F9</f>
        <v>-0.57750000000000057</v>
      </c>
      <c r="I9" s="158">
        <f>IF(ISBLANK(F9),"",H9/F9)</f>
        <v>-1.5887688485758868E-2</v>
      </c>
      <c r="J9" s="144"/>
      <c r="K9" s="155" t="str">
        <f>B9</f>
        <v>Residential - R1(i) (RPP)</v>
      </c>
      <c r="L9" s="156">
        <f t="shared" ref="L9:M20" si="0">C9</f>
        <v>269</v>
      </c>
      <c r="M9" s="156">
        <f t="shared" si="0"/>
        <v>0</v>
      </c>
      <c r="N9" s="149"/>
      <c r="O9" s="157">
        <f>SUM(Residential_R1RPP_10th_PCT!N15:N17)</f>
        <v>5.3290705182007514E-15</v>
      </c>
      <c r="P9" s="159">
        <f>O9/SUM(Residential_R1RPP_10th_PCT!H15:H17)</f>
        <v>1.4457597716225587E-16</v>
      </c>
      <c r="Q9" s="157">
        <f>Residential_R1RPP_10th_PCT!N20</f>
        <v>-0.57750000000000057</v>
      </c>
      <c r="R9" s="159">
        <f>Residential_R1RPP_10th_PCT!O20</f>
        <v>-1.5887688485758868E-2</v>
      </c>
      <c r="S9" s="157">
        <f>Residential_R1RPP_10th_PCT!N25</f>
        <v>-0.26078370399999784</v>
      </c>
      <c r="T9" s="159">
        <f>Residential_R1RPP_10th_PCT!O25</f>
        <v>-6.5573288041621451E-3</v>
      </c>
      <c r="U9" s="157">
        <f>Residential_R1RPP_10th_PCT!N28</f>
        <v>-0.14496037400000006</v>
      </c>
      <c r="V9" s="158">
        <f>Residential_R1RPP_10th_PCT!O28</f>
        <v>-3.3347210146899677E-3</v>
      </c>
      <c r="W9" s="157">
        <f>Residential_R1RPP_10th_PCT!N39</f>
        <v>-0.1252042726480056</v>
      </c>
      <c r="X9" s="158">
        <f>Residential_R1RPP_10th_PCT!O39</f>
        <v>-1.9473256501723591E-3</v>
      </c>
      <c r="Y9" s="178"/>
    </row>
    <row r="10" spans="2:25" ht="16.5" x14ac:dyDescent="0.3">
      <c r="B10" s="155" t="s">
        <v>84</v>
      </c>
      <c r="C10" s="156">
        <f>Residential_R1RPP_750!F10</f>
        <v>750</v>
      </c>
      <c r="D10" s="156">
        <v>0</v>
      </c>
      <c r="E10" s="149"/>
      <c r="F10" s="157">
        <f>Residential_R1RPP_750!H20</f>
        <v>35.435000000000002</v>
      </c>
      <c r="G10" s="157">
        <f>Residential_R1RPP_750!L20</f>
        <v>36.06</v>
      </c>
      <c r="H10" s="160">
        <f>G10-F10</f>
        <v>0.625</v>
      </c>
      <c r="I10" s="158">
        <f>IF(ISBLANK(F10),"",H10/F10)</f>
        <v>1.7637928601665021E-2</v>
      </c>
      <c r="J10" s="144"/>
      <c r="K10" s="155" t="str">
        <f t="shared" ref="K10:K11" si="1">B10</f>
        <v>Residential - R1(i) (RPP)</v>
      </c>
      <c r="L10" s="156">
        <f t="shared" si="0"/>
        <v>750</v>
      </c>
      <c r="M10" s="156">
        <f t="shared" si="0"/>
        <v>0</v>
      </c>
      <c r="N10" s="149"/>
      <c r="O10" s="157">
        <f>SUM(Residential_R1RPP_750!N15:N17)</f>
        <v>-3.5527136788005009E-15</v>
      </c>
      <c r="P10" s="159">
        <f>O10/SUM(Residential_R1RPP_750!H15:H17)</f>
        <v>-9.6383984774837254E-17</v>
      </c>
      <c r="Q10" s="157">
        <f>Residential_R1RPP_750!N20</f>
        <v>0.625</v>
      </c>
      <c r="R10" s="159">
        <f>Residential_R1RPP_750!O20</f>
        <v>1.7637928601665021E-2</v>
      </c>
      <c r="S10" s="157">
        <f>Residential_R1RPP_750!N25</f>
        <v>1.5080380000000133</v>
      </c>
      <c r="T10" s="159">
        <f>Residential_R1RPP_750!O25</f>
        <v>3.430975124254141E-2</v>
      </c>
      <c r="U10" s="157">
        <f>Residential_R1RPP_750!N28</f>
        <v>1.830965500000012</v>
      </c>
      <c r="V10" s="158">
        <f>Residential_R1RPP_750!O28</f>
        <v>3.373795892291117E-2</v>
      </c>
      <c r="W10" s="157">
        <f>Residential_R1RPP_750!N39</f>
        <v>1.4658431059999941</v>
      </c>
      <c r="X10" s="158">
        <f>Residential_R1RPP_750!O39</f>
        <v>1.1768790275659975E-2</v>
      </c>
      <c r="Y10" s="178"/>
    </row>
    <row r="11" spans="2:25" ht="16.5" x14ac:dyDescent="0.3">
      <c r="B11" s="155" t="s">
        <v>95</v>
      </c>
      <c r="C11" s="156">
        <f>Residential_R1RET_750!F10</f>
        <v>750</v>
      </c>
      <c r="D11" s="156">
        <v>0</v>
      </c>
      <c r="E11" s="149"/>
      <c r="F11" s="157">
        <f>Residential_R1RET_750!H20</f>
        <v>35.435000000000002</v>
      </c>
      <c r="G11" s="157">
        <f>Residential_R1RET_750!L20</f>
        <v>36.06</v>
      </c>
      <c r="H11" s="160">
        <f>G11-F11</f>
        <v>0.625</v>
      </c>
      <c r="I11" s="158">
        <f>IF(ISBLANK(F11),"",H11/F11)</f>
        <v>1.7637928601665021E-2</v>
      </c>
      <c r="J11" s="144"/>
      <c r="K11" s="155" t="str">
        <f t="shared" si="1"/>
        <v>Residential - R1(i) (Retailer)</v>
      </c>
      <c r="L11" s="156">
        <f t="shared" si="0"/>
        <v>750</v>
      </c>
      <c r="M11" s="156">
        <f t="shared" si="0"/>
        <v>0</v>
      </c>
      <c r="N11" s="149"/>
      <c r="O11" s="157">
        <f>SUM(Residential_R1RET_750!N15:N17)</f>
        <v>-3.5527136788005009E-15</v>
      </c>
      <c r="P11" s="159">
        <f>O11/SUM(Residential_R1RET_750!H15:H17)</f>
        <v>-9.6383984774837254E-17</v>
      </c>
      <c r="Q11" s="157">
        <f>Residential_R1RET_750!N20</f>
        <v>0.625</v>
      </c>
      <c r="R11" s="159">
        <f>Residential_R1RET_750!O20</f>
        <v>1.7637928601665021E-2</v>
      </c>
      <c r="S11" s="157">
        <f>Residential_R1RET_750!N26</f>
        <v>5.4483400000000088</v>
      </c>
      <c r="T11" s="159">
        <f>Residential_R1RET_750!O26</f>
        <v>0.14764297803697121</v>
      </c>
      <c r="U11" s="157">
        <f>Residential_R1RET_750!N29</f>
        <v>5.7712675000000075</v>
      </c>
      <c r="V11" s="158">
        <f>Residential_R1RET_750!O29</f>
        <v>0.12222421237098019</v>
      </c>
      <c r="W11" s="157">
        <f>Residential_R1RET_750!N38</f>
        <v>4.6653683300000068</v>
      </c>
      <c r="X11" s="158">
        <f>Residential_R1RET_750!O38</f>
        <v>4.3122639847973133E-2</v>
      </c>
      <c r="Y11" s="178"/>
    </row>
    <row r="12" spans="2:25" ht="16.5" x14ac:dyDescent="0.3">
      <c r="B12" s="155" t="s">
        <v>85</v>
      </c>
      <c r="C12" s="156">
        <f>Residential_R1GSRPP_2000!F10</f>
        <v>2000</v>
      </c>
      <c r="D12" s="156">
        <v>0</v>
      </c>
      <c r="E12" s="149"/>
      <c r="F12" s="157">
        <f>Residential_R1GSRPP_2000!H19</f>
        <v>94.04</v>
      </c>
      <c r="G12" s="157">
        <f>Residential_R1GSRPP_2000!L19</f>
        <v>98.89</v>
      </c>
      <c r="H12" s="157">
        <f>G12-F12</f>
        <v>4.8499999999999943</v>
      </c>
      <c r="I12" s="158">
        <f>IF(ISBLANK(F12),"",H12/F12)</f>
        <v>5.1573798383666464E-2</v>
      </c>
      <c r="J12" s="144"/>
      <c r="K12" s="155" t="str">
        <f t="shared" ref="K12:K20" si="2">B12</f>
        <v>Residential - R1(ii) (RPP)</v>
      </c>
      <c r="L12" s="156">
        <f t="shared" si="0"/>
        <v>2000</v>
      </c>
      <c r="M12" s="156">
        <f t="shared" si="0"/>
        <v>0</v>
      </c>
      <c r="N12" s="149"/>
      <c r="O12" s="157">
        <f>SUM(Residential_R1GSRPP_2000!N15:N16)</f>
        <v>1.0999999999999979</v>
      </c>
      <c r="P12" s="159">
        <f>O12/SUM(Residential_R1GSRPP_2000!H15:H16)</f>
        <v>1.1242845461978719E-2</v>
      </c>
      <c r="Q12" s="157">
        <f>Residential_R1GSRPP_2000!N19</f>
        <v>4.8499999999999943</v>
      </c>
      <c r="R12" s="159">
        <f>Residential_R1GSRPP_2000!O19</f>
        <v>5.1573798383666464E-2</v>
      </c>
      <c r="S12" s="157">
        <f>Residential_R1GSRPP_2000!N24</f>
        <v>7.2047680000000014</v>
      </c>
      <c r="T12" s="159">
        <f>Residential_R1GSRPP_2000!O24</f>
        <v>6.2213935130217175E-2</v>
      </c>
      <c r="U12" s="157">
        <f>Residential_R1GSRPP_2000!N27</f>
        <v>8.0659080000000074</v>
      </c>
      <c r="V12" s="158">
        <f>Residential_R1GSRPP_2000!O27</f>
        <v>5.6280120168149067E-2</v>
      </c>
      <c r="W12" s="157">
        <f>Residential_R1GSRPP_2000!N38</f>
        <v>6.4937816159999784</v>
      </c>
      <c r="X12" s="158">
        <f>Residential_R1GSRPP_2000!O38</f>
        <v>1.9638574041443101E-2</v>
      </c>
      <c r="Y12" s="178"/>
    </row>
    <row r="13" spans="2:25" ht="16.5" x14ac:dyDescent="0.3">
      <c r="B13" s="155" t="s">
        <v>96</v>
      </c>
      <c r="C13" s="156">
        <f>Residential_R1GSRET_2000!F10</f>
        <v>2000</v>
      </c>
      <c r="D13" s="156">
        <v>0</v>
      </c>
      <c r="E13" s="149"/>
      <c r="F13" s="157">
        <f>Residential_R1GSRET_2000!H19</f>
        <v>94.04</v>
      </c>
      <c r="G13" s="157">
        <f>Residential_R1GSRET_2000!L19</f>
        <v>98.89</v>
      </c>
      <c r="H13" s="157">
        <f>G13-F13</f>
        <v>4.8499999999999943</v>
      </c>
      <c r="I13" s="158">
        <f>IF(ISBLANK(F13),"",H13/F13)</f>
        <v>5.1573798383666464E-2</v>
      </c>
      <c r="J13" s="144"/>
      <c r="K13" s="155" t="str">
        <f t="shared" si="2"/>
        <v>Residential - R1(ii) (Retailer)</v>
      </c>
      <c r="L13" s="156">
        <f t="shared" si="0"/>
        <v>2000</v>
      </c>
      <c r="M13" s="156">
        <f t="shared" si="0"/>
        <v>0</v>
      </c>
      <c r="N13" s="149"/>
      <c r="O13" s="157">
        <f>SUM(Residential_R1GSRET_2000!N15:N16)</f>
        <v>1.0999999999999979</v>
      </c>
      <c r="P13" s="159">
        <f>O13/SUM(Residential_R1GSRET_2000!H15:H16)</f>
        <v>1.1242845461978719E-2</v>
      </c>
      <c r="Q13" s="157">
        <f>Residential_R1GSRET_2000!N19</f>
        <v>4.8499999999999943</v>
      </c>
      <c r="R13" s="159">
        <f>Residential_R1GSRET_2000!O19</f>
        <v>5.1573798383666464E-2</v>
      </c>
      <c r="S13" s="157">
        <f>Residential_R1GSRET_2000!N25</f>
        <v>17.712240000000008</v>
      </c>
      <c r="T13" s="159">
        <f>Residential_R1GSRET_2000!O25</f>
        <v>0.18259600747775792</v>
      </c>
      <c r="U13" s="157">
        <f>Residential_R1GSRET_2000!N28</f>
        <v>18.573380000000014</v>
      </c>
      <c r="V13" s="158">
        <f>Residential_R1GSRET_2000!O28</f>
        <v>0.14916798366245262</v>
      </c>
      <c r="W13" s="157">
        <f>Residential_R1GSRET_2000!N37</f>
        <v>15.025848879999955</v>
      </c>
      <c r="X13" s="158">
        <f>Residential_R1GSRET_2000!O37</f>
        <v>5.2350406434972227E-2</v>
      </c>
      <c r="Y13" s="178"/>
    </row>
    <row r="14" spans="2:25" ht="16.5" x14ac:dyDescent="0.3">
      <c r="B14" s="155" t="s">
        <v>86</v>
      </c>
      <c r="C14" s="156">
        <f>'Residential - R2'!F9</f>
        <v>90000</v>
      </c>
      <c r="D14" s="161">
        <f>'Residential - R2'!K9</f>
        <v>225</v>
      </c>
      <c r="E14" s="149"/>
      <c r="F14" s="157">
        <f>'Residential - R2'!H17</f>
        <v>1249.08</v>
      </c>
      <c r="G14" s="157">
        <f>'Residential - R2'!L17</f>
        <v>1327.4275</v>
      </c>
      <c r="H14" s="157">
        <f t="shared" ref="H14:H20" si="3">G14-F14</f>
        <v>78.347500000000082</v>
      </c>
      <c r="I14" s="158">
        <f t="shared" ref="I14:I20" si="4">IF(ISBLANK(F14),"",H14/F14)</f>
        <v>6.2724164985429348E-2</v>
      </c>
      <c r="J14" s="144"/>
      <c r="K14" s="155" t="str">
        <f t="shared" si="2"/>
        <v>Residential - R2 (non-RPP)</v>
      </c>
      <c r="L14" s="156">
        <f t="shared" si="0"/>
        <v>90000</v>
      </c>
      <c r="M14" s="156">
        <f t="shared" si="0"/>
        <v>225</v>
      </c>
      <c r="N14" s="149"/>
      <c r="O14" s="157">
        <f>SUM('Residential - R2'!N14:N15)</f>
        <v>16.719999999999914</v>
      </c>
      <c r="P14" s="159">
        <f>O14/SUM('Residential - R2'!H14:H15)</f>
        <v>1.1697993080553075E-2</v>
      </c>
      <c r="Q14" s="157">
        <f>'Residential - R2'!N17</f>
        <v>78.347500000000082</v>
      </c>
      <c r="R14" s="159">
        <f>'Residential - R2'!O17</f>
        <v>6.2724164985429348E-2</v>
      </c>
      <c r="S14" s="157">
        <f>'Residential - R2'!N23</f>
        <v>733.63750000000005</v>
      </c>
      <c r="T14" s="159">
        <f>'Residential - R2'!O23</f>
        <v>1.6777293724844495</v>
      </c>
      <c r="U14" s="157">
        <f>'Residential - R2'!N26</f>
        <v>771.55301725000004</v>
      </c>
      <c r="V14" s="158">
        <f>'Residential - R2'!O26</f>
        <v>0.478421608719034</v>
      </c>
      <c r="W14" s="157">
        <f>'Residential - R2'!N34</f>
        <v>769.82946949250254</v>
      </c>
      <c r="X14" s="158">
        <f>'Residential - R2'!O34</f>
        <v>5.3166520938100821E-2</v>
      </c>
      <c r="Y14" s="178"/>
    </row>
    <row r="15" spans="2:25" ht="16.5" x14ac:dyDescent="0.3">
      <c r="B15" s="155" t="s">
        <v>115</v>
      </c>
      <c r="C15" s="156">
        <f>'Residential - R2 Large'!F9</f>
        <v>2500000</v>
      </c>
      <c r="D15" s="161">
        <f>'Residential - R2 Large'!K9</f>
        <v>5000</v>
      </c>
      <c r="E15" s="149"/>
      <c r="F15" s="157">
        <f>'Residential - R2 Large'!H17</f>
        <v>13751.939999999999</v>
      </c>
      <c r="G15" s="157">
        <f>'Residential - R2 Large'!L17</f>
        <v>15329.16</v>
      </c>
      <c r="H15" s="157">
        <f t="shared" ref="H15" si="5">G15-F15</f>
        <v>1577.2200000000012</v>
      </c>
      <c r="I15" s="158">
        <f t="shared" ref="I15" si="6">IF(ISBLANK(F15),"",H15/F15)</f>
        <v>0.11469072727193409</v>
      </c>
      <c r="J15" s="144"/>
      <c r="K15" s="155" t="str">
        <f t="shared" si="2"/>
        <v>Residential - R2 (Class A)</v>
      </c>
      <c r="L15" s="156">
        <f t="shared" si="0"/>
        <v>2500000</v>
      </c>
      <c r="M15" s="156">
        <f t="shared" si="0"/>
        <v>5000</v>
      </c>
      <c r="N15" s="149"/>
      <c r="O15" s="157">
        <f>SUM('Residential - R2 Large'!N14:N15)</f>
        <v>207.71999999999991</v>
      </c>
      <c r="P15" s="159">
        <f>O15/SUM('Residential - R2 Large'!H14:H15)</f>
        <v>1.1697961473091644E-2</v>
      </c>
      <c r="Q15" s="157">
        <f>'Residential - R2 Large'!N17</f>
        <v>1577.2200000000012</v>
      </c>
      <c r="R15" s="159">
        <f>'Residential - R2 Large'!O17</f>
        <v>0.11469072727193409</v>
      </c>
      <c r="S15" s="157">
        <f>'Residential - R2 Large'!N23</f>
        <v>5939.2200000000012</v>
      </c>
      <c r="T15" s="159">
        <f>'Residential - R2 Large'!O23</f>
        <v>0.52503991357804247</v>
      </c>
      <c r="U15" s="157">
        <f>'Residential - R2 Large'!N26</f>
        <v>6781.7870500000063</v>
      </c>
      <c r="V15" s="158">
        <f>'Residential - R2 Large'!O26</f>
        <v>0.18117376720607276</v>
      </c>
      <c r="W15" s="157">
        <f>'Residential - R2 Large'!N34</f>
        <v>4829.3793665001867</v>
      </c>
      <c r="X15" s="158">
        <f>'Residential - R2 Large'!O34</f>
        <v>1.2261011467334111E-2</v>
      </c>
      <c r="Y15" s="178"/>
    </row>
    <row r="16" spans="2:25" ht="16.5" x14ac:dyDescent="0.3">
      <c r="B16" s="155" t="s">
        <v>87</v>
      </c>
      <c r="C16" s="156">
        <f>Seasonal_RPP_10th_PCT!F10</f>
        <v>50</v>
      </c>
      <c r="D16" s="156">
        <v>0</v>
      </c>
      <c r="E16" s="149"/>
      <c r="F16" s="157">
        <f>Seasonal_RPP_10th_PCT!H19</f>
        <v>63.66</v>
      </c>
      <c r="G16" s="157">
        <f>Seasonal_RPP_10th_PCT!L19</f>
        <v>66.504999999999995</v>
      </c>
      <c r="H16" s="157">
        <f>G16-F16</f>
        <v>2.8449999999999989</v>
      </c>
      <c r="I16" s="158">
        <f>IF(ISBLANK(F16),"",H16/F16)</f>
        <v>4.4690543512409663E-2</v>
      </c>
      <c r="J16" s="144"/>
      <c r="K16" s="155" t="str">
        <f t="shared" ref="K16:M17" si="7">B16</f>
        <v>Seasonal (RPP)</v>
      </c>
      <c r="L16" s="156">
        <f t="shared" si="7"/>
        <v>50</v>
      </c>
      <c r="M16" s="156">
        <f t="shared" si="7"/>
        <v>0</v>
      </c>
      <c r="N16" s="149"/>
      <c r="O16" s="157">
        <f>SUM(Seasonal_RPP_10th_PCT!N15:N16)</f>
        <v>2.849999999999997</v>
      </c>
      <c r="P16" s="159">
        <f>O16/SUM(Seasonal_RPP_10th_PCT!H15:H16)</f>
        <v>4.5805207328833128E-2</v>
      </c>
      <c r="Q16" s="157">
        <f>Seasonal_RPP_10th_PCT!N19</f>
        <v>2.8449999999999989</v>
      </c>
      <c r="R16" s="159">
        <f>Seasonal_RPP_10th_PCT!O19</f>
        <v>4.4690543512409663E-2</v>
      </c>
      <c r="S16" s="157">
        <f>Seasonal_RPP_10th_PCT!N24</f>
        <v>2.908869199999998</v>
      </c>
      <c r="T16" s="159">
        <f>Seasonal_RPP_10th_PCT!O24</f>
        <v>4.4921215543777024E-2</v>
      </c>
      <c r="U16" s="157">
        <f>Seasonal_RPP_10th_PCT!N27</f>
        <v>2.9303977000000003</v>
      </c>
      <c r="V16" s="158">
        <f>Seasonal_RPP_10th_PCT!O27</f>
        <v>4.4778082508661714E-2</v>
      </c>
      <c r="W16" s="157">
        <f>Seasonal_RPP_10th_PCT!N38</f>
        <v>2.3780895404000049</v>
      </c>
      <c r="X16" s="158">
        <f>Seasonal_RPP_10th_PCT!O38</f>
        <v>4.0516286184112155E-2</v>
      </c>
      <c r="Y16" s="178"/>
    </row>
    <row r="17" spans="2:25" ht="16.5" x14ac:dyDescent="0.3">
      <c r="B17" s="155" t="s">
        <v>87</v>
      </c>
      <c r="C17" s="156">
        <f>Seasonal_RPP_AVG!F10</f>
        <v>153</v>
      </c>
      <c r="D17" s="156">
        <v>0</v>
      </c>
      <c r="E17" s="149"/>
      <c r="F17" s="157">
        <f>Seasonal_RPP_AVG!H19</f>
        <v>82.014600000000002</v>
      </c>
      <c r="G17" s="157">
        <f>Seasonal_RPP_AVG!L19</f>
        <v>82.789299999999997</v>
      </c>
      <c r="H17" s="157">
        <f t="shared" ref="H17" si="8">G17-F17</f>
        <v>0.77469999999999573</v>
      </c>
      <c r="I17" s="158">
        <f t="shared" ref="I17" si="9">IF(ISBLANK(F17),"",H17/F17)</f>
        <v>9.4458791483467055E-3</v>
      </c>
      <c r="J17" s="144"/>
      <c r="K17" s="155" t="str">
        <f t="shared" si="7"/>
        <v>Seasonal (RPP)</v>
      </c>
      <c r="L17" s="156">
        <f t="shared" si="7"/>
        <v>153</v>
      </c>
      <c r="M17" s="156">
        <f t="shared" si="7"/>
        <v>0</v>
      </c>
      <c r="N17" s="149"/>
      <c r="O17" s="157">
        <f>SUM(Seasonal_RPP_AVG!N15:N16)</f>
        <v>0.37800000000000011</v>
      </c>
      <c r="P17" s="159">
        <f>O17/SUM(Seasonal_RPP_AVG!H15:H16)</f>
        <v>4.870619341770588E-3</v>
      </c>
      <c r="Q17" s="157">
        <f>Seasonal_RPP_AVG!N19</f>
        <v>0.77469999999999573</v>
      </c>
      <c r="R17" s="159">
        <f>Seasonal_RPP_AVG!O19</f>
        <v>9.4458791483467055E-3</v>
      </c>
      <c r="S17" s="157">
        <f>Seasonal_RPP_AVG!N24</f>
        <v>0.97013975200000857</v>
      </c>
      <c r="T17" s="159">
        <f>Seasonal_RPP_AVG!O24</f>
        <v>1.1523106125439957E-2</v>
      </c>
      <c r="U17" s="157">
        <f>Seasonal_RPP_AVG!N27</f>
        <v>1.036016962000005</v>
      </c>
      <c r="V17" s="158">
        <f>Seasonal_RPP_AVG!O27</f>
        <v>1.2005471584821861E-2</v>
      </c>
      <c r="W17" s="157">
        <f>Seasonal_RPP_AVG!N38</f>
        <v>0.83698199362400771</v>
      </c>
      <c r="X17" s="158">
        <f>Seasonal_RPP_AVG!O38</f>
        <v>9.6590521104579028E-3</v>
      </c>
      <c r="Y17" s="178"/>
    </row>
    <row r="18" spans="2:25" ht="16.5" x14ac:dyDescent="0.3">
      <c r="B18" s="155" t="s">
        <v>87</v>
      </c>
      <c r="C18" s="156">
        <f>Seasonal_RPP_750!F10</f>
        <v>750</v>
      </c>
      <c r="D18" s="156">
        <v>0</v>
      </c>
      <c r="E18" s="149"/>
      <c r="F18" s="157">
        <f>Seasonal_RPP_750!H19</f>
        <v>188.4</v>
      </c>
      <c r="G18" s="157">
        <f>Seasonal_RPP_750!L19</f>
        <v>177.17500000000004</v>
      </c>
      <c r="H18" s="157">
        <f t="shared" si="3"/>
        <v>-11.224999999999966</v>
      </c>
      <c r="I18" s="158">
        <f t="shared" si="4"/>
        <v>-5.958067940551999E-2</v>
      </c>
      <c r="J18" s="144"/>
      <c r="K18" s="155" t="str">
        <f t="shared" si="2"/>
        <v>Seasonal (RPP)</v>
      </c>
      <c r="L18" s="156">
        <f t="shared" si="0"/>
        <v>750</v>
      </c>
      <c r="M18" s="156">
        <f t="shared" si="0"/>
        <v>0</v>
      </c>
      <c r="N18" s="149"/>
      <c r="O18" s="157">
        <f>SUM(Seasonal_RPP_750!N15:N16)</f>
        <v>-13.949999999999989</v>
      </c>
      <c r="P18" s="159">
        <f>O18/SUM(Seasonal_RPP_750!H15:H16)</f>
        <v>-8.363309352517978E-2</v>
      </c>
      <c r="Q18" s="157">
        <f>Seasonal_RPP_750!N19</f>
        <v>-11.224999999999966</v>
      </c>
      <c r="R18" s="159">
        <f>Seasonal_RPP_750!O19</f>
        <v>-5.958067940551999E-2</v>
      </c>
      <c r="S18" s="157">
        <f>Seasonal_RPP_750!N24</f>
        <v>-10.151659999999964</v>
      </c>
      <c r="T18" s="159">
        <f>Seasonal_RPP_750!O24</f>
        <v>-5.1888926632123057E-2</v>
      </c>
      <c r="U18" s="157">
        <f>Seasonal_RPP_750!N27</f>
        <v>-9.8287324999999441</v>
      </c>
      <c r="V18" s="158">
        <f>Seasonal_RPP_750!O27</f>
        <v>-4.7721862965312549E-2</v>
      </c>
      <c r="W18" s="157">
        <f>Seasonal_RPP_750!N38</f>
        <v>-8.001831669999973</v>
      </c>
      <c r="X18" s="158">
        <f>Seasonal_RPP_750!O38</f>
        <v>-3.2301335375249644E-2</v>
      </c>
      <c r="Y18" s="178"/>
    </row>
    <row r="19" spans="2:25" ht="16.5" x14ac:dyDescent="0.3">
      <c r="B19" s="155" t="s">
        <v>97</v>
      </c>
      <c r="C19" s="156">
        <f>Seasonal_RET_750!F10</f>
        <v>750</v>
      </c>
      <c r="D19" s="156">
        <v>0</v>
      </c>
      <c r="E19" s="149"/>
      <c r="F19" s="157">
        <f>Seasonal_RET_750!H19</f>
        <v>188.4</v>
      </c>
      <c r="G19" s="157">
        <f>Seasonal_RET_750!L19</f>
        <v>177.17500000000004</v>
      </c>
      <c r="H19" s="157">
        <f t="shared" ref="H19" si="10">G19-F19</f>
        <v>-11.224999999999966</v>
      </c>
      <c r="I19" s="158">
        <f t="shared" ref="I19" si="11">IF(ISBLANK(F19),"",H19/F19)</f>
        <v>-5.958067940551999E-2</v>
      </c>
      <c r="J19" s="144"/>
      <c r="K19" s="155" t="str">
        <f t="shared" si="2"/>
        <v>Seasonal (Retailer)</v>
      </c>
      <c r="L19" s="156">
        <f t="shared" si="0"/>
        <v>750</v>
      </c>
      <c r="M19" s="156">
        <f t="shared" si="0"/>
        <v>0</v>
      </c>
      <c r="N19" s="149"/>
      <c r="O19" s="157">
        <f>SUM(Seasonal_RET_750!N15:N16)</f>
        <v>-13.949999999999989</v>
      </c>
      <c r="P19" s="159">
        <f>O19/SUM(Seasonal_RET_750!H15:H16)</f>
        <v>-8.363309352517978E-2</v>
      </c>
      <c r="Q19" s="157">
        <f>Seasonal_RET_750!N19</f>
        <v>-11.224999999999966</v>
      </c>
      <c r="R19" s="159">
        <f>Seasonal_RET_750!O19</f>
        <v>-5.958067940551999E-2</v>
      </c>
      <c r="S19" s="157">
        <f>Seasonal_RET_750!N25</f>
        <v>-6.4419619999999327</v>
      </c>
      <c r="T19" s="159">
        <f>Seasonal_RET_750!O25</f>
        <v>-3.3728675189942867E-2</v>
      </c>
      <c r="U19" s="157">
        <f>Seasonal_RET_750!N28</f>
        <v>-6.1190344999999411</v>
      </c>
      <c r="V19" s="158">
        <f>Seasonal_RET_750!O28</f>
        <v>-3.0396049235296312E-2</v>
      </c>
      <c r="W19" s="157">
        <f>Seasonal_RET_750!N37</f>
        <v>-4.9895568940000032</v>
      </c>
      <c r="X19" s="158">
        <f>Seasonal_RET_750!O37</f>
        <v>-2.1385892223849221E-2</v>
      </c>
      <c r="Y19" s="178"/>
    </row>
    <row r="20" spans="2:25" ht="17.25" thickBot="1" x14ac:dyDescent="0.35">
      <c r="B20" s="155" t="s">
        <v>88</v>
      </c>
      <c r="C20" s="156">
        <f>'Street Lighting Non-RPP'!F9</f>
        <v>3228.3580670422507</v>
      </c>
      <c r="D20" s="162">
        <f>'Street Lighting Non-RPP'!K9</f>
        <v>8.9700106739245076</v>
      </c>
      <c r="E20" s="149"/>
      <c r="F20" s="157">
        <f>'Street Lighting Non-RPP'!H17</f>
        <v>1216.2026398636049</v>
      </c>
      <c r="G20" s="157">
        <f>'Street Lighting Non-RPP'!L17</f>
        <v>1279.7560692793229</v>
      </c>
      <c r="H20" s="157">
        <f t="shared" si="3"/>
        <v>63.553429415718028</v>
      </c>
      <c r="I20" s="158">
        <f t="shared" si="4"/>
        <v>5.2255625282021621E-2</v>
      </c>
      <c r="J20" s="144"/>
      <c r="K20" s="163" t="str">
        <f t="shared" si="2"/>
        <v>Street Lighting (non-RPP)</v>
      </c>
      <c r="L20" s="164">
        <f t="shared" si="0"/>
        <v>3228.3580670422507</v>
      </c>
      <c r="M20" s="164">
        <f t="shared" si="0"/>
        <v>8.9700106739245076</v>
      </c>
      <c r="N20" s="165"/>
      <c r="O20" s="166">
        <f>SUM('Street Lighting Non-RPP'!N14:N15)</f>
        <v>-114.65193588501415</v>
      </c>
      <c r="P20" s="167">
        <f>O20/SUM('Street Lighting Non-RPP'!H14:H15)</f>
        <v>-9.3797357757993069E-2</v>
      </c>
      <c r="Q20" s="166">
        <f>'Street Lighting Non-RPP'!N17</f>
        <v>63.553429415718028</v>
      </c>
      <c r="R20" s="167">
        <f>'Street Lighting Non-RPP'!O17</f>
        <v>5.2255625282021621E-2</v>
      </c>
      <c r="S20" s="166">
        <f>'Street Lighting Non-RPP'!N23</f>
        <v>78.827178833862945</v>
      </c>
      <c r="T20" s="167">
        <f>'Street Lighting Non-RPP'!O23</f>
        <v>6.4609036191919239E-2</v>
      </c>
      <c r="U20" s="166">
        <f>'Street Lighting Non-RPP'!N26</f>
        <v>79.922804372509745</v>
      </c>
      <c r="V20" s="168">
        <f>'Street Lighting Non-RPP'!O26</f>
        <v>6.3737607009661287E-2</v>
      </c>
      <c r="W20" s="166">
        <f>'Street Lighting Non-RPP'!N35</f>
        <v>64.807349784402959</v>
      </c>
      <c r="X20" s="168">
        <f>'Street Lighting Non-RPP'!O35</f>
        <v>4.9164330621987794E-2</v>
      </c>
      <c r="Y20" s="178"/>
    </row>
    <row r="21" spans="2:25" ht="17.25" thickBot="1" x14ac:dyDescent="0.35">
      <c r="B21" s="169"/>
      <c r="C21" s="170"/>
      <c r="D21" s="170"/>
      <c r="E21" s="149"/>
      <c r="F21" s="171"/>
      <c r="G21" s="171"/>
      <c r="H21" s="171"/>
      <c r="I21" s="172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2:25" ht="16.5" x14ac:dyDescent="0.3">
      <c r="B22" s="211" t="s">
        <v>67</v>
      </c>
      <c r="C22" s="145" t="s">
        <v>68</v>
      </c>
      <c r="D22" s="145" t="s">
        <v>69</v>
      </c>
      <c r="E22" s="146"/>
      <c r="F22" s="206" t="s">
        <v>72</v>
      </c>
      <c r="G22" s="206"/>
      <c r="H22" s="206"/>
      <c r="I22" s="207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2:25" ht="16.5" x14ac:dyDescent="0.3">
      <c r="B23" s="212"/>
      <c r="C23" s="147" t="s">
        <v>70</v>
      </c>
      <c r="D23" s="147" t="s">
        <v>58</v>
      </c>
      <c r="E23" s="148"/>
      <c r="F23" s="204">
        <v>2019</v>
      </c>
      <c r="G23" s="213">
        <v>2020</v>
      </c>
      <c r="H23" s="204" t="s">
        <v>71</v>
      </c>
      <c r="I23" s="205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pans="2:25" ht="16.5" x14ac:dyDescent="0.3">
      <c r="B24" s="150"/>
      <c r="C24" s="151"/>
      <c r="D24" s="151"/>
      <c r="E24" s="152"/>
      <c r="F24" s="204"/>
      <c r="G24" s="213"/>
      <c r="H24" s="153" t="s">
        <v>41</v>
      </c>
      <c r="I24" s="154" t="s">
        <v>53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2:25" ht="16.5" x14ac:dyDescent="0.3">
      <c r="B25" s="155" t="str">
        <f>B9</f>
        <v>Residential - R1(i) (RPP)</v>
      </c>
      <c r="C25" s="156">
        <f t="shared" ref="C25:D31" si="12">C9</f>
        <v>269</v>
      </c>
      <c r="D25" s="156">
        <f t="shared" si="12"/>
        <v>0</v>
      </c>
      <c r="E25" s="149"/>
      <c r="F25" s="157">
        <f>Residential_R1RPP_10th_PCT!H39</f>
        <v>64.295498103732001</v>
      </c>
      <c r="G25" s="157">
        <f>Residential_R1RPP_10th_PCT!L39</f>
        <v>64.170293831083995</v>
      </c>
      <c r="H25" s="157">
        <f>G25-F25</f>
        <v>-0.1252042726480056</v>
      </c>
      <c r="I25" s="158">
        <f>IF(ISBLANK(F25),"",H25/F25)</f>
        <v>-1.9473256501723591E-3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2:25" ht="16.5" x14ac:dyDescent="0.3">
      <c r="B26" s="155" t="str">
        <f t="shared" ref="B26:B36" si="13">B10</f>
        <v>Residential - R1(i) (RPP)</v>
      </c>
      <c r="C26" s="156">
        <f t="shared" si="12"/>
        <v>750</v>
      </c>
      <c r="D26" s="156">
        <f t="shared" si="12"/>
        <v>0</v>
      </c>
      <c r="E26" s="149"/>
      <c r="F26" s="157">
        <f>Residential_R1RPP_750!H39</f>
        <v>124.55342237099998</v>
      </c>
      <c r="G26" s="157">
        <f>Residential_R1RPP_750!L39</f>
        <v>126.01926547699998</v>
      </c>
      <c r="H26" s="157">
        <f>G26-F26</f>
        <v>1.4658431059999941</v>
      </c>
      <c r="I26" s="158">
        <f>IF(ISBLANK(F26),"",H26/F26)</f>
        <v>1.1768790275659975E-2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2:25" ht="16.5" x14ac:dyDescent="0.3">
      <c r="B27" s="155" t="str">
        <f t="shared" si="13"/>
        <v>Residential - R1(i) (Retailer)</v>
      </c>
      <c r="C27" s="156">
        <f t="shared" si="12"/>
        <v>750</v>
      </c>
      <c r="D27" s="156">
        <f t="shared" si="12"/>
        <v>0</v>
      </c>
      <c r="E27" s="149"/>
      <c r="F27" s="157">
        <f>Residential_R1RET_750!H38</f>
        <v>108.18837497999999</v>
      </c>
      <c r="G27" s="157">
        <f>Residential_R1RET_750!L38</f>
        <v>112.85374331</v>
      </c>
      <c r="H27" s="157">
        <f>G27-F27</f>
        <v>4.6653683300000068</v>
      </c>
      <c r="I27" s="158">
        <f>IF(ISBLANK(F27),"",H27/F27)</f>
        <v>4.3122639847973133E-2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25" ht="16.5" x14ac:dyDescent="0.3">
      <c r="B28" s="155" t="str">
        <f t="shared" si="13"/>
        <v>Residential - R1(ii) (RPP)</v>
      </c>
      <c r="C28" s="156">
        <f t="shared" si="12"/>
        <v>2000</v>
      </c>
      <c r="D28" s="156">
        <f t="shared" si="12"/>
        <v>0</v>
      </c>
      <c r="E28" s="149"/>
      <c r="F28" s="157">
        <f>Residential_R1GSRPP_2000!H38</f>
        <v>330.66461965600001</v>
      </c>
      <c r="G28" s="157">
        <f>Residential_R1GSRPP_2000!L38</f>
        <v>337.15840127199999</v>
      </c>
      <c r="H28" s="157">
        <f>G28-F28</f>
        <v>6.4937816159999784</v>
      </c>
      <c r="I28" s="158">
        <f>IF(ISBLANK(F28),"",H28/F28)</f>
        <v>1.9638574041443101E-2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2:25" ht="16.5" x14ac:dyDescent="0.3">
      <c r="B29" s="155" t="str">
        <f t="shared" si="13"/>
        <v>Residential - R1(ii) (Retailer)</v>
      </c>
      <c r="C29" s="156">
        <f t="shared" si="12"/>
        <v>2000</v>
      </c>
      <c r="D29" s="156">
        <f t="shared" si="12"/>
        <v>0</v>
      </c>
      <c r="E29" s="149"/>
      <c r="F29" s="157">
        <f>Residential_R1GSRET_2000!H37</f>
        <v>287.02449328</v>
      </c>
      <c r="G29" s="157">
        <f>Residential_R1GSRET_2000!L37</f>
        <v>302.05034215999996</v>
      </c>
      <c r="H29" s="157">
        <f>G29-F29</f>
        <v>15.025848879999955</v>
      </c>
      <c r="I29" s="158">
        <f>IF(ISBLANK(F29),"",H29/F29)</f>
        <v>5.2350406434972227E-2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2:25" ht="16.5" x14ac:dyDescent="0.3">
      <c r="B30" s="155" t="str">
        <f t="shared" si="13"/>
        <v>Residential - R2 (non-RPP)</v>
      </c>
      <c r="C30" s="156">
        <f t="shared" si="12"/>
        <v>90000</v>
      </c>
      <c r="D30" s="161">
        <f t="shared" si="12"/>
        <v>225</v>
      </c>
      <c r="E30" s="149"/>
      <c r="F30" s="157">
        <f>'Residential - R2'!H34</f>
        <v>14479.590838542497</v>
      </c>
      <c r="G30" s="157">
        <f>'Residential - R2'!L34</f>
        <v>15249.420308035</v>
      </c>
      <c r="H30" s="157">
        <f t="shared" ref="H30:H36" si="14">G30-F30</f>
        <v>769.82946949250254</v>
      </c>
      <c r="I30" s="158">
        <f t="shared" ref="I30:I36" si="15">IF(ISBLANK(F30),"",H30/F30)</f>
        <v>5.3166520938100821E-2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2:25" ht="16.5" x14ac:dyDescent="0.3">
      <c r="B31" s="155" t="str">
        <f t="shared" si="13"/>
        <v>Residential - R2 (Class A)</v>
      </c>
      <c r="C31" s="156">
        <f t="shared" si="12"/>
        <v>2500000</v>
      </c>
      <c r="D31" s="161">
        <f t="shared" si="12"/>
        <v>5000</v>
      </c>
      <c r="E31" s="149"/>
      <c r="F31" s="157">
        <f>'Residential - R2 Large'!H34</f>
        <v>393880.9925564999</v>
      </c>
      <c r="G31" s="157">
        <f>'Residential - R2 Large'!L34</f>
        <v>398710.37192300009</v>
      </c>
      <c r="H31" s="157">
        <f t="shared" ref="H31" si="16">G31-F31</f>
        <v>4829.3793665001867</v>
      </c>
      <c r="I31" s="158">
        <f t="shared" ref="I31" si="17">IF(ISBLANK(F31),"",H31/F31)</f>
        <v>1.2261011467334111E-2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2:25" ht="16.5" x14ac:dyDescent="0.3">
      <c r="B32" s="155" t="str">
        <f t="shared" si="13"/>
        <v>Seasonal (RPP)</v>
      </c>
      <c r="C32" s="173">
        <f t="shared" ref="C32:D35" si="18">C16</f>
        <v>50</v>
      </c>
      <c r="D32" s="156">
        <f t="shared" si="18"/>
        <v>0</v>
      </c>
      <c r="E32" s="149"/>
      <c r="F32" s="157">
        <f>Seasonal_RPP_10th_PCT!H38</f>
        <v>58.694657491400001</v>
      </c>
      <c r="G32" s="157">
        <f>Seasonal_RPP_10th_PCT!L38</f>
        <v>61.072747031800006</v>
      </c>
      <c r="H32" s="157">
        <f>G32-F32</f>
        <v>2.3780895404000049</v>
      </c>
      <c r="I32" s="174">
        <f>IF(ISBLANK(F32),"",H32/F32)</f>
        <v>4.0516286184112155E-2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ht="16.5" x14ac:dyDescent="0.3">
      <c r="B33" s="155" t="str">
        <f t="shared" si="13"/>
        <v>Seasonal (RPP)</v>
      </c>
      <c r="C33" s="173">
        <f t="shared" si="18"/>
        <v>153</v>
      </c>
      <c r="D33" s="156">
        <f t="shared" si="18"/>
        <v>0</v>
      </c>
      <c r="E33" s="149"/>
      <c r="F33" s="157">
        <f>Seasonal_RPP_AVG!H38</f>
        <v>86.652601523684012</v>
      </c>
      <c r="G33" s="157">
        <f>Seasonal_RPP_AVG!L38</f>
        <v>87.48958351730802</v>
      </c>
      <c r="H33" s="157">
        <f t="shared" ref="H33" si="19">G33-F33</f>
        <v>0.83698199362400771</v>
      </c>
      <c r="I33" s="158">
        <f t="shared" ref="I33" si="20">IF(ISBLANK(F33),"",H33/F33)</f>
        <v>9.6590521104579028E-3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ht="16.5" x14ac:dyDescent="0.3">
      <c r="B34" s="155" t="str">
        <f t="shared" si="13"/>
        <v>Seasonal (RPP)</v>
      </c>
      <c r="C34" s="156">
        <f t="shared" si="18"/>
        <v>750</v>
      </c>
      <c r="D34" s="156">
        <f t="shared" si="18"/>
        <v>0</v>
      </c>
      <c r="E34" s="149"/>
      <c r="F34" s="157">
        <f>Seasonal_RPP_750!H38</f>
        <v>247.72448498</v>
      </c>
      <c r="G34" s="157">
        <f>Seasonal_RPP_750!L38</f>
        <v>239.72265331000003</v>
      </c>
      <c r="H34" s="157">
        <f t="shared" si="14"/>
        <v>-8.001831669999973</v>
      </c>
      <c r="I34" s="158">
        <f t="shared" si="15"/>
        <v>-3.2301335375249644E-2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ht="16.5" x14ac:dyDescent="0.3">
      <c r="B35" s="175" t="str">
        <f t="shared" si="13"/>
        <v>Seasonal (Retailer)</v>
      </c>
      <c r="C35" s="173">
        <f t="shared" si="18"/>
        <v>750</v>
      </c>
      <c r="D35" s="173">
        <f t="shared" si="18"/>
        <v>0</v>
      </c>
      <c r="E35" s="149"/>
      <c r="F35" s="157">
        <f>Seasonal_RET_750!H37</f>
        <v>233.31067237100004</v>
      </c>
      <c r="G35" s="157">
        <f>Seasonal_RET_750!L37</f>
        <v>228.32111547700003</v>
      </c>
      <c r="H35" s="157">
        <f t="shared" ref="H35" si="21">G35-F35</f>
        <v>-4.9895568940000032</v>
      </c>
      <c r="I35" s="158">
        <f t="shared" ref="I35" si="22">IF(ISBLANK(F35),"",H35/F35)</f>
        <v>-2.1385892223849221E-2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ht="17.25" thickBot="1" x14ac:dyDescent="0.35">
      <c r="B36" s="163" t="str">
        <f t="shared" si="13"/>
        <v>Street Lighting (non-RPP)</v>
      </c>
      <c r="C36" s="164">
        <f t="shared" ref="C36" si="23">C20</f>
        <v>3228.3580670422507</v>
      </c>
      <c r="D36" s="176">
        <f t="shared" ref="D36" si="24">D20</f>
        <v>8.9700106739245076</v>
      </c>
      <c r="E36" s="165"/>
      <c r="F36" s="166">
        <f>'Street Lighting Non-RPP'!H35</f>
        <v>1318.1782191379848</v>
      </c>
      <c r="G36" s="166">
        <f>'Street Lighting Non-RPP'!L35</f>
        <v>1382.9855689223878</v>
      </c>
      <c r="H36" s="166">
        <f t="shared" si="14"/>
        <v>64.807349784402959</v>
      </c>
      <c r="I36" s="168">
        <f t="shared" si="15"/>
        <v>4.9164330621987794E-2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</sheetData>
  <mergeCells count="19">
    <mergeCell ref="B3:I5"/>
    <mergeCell ref="B6:B7"/>
    <mergeCell ref="F6:I6"/>
    <mergeCell ref="F7:F8"/>
    <mergeCell ref="G7:G8"/>
    <mergeCell ref="H7:I7"/>
    <mergeCell ref="K6:K7"/>
    <mergeCell ref="O7:P7"/>
    <mergeCell ref="B22:B23"/>
    <mergeCell ref="F22:I22"/>
    <mergeCell ref="F23:F24"/>
    <mergeCell ref="G23:G24"/>
    <mergeCell ref="H23:I23"/>
    <mergeCell ref="S7:T7"/>
    <mergeCell ref="U7:V7"/>
    <mergeCell ref="W6:X6"/>
    <mergeCell ref="W7:X7"/>
    <mergeCell ref="O6:V6"/>
    <mergeCell ref="Q7:R7"/>
  </mergeCells>
  <pageMargins left="0.7" right="0.7" top="0.75" bottom="0.75" header="0.3" footer="0.3"/>
  <pageSetup scale="73" orientation="landscape" verticalDpi="1200" r:id="rId1"/>
  <colBreaks count="2" manualBreakCount="2">
    <brk id="10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S44"/>
  <sheetViews>
    <sheetView showGridLines="0" topLeftCell="A7" zoomScaleNormal="100" workbookViewId="0">
      <selection activeCell="J38" sqref="J38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65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1.2800000000000001E-2</v>
      </c>
      <c r="K16" s="19">
        <f>$F$10</f>
        <v>750</v>
      </c>
      <c r="L16" s="20">
        <f t="shared" ref="L16:L19" si="1">K16*J16</f>
        <v>9.6</v>
      </c>
      <c r="M16" s="21"/>
      <c r="N16" s="23">
        <f t="shared" ref="N16:N20" si="2">L16-H16</f>
        <v>-3.3000000000000007</v>
      </c>
      <c r="O16" s="24">
        <f t="shared" ref="O16:O20" si="3">IF((H16)=0,"",(N16/H16))</f>
        <v>-0.25581395348837216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-19.46</v>
      </c>
      <c r="M17" s="21"/>
      <c r="N17" s="23">
        <f t="shared" si="2"/>
        <v>-1.1900000000000048</v>
      </c>
      <c r="O17" s="24">
        <f t="shared" si="3"/>
        <v>6.513409961685851E-2</v>
      </c>
    </row>
    <row r="18" spans="2:19" x14ac:dyDescent="0.25">
      <c r="B18" s="16" t="s">
        <v>98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-1.25</v>
      </c>
      <c r="K18" s="19">
        <v>1</v>
      </c>
      <c r="L18" s="20">
        <f t="shared" si="1"/>
        <v>-1.25</v>
      </c>
      <c r="M18" s="21"/>
      <c r="N18" s="23">
        <f t="shared" si="2"/>
        <v>-1.25</v>
      </c>
      <c r="O18" s="24" t="str">
        <f t="shared" si="3"/>
        <v/>
      </c>
    </row>
    <row r="19" spans="2:19" x14ac:dyDescent="0.25">
      <c r="B19" s="134" t="s">
        <v>100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5.9999999999999995E-4</v>
      </c>
      <c r="K19" s="19">
        <f t="shared" ref="K19" si="5">$F$10</f>
        <v>750</v>
      </c>
      <c r="L19" s="20">
        <f t="shared" si="1"/>
        <v>0.44999999999999996</v>
      </c>
      <c r="M19" s="21"/>
      <c r="N19" s="23">
        <f t="shared" si="2"/>
        <v>1.875</v>
      </c>
      <c r="O19" s="24">
        <f t="shared" si="3"/>
        <v>-1.3157894736842104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36.06</v>
      </c>
      <c r="M20" s="31"/>
      <c r="N20" s="34">
        <f t="shared" si="2"/>
        <v>0.625</v>
      </c>
      <c r="O20" s="35">
        <f t="shared" si="3"/>
        <v>1.7637928601665021E-2</v>
      </c>
    </row>
    <row r="21" spans="2:19" x14ac:dyDescent="0.25">
      <c r="B21" s="39" t="s">
        <v>21</v>
      </c>
      <c r="C21" s="16"/>
      <c r="D21" s="17" t="s">
        <v>55</v>
      </c>
      <c r="E21" s="18"/>
      <c r="F21" s="139">
        <f>Rates!D67</f>
        <v>0.12756999999999999</v>
      </c>
      <c r="G21" s="41">
        <f>$F$10*(1+$F$42)-$F$10</f>
        <v>68.774999999999864</v>
      </c>
      <c r="H21" s="20">
        <f>G21*F21</f>
        <v>8.7736267499999823</v>
      </c>
      <c r="I21" s="21"/>
      <c r="J21" s="140">
        <f>Rates!F67</f>
        <v>0.12756999999999999</v>
      </c>
      <c r="K21" s="41">
        <f>$F$10*(1+$J$42)-$F$10</f>
        <v>62.174999999999955</v>
      </c>
      <c r="L21" s="20">
        <f>K21*J21</f>
        <v>7.9316647499999933</v>
      </c>
      <c r="M21" s="21"/>
      <c r="N21" s="23">
        <f>L21-H21</f>
        <v>-0.841961999999989</v>
      </c>
      <c r="O21" s="24">
        <f>IF((H21)=0,"",(N21/H21))</f>
        <v>-9.5965103598690329E-2</v>
      </c>
    </row>
    <row r="22" spans="2:19" ht="25.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750</v>
      </c>
      <c r="H22" s="20">
        <f t="shared" ref="H22" si="7">G22*F22</f>
        <v>-0.82500000000000007</v>
      </c>
      <c r="I22" s="37"/>
      <c r="J22" s="140">
        <f>Rates!F9</f>
        <v>1.1999999999999999E-3</v>
      </c>
      <c r="K22" s="19">
        <f t="shared" ref="K22:K23" si="8">$F$10</f>
        <v>750</v>
      </c>
      <c r="L22" s="20">
        <f t="shared" ref="L22" si="9">K22*J22</f>
        <v>0.89999999999999991</v>
      </c>
      <c r="M22" s="38"/>
      <c r="N22" s="23">
        <f t="shared" ref="N22" si="10">L22-H22</f>
        <v>1.7250000000000001</v>
      </c>
      <c r="O22" s="24">
        <f t="shared" ref="O22" si="11">IF((H22)=0,"",(N22/H22))</f>
        <v>-2.0909090909090908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139">
        <f>Rates!D16</f>
        <v>0.56999999999999995</v>
      </c>
      <c r="G24" s="19">
        <v>1</v>
      </c>
      <c r="H24" s="20">
        <f>G24*F24</f>
        <v>0.56999999999999995</v>
      </c>
      <c r="I24" s="21"/>
      <c r="J24" s="139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43.953626749999984</v>
      </c>
      <c r="I25" s="31"/>
      <c r="J25" s="46"/>
      <c r="K25" s="48"/>
      <c r="L25" s="47">
        <f>SUM(L21:L24)+L20</f>
        <v>45.461664749999997</v>
      </c>
      <c r="M25" s="31"/>
      <c r="N25" s="34">
        <f t="shared" ref="N25:N39" si="12">L25-H25</f>
        <v>1.5080380000000133</v>
      </c>
      <c r="O25" s="35">
        <f t="shared" ref="O25:O39" si="13">IF((H25)=0,"",(N25/H25))</f>
        <v>3.430975124254141E-2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818.77499999999986</v>
      </c>
      <c r="H26" s="20">
        <f>G26*F26</f>
        <v>5.4039149999999987</v>
      </c>
      <c r="I26" s="21"/>
      <c r="J26" s="140">
        <f>Rates!F12</f>
        <v>7.1000000000000004E-3</v>
      </c>
      <c r="K26" s="52">
        <f>F10*(1+J42)</f>
        <v>812.17499999999995</v>
      </c>
      <c r="L26" s="20">
        <f>K26*J26</f>
        <v>5.7664425000000001</v>
      </c>
      <c r="M26" s="21"/>
      <c r="N26" s="23">
        <f t="shared" si="12"/>
        <v>0.36252750000000145</v>
      </c>
      <c r="O26" s="24">
        <f t="shared" si="13"/>
        <v>6.708608481073472E-2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Rates!F13</f>
        <v>6.0000000000000001E-3</v>
      </c>
      <c r="K27" s="52">
        <f>K26</f>
        <v>812.17499999999995</v>
      </c>
      <c r="L27" s="20">
        <f>K27*J27</f>
        <v>4.8730500000000001</v>
      </c>
      <c r="M27" s="21"/>
      <c r="N27" s="23">
        <f t="shared" si="12"/>
        <v>-3.9599999999999191E-2</v>
      </c>
      <c r="O27" s="24">
        <f t="shared" si="13"/>
        <v>-8.0608225703030327E-3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54.270191749999981</v>
      </c>
      <c r="I28" s="55"/>
      <c r="J28" s="56"/>
      <c r="K28" s="57"/>
      <c r="L28" s="47">
        <f>SUM(L25:L27)</f>
        <v>56.101157249999993</v>
      </c>
      <c r="M28" s="55"/>
      <c r="N28" s="34">
        <f t="shared" si="12"/>
        <v>1.830965500000012</v>
      </c>
      <c r="O28" s="35">
        <f t="shared" si="13"/>
        <v>3.373795892291117E-2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818.77499999999986</v>
      </c>
      <c r="H29" s="59">
        <f t="shared" ref="H29:H34" si="14">G29*F29</f>
        <v>2.7838349999999994</v>
      </c>
      <c r="I29" s="21"/>
      <c r="J29" s="141">
        <f>Rates!F14</f>
        <v>3.3999999999999998E-3</v>
      </c>
      <c r="K29" s="52">
        <f>K27</f>
        <v>812.17499999999995</v>
      </c>
      <c r="L29" s="59">
        <f t="shared" ref="L29:L34" si="15">K29*J29</f>
        <v>2.7613949999999998</v>
      </c>
      <c r="M29" s="21"/>
      <c r="N29" s="23">
        <f t="shared" si="12"/>
        <v>-2.2439999999999571E-2</v>
      </c>
      <c r="O29" s="60">
        <f t="shared" si="13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818.77499999999986</v>
      </c>
      <c r="H30" s="59">
        <f t="shared" si="14"/>
        <v>0.40938749999999996</v>
      </c>
      <c r="I30" s="21"/>
      <c r="J30" s="141">
        <f>Rates!F15</f>
        <v>5.0000000000000001E-4</v>
      </c>
      <c r="K30" s="52">
        <f>K27</f>
        <v>812.17499999999995</v>
      </c>
      <c r="L30" s="59">
        <f t="shared" si="15"/>
        <v>0.40608749999999999</v>
      </c>
      <c r="M30" s="21"/>
      <c r="N30" s="23">
        <f t="shared" si="12"/>
        <v>-3.2999999999999696E-3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0.10100000000000001</v>
      </c>
      <c r="G32" s="62">
        <f>0.65*$F$10</f>
        <v>487.5</v>
      </c>
      <c r="H32" s="59">
        <f t="shared" si="14"/>
        <v>49.237500000000004</v>
      </c>
      <c r="I32" s="21"/>
      <c r="J32" s="61">
        <f>Rates!F64</f>
        <v>0.10100000000000001</v>
      </c>
      <c r="K32" s="62">
        <f>G32</f>
        <v>487.5</v>
      </c>
      <c r="L32" s="59">
        <f t="shared" si="15"/>
        <v>49.237500000000004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0.14399999999999999</v>
      </c>
      <c r="G33" s="62">
        <f>0.17*$F$10</f>
        <v>127.50000000000001</v>
      </c>
      <c r="H33" s="59">
        <f t="shared" si="14"/>
        <v>18.36</v>
      </c>
      <c r="I33" s="21"/>
      <c r="J33" s="61">
        <f>Rates!F65</f>
        <v>0.14399999999999999</v>
      </c>
      <c r="K33" s="62">
        <f>G33</f>
        <v>127.50000000000001</v>
      </c>
      <c r="L33" s="59">
        <f t="shared" si="15"/>
        <v>18.36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0.20799999999999999</v>
      </c>
      <c r="G34" s="62">
        <f>0.18*$F$10</f>
        <v>135</v>
      </c>
      <c r="H34" s="59">
        <f t="shared" si="14"/>
        <v>28.08</v>
      </c>
      <c r="I34" s="21"/>
      <c r="J34" s="61">
        <f>Rates!F66</f>
        <v>0.20799999999999999</v>
      </c>
      <c r="K34" s="62">
        <f>G34</f>
        <v>135</v>
      </c>
      <c r="L34" s="59">
        <f t="shared" si="15"/>
        <v>28.08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153.39091424999998</v>
      </c>
      <c r="I36" s="79"/>
      <c r="J36" s="80"/>
      <c r="K36" s="80"/>
      <c r="L36" s="104">
        <f>SUM(L29:L34,L28)</f>
        <v>155.19613974999999</v>
      </c>
      <c r="M36" s="81"/>
      <c r="N36" s="82">
        <f t="shared" ref="N36" si="16">L36-H36</f>
        <v>1.8052255000000059</v>
      </c>
      <c r="O36" s="83">
        <f t="shared" ref="O36" si="17">IF((H36)=0,"",(N36/H36))</f>
        <v>1.176879027566006E-2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19.940818852499998</v>
      </c>
      <c r="I37" s="88"/>
      <c r="J37" s="89">
        <v>0.13</v>
      </c>
      <c r="K37" s="88"/>
      <c r="L37" s="90">
        <f>L36*J37</f>
        <v>20.175498167499999</v>
      </c>
      <c r="M37" s="91"/>
      <c r="N37" s="92">
        <f t="shared" si="12"/>
        <v>0.23467931500000105</v>
      </c>
      <c r="O37" s="93">
        <f t="shared" si="13"/>
        <v>1.1768790275660074E-2</v>
      </c>
      <c r="S37" s="63"/>
    </row>
    <row r="38" spans="1:19" x14ac:dyDescent="0.25">
      <c r="B38" s="84" t="s">
        <v>82</v>
      </c>
      <c r="C38" s="16"/>
      <c r="D38" s="16"/>
      <c r="E38" s="16"/>
      <c r="F38" s="197">
        <v>0.318</v>
      </c>
      <c r="G38" s="86"/>
      <c r="H38" s="87">
        <f>H36*-F38</f>
        <v>-48.778310731499992</v>
      </c>
      <c r="I38" s="88"/>
      <c r="J38" s="198">
        <f>F38</f>
        <v>0.318</v>
      </c>
      <c r="K38" s="88"/>
      <c r="L38" s="92">
        <f>L36*-J38</f>
        <v>-49.352372440499998</v>
      </c>
      <c r="M38" s="91"/>
      <c r="N38" s="92">
        <f t="shared" si="12"/>
        <v>-0.57406170900000575</v>
      </c>
      <c r="O38" s="93">
        <f t="shared" si="13"/>
        <v>1.176879027566014E-2</v>
      </c>
      <c r="S38" s="63"/>
    </row>
    <row r="39" spans="1:19" s="105" customFormat="1" ht="15.75" thickBot="1" x14ac:dyDescent="0.3">
      <c r="B39" s="94" t="s">
        <v>75</v>
      </c>
      <c r="C39" s="122"/>
      <c r="D39" s="122"/>
      <c r="E39" s="122"/>
      <c r="F39" s="127"/>
      <c r="G39" s="128"/>
      <c r="H39" s="129">
        <f>SUM(H36:H38)</f>
        <v>124.55342237099998</v>
      </c>
      <c r="I39" s="130"/>
      <c r="J39" s="130"/>
      <c r="K39" s="130"/>
      <c r="L39" s="136">
        <f>SUM(L36:L38)</f>
        <v>126.01926547699998</v>
      </c>
      <c r="M39" s="131"/>
      <c r="N39" s="132">
        <f t="shared" si="12"/>
        <v>1.4658431059999941</v>
      </c>
      <c r="O39" s="133">
        <f t="shared" si="13"/>
        <v>1.1768790275659975E-2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300-000000000000}">
      <formula1>"TOU, non-TOU"</formula1>
    </dataValidation>
    <dataValidation type="list" allowBlank="1" showInputMessage="1" showErrorMessage="1" sqref="E26:E27 E40 E15:E19 E29:E35 E21:E24" xr:uid="{00000000-0002-0000-0300-000001000000}">
      <formula1>#REF!</formula1>
    </dataValidation>
    <dataValidation type="list" allowBlank="1" showInputMessage="1" showErrorMessage="1" prompt="Select Charge Unit - monthly, per kWh, per kW" sqref="D26:D27 D40 D15:D19 D29:D35 D21:D24" xr:uid="{00000000-0002-0000-03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S43"/>
  <sheetViews>
    <sheetView showGridLines="0" zoomScaleNormal="100" workbookViewId="0">
      <selection activeCell="J37" sqref="J37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103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1.2800000000000001E-2</v>
      </c>
      <c r="K16" s="19">
        <f>$F$10</f>
        <v>750</v>
      </c>
      <c r="L16" s="20">
        <f t="shared" ref="L16:L19" si="1">K16*J16</f>
        <v>9.6</v>
      </c>
      <c r="M16" s="21"/>
      <c r="N16" s="23">
        <f t="shared" ref="N16:N20" si="2">L16-H16</f>
        <v>-3.3000000000000007</v>
      </c>
      <c r="O16" s="24">
        <f t="shared" ref="O16:O20" si="3">IF((H16)=0,"",(N16/H16))</f>
        <v>-0.25581395348837216</v>
      </c>
    </row>
    <row r="17" spans="2:15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-19.46</v>
      </c>
      <c r="M17" s="21"/>
      <c r="N17" s="23">
        <f t="shared" si="2"/>
        <v>-1.1900000000000048</v>
      </c>
      <c r="O17" s="24">
        <f t="shared" si="3"/>
        <v>6.513409961685851E-2</v>
      </c>
    </row>
    <row r="18" spans="2:15" x14ac:dyDescent="0.25">
      <c r="B18" s="16" t="s">
        <v>98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-1.25</v>
      </c>
      <c r="K18" s="19">
        <v>1</v>
      </c>
      <c r="L18" s="20">
        <f t="shared" si="1"/>
        <v>-1.25</v>
      </c>
      <c r="M18" s="21"/>
      <c r="N18" s="23">
        <f t="shared" si="2"/>
        <v>-1.25</v>
      </c>
      <c r="O18" s="24" t="str">
        <f t="shared" si="3"/>
        <v/>
      </c>
    </row>
    <row r="19" spans="2:15" x14ac:dyDescent="0.25">
      <c r="B19" s="134" t="s">
        <v>100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5.9999999999999995E-4</v>
      </c>
      <c r="K19" s="19">
        <f t="shared" ref="K19" si="5">$F$10</f>
        <v>750</v>
      </c>
      <c r="L19" s="20">
        <f t="shared" si="1"/>
        <v>0.44999999999999996</v>
      </c>
      <c r="M19" s="21"/>
      <c r="N19" s="23">
        <f t="shared" si="2"/>
        <v>1.875</v>
      </c>
      <c r="O19" s="24">
        <f t="shared" si="3"/>
        <v>-1.3157894736842104</v>
      </c>
    </row>
    <row r="20" spans="2:15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36.06</v>
      </c>
      <c r="M20" s="31"/>
      <c r="N20" s="34">
        <f t="shared" si="2"/>
        <v>0.625</v>
      </c>
      <c r="O20" s="35">
        <f t="shared" si="3"/>
        <v>1.7637928601665021E-2</v>
      </c>
    </row>
    <row r="21" spans="2:15" x14ac:dyDescent="0.25">
      <c r="B21" s="39" t="s">
        <v>21</v>
      </c>
      <c r="C21" s="16"/>
      <c r="D21" s="17" t="s">
        <v>55</v>
      </c>
      <c r="E21" s="18"/>
      <c r="F21" s="40">
        <f>Rates!D69</f>
        <v>0.1101</v>
      </c>
      <c r="G21" s="41">
        <f>$F$10*(1+$F$41)-$F$10</f>
        <v>68.774999999999864</v>
      </c>
      <c r="H21" s="20">
        <f>G21*F21</f>
        <v>7.5721274999999855</v>
      </c>
      <c r="I21" s="21"/>
      <c r="J21" s="140">
        <f>Rates!F69</f>
        <v>0.1101</v>
      </c>
      <c r="K21" s="41">
        <f>$F$10*(1+$J$41)-$F$10</f>
        <v>62.174999999999955</v>
      </c>
      <c r="L21" s="20">
        <f>K21*J21</f>
        <v>6.8454674999999954</v>
      </c>
      <c r="M21" s="21"/>
      <c r="N21" s="23">
        <f>L21-H21</f>
        <v>-0.72665999999999009</v>
      </c>
      <c r="O21" s="24">
        <f>IF((H21)=0,"",(N21/H21))</f>
        <v>-9.596510359869026E-2</v>
      </c>
    </row>
    <row r="22" spans="2:15" ht="25.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4" si="6">$F$10</f>
        <v>750</v>
      </c>
      <c r="H22" s="20">
        <f t="shared" ref="H22:H23" si="7">G22*F22</f>
        <v>-0.82500000000000007</v>
      </c>
      <c r="I22" s="37"/>
      <c r="J22" s="140">
        <f>Rates!F9</f>
        <v>1.1999999999999999E-3</v>
      </c>
      <c r="K22" s="19">
        <f t="shared" ref="K22:K24" si="8">$F$10</f>
        <v>750</v>
      </c>
      <c r="L22" s="20">
        <f t="shared" ref="L22:L23" si="9">K22*J22</f>
        <v>0.89999999999999991</v>
      </c>
      <c r="M22" s="38"/>
      <c r="N22" s="23">
        <f t="shared" ref="N22" si="10">L22-H22</f>
        <v>1.7250000000000001</v>
      </c>
      <c r="O22" s="24">
        <f t="shared" ref="O22" si="11">IF((H22)=0,"",(N22/H22))</f>
        <v>-2.0909090909090908</v>
      </c>
    </row>
    <row r="23" spans="2:15" x14ac:dyDescent="0.25">
      <c r="B23" s="135" t="str">
        <f>Rates!A10</f>
        <v>GA Rate Riders</v>
      </c>
      <c r="C23" s="16"/>
      <c r="D23" s="17" t="s">
        <v>55</v>
      </c>
      <c r="E23" s="18"/>
      <c r="F23" s="140">
        <f>Rates!D10</f>
        <v>-7.7999999999999996E-3</v>
      </c>
      <c r="G23" s="19">
        <f t="shared" si="6"/>
        <v>750</v>
      </c>
      <c r="H23" s="20">
        <f t="shared" si="7"/>
        <v>-5.85</v>
      </c>
      <c r="I23" s="138"/>
      <c r="J23" s="140">
        <f>Rates!F10</f>
        <v>-2.7000000000000001E-3</v>
      </c>
      <c r="K23" s="19">
        <f t="shared" si="8"/>
        <v>750</v>
      </c>
      <c r="L23" s="20">
        <f t="shared" si="9"/>
        <v>-2.0249999999999999</v>
      </c>
      <c r="M23" s="138"/>
      <c r="N23" s="23">
        <f t="shared" ref="N23" si="12">L23-H23</f>
        <v>3.8249999999999997</v>
      </c>
      <c r="O23" s="24">
        <f t="shared" ref="O23" si="13">IF((H23)=0,"",(N23/H23))</f>
        <v>-0.65384615384615385</v>
      </c>
    </row>
    <row r="24" spans="2:15" x14ac:dyDescent="0.25">
      <c r="B24" s="39" t="s">
        <v>20</v>
      </c>
      <c r="C24" s="16"/>
      <c r="D24" s="17"/>
      <c r="E24" s="18"/>
      <c r="F24" s="139"/>
      <c r="G24" s="19">
        <f t="shared" si="6"/>
        <v>750</v>
      </c>
      <c r="H24" s="20">
        <f>G24*F24</f>
        <v>0</v>
      </c>
      <c r="I24" s="21"/>
      <c r="J24" s="140"/>
      <c r="K24" s="19">
        <f t="shared" si="8"/>
        <v>750</v>
      </c>
      <c r="L24" s="20">
        <f>K24*J24</f>
        <v>0</v>
      </c>
      <c r="M24" s="21"/>
      <c r="N24" s="23">
        <f>L24-H24</f>
        <v>0</v>
      </c>
      <c r="O24" s="24" t="str">
        <f>IF((H24)=0,"",(N24/H24))</f>
        <v/>
      </c>
    </row>
    <row r="25" spans="2:15" x14ac:dyDescent="0.25">
      <c r="B25" s="39" t="s">
        <v>22</v>
      </c>
      <c r="C25" s="16"/>
      <c r="D25" s="17" t="s">
        <v>54</v>
      </c>
      <c r="E25" s="18"/>
      <c r="F25" s="40">
        <f>Rates!D16</f>
        <v>0.56999999999999995</v>
      </c>
      <c r="G25" s="19">
        <v>1</v>
      </c>
      <c r="H25" s="20">
        <f>G25*F25</f>
        <v>0.56999999999999995</v>
      </c>
      <c r="I25" s="21"/>
      <c r="J25" s="40">
        <f>Rates!F16</f>
        <v>0.56999999999999995</v>
      </c>
      <c r="K25" s="19">
        <v>1</v>
      </c>
      <c r="L25" s="20">
        <f>K25*J25</f>
        <v>0.56999999999999995</v>
      </c>
      <c r="M25" s="21"/>
      <c r="N25" s="23">
        <f>L25-H25</f>
        <v>0</v>
      </c>
      <c r="O25" s="24"/>
    </row>
    <row r="26" spans="2:15" ht="25.5" x14ac:dyDescent="0.25">
      <c r="B26" s="43" t="s">
        <v>23</v>
      </c>
      <c r="C26" s="44"/>
      <c r="D26" s="44"/>
      <c r="E26" s="44"/>
      <c r="F26" s="45"/>
      <c r="G26" s="46"/>
      <c r="H26" s="47">
        <f>SUM(H21:H25)+H20</f>
        <v>36.902127499999985</v>
      </c>
      <c r="I26" s="31"/>
      <c r="J26" s="46"/>
      <c r="K26" s="48"/>
      <c r="L26" s="47">
        <f>SUM(L21:L25)+L20</f>
        <v>42.350467499999993</v>
      </c>
      <c r="M26" s="31"/>
      <c r="N26" s="34">
        <f t="shared" ref="N26:N38" si="14">L26-H26</f>
        <v>5.4483400000000088</v>
      </c>
      <c r="O26" s="35">
        <f t="shared" ref="O26:O38" si="15">IF((H26)=0,"",(N26/H26))</f>
        <v>0.14764297803697121</v>
      </c>
    </row>
    <row r="27" spans="2:15" x14ac:dyDescent="0.25">
      <c r="B27" s="21" t="s">
        <v>24</v>
      </c>
      <c r="C27" s="21"/>
      <c r="D27" s="49" t="s">
        <v>55</v>
      </c>
      <c r="E27" s="50"/>
      <c r="F27" s="140">
        <f>Rates!D12</f>
        <v>6.6E-3</v>
      </c>
      <c r="G27" s="51">
        <f>F10*(1+F41)</f>
        <v>818.77499999999986</v>
      </c>
      <c r="H27" s="20">
        <f>G27*F27</f>
        <v>5.4039149999999987</v>
      </c>
      <c r="I27" s="21"/>
      <c r="J27" s="140">
        <f>Rates!F12</f>
        <v>7.1000000000000004E-3</v>
      </c>
      <c r="K27" s="52">
        <f>F10*(1+J41)</f>
        <v>812.17499999999995</v>
      </c>
      <c r="L27" s="20">
        <f>K27*J27</f>
        <v>5.7664425000000001</v>
      </c>
      <c r="M27" s="21"/>
      <c r="N27" s="23">
        <f t="shared" si="14"/>
        <v>0.36252750000000145</v>
      </c>
      <c r="O27" s="24">
        <f t="shared" si="15"/>
        <v>6.708608481073472E-2</v>
      </c>
    </row>
    <row r="28" spans="2:15" x14ac:dyDescent="0.25">
      <c r="B28" s="53" t="s">
        <v>25</v>
      </c>
      <c r="C28" s="21"/>
      <c r="D28" s="49" t="s">
        <v>55</v>
      </c>
      <c r="E28" s="50"/>
      <c r="F28" s="140">
        <f>Rates!D13</f>
        <v>6.0000000000000001E-3</v>
      </c>
      <c r="G28" s="51">
        <f>G27</f>
        <v>818.77499999999986</v>
      </c>
      <c r="H28" s="20">
        <f>G28*F28</f>
        <v>4.9126499999999993</v>
      </c>
      <c r="I28" s="21"/>
      <c r="J28" s="140">
        <f>Rates!F13</f>
        <v>6.0000000000000001E-3</v>
      </c>
      <c r="K28" s="52">
        <f>K27</f>
        <v>812.17499999999995</v>
      </c>
      <c r="L28" s="20">
        <f>K28*J28</f>
        <v>4.8730500000000001</v>
      </c>
      <c r="M28" s="21"/>
      <c r="N28" s="23">
        <f t="shared" si="14"/>
        <v>-3.9599999999999191E-2</v>
      </c>
      <c r="O28" s="24">
        <f t="shared" si="15"/>
        <v>-8.0608225703030327E-3</v>
      </c>
    </row>
    <row r="29" spans="2:15" ht="25.5" x14ac:dyDescent="0.25">
      <c r="B29" s="43" t="s">
        <v>26</v>
      </c>
      <c r="C29" s="26"/>
      <c r="D29" s="26"/>
      <c r="E29" s="26"/>
      <c r="F29" s="54"/>
      <c r="G29" s="46"/>
      <c r="H29" s="47">
        <f>SUM(H26:H28)</f>
        <v>47.218692499999982</v>
      </c>
      <c r="I29" s="55"/>
      <c r="J29" s="56"/>
      <c r="K29" s="57"/>
      <c r="L29" s="47">
        <f>SUM(L26:L28)</f>
        <v>52.989959999999989</v>
      </c>
      <c r="M29" s="55"/>
      <c r="N29" s="34">
        <f t="shared" si="14"/>
        <v>5.7712675000000075</v>
      </c>
      <c r="O29" s="35">
        <f t="shared" si="15"/>
        <v>0.12222421237098019</v>
      </c>
    </row>
    <row r="30" spans="2:15" x14ac:dyDescent="0.25">
      <c r="B30" s="58" t="s">
        <v>27</v>
      </c>
      <c r="C30" s="16"/>
      <c r="D30" s="49" t="s">
        <v>55</v>
      </c>
      <c r="E30" s="18"/>
      <c r="F30" s="141">
        <f>Rates!D14</f>
        <v>3.3999999999999998E-3</v>
      </c>
      <c r="G30" s="51">
        <f>G28</f>
        <v>818.77499999999986</v>
      </c>
      <c r="H30" s="59">
        <f t="shared" ref="H30:H33" si="16">G30*F30</f>
        <v>2.7838349999999994</v>
      </c>
      <c r="I30" s="21"/>
      <c r="J30" s="141">
        <f>Rates!F14</f>
        <v>3.3999999999999998E-3</v>
      </c>
      <c r="K30" s="52">
        <f>K28</f>
        <v>812.17499999999995</v>
      </c>
      <c r="L30" s="59">
        <f t="shared" ref="L30:L33" si="17">K30*J30</f>
        <v>2.7613949999999998</v>
      </c>
      <c r="M30" s="21"/>
      <c r="N30" s="23">
        <f t="shared" si="14"/>
        <v>-2.2439999999999571E-2</v>
      </c>
      <c r="O30" s="60">
        <f t="shared" si="15"/>
        <v>-8.0608225703030448E-3</v>
      </c>
    </row>
    <row r="31" spans="2:15" x14ac:dyDescent="0.25">
      <c r="B31" s="58" t="s">
        <v>28</v>
      </c>
      <c r="C31" s="16"/>
      <c r="D31" s="49" t="s">
        <v>55</v>
      </c>
      <c r="E31" s="18"/>
      <c r="F31" s="141">
        <f>Rates!D15</f>
        <v>5.0000000000000001E-4</v>
      </c>
      <c r="G31" s="51">
        <f>G28</f>
        <v>818.77499999999986</v>
      </c>
      <c r="H31" s="59">
        <f t="shared" si="16"/>
        <v>0.40938749999999996</v>
      </c>
      <c r="I31" s="21"/>
      <c r="J31" s="141">
        <f>Rates!F15</f>
        <v>5.0000000000000001E-4</v>
      </c>
      <c r="K31" s="52">
        <f>K28</f>
        <v>812.17499999999995</v>
      </c>
      <c r="L31" s="59">
        <f t="shared" si="17"/>
        <v>0.40608749999999999</v>
      </c>
      <c r="M31" s="21"/>
      <c r="N31" s="23">
        <f t="shared" si="14"/>
        <v>-3.2999999999999696E-3</v>
      </c>
      <c r="O31" s="60">
        <f t="shared" si="15"/>
        <v>-8.0608225703031229E-3</v>
      </c>
    </row>
    <row r="32" spans="2:15" x14ac:dyDescent="0.25">
      <c r="B32" s="16" t="s">
        <v>29</v>
      </c>
      <c r="C32" s="16"/>
      <c r="D32" s="17" t="s">
        <v>54</v>
      </c>
      <c r="E32" s="18"/>
      <c r="F32" s="61">
        <f>Rates!D17</f>
        <v>0.25</v>
      </c>
      <c r="G32" s="19">
        <v>1</v>
      </c>
      <c r="H32" s="59">
        <f t="shared" si="16"/>
        <v>0.25</v>
      </c>
      <c r="I32" s="21"/>
      <c r="J32" s="141">
        <f>Rates!F17</f>
        <v>0.25</v>
      </c>
      <c r="K32" s="22">
        <v>1</v>
      </c>
      <c r="L32" s="59">
        <f t="shared" si="17"/>
        <v>0.25</v>
      </c>
      <c r="M32" s="21"/>
      <c r="N32" s="23">
        <f t="shared" si="14"/>
        <v>0</v>
      </c>
      <c r="O32" s="60">
        <f t="shared" si="15"/>
        <v>0</v>
      </c>
    </row>
    <row r="33" spans="1:19" ht="15.75" thickBot="1" x14ac:dyDescent="0.3">
      <c r="B33" s="39" t="s">
        <v>105</v>
      </c>
      <c r="C33" s="16"/>
      <c r="D33" s="17" t="s">
        <v>55</v>
      </c>
      <c r="E33" s="18"/>
      <c r="F33" s="61">
        <f>Rates!D69</f>
        <v>0.1101</v>
      </c>
      <c r="G33" s="62">
        <f>$F$10</f>
        <v>750</v>
      </c>
      <c r="H33" s="59">
        <f t="shared" si="16"/>
        <v>82.575000000000003</v>
      </c>
      <c r="I33" s="21"/>
      <c r="J33" s="61">
        <f>Rates!F69</f>
        <v>0.1101</v>
      </c>
      <c r="K33" s="62">
        <f>G33</f>
        <v>750</v>
      </c>
      <c r="L33" s="59">
        <f t="shared" si="17"/>
        <v>82.575000000000003</v>
      </c>
      <c r="M33" s="21"/>
      <c r="N33" s="23">
        <f t="shared" si="14"/>
        <v>0</v>
      </c>
      <c r="O33" s="60">
        <f t="shared" si="15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SUM(H30:H33,H29)</f>
        <v>133.23691499999998</v>
      </c>
      <c r="I35" s="79"/>
      <c r="J35" s="80"/>
      <c r="K35" s="80"/>
      <c r="L35" s="104">
        <f>SUM(L30:L33,L29)</f>
        <v>138.98244249999999</v>
      </c>
      <c r="M35" s="81"/>
      <c r="N35" s="82">
        <f t="shared" ref="N35" si="18">L35-H35</f>
        <v>5.7455275000000086</v>
      </c>
      <c r="O35" s="83">
        <f t="shared" ref="O35" si="19">IF((H35)=0,"",(N35/H35))</f>
        <v>4.3122639847973133E-2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17.320798949999997</v>
      </c>
      <c r="I36" s="88"/>
      <c r="J36" s="89">
        <v>0.13</v>
      </c>
      <c r="K36" s="88"/>
      <c r="L36" s="90">
        <f>L35*J36</f>
        <v>18.067717524999999</v>
      </c>
      <c r="M36" s="91"/>
      <c r="N36" s="92">
        <f t="shared" si="14"/>
        <v>0.74691857500000225</v>
      </c>
      <c r="O36" s="93">
        <f t="shared" si="15"/>
        <v>4.3122639847973203E-2</v>
      </c>
      <c r="S36" s="63"/>
    </row>
    <row r="37" spans="1:19" x14ac:dyDescent="0.25">
      <c r="B37" s="84" t="s">
        <v>82</v>
      </c>
      <c r="C37" s="16"/>
      <c r="D37" s="16"/>
      <c r="E37" s="16"/>
      <c r="F37" s="197">
        <v>0.318</v>
      </c>
      <c r="G37" s="86"/>
      <c r="H37" s="87">
        <f>H35*-F37</f>
        <v>-42.369338969999994</v>
      </c>
      <c r="I37" s="88"/>
      <c r="J37" s="198">
        <f>F37</f>
        <v>0.318</v>
      </c>
      <c r="K37" s="88"/>
      <c r="L37" s="92">
        <f>L35*-J37</f>
        <v>-44.196416714999998</v>
      </c>
      <c r="M37" s="91"/>
      <c r="N37" s="92">
        <f t="shared" si="14"/>
        <v>-1.827077745000004</v>
      </c>
      <c r="O37" s="93">
        <f t="shared" si="15"/>
        <v>4.3122639847973161E-2</v>
      </c>
      <c r="S37" s="63"/>
    </row>
    <row r="38" spans="1:19" s="105" customFormat="1" ht="15.75" thickBot="1" x14ac:dyDescent="0.3">
      <c r="B38" s="94" t="s">
        <v>75</v>
      </c>
      <c r="C38" s="122"/>
      <c r="D38" s="122"/>
      <c r="E38" s="122"/>
      <c r="F38" s="127"/>
      <c r="G38" s="128"/>
      <c r="H38" s="129">
        <f>SUM(H35:H37)</f>
        <v>108.18837497999999</v>
      </c>
      <c r="I38" s="130"/>
      <c r="J38" s="130"/>
      <c r="K38" s="130"/>
      <c r="L38" s="136">
        <f>SUM(L35:L37)</f>
        <v>112.85374331</v>
      </c>
      <c r="M38" s="131"/>
      <c r="N38" s="132">
        <f t="shared" si="14"/>
        <v>4.6653683300000068</v>
      </c>
      <c r="O38" s="133">
        <f t="shared" si="15"/>
        <v>4.3122639847973133E-2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7:D28 D39 D15:D19 D21:D25 D30:D34" xr:uid="{00000000-0002-0000-0400-000000000000}">
      <formula1>"Monthly, per kWh, per kW"</formula1>
    </dataValidation>
    <dataValidation type="list" allowBlank="1" showInputMessage="1" showErrorMessage="1" sqref="E27:E28 E39 E15:E19 E21:E25 E30:E34" xr:uid="{00000000-0002-0000-0400-000001000000}">
      <formula1>#REF!</formula1>
    </dataValidation>
    <dataValidation type="list" allowBlank="1" showInputMessage="1" showErrorMessage="1" sqref="D8" xr:uid="{00000000-0002-0000-04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44"/>
  <sheetViews>
    <sheetView showGridLines="0" zoomScaleNormal="100" workbookViewId="0">
      <selection activeCell="J38" activeCellId="1" sqref="F38 J38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65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269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269</v>
      </c>
      <c r="H16" s="20">
        <f t="shared" ref="H16:H19" si="0">G16*F16</f>
        <v>4.6268000000000002</v>
      </c>
      <c r="I16" s="21"/>
      <c r="J16" s="140">
        <f>Rates!F7</f>
        <v>1.2800000000000001E-2</v>
      </c>
      <c r="K16" s="19">
        <f>$F$10</f>
        <v>269</v>
      </c>
      <c r="L16" s="20">
        <f t="shared" ref="L16:L19" si="1">K16*J16</f>
        <v>3.4432</v>
      </c>
      <c r="M16" s="21"/>
      <c r="N16" s="23">
        <f t="shared" ref="N16:N20" si="2">L16-H16</f>
        <v>-1.1836000000000002</v>
      </c>
      <c r="O16" s="24">
        <f t="shared" ref="O16:O20" si="3">IF((H16)=0,"",(N16/H16))</f>
        <v>-0.2558139534883721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-9.9968000000000004</v>
      </c>
      <c r="I17" s="21"/>
      <c r="J17" s="140"/>
      <c r="K17" s="19">
        <v>1</v>
      </c>
      <c r="L17" s="20">
        <f>IF(L15+L16&gt;Rates!$F$5,-(L15+L16-Rates!$F$5),0)</f>
        <v>-13.303199999999997</v>
      </c>
      <c r="M17" s="21"/>
      <c r="N17" s="23">
        <f t="shared" si="2"/>
        <v>-3.3063999999999965</v>
      </c>
      <c r="O17" s="24">
        <f t="shared" si="3"/>
        <v>0.33074583866837354</v>
      </c>
    </row>
    <row r="18" spans="2:19" x14ac:dyDescent="0.25">
      <c r="B18" s="16" t="s">
        <v>98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-1.25</v>
      </c>
      <c r="K18" s="19">
        <v>1</v>
      </c>
      <c r="L18" s="20">
        <f t="shared" si="1"/>
        <v>-1.25</v>
      </c>
      <c r="M18" s="21"/>
      <c r="N18" s="23">
        <f t="shared" si="2"/>
        <v>-1.25</v>
      </c>
      <c r="O18" s="24" t="str">
        <f t="shared" si="3"/>
        <v/>
      </c>
    </row>
    <row r="19" spans="2:19" x14ac:dyDescent="0.25">
      <c r="B19" s="134" t="s">
        <v>100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269</v>
      </c>
      <c r="H19" s="20">
        <f t="shared" si="0"/>
        <v>-0.5111</v>
      </c>
      <c r="I19" s="21"/>
      <c r="J19" s="140">
        <f>Rates!F11</f>
        <v>5.9999999999999995E-4</v>
      </c>
      <c r="K19" s="19">
        <f t="shared" ref="K19" si="5">$F$10</f>
        <v>269</v>
      </c>
      <c r="L19" s="20">
        <f t="shared" si="1"/>
        <v>0.16139999999999999</v>
      </c>
      <c r="M19" s="21"/>
      <c r="N19" s="23">
        <f t="shared" si="2"/>
        <v>0.67249999999999999</v>
      </c>
      <c r="O19" s="24">
        <f t="shared" si="3"/>
        <v>-1.3157894736842104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36.3489</v>
      </c>
      <c r="I20" s="31"/>
      <c r="J20" s="32"/>
      <c r="K20" s="33"/>
      <c r="L20" s="30">
        <f>SUM(L15:L19)</f>
        <v>35.7714</v>
      </c>
      <c r="M20" s="31"/>
      <c r="N20" s="34">
        <f t="shared" si="2"/>
        <v>-0.57750000000000057</v>
      </c>
      <c r="O20" s="35">
        <f t="shared" si="3"/>
        <v>-1.5887688485758868E-2</v>
      </c>
    </row>
    <row r="21" spans="2:19" x14ac:dyDescent="0.25">
      <c r="B21" s="39" t="s">
        <v>21</v>
      </c>
      <c r="C21" s="16"/>
      <c r="D21" s="17" t="s">
        <v>55</v>
      </c>
      <c r="E21" s="18"/>
      <c r="F21" s="40">
        <f>Rates!D67</f>
        <v>0.12756999999999999</v>
      </c>
      <c r="G21" s="41">
        <f>$F$10*(1+$F$42)-$F$10</f>
        <v>24.667299999999955</v>
      </c>
      <c r="H21" s="20">
        <f>G21*F21</f>
        <v>3.1468074609999941</v>
      </c>
      <c r="I21" s="21"/>
      <c r="J21" s="42">
        <f>Rates!F67</f>
        <v>0.12756999999999999</v>
      </c>
      <c r="K21" s="41">
        <f>$F$10*(1+$J$42)-$F$10</f>
        <v>22.300099999999986</v>
      </c>
      <c r="L21" s="20">
        <f>K21*J21</f>
        <v>2.8448237569999981</v>
      </c>
      <c r="M21" s="21"/>
      <c r="N21" s="23">
        <f>L21-H21</f>
        <v>-0.30198370399999597</v>
      </c>
      <c r="O21" s="24">
        <f>IF((H21)=0,"",(N21/H21))</f>
        <v>-9.5965103598690288E-2</v>
      </c>
    </row>
    <row r="22" spans="2:19" ht="25.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269</v>
      </c>
      <c r="H22" s="20">
        <f t="shared" ref="H22" si="7">G22*F22</f>
        <v>-0.2959</v>
      </c>
      <c r="I22" s="37"/>
      <c r="J22" s="140">
        <f>Rates!F9</f>
        <v>1.1999999999999999E-3</v>
      </c>
      <c r="K22" s="19">
        <f t="shared" ref="K22:K23" si="8">$F$10</f>
        <v>269</v>
      </c>
      <c r="L22" s="20">
        <f t="shared" ref="L22" si="9">K22*J22</f>
        <v>0.32279999999999998</v>
      </c>
      <c r="M22" s="38"/>
      <c r="N22" s="23">
        <f t="shared" ref="N22" si="10">L22-H22</f>
        <v>0.61870000000000003</v>
      </c>
      <c r="O22" s="24">
        <f t="shared" ref="O22" si="11">IF((H22)=0,"",(N22/H22))</f>
        <v>-2.0909090909090908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269</v>
      </c>
      <c r="H23" s="20">
        <f>G23*F23</f>
        <v>0</v>
      </c>
      <c r="I23" s="21"/>
      <c r="J23" s="140"/>
      <c r="K23" s="19">
        <f t="shared" si="8"/>
        <v>269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39.769807460999992</v>
      </c>
      <c r="I25" s="31"/>
      <c r="J25" s="46"/>
      <c r="K25" s="48"/>
      <c r="L25" s="47">
        <f>SUM(L21:L24)+L20</f>
        <v>39.509023756999994</v>
      </c>
      <c r="M25" s="31"/>
      <c r="N25" s="34">
        <f t="shared" ref="N25:N39" si="12">L25-H25</f>
        <v>-0.26078370399999784</v>
      </c>
      <c r="O25" s="35">
        <f t="shared" ref="O25:O39" si="13">IF((H25)=0,"",(N25/H25))</f>
        <v>-6.5573288041621451E-3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293.66729999999995</v>
      </c>
      <c r="H26" s="20">
        <f>G26*F26</f>
        <v>1.9382041799999996</v>
      </c>
      <c r="I26" s="21"/>
      <c r="J26" s="140">
        <f>Rates!F12</f>
        <v>7.1000000000000004E-3</v>
      </c>
      <c r="K26" s="52">
        <f>F10*(1+J42)</f>
        <v>291.30009999999999</v>
      </c>
      <c r="L26" s="20">
        <f>K26*J26</f>
        <v>2.0682307099999999</v>
      </c>
      <c r="M26" s="21"/>
      <c r="N26" s="23">
        <f t="shared" si="12"/>
        <v>0.13002653000000031</v>
      </c>
      <c r="O26" s="24">
        <f t="shared" si="13"/>
        <v>6.7086084810734609E-2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293.66729999999995</v>
      </c>
      <c r="H27" s="20">
        <f>G27*F27</f>
        <v>1.7620037999999998</v>
      </c>
      <c r="I27" s="21"/>
      <c r="J27" s="140">
        <f>Rates!F13</f>
        <v>6.0000000000000001E-3</v>
      </c>
      <c r="K27" s="52">
        <f>K26</f>
        <v>291.30009999999999</v>
      </c>
      <c r="L27" s="20">
        <f>K27*J27</f>
        <v>1.7478005999999999</v>
      </c>
      <c r="M27" s="21"/>
      <c r="N27" s="23">
        <f t="shared" si="12"/>
        <v>-1.420319999999986E-2</v>
      </c>
      <c r="O27" s="24">
        <f t="shared" si="13"/>
        <v>-8.0608225703031194E-3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43.470015440999994</v>
      </c>
      <c r="I28" s="55"/>
      <c r="J28" s="56"/>
      <c r="K28" s="57"/>
      <c r="L28" s="47">
        <f>SUM(L25:L27)</f>
        <v>43.325055066999994</v>
      </c>
      <c r="M28" s="55"/>
      <c r="N28" s="34">
        <f t="shared" si="12"/>
        <v>-0.14496037400000006</v>
      </c>
      <c r="O28" s="35">
        <f t="shared" si="13"/>
        <v>-3.3347210146899677E-3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293.66729999999995</v>
      </c>
      <c r="H29" s="59">
        <f t="shared" ref="H29:H34" si="14">G29*F29</f>
        <v>0.99846881999999981</v>
      </c>
      <c r="I29" s="21"/>
      <c r="J29" s="141">
        <f>Rates!F14</f>
        <v>3.3999999999999998E-3</v>
      </c>
      <c r="K29" s="52">
        <f>K27</f>
        <v>291.30009999999999</v>
      </c>
      <c r="L29" s="59">
        <f t="shared" ref="L29:L34" si="15">K29*J29</f>
        <v>0.9904203399999999</v>
      </c>
      <c r="M29" s="21"/>
      <c r="N29" s="23">
        <f t="shared" si="12"/>
        <v>-8.0484799999999135E-3</v>
      </c>
      <c r="O29" s="60">
        <f t="shared" si="13"/>
        <v>-8.0608225703031125E-3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293.66729999999995</v>
      </c>
      <c r="H30" s="59">
        <f t="shared" si="14"/>
        <v>0.14683364999999998</v>
      </c>
      <c r="I30" s="21"/>
      <c r="J30" s="141">
        <f>Rates!F15</f>
        <v>5.0000000000000001E-4</v>
      </c>
      <c r="K30" s="52">
        <f>K27</f>
        <v>291.30009999999999</v>
      </c>
      <c r="L30" s="59">
        <f t="shared" si="15"/>
        <v>0.14565005</v>
      </c>
      <c r="M30" s="21"/>
      <c r="N30" s="23">
        <f t="shared" si="12"/>
        <v>-1.1835999999999791E-3</v>
      </c>
      <c r="O30" s="60">
        <f t="shared" si="13"/>
        <v>-8.0608225703030553E-3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0.10100000000000001</v>
      </c>
      <c r="G32" s="62">
        <f>0.65*$F$10</f>
        <v>174.85</v>
      </c>
      <c r="H32" s="59">
        <f t="shared" si="14"/>
        <v>17.659850000000002</v>
      </c>
      <c r="I32" s="21"/>
      <c r="J32" s="61">
        <f>Rates!F64</f>
        <v>0.10100000000000001</v>
      </c>
      <c r="K32" s="62">
        <f>G32</f>
        <v>174.85</v>
      </c>
      <c r="L32" s="59">
        <f t="shared" si="15"/>
        <v>17.659850000000002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0.14399999999999999</v>
      </c>
      <c r="G33" s="62">
        <f>0.17*$F$10</f>
        <v>45.730000000000004</v>
      </c>
      <c r="H33" s="59">
        <f t="shared" si="14"/>
        <v>6.5851199999999999</v>
      </c>
      <c r="I33" s="21"/>
      <c r="J33" s="61">
        <f>Rates!F65</f>
        <v>0.14399999999999999</v>
      </c>
      <c r="K33" s="62">
        <f>G33</f>
        <v>45.730000000000004</v>
      </c>
      <c r="L33" s="59">
        <f t="shared" si="15"/>
        <v>6.5851199999999999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0.20799999999999999</v>
      </c>
      <c r="G34" s="62">
        <f>0.18*$F$10</f>
        <v>48.42</v>
      </c>
      <c r="H34" s="59">
        <f t="shared" si="14"/>
        <v>10.07136</v>
      </c>
      <c r="I34" s="21"/>
      <c r="J34" s="61">
        <f>Rates!F66</f>
        <v>0.20799999999999999</v>
      </c>
      <c r="K34" s="62">
        <f>G34</f>
        <v>48.42</v>
      </c>
      <c r="L34" s="59">
        <f t="shared" si="15"/>
        <v>10.07136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79.181647910999999</v>
      </c>
      <c r="I36" s="79"/>
      <c r="J36" s="80"/>
      <c r="K36" s="80"/>
      <c r="L36" s="104">
        <f>SUM(L29:L34,L28)</f>
        <v>79.027455457000002</v>
      </c>
      <c r="M36" s="81"/>
      <c r="N36" s="82">
        <f t="shared" ref="N36" si="16">L36-H36</f>
        <v>-0.15419245399999681</v>
      </c>
      <c r="O36" s="83">
        <f t="shared" ref="O36" si="17">IF((H36)=0,"",(N36/H36))</f>
        <v>-1.9473256501722318E-3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10.29361422843</v>
      </c>
      <c r="I37" s="88"/>
      <c r="J37" s="89">
        <v>0.13</v>
      </c>
      <c r="K37" s="88"/>
      <c r="L37" s="90">
        <f>L36*J37</f>
        <v>10.273569209410001</v>
      </c>
      <c r="M37" s="91"/>
      <c r="N37" s="92">
        <f t="shared" si="12"/>
        <v>-2.0045019019999444E-2</v>
      </c>
      <c r="O37" s="93">
        <f t="shared" si="13"/>
        <v>-1.9473256501722179E-3</v>
      </c>
      <c r="S37" s="63"/>
    </row>
    <row r="38" spans="1:19" x14ac:dyDescent="0.25">
      <c r="B38" s="84" t="s">
        <v>82</v>
      </c>
      <c r="C38" s="16"/>
      <c r="D38" s="16"/>
      <c r="E38" s="16"/>
      <c r="F38" s="197">
        <v>0.318</v>
      </c>
      <c r="G38" s="86"/>
      <c r="H38" s="87">
        <f>H36*-F38</f>
        <v>-25.179764035698</v>
      </c>
      <c r="I38" s="88"/>
      <c r="J38" s="198">
        <f>F38</f>
        <v>0.318</v>
      </c>
      <c r="K38" s="88"/>
      <c r="L38" s="92">
        <f>L36*-J38</f>
        <v>-25.130730835326002</v>
      </c>
      <c r="M38" s="91"/>
      <c r="N38" s="92">
        <f t="shared" si="12"/>
        <v>4.9033200371997765E-2</v>
      </c>
      <c r="O38" s="93">
        <f t="shared" si="13"/>
        <v>-1.9473256501721832E-3</v>
      </c>
      <c r="S38" s="63"/>
    </row>
    <row r="39" spans="1:19" s="105" customFormat="1" ht="15.75" thickBot="1" x14ac:dyDescent="0.3">
      <c r="B39" s="94" t="s">
        <v>75</v>
      </c>
      <c r="C39" s="122"/>
      <c r="D39" s="122"/>
      <c r="E39" s="122"/>
      <c r="F39" s="127"/>
      <c r="G39" s="128"/>
      <c r="H39" s="129">
        <f>SUM(H36:H38)</f>
        <v>64.295498103732001</v>
      </c>
      <c r="I39" s="130"/>
      <c r="J39" s="130"/>
      <c r="K39" s="130"/>
      <c r="L39" s="136">
        <f>SUM(L36:L38)</f>
        <v>64.170293831083995</v>
      </c>
      <c r="M39" s="131"/>
      <c r="N39" s="132">
        <f t="shared" si="12"/>
        <v>-0.1252042726480056</v>
      </c>
      <c r="O39" s="133">
        <f t="shared" si="13"/>
        <v>-1.9473256501723591E-3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6:D27 D40 D15:D19 D29:D35 D21:D24" xr:uid="{00000000-0002-0000-0500-000000000000}">
      <formula1>"Monthly, per kWh, per kW"</formula1>
    </dataValidation>
    <dataValidation type="list" allowBlank="1" showInputMessage="1" showErrorMessage="1" sqref="E26:E27 E40 E15:E19 E29:E35 E21:E24" xr:uid="{00000000-0002-0000-0500-000001000000}">
      <formula1>#REF!</formula1>
    </dataValidation>
    <dataValidation type="list" allowBlank="1" showInputMessage="1" showErrorMessage="1" sqref="D8" xr:uid="{00000000-0002-0000-05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S43"/>
  <sheetViews>
    <sheetView showGridLines="0" zoomScaleNormal="100" workbookViewId="0">
      <selection activeCell="J37" activeCellId="1" sqref="F37 J37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106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25.94</v>
      </c>
      <c r="K15" s="22">
        <v>1</v>
      </c>
      <c r="L15" s="20">
        <f>K15*J15</f>
        <v>25.94</v>
      </c>
      <c r="M15" s="21"/>
      <c r="N15" s="23">
        <f>L15-H15</f>
        <v>0.30000000000000071</v>
      </c>
      <c r="O15" s="24">
        <f>IF((H15)=0,"",(N15/H15))</f>
        <v>1.1700468018720777E-2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3.6499999999999998E-2</v>
      </c>
      <c r="K16" s="19">
        <f>$F$10</f>
        <v>2000</v>
      </c>
      <c r="L16" s="20">
        <f t="shared" ref="L16:L18" si="1">K16*J16</f>
        <v>73</v>
      </c>
      <c r="M16" s="21"/>
      <c r="N16" s="23">
        <f t="shared" ref="N16:N19" si="2">L16-H16</f>
        <v>0.79999999999999716</v>
      </c>
      <c r="O16" s="24">
        <f t="shared" ref="O16:O19" si="3">IF((H16)=0,"",(N16/H16))</f>
        <v>1.1080332409972259E-2</v>
      </c>
    </row>
    <row r="17" spans="2:19" x14ac:dyDescent="0.25">
      <c r="B17" s="16" t="s">
        <v>98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-1.25</v>
      </c>
      <c r="K17" s="19">
        <v>1</v>
      </c>
      <c r="L17" s="20">
        <f t="shared" si="1"/>
        <v>-1.25</v>
      </c>
      <c r="M17" s="21"/>
      <c r="N17" s="23">
        <f t="shared" si="2"/>
        <v>-1.25</v>
      </c>
      <c r="O17" s="24" t="str">
        <f t="shared" si="3"/>
        <v/>
      </c>
    </row>
    <row r="18" spans="2:19" x14ac:dyDescent="0.25">
      <c r="B18" s="134" t="s">
        <v>100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5.9999999999999995E-4</v>
      </c>
      <c r="K18" s="19">
        <f t="shared" ref="K18" si="5">$F$10</f>
        <v>2000</v>
      </c>
      <c r="L18" s="20">
        <f t="shared" si="1"/>
        <v>1.2</v>
      </c>
      <c r="M18" s="21"/>
      <c r="N18" s="23">
        <f t="shared" si="2"/>
        <v>5</v>
      </c>
      <c r="O18" s="24">
        <f t="shared" si="3"/>
        <v>-1.3157894736842106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98.89</v>
      </c>
      <c r="M19" s="31"/>
      <c r="N19" s="34">
        <f t="shared" si="2"/>
        <v>4.8499999999999943</v>
      </c>
      <c r="O19" s="35">
        <f t="shared" si="3"/>
        <v>5.1573798383666464E-2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Rates!D67</f>
        <v>0.12756999999999999</v>
      </c>
      <c r="G20" s="41">
        <f>$F$10*(1+$F$41)-$F$10</f>
        <v>183.39999999999964</v>
      </c>
      <c r="H20" s="20">
        <f>G20*F20</f>
        <v>23.39633799999995</v>
      </c>
      <c r="I20" s="21"/>
      <c r="J20" s="42">
        <f>Rates!F67</f>
        <v>0.12756999999999999</v>
      </c>
      <c r="K20" s="41">
        <f>$F$10*(1+$J$41)-$F$10</f>
        <v>165.79999999999973</v>
      </c>
      <c r="L20" s="20">
        <f>K20*J20</f>
        <v>21.151105999999963</v>
      </c>
      <c r="M20" s="21"/>
      <c r="N20" s="23">
        <f>L20-H20</f>
        <v>-2.2452319999999872</v>
      </c>
      <c r="O20" s="24">
        <f>IF((H20)=0,"",(N20/H20))</f>
        <v>-9.5965103598691037E-2</v>
      </c>
    </row>
    <row r="21" spans="2:19" ht="25.5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2" si="6">$F$10</f>
        <v>2000</v>
      </c>
      <c r="H21" s="20">
        <f t="shared" ref="H21" si="7">G21*F21</f>
        <v>-2.2000000000000002</v>
      </c>
      <c r="I21" s="37"/>
      <c r="J21" s="140">
        <f>Rates!F9</f>
        <v>1.1999999999999999E-3</v>
      </c>
      <c r="K21" s="19">
        <f t="shared" ref="K21:K22" si="8">$F$10</f>
        <v>2000</v>
      </c>
      <c r="L21" s="20">
        <f t="shared" ref="L21" si="9">K21*J21</f>
        <v>2.4</v>
      </c>
      <c r="M21" s="38"/>
      <c r="N21" s="23">
        <f t="shared" ref="N21" si="10">L21-H21</f>
        <v>4.5999999999999996</v>
      </c>
      <c r="O21" s="24">
        <f t="shared" ref="O21" si="11">IF((H21)=0,"",(N21/H21))</f>
        <v>-2.0909090909090904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2000</v>
      </c>
      <c r="H22" s="20">
        <f>G22*F22</f>
        <v>0</v>
      </c>
      <c r="I22" s="21"/>
      <c r="J22" s="140"/>
      <c r="K22" s="19">
        <f t="shared" si="8"/>
        <v>2000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Rates!D16</f>
        <v>0.56999999999999995</v>
      </c>
      <c r="G23" s="19">
        <v>1</v>
      </c>
      <c r="H23" s="20">
        <f>G23*F23</f>
        <v>0.56999999999999995</v>
      </c>
      <c r="I23" s="21"/>
      <c r="J23" s="40">
        <f>Rates!F16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115.80633799999995</v>
      </c>
      <c r="I24" s="31"/>
      <c r="J24" s="46"/>
      <c r="K24" s="48"/>
      <c r="L24" s="47">
        <f>SUM(L20:L23)+L19</f>
        <v>123.01110599999996</v>
      </c>
      <c r="M24" s="31"/>
      <c r="N24" s="34">
        <f t="shared" ref="N24:N38" si="12">L24-H24</f>
        <v>7.2047680000000014</v>
      </c>
      <c r="O24" s="35">
        <f t="shared" ref="O24:O38" si="13">IF((H24)=0,"",(N24/H24))</f>
        <v>6.2213935130217175E-2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Rates!D12</f>
        <v>6.6E-3</v>
      </c>
      <c r="G25" s="51">
        <f>F10*(1+F41)</f>
        <v>2183.3999999999996</v>
      </c>
      <c r="H25" s="20">
        <f>G25*F25</f>
        <v>14.410439999999998</v>
      </c>
      <c r="I25" s="21"/>
      <c r="J25" s="140">
        <f>Rates!F12</f>
        <v>7.1000000000000004E-3</v>
      </c>
      <c r="K25" s="52">
        <f>F10*(1+J41)</f>
        <v>2165.7999999999997</v>
      </c>
      <c r="L25" s="20">
        <f>K25*J25</f>
        <v>15.377179999999999</v>
      </c>
      <c r="M25" s="21"/>
      <c r="N25" s="23">
        <f t="shared" si="12"/>
        <v>0.96674000000000149</v>
      </c>
      <c r="O25" s="24">
        <f t="shared" si="13"/>
        <v>6.7086084810734553E-2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Rates!D13</f>
        <v>6.0000000000000001E-3</v>
      </c>
      <c r="G26" s="51">
        <f>G25</f>
        <v>2183.3999999999996</v>
      </c>
      <c r="H26" s="20">
        <f>G26*F26</f>
        <v>13.100399999999999</v>
      </c>
      <c r="I26" s="21"/>
      <c r="J26" s="140">
        <f>Rates!F13</f>
        <v>6.0000000000000001E-3</v>
      </c>
      <c r="K26" s="52">
        <f>K25</f>
        <v>2165.7999999999997</v>
      </c>
      <c r="L26" s="20">
        <f>K26*J26</f>
        <v>12.994799999999998</v>
      </c>
      <c r="M26" s="21"/>
      <c r="N26" s="23">
        <f t="shared" si="12"/>
        <v>-0.1056000000000008</v>
      </c>
      <c r="O26" s="24">
        <f t="shared" si="13"/>
        <v>-8.0608225703032582E-3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143.31717799999996</v>
      </c>
      <c r="I27" s="55"/>
      <c r="J27" s="56"/>
      <c r="K27" s="57"/>
      <c r="L27" s="47">
        <f>SUM(L24:L26)</f>
        <v>151.38308599999996</v>
      </c>
      <c r="M27" s="55"/>
      <c r="N27" s="34">
        <f t="shared" si="12"/>
        <v>8.0659080000000074</v>
      </c>
      <c r="O27" s="35">
        <f t="shared" si="13"/>
        <v>5.6280120168149067E-2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Rates!D14</f>
        <v>3.3999999999999998E-3</v>
      </c>
      <c r="G28" s="51">
        <f>G26</f>
        <v>2183.3999999999996</v>
      </c>
      <c r="H28" s="59">
        <f t="shared" ref="H28:H33" si="14">G28*F28</f>
        <v>7.4235599999999984</v>
      </c>
      <c r="I28" s="21"/>
      <c r="J28" s="141">
        <f>Rates!F14</f>
        <v>3.3999999999999998E-3</v>
      </c>
      <c r="K28" s="52">
        <f>K26</f>
        <v>2165.7999999999997</v>
      </c>
      <c r="L28" s="59">
        <f t="shared" ref="L28:L33" si="15">K28*J28</f>
        <v>7.3637199999999989</v>
      </c>
      <c r="M28" s="21"/>
      <c r="N28" s="23">
        <f t="shared" si="12"/>
        <v>-5.9839999999999449E-2</v>
      </c>
      <c r="O28" s="60">
        <f t="shared" si="13"/>
        <v>-8.0608225703031246E-3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Rates!D15</f>
        <v>5.0000000000000001E-4</v>
      </c>
      <c r="G29" s="51">
        <f>G26</f>
        <v>2183.3999999999996</v>
      </c>
      <c r="H29" s="59">
        <f t="shared" si="14"/>
        <v>1.0916999999999999</v>
      </c>
      <c r="I29" s="21"/>
      <c r="J29" s="141">
        <f>Rates!F15</f>
        <v>5.0000000000000001E-4</v>
      </c>
      <c r="K29" s="52">
        <f>K26</f>
        <v>2165.7999999999997</v>
      </c>
      <c r="L29" s="59">
        <f t="shared" si="15"/>
        <v>1.0829</v>
      </c>
      <c r="M29" s="21"/>
      <c r="N29" s="23">
        <f t="shared" si="12"/>
        <v>-8.799999999999919E-3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Rates!D17</f>
        <v>0.25</v>
      </c>
      <c r="G30" s="19">
        <v>1</v>
      </c>
      <c r="H30" s="59">
        <f t="shared" si="14"/>
        <v>0.25</v>
      </c>
      <c r="I30" s="21"/>
      <c r="J30" s="141">
        <f>Rates!F17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0.10100000000000001</v>
      </c>
      <c r="G31" s="62">
        <f>0.65*$F$10</f>
        <v>1300</v>
      </c>
      <c r="H31" s="59">
        <f t="shared" si="14"/>
        <v>131.30000000000001</v>
      </c>
      <c r="I31" s="21"/>
      <c r="J31" s="61">
        <f>Rates!F64</f>
        <v>0.10100000000000001</v>
      </c>
      <c r="K31" s="62">
        <f>G31</f>
        <v>1300</v>
      </c>
      <c r="L31" s="59">
        <f t="shared" si="15"/>
        <v>131.30000000000001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0.14399999999999999</v>
      </c>
      <c r="G32" s="62">
        <f>0.17*$F$10</f>
        <v>340</v>
      </c>
      <c r="H32" s="59">
        <f t="shared" si="14"/>
        <v>48.959999999999994</v>
      </c>
      <c r="I32" s="21"/>
      <c r="J32" s="61">
        <f>Rates!F65</f>
        <v>0.14399999999999999</v>
      </c>
      <c r="K32" s="62">
        <f>G32</f>
        <v>340</v>
      </c>
      <c r="L32" s="59">
        <f t="shared" si="15"/>
        <v>48.959999999999994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0.20799999999999999</v>
      </c>
      <c r="G33" s="62">
        <f>0.18*$F$10</f>
        <v>360</v>
      </c>
      <c r="H33" s="59">
        <f t="shared" si="14"/>
        <v>74.88</v>
      </c>
      <c r="I33" s="21"/>
      <c r="J33" s="61">
        <f>Rates!F66</f>
        <v>0.20799999999999999</v>
      </c>
      <c r="K33" s="62">
        <f>G33</f>
        <v>360</v>
      </c>
      <c r="L33" s="59">
        <f t="shared" si="15"/>
        <v>74.88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407.22243799999995</v>
      </c>
      <c r="I35" s="79"/>
      <c r="J35" s="80"/>
      <c r="K35" s="80"/>
      <c r="L35" s="104">
        <f>SUM(L28:L33,L27)</f>
        <v>415.21970599999997</v>
      </c>
      <c r="M35" s="81"/>
      <c r="N35" s="82">
        <f t="shared" ref="N35" si="16">L35-H35</f>
        <v>7.9972680000000196</v>
      </c>
      <c r="O35" s="83">
        <f t="shared" ref="O35" si="17">IF((H35)=0,"",(N35/H35))</f>
        <v>1.9638574041443219E-2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52.938916939999999</v>
      </c>
      <c r="I36" s="88"/>
      <c r="J36" s="89">
        <v>0.13</v>
      </c>
      <c r="K36" s="88"/>
      <c r="L36" s="90">
        <f>L35*J36</f>
        <v>53.97856178</v>
      </c>
      <c r="M36" s="91"/>
      <c r="N36" s="92">
        <f t="shared" si="12"/>
        <v>1.0396448400000011</v>
      </c>
      <c r="O36" s="93">
        <f t="shared" si="13"/>
        <v>1.9638574041443192E-2</v>
      </c>
      <c r="S36" s="63"/>
    </row>
    <row r="37" spans="1:19" x14ac:dyDescent="0.25">
      <c r="B37" s="84" t="s">
        <v>82</v>
      </c>
      <c r="C37" s="16"/>
      <c r="D37" s="16"/>
      <c r="E37" s="16"/>
      <c r="F37" s="197">
        <v>0.318</v>
      </c>
      <c r="G37" s="86"/>
      <c r="H37" s="87">
        <f>H35*-F37</f>
        <v>-129.49673528399998</v>
      </c>
      <c r="I37" s="88"/>
      <c r="J37" s="198">
        <f>F37</f>
        <v>0.318</v>
      </c>
      <c r="K37" s="88"/>
      <c r="L37" s="92">
        <f>L35*-J37</f>
        <v>-132.03986650799999</v>
      </c>
      <c r="M37" s="91"/>
      <c r="N37" s="92">
        <f t="shared" si="12"/>
        <v>-2.5431312240000068</v>
      </c>
      <c r="O37" s="93">
        <f t="shared" si="13"/>
        <v>1.9638574041443223E-2</v>
      </c>
      <c r="S37" s="63"/>
    </row>
    <row r="38" spans="1:19" s="105" customFormat="1" ht="15.75" thickBot="1" x14ac:dyDescent="0.3">
      <c r="B38" s="94" t="s">
        <v>75</v>
      </c>
      <c r="C38" s="122"/>
      <c r="D38" s="122"/>
      <c r="E38" s="122"/>
      <c r="F38" s="127"/>
      <c r="G38" s="128"/>
      <c r="H38" s="129">
        <f>SUM(H35:H37)</f>
        <v>330.66461965600001</v>
      </c>
      <c r="I38" s="130"/>
      <c r="J38" s="130"/>
      <c r="K38" s="130"/>
      <c r="L38" s="136">
        <f>SUM(L35:L37)</f>
        <v>337.15840127199999</v>
      </c>
      <c r="M38" s="131"/>
      <c r="N38" s="132">
        <f t="shared" si="12"/>
        <v>6.4937816159999784</v>
      </c>
      <c r="O38" s="133">
        <f t="shared" si="13"/>
        <v>1.9638574041443101E-2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5:D26 D39 D28:D34 D20:D23 D15:D18" xr:uid="{00000000-0002-0000-0600-000000000000}">
      <formula1>"Monthly, per kWh, per kW"</formula1>
    </dataValidation>
    <dataValidation type="list" allowBlank="1" showInputMessage="1" showErrorMessage="1" sqref="E25:E26 E39 E28:E34 E20:E23 E15:E18" xr:uid="{00000000-0002-0000-0600-000001000000}">
      <formula1>#REF!</formula1>
    </dataValidation>
    <dataValidation type="list" allowBlank="1" showInputMessage="1" showErrorMessage="1" sqref="D8" xr:uid="{00000000-0002-0000-06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S42"/>
  <sheetViews>
    <sheetView showGridLines="0" zoomScaleNormal="100" workbookViewId="0">
      <selection activeCell="J36" activeCellId="1" sqref="F36 J36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107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25.94</v>
      </c>
      <c r="K15" s="22">
        <v>1</v>
      </c>
      <c r="L15" s="20">
        <f>K15*J15</f>
        <v>25.94</v>
      </c>
      <c r="M15" s="21"/>
      <c r="N15" s="23">
        <f>L15-H15</f>
        <v>0.30000000000000071</v>
      </c>
      <c r="O15" s="24">
        <f>IF((H15)=0,"",(N15/H15))</f>
        <v>1.1700468018720777E-2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3.6499999999999998E-2</v>
      </c>
      <c r="K16" s="19">
        <f>$F$10</f>
        <v>2000</v>
      </c>
      <c r="L16" s="20">
        <f t="shared" ref="L16:L18" si="1">K16*J16</f>
        <v>73</v>
      </c>
      <c r="M16" s="21"/>
      <c r="N16" s="23">
        <f t="shared" ref="N16:N19" si="2">L16-H16</f>
        <v>0.79999999999999716</v>
      </c>
      <c r="O16" s="24">
        <f t="shared" ref="O16:O19" si="3">IF((H16)=0,"",(N16/H16))</f>
        <v>1.1080332409972259E-2</v>
      </c>
    </row>
    <row r="17" spans="2:19" x14ac:dyDescent="0.25">
      <c r="B17" s="16" t="s">
        <v>98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-1.25</v>
      </c>
      <c r="K17" s="19">
        <v>1</v>
      </c>
      <c r="L17" s="20">
        <f t="shared" si="1"/>
        <v>-1.25</v>
      </c>
      <c r="M17" s="21"/>
      <c r="N17" s="23">
        <f t="shared" si="2"/>
        <v>-1.25</v>
      </c>
      <c r="O17" s="24" t="str">
        <f t="shared" si="3"/>
        <v/>
      </c>
    </row>
    <row r="18" spans="2:19" x14ac:dyDescent="0.25">
      <c r="B18" s="134" t="s">
        <v>100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5.9999999999999995E-4</v>
      </c>
      <c r="K18" s="19">
        <f t="shared" ref="K18" si="5">$F$10</f>
        <v>2000</v>
      </c>
      <c r="L18" s="20">
        <f t="shared" si="1"/>
        <v>1.2</v>
      </c>
      <c r="M18" s="21"/>
      <c r="N18" s="23">
        <f t="shared" si="2"/>
        <v>5</v>
      </c>
      <c r="O18" s="24">
        <f t="shared" si="3"/>
        <v>-1.3157894736842106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98.89</v>
      </c>
      <c r="M19" s="31"/>
      <c r="N19" s="34">
        <f t="shared" si="2"/>
        <v>4.8499999999999943</v>
      </c>
      <c r="O19" s="35">
        <f t="shared" si="3"/>
        <v>5.1573798383666464E-2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Rates!D69</f>
        <v>0.1101</v>
      </c>
      <c r="G20" s="41">
        <f>$F$10*(1+$F$40)-$F$10</f>
        <v>183.39999999999964</v>
      </c>
      <c r="H20" s="20">
        <f>G20*F20</f>
        <v>20.192339999999959</v>
      </c>
      <c r="I20" s="21"/>
      <c r="J20" s="140">
        <f>Rates!F69</f>
        <v>0.1101</v>
      </c>
      <c r="K20" s="41">
        <f>$F$10*(1+$J$40)-$F$10</f>
        <v>165.79999999999973</v>
      </c>
      <c r="L20" s="20">
        <f>K20*J20</f>
        <v>18.254579999999972</v>
      </c>
      <c r="M20" s="21"/>
      <c r="N20" s="23">
        <f>L20-H20</f>
        <v>-1.9377599999999866</v>
      </c>
      <c r="O20" s="24">
        <f>IF((H20)=0,"",(N20/H20))</f>
        <v>-9.5965103598690912E-2</v>
      </c>
    </row>
    <row r="21" spans="2:19" ht="25.5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3" si="6">$F$10</f>
        <v>2000</v>
      </c>
      <c r="H21" s="20">
        <f t="shared" ref="H21:H22" si="7">G21*F21</f>
        <v>-2.2000000000000002</v>
      </c>
      <c r="I21" s="37"/>
      <c r="J21" s="140">
        <f>Rates!F9</f>
        <v>1.1999999999999999E-3</v>
      </c>
      <c r="K21" s="19">
        <f t="shared" ref="K21:K23" si="8">$F$10</f>
        <v>2000</v>
      </c>
      <c r="L21" s="20">
        <f t="shared" ref="L21:L22" si="9">K21*J21</f>
        <v>2.4</v>
      </c>
      <c r="M21" s="38"/>
      <c r="N21" s="23">
        <f t="shared" ref="N21:N22" si="10">L21-H21</f>
        <v>4.5999999999999996</v>
      </c>
      <c r="O21" s="24">
        <f t="shared" ref="O21:O22" si="11">IF((H21)=0,"",(N21/H21))</f>
        <v>-2.0909090909090904</v>
      </c>
    </row>
    <row r="22" spans="2:19" x14ac:dyDescent="0.25">
      <c r="B22" s="135" t="str">
        <f>Rates!A10</f>
        <v>GA Rate Riders</v>
      </c>
      <c r="C22" s="16"/>
      <c r="D22" s="17" t="s">
        <v>55</v>
      </c>
      <c r="E22" s="18"/>
      <c r="F22" s="140">
        <f>Rates!D10</f>
        <v>-7.7999999999999996E-3</v>
      </c>
      <c r="G22" s="19">
        <f t="shared" si="6"/>
        <v>2000</v>
      </c>
      <c r="H22" s="20">
        <f t="shared" si="7"/>
        <v>-15.6</v>
      </c>
      <c r="I22" s="138"/>
      <c r="J22" s="140">
        <f>Rates!F10</f>
        <v>-2.7000000000000001E-3</v>
      </c>
      <c r="K22" s="19">
        <f t="shared" si="8"/>
        <v>2000</v>
      </c>
      <c r="L22" s="20">
        <f t="shared" si="9"/>
        <v>-5.4</v>
      </c>
      <c r="M22" s="138"/>
      <c r="N22" s="23">
        <f t="shared" si="10"/>
        <v>10.199999999999999</v>
      </c>
      <c r="O22" s="24">
        <f t="shared" si="11"/>
        <v>-0.65384615384615385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2000</v>
      </c>
      <c r="H23" s="20">
        <f>G23*F23</f>
        <v>0</v>
      </c>
      <c r="I23" s="21"/>
      <c r="J23" s="140"/>
      <c r="K23" s="19">
        <f t="shared" si="8"/>
        <v>2000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97.002339999999961</v>
      </c>
      <c r="I25" s="31"/>
      <c r="J25" s="46"/>
      <c r="K25" s="48"/>
      <c r="L25" s="47">
        <f>SUM(L20:L24)+L19</f>
        <v>114.71457999999997</v>
      </c>
      <c r="M25" s="31"/>
      <c r="N25" s="34">
        <f t="shared" ref="N25:N37" si="12">L25-H25</f>
        <v>17.712240000000008</v>
      </c>
      <c r="O25" s="35">
        <f t="shared" ref="O25:O37" si="13">IF((H25)=0,"",(N25/H25))</f>
        <v>0.18259600747775792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F10*(1+F40)</f>
        <v>2183.3999999999996</v>
      </c>
      <c r="H26" s="20">
        <f>G26*F26</f>
        <v>14.410439999999998</v>
      </c>
      <c r="I26" s="21"/>
      <c r="J26" s="140">
        <f>Rates!F12</f>
        <v>7.1000000000000004E-3</v>
      </c>
      <c r="K26" s="52">
        <f>F10*(1+J40)</f>
        <v>2165.7999999999997</v>
      </c>
      <c r="L26" s="20">
        <f>K26*J26</f>
        <v>15.377179999999999</v>
      </c>
      <c r="M26" s="21"/>
      <c r="N26" s="23">
        <f t="shared" si="12"/>
        <v>0.96674000000000149</v>
      </c>
      <c r="O26" s="24">
        <f t="shared" si="13"/>
        <v>6.7086084810734553E-2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2183.3999999999996</v>
      </c>
      <c r="H27" s="20">
        <f>G27*F27</f>
        <v>13.100399999999999</v>
      </c>
      <c r="I27" s="21"/>
      <c r="J27" s="140">
        <f>Rates!F13</f>
        <v>6.0000000000000001E-3</v>
      </c>
      <c r="K27" s="52">
        <f>K26</f>
        <v>2165.7999999999997</v>
      </c>
      <c r="L27" s="20">
        <f>K27*J27</f>
        <v>12.994799999999998</v>
      </c>
      <c r="M27" s="21"/>
      <c r="N27" s="23">
        <f t="shared" si="12"/>
        <v>-0.1056000000000008</v>
      </c>
      <c r="O27" s="24">
        <f t="shared" si="13"/>
        <v>-8.0608225703032582E-3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124.51317999999995</v>
      </c>
      <c r="I28" s="55"/>
      <c r="J28" s="56"/>
      <c r="K28" s="57"/>
      <c r="L28" s="47">
        <f>SUM(L25:L27)</f>
        <v>143.08655999999996</v>
      </c>
      <c r="M28" s="55"/>
      <c r="N28" s="34">
        <f t="shared" si="12"/>
        <v>18.573380000000014</v>
      </c>
      <c r="O28" s="35">
        <f t="shared" si="13"/>
        <v>0.14916798366245262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2183.3999999999996</v>
      </c>
      <c r="H29" s="59">
        <f t="shared" ref="H29:H32" si="14">G29*F29</f>
        <v>7.4235599999999984</v>
      </c>
      <c r="I29" s="21"/>
      <c r="J29" s="141">
        <f>Rates!F14</f>
        <v>3.3999999999999998E-3</v>
      </c>
      <c r="K29" s="52">
        <f>K27</f>
        <v>2165.7999999999997</v>
      </c>
      <c r="L29" s="59">
        <f t="shared" ref="L29:L32" si="15">K29*J29</f>
        <v>7.3637199999999989</v>
      </c>
      <c r="M29" s="21"/>
      <c r="N29" s="23">
        <f t="shared" si="12"/>
        <v>-5.9839999999999449E-2</v>
      </c>
      <c r="O29" s="60">
        <f t="shared" si="13"/>
        <v>-8.0608225703031246E-3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2183.3999999999996</v>
      </c>
      <c r="H30" s="59">
        <f t="shared" si="14"/>
        <v>1.0916999999999999</v>
      </c>
      <c r="I30" s="21"/>
      <c r="J30" s="141">
        <f>Rates!F15</f>
        <v>5.0000000000000001E-4</v>
      </c>
      <c r="K30" s="52">
        <f>K27</f>
        <v>2165.7999999999997</v>
      </c>
      <c r="L30" s="59">
        <f t="shared" si="15"/>
        <v>1.0829</v>
      </c>
      <c r="M30" s="21"/>
      <c r="N30" s="23">
        <f t="shared" si="12"/>
        <v>-8.799999999999919E-3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ht="15.75" thickBot="1" x14ac:dyDescent="0.3">
      <c r="B32" s="39" t="s">
        <v>105</v>
      </c>
      <c r="C32" s="16"/>
      <c r="D32" s="17" t="s">
        <v>55</v>
      </c>
      <c r="E32" s="18"/>
      <c r="F32" s="61">
        <f>Rates!D69</f>
        <v>0.1101</v>
      </c>
      <c r="G32" s="62">
        <f>$F$10</f>
        <v>2000</v>
      </c>
      <c r="H32" s="59">
        <f t="shared" si="14"/>
        <v>220.20000000000002</v>
      </c>
      <c r="I32" s="21"/>
      <c r="J32" s="61">
        <f>Rates!F69</f>
        <v>0.1101</v>
      </c>
      <c r="K32" s="62">
        <f>G32</f>
        <v>2000</v>
      </c>
      <c r="L32" s="59">
        <f t="shared" si="15"/>
        <v>220.20000000000002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353.47843999999998</v>
      </c>
      <c r="I34" s="79"/>
      <c r="J34" s="80"/>
      <c r="K34" s="80"/>
      <c r="L34" s="104">
        <f>SUM(L29:L32,L28)</f>
        <v>371.98317999999995</v>
      </c>
      <c r="M34" s="81"/>
      <c r="N34" s="82">
        <f t="shared" ref="N34" si="16">L34-H34</f>
        <v>18.50473999999997</v>
      </c>
      <c r="O34" s="83">
        <f t="shared" ref="O34" si="17">IF((H34)=0,"",(N34/H34))</f>
        <v>5.2350406434972303E-2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45.952197200000001</v>
      </c>
      <c r="I35" s="88"/>
      <c r="J35" s="89">
        <v>0.13</v>
      </c>
      <c r="K35" s="88"/>
      <c r="L35" s="90">
        <f>L34*J35</f>
        <v>48.357813399999998</v>
      </c>
      <c r="M35" s="91"/>
      <c r="N35" s="92">
        <f t="shared" si="12"/>
        <v>2.4056161999999972</v>
      </c>
      <c r="O35" s="93">
        <f t="shared" si="13"/>
        <v>5.2350406434972324E-2</v>
      </c>
      <c r="S35" s="63"/>
    </row>
    <row r="36" spans="1:19" x14ac:dyDescent="0.25">
      <c r="B36" s="84" t="s">
        <v>82</v>
      </c>
      <c r="C36" s="16"/>
      <c r="D36" s="16"/>
      <c r="E36" s="16"/>
      <c r="F36" s="197">
        <v>0.318</v>
      </c>
      <c r="G36" s="86"/>
      <c r="H36" s="87">
        <f>H34*-F36</f>
        <v>-112.40614391999999</v>
      </c>
      <c r="I36" s="88"/>
      <c r="J36" s="198">
        <f>F36</f>
        <v>0.318</v>
      </c>
      <c r="K36" s="88"/>
      <c r="L36" s="92">
        <f>L34*-J36</f>
        <v>-118.29065123999999</v>
      </c>
      <c r="M36" s="91"/>
      <c r="N36" s="92">
        <f t="shared" si="12"/>
        <v>-5.8845073199999973</v>
      </c>
      <c r="O36" s="93">
        <f t="shared" si="13"/>
        <v>5.2350406434972366E-2</v>
      </c>
      <c r="S36" s="63"/>
    </row>
    <row r="37" spans="1:19" s="105" customFormat="1" ht="15.75" thickBot="1" x14ac:dyDescent="0.3">
      <c r="B37" s="94" t="s">
        <v>75</v>
      </c>
      <c r="C37" s="122"/>
      <c r="D37" s="122"/>
      <c r="E37" s="122"/>
      <c r="F37" s="127"/>
      <c r="G37" s="128"/>
      <c r="H37" s="129">
        <f>SUM(H34:H36)</f>
        <v>287.02449328</v>
      </c>
      <c r="I37" s="130"/>
      <c r="J37" s="130"/>
      <c r="K37" s="130"/>
      <c r="L37" s="136">
        <f>SUM(L34:L36)</f>
        <v>302.05034215999996</v>
      </c>
      <c r="M37" s="131"/>
      <c r="N37" s="132">
        <f t="shared" si="12"/>
        <v>15.025848879999955</v>
      </c>
      <c r="O37" s="133">
        <f t="shared" si="13"/>
        <v>5.2350406434972227E-2</v>
      </c>
      <c r="S37" s="126"/>
    </row>
    <row r="38" spans="1:19" s="105" customFormat="1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126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700-000000000000}">
      <formula1>"TOU, non-TOU"</formula1>
    </dataValidation>
    <dataValidation type="list" allowBlank="1" showInputMessage="1" showErrorMessage="1" sqref="E26:E27 E38 E20:E24 E29:E33 E15:E18" xr:uid="{00000000-0002-0000-0700-000001000000}">
      <formula1>#REF!</formula1>
    </dataValidation>
    <dataValidation type="list" allowBlank="1" showInputMessage="1" showErrorMessage="1" prompt="Select Charge Unit - monthly, per kWh, per kW" sqref="D26:D27 D38 D20:D24 D29:D33 D15:D18" xr:uid="{00000000-0002-0000-07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S39"/>
  <sheetViews>
    <sheetView showGridLines="0" zoomScaleNormal="100" workbookViewId="0">
      <selection activeCell="J16" sqref="J16"/>
    </sheetView>
  </sheetViews>
  <sheetFormatPr defaultColWidth="9.140625"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99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90000</v>
      </c>
      <c r="G9" s="7" t="s">
        <v>6</v>
      </c>
      <c r="I9" s="227" t="s">
        <v>57</v>
      </c>
      <c r="J9" s="227"/>
      <c r="K9" s="8">
        <v>225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4" t="s">
        <v>7</v>
      </c>
      <c r="G11" s="225"/>
      <c r="H11" s="226"/>
      <c r="J11" s="224" t="s">
        <v>8</v>
      </c>
      <c r="K11" s="225"/>
      <c r="L11" s="226"/>
      <c r="N11" s="224" t="s">
        <v>9</v>
      </c>
      <c r="O11" s="226"/>
    </row>
    <row r="12" spans="2:16" x14ac:dyDescent="0.25">
      <c r="B12" s="6"/>
      <c r="D12" s="216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8" t="s">
        <v>14</v>
      </c>
      <c r="O12" s="220" t="s">
        <v>15</v>
      </c>
    </row>
    <row r="13" spans="2:16" x14ac:dyDescent="0.25">
      <c r="B13" s="6"/>
      <c r="D13" s="217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9"/>
      <c r="O13" s="221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667.66</v>
      </c>
      <c r="K14" s="22">
        <v>1</v>
      </c>
      <c r="L14" s="20">
        <f>K14*J14</f>
        <v>667.66</v>
      </c>
      <c r="M14" s="21"/>
      <c r="N14" s="23">
        <f>L14-H14</f>
        <v>7.7199999999999136</v>
      </c>
      <c r="O14" s="24">
        <f>IF((H14)=0,"",(N14/H14))</f>
        <v>1.1698033154529068E-2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225</v>
      </c>
      <c r="H15" s="20">
        <f t="shared" ref="H15:H16" si="0">G15*F15</f>
        <v>769.36500000000001</v>
      </c>
      <c r="I15" s="21"/>
      <c r="J15" s="140">
        <f>Rates!F21</f>
        <v>3.4594</v>
      </c>
      <c r="K15" s="19">
        <f>$K$9</f>
        <v>225</v>
      </c>
      <c r="L15" s="20">
        <f t="shared" ref="L15:L16" si="1">K15*J15</f>
        <v>778.36500000000001</v>
      </c>
      <c r="M15" s="21"/>
      <c r="N15" s="23">
        <f t="shared" ref="N15:N17" si="2">L15-H15</f>
        <v>9</v>
      </c>
      <c r="O15" s="24">
        <f t="shared" ref="O15:O17" si="3">IF((H15)=0,"",(N15/H15))</f>
        <v>1.1697958706205767E-2</v>
      </c>
    </row>
    <row r="16" spans="2:16" x14ac:dyDescent="0.25">
      <c r="B16" s="134" t="s">
        <v>100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225</v>
      </c>
      <c r="H16" s="20">
        <f t="shared" si="0"/>
        <v>-180.22500000000002</v>
      </c>
      <c r="I16" s="21"/>
      <c r="J16" s="140">
        <f>Rates!F24+Rates!F25</f>
        <v>-0.5270999999999999</v>
      </c>
      <c r="K16" s="19">
        <f t="shared" ref="K16:K21" si="5">$K$9</f>
        <v>225</v>
      </c>
      <c r="L16" s="20">
        <f t="shared" si="1"/>
        <v>-118.59749999999998</v>
      </c>
      <c r="M16" s="21"/>
      <c r="N16" s="23">
        <f t="shared" si="2"/>
        <v>61.62750000000004</v>
      </c>
      <c r="O16" s="24">
        <f t="shared" si="3"/>
        <v>-0.34194756554307132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1249.08</v>
      </c>
      <c r="I17" s="31"/>
      <c r="J17" s="32"/>
      <c r="K17" s="33"/>
      <c r="L17" s="30">
        <f>SUM(L14:L16)</f>
        <v>1327.4275</v>
      </c>
      <c r="M17" s="31"/>
      <c r="N17" s="34">
        <f t="shared" si="2"/>
        <v>78.347500000000082</v>
      </c>
      <c r="O17" s="35">
        <f t="shared" si="3"/>
        <v>6.2724164985429348E-2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ht="25.5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225</v>
      </c>
      <c r="H19" s="20">
        <f t="shared" ref="H19:H20" si="6">G19*F19</f>
        <v>-109.8</v>
      </c>
      <c r="I19" s="37"/>
      <c r="J19" s="140">
        <f>Rates!F22</f>
        <v>0.38440000000000002</v>
      </c>
      <c r="K19" s="19">
        <f t="shared" si="5"/>
        <v>225</v>
      </c>
      <c r="L19" s="20">
        <f t="shared" ref="L19:L20" si="7">K19*J19</f>
        <v>86.490000000000009</v>
      </c>
      <c r="M19" s="38"/>
      <c r="N19" s="23">
        <f t="shared" ref="N19:N20" si="8">L19-H19</f>
        <v>196.29000000000002</v>
      </c>
      <c r="O19" s="24">
        <f t="shared" ref="O19:O20" si="9">IF((H19)=0,"",(N19/H19))</f>
        <v>-1.7877049180327871</v>
      </c>
    </row>
    <row r="20" spans="2:19" x14ac:dyDescent="0.25">
      <c r="B20" s="135" t="str">
        <f>Rates!A23</f>
        <v>GA Rate Riders</v>
      </c>
      <c r="C20" s="16"/>
      <c r="D20" s="17" t="s">
        <v>55</v>
      </c>
      <c r="E20" s="18"/>
      <c r="F20" s="140">
        <f>Rates!D23</f>
        <v>-7.7999999999999996E-3</v>
      </c>
      <c r="G20" s="106">
        <f>F9</f>
        <v>90000</v>
      </c>
      <c r="H20" s="20">
        <f t="shared" si="6"/>
        <v>-702</v>
      </c>
      <c r="I20" s="37"/>
      <c r="J20" s="140">
        <f>Rates!F23</f>
        <v>-2.7000000000000001E-3</v>
      </c>
      <c r="K20" s="106">
        <f>F9</f>
        <v>90000</v>
      </c>
      <c r="L20" s="20">
        <f t="shared" si="7"/>
        <v>-243</v>
      </c>
      <c r="M20" s="38"/>
      <c r="N20" s="23">
        <f t="shared" si="8"/>
        <v>459</v>
      </c>
      <c r="O20" s="24">
        <f t="shared" si="9"/>
        <v>-0.65384615384615385</v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225</v>
      </c>
      <c r="H21" s="20">
        <f>G21*F21</f>
        <v>0</v>
      </c>
      <c r="I21" s="21"/>
      <c r="J21" s="140"/>
      <c r="K21" s="19">
        <f t="shared" si="5"/>
        <v>225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437.28</v>
      </c>
      <c r="I23" s="31"/>
      <c r="J23" s="46"/>
      <c r="K23" s="48"/>
      <c r="L23" s="47">
        <f>SUM(L18:L22)+L17</f>
        <v>1170.9175</v>
      </c>
      <c r="M23" s="31"/>
      <c r="N23" s="34">
        <f t="shared" ref="N23:N34" si="10">L23-H23</f>
        <v>733.63750000000005</v>
      </c>
      <c r="O23" s="35">
        <f t="shared" ref="O23:O34" si="11">IF((H23)=0,"",(N23/H23))</f>
        <v>1.6777293724844495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245.63249999999996</v>
      </c>
      <c r="H24" s="20">
        <f>G24*F24</f>
        <v>615.70242450000001</v>
      </c>
      <c r="I24" s="21"/>
      <c r="J24" s="140">
        <f>Rates!F26</f>
        <v>2.6970000000000001</v>
      </c>
      <c r="K24" s="52">
        <f>K9*(1+J37)</f>
        <v>243.6525</v>
      </c>
      <c r="L24" s="20">
        <f>K24*J24</f>
        <v>657.13079249999998</v>
      </c>
      <c r="M24" s="21"/>
      <c r="N24" s="23">
        <f t="shared" si="10"/>
        <v>41.428367999999978</v>
      </c>
      <c r="O24" s="24">
        <f t="shared" si="11"/>
        <v>6.7286348650718975E-2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245.63249999999996</v>
      </c>
      <c r="H25" s="20">
        <f>G25*F25</f>
        <v>559.72277774999998</v>
      </c>
      <c r="I25" s="21"/>
      <c r="J25" s="140">
        <f>Rates!F27</f>
        <v>2.2827999999999999</v>
      </c>
      <c r="K25" s="52">
        <f>K24</f>
        <v>243.6525</v>
      </c>
      <c r="L25" s="20">
        <f>K25*J25</f>
        <v>556.20992699999999</v>
      </c>
      <c r="M25" s="21"/>
      <c r="N25" s="23">
        <f t="shared" si="10"/>
        <v>-3.5128507499999841</v>
      </c>
      <c r="O25" s="24">
        <f t="shared" si="11"/>
        <v>-6.2760546642770323E-3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1612.70520225</v>
      </c>
      <c r="I26" s="55"/>
      <c r="J26" s="56"/>
      <c r="K26" s="57"/>
      <c r="L26" s="47">
        <f>SUM(L23:L25)</f>
        <v>2384.2582195</v>
      </c>
      <c r="M26" s="55"/>
      <c r="N26" s="34">
        <f t="shared" si="10"/>
        <v>771.55301725000004</v>
      </c>
      <c r="O26" s="35">
        <f t="shared" si="11"/>
        <v>0.478421608719034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98252.999999999985</v>
      </c>
      <c r="H27" s="59">
        <f t="shared" ref="H27:H30" si="12">G27*F27</f>
        <v>334.06019999999995</v>
      </c>
      <c r="I27" s="21"/>
      <c r="J27" s="141">
        <f>Rates!F28</f>
        <v>3.3999999999999998E-3</v>
      </c>
      <c r="K27" s="52">
        <f>F9*(1+J37)</f>
        <v>97461</v>
      </c>
      <c r="L27" s="59">
        <f t="shared" ref="L27:L30" si="13">K27*J27</f>
        <v>331.36739999999998</v>
      </c>
      <c r="M27" s="21"/>
      <c r="N27" s="23">
        <f t="shared" si="10"/>
        <v>-2.692799999999977</v>
      </c>
      <c r="O27" s="60">
        <f t="shared" si="11"/>
        <v>-8.0608225703031298E-3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98252.999999999985</v>
      </c>
      <c r="H28" s="59">
        <f t="shared" si="12"/>
        <v>49.126499999999993</v>
      </c>
      <c r="I28" s="21"/>
      <c r="J28" s="141">
        <f>Rates!F29</f>
        <v>5.0000000000000001E-4</v>
      </c>
      <c r="K28" s="52">
        <f>K27</f>
        <v>97461</v>
      </c>
      <c r="L28" s="59">
        <f t="shared" si="13"/>
        <v>48.730499999999999</v>
      </c>
      <c r="M28" s="21"/>
      <c r="N28" s="23">
        <f t="shared" si="10"/>
        <v>-0.39599999999999369</v>
      </c>
      <c r="O28" s="60">
        <f t="shared" si="11"/>
        <v>-8.0608225703030691E-3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98252.999999999985</v>
      </c>
      <c r="H30" s="59">
        <f t="shared" si="12"/>
        <v>10817.655299999999</v>
      </c>
      <c r="I30" s="21"/>
      <c r="J30" s="108">
        <f>Rates!F69</f>
        <v>0.1101</v>
      </c>
      <c r="K30" s="62">
        <f>K28</f>
        <v>97461</v>
      </c>
      <c r="L30" s="59">
        <f t="shared" si="13"/>
        <v>10730.456099999999</v>
      </c>
      <c r="M30" s="21"/>
      <c r="N30" s="23">
        <f t="shared" si="10"/>
        <v>-87.199199999999109</v>
      </c>
      <c r="O30" s="60">
        <f t="shared" si="11"/>
        <v>-8.060822570303116E-3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12813.797202249998</v>
      </c>
      <c r="I32" s="79"/>
      <c r="J32" s="80"/>
      <c r="K32" s="80"/>
      <c r="L32" s="104">
        <f>SUM(L27:L30,L26)</f>
        <v>13495.0622195</v>
      </c>
      <c r="M32" s="81"/>
      <c r="N32" s="82">
        <f t="shared" ref="N32" si="14">L32-H32</f>
        <v>681.26501725000162</v>
      </c>
      <c r="O32" s="83">
        <f t="shared" ref="O32" si="15">IF((H32)=0,"",(N32/H32))</f>
        <v>5.3166520938100773E-2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1665.7936362924997</v>
      </c>
      <c r="I33" s="88"/>
      <c r="J33" s="89">
        <v>0.13</v>
      </c>
      <c r="K33" s="88"/>
      <c r="L33" s="90">
        <f>L32*J33</f>
        <v>1754.358088535</v>
      </c>
      <c r="M33" s="91"/>
      <c r="N33" s="92">
        <f t="shared" si="10"/>
        <v>88.564452242500238</v>
      </c>
      <c r="O33" s="93">
        <f t="shared" si="11"/>
        <v>5.3166520938100786E-2</v>
      </c>
      <c r="S33" s="63"/>
    </row>
    <row r="34" spans="1:19" s="105" customFormat="1" ht="15.75" thickBot="1" x14ac:dyDescent="0.3">
      <c r="B34" s="94" t="s">
        <v>75</v>
      </c>
      <c r="C34" s="122"/>
      <c r="D34" s="122"/>
      <c r="E34" s="122"/>
      <c r="F34" s="123"/>
      <c r="G34" s="124"/>
      <c r="H34" s="78">
        <f>H32+H33</f>
        <v>14479.590838542497</v>
      </c>
      <c r="I34" s="79"/>
      <c r="J34" s="79"/>
      <c r="K34" s="79"/>
      <c r="L34" s="125">
        <f>L32+L33</f>
        <v>15249.420308035</v>
      </c>
      <c r="M34" s="81"/>
      <c r="N34" s="82">
        <f t="shared" si="10"/>
        <v>769.82946949250254</v>
      </c>
      <c r="O34" s="83">
        <f t="shared" si="11"/>
        <v>5.3166520938100821E-2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24:E25 E35 E27:E31 E18:E22 E14:E16" xr:uid="{00000000-0002-0000-0800-000000000000}">
      <formula1>#REF!</formula1>
    </dataValidation>
    <dataValidation type="list" allowBlank="1" showInputMessage="1" showErrorMessage="1" prompt="Select Charge Unit - monthly, per kWh, per kW" sqref="D24:D25 D35 D27:D31 D18:D22 D14:D16" xr:uid="{00000000-0002-0000-0800-000001000000}">
      <formula1>"Monthly, per kWh, per kW"</formula1>
    </dataValidation>
  </dataValidation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S39"/>
  <sheetViews>
    <sheetView showGridLines="0" zoomScaleNormal="100" workbookViewId="0">
      <selection activeCell="T30" sqref="T30"/>
    </sheetView>
  </sheetViews>
  <sheetFormatPr defaultColWidth="9.140625"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10.5703125" style="1" bestFit="1" customWidth="1"/>
    <col min="8" max="8" width="12.5703125" style="1" bestFit="1" customWidth="1"/>
    <col min="9" max="9" width="2.85546875" style="1" customWidth="1"/>
    <col min="10" max="10" width="12.140625" style="1" customWidth="1"/>
    <col min="11" max="11" width="10.5703125" style="1" bestFit="1" customWidth="1"/>
    <col min="12" max="12" width="12.57031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113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2500000</v>
      </c>
      <c r="G9" s="7" t="s">
        <v>6</v>
      </c>
      <c r="I9" s="227" t="s">
        <v>57</v>
      </c>
      <c r="J9" s="227"/>
      <c r="K9" s="8">
        <v>5000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4" t="s">
        <v>7</v>
      </c>
      <c r="G11" s="225"/>
      <c r="H11" s="226"/>
      <c r="J11" s="224" t="s">
        <v>8</v>
      </c>
      <c r="K11" s="225"/>
      <c r="L11" s="226"/>
      <c r="N11" s="224" t="s">
        <v>9</v>
      </c>
      <c r="O11" s="226"/>
    </row>
    <row r="12" spans="2:16" x14ac:dyDescent="0.25">
      <c r="B12" s="6"/>
      <c r="D12" s="216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8" t="s">
        <v>14</v>
      </c>
      <c r="O12" s="220" t="s">
        <v>15</v>
      </c>
    </row>
    <row r="13" spans="2:16" x14ac:dyDescent="0.25">
      <c r="B13" s="6"/>
      <c r="D13" s="217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9"/>
      <c r="O13" s="221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667.66</v>
      </c>
      <c r="K14" s="22">
        <v>1</v>
      </c>
      <c r="L14" s="20">
        <f>K14*J14</f>
        <v>667.66</v>
      </c>
      <c r="M14" s="21"/>
      <c r="N14" s="23">
        <f>L14-H14</f>
        <v>7.7199999999999136</v>
      </c>
      <c r="O14" s="24">
        <f>IF((H14)=0,"",(N14/H14))</f>
        <v>1.1698033154529068E-2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5000</v>
      </c>
      <c r="H15" s="20">
        <f t="shared" ref="H15:H16" si="0">G15*F15</f>
        <v>17097</v>
      </c>
      <c r="I15" s="21"/>
      <c r="J15" s="140">
        <f>Rates!F21</f>
        <v>3.4594</v>
      </c>
      <c r="K15" s="19">
        <f>$K$9</f>
        <v>5000</v>
      </c>
      <c r="L15" s="20">
        <f t="shared" ref="L15:L16" si="1">K15*J15</f>
        <v>17297</v>
      </c>
      <c r="M15" s="21"/>
      <c r="N15" s="23">
        <f t="shared" ref="N15:N17" si="2">L15-H15</f>
        <v>200</v>
      </c>
      <c r="O15" s="24">
        <f t="shared" ref="O15:O17" si="3">IF((H15)=0,"",(N15/H15))</f>
        <v>1.1697958706205767E-2</v>
      </c>
    </row>
    <row r="16" spans="2:16" x14ac:dyDescent="0.25">
      <c r="B16" s="134" t="s">
        <v>100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5000</v>
      </c>
      <c r="H16" s="20">
        <f t="shared" si="0"/>
        <v>-4005</v>
      </c>
      <c r="I16" s="21"/>
      <c r="J16" s="140">
        <f>Rates!F24+Rates!F25</f>
        <v>-0.5270999999999999</v>
      </c>
      <c r="K16" s="19">
        <f t="shared" ref="K16:K21" si="5">$K$9</f>
        <v>5000</v>
      </c>
      <c r="L16" s="20">
        <f t="shared" si="1"/>
        <v>-2635.4999999999995</v>
      </c>
      <c r="M16" s="21"/>
      <c r="N16" s="23">
        <f t="shared" si="2"/>
        <v>1369.5000000000005</v>
      </c>
      <c r="O16" s="24">
        <f t="shared" si="3"/>
        <v>-0.34194756554307126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13751.939999999999</v>
      </c>
      <c r="I17" s="31"/>
      <c r="J17" s="32"/>
      <c r="K17" s="33"/>
      <c r="L17" s="30">
        <f>SUM(L14:L16)</f>
        <v>15329.16</v>
      </c>
      <c r="M17" s="31"/>
      <c r="N17" s="34">
        <f t="shared" si="2"/>
        <v>1577.2200000000012</v>
      </c>
      <c r="O17" s="35">
        <f t="shared" si="3"/>
        <v>0.11469072727193409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ht="25.5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5000</v>
      </c>
      <c r="H19" s="20">
        <f t="shared" ref="H19:H20" si="6">G19*F19</f>
        <v>-2440</v>
      </c>
      <c r="I19" s="37"/>
      <c r="J19" s="140">
        <f>Rates!F22</f>
        <v>0.38440000000000002</v>
      </c>
      <c r="K19" s="19">
        <f t="shared" si="5"/>
        <v>5000</v>
      </c>
      <c r="L19" s="20">
        <f t="shared" ref="L19:L20" si="7">K19*J19</f>
        <v>1922</v>
      </c>
      <c r="M19" s="38"/>
      <c r="N19" s="23">
        <f t="shared" ref="N19:N20" si="8">L19-H19</f>
        <v>4362</v>
      </c>
      <c r="O19" s="24">
        <f t="shared" ref="O19:O20" si="9">IF((H19)=0,"",(N19/H19))</f>
        <v>-1.7877049180327869</v>
      </c>
    </row>
    <row r="20" spans="2:19" x14ac:dyDescent="0.25">
      <c r="B20" s="135" t="s">
        <v>112</v>
      </c>
      <c r="C20" s="16"/>
      <c r="D20" s="17" t="s">
        <v>55</v>
      </c>
      <c r="E20" s="18"/>
      <c r="F20" s="140">
        <v>0</v>
      </c>
      <c r="G20" s="19">
        <f>F9</f>
        <v>2500000</v>
      </c>
      <c r="H20" s="20">
        <f t="shared" si="6"/>
        <v>0</v>
      </c>
      <c r="I20" s="37"/>
      <c r="J20" s="140">
        <v>0</v>
      </c>
      <c r="K20" s="19">
        <f>F9</f>
        <v>2500000</v>
      </c>
      <c r="L20" s="20">
        <f t="shared" si="7"/>
        <v>0</v>
      </c>
      <c r="M20" s="38"/>
      <c r="N20" s="23">
        <f t="shared" si="8"/>
        <v>0</v>
      </c>
      <c r="O20" s="24" t="str">
        <f t="shared" si="9"/>
        <v/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5000</v>
      </c>
      <c r="H21" s="20">
        <f>G21*F21</f>
        <v>0</v>
      </c>
      <c r="I21" s="21"/>
      <c r="J21" s="140"/>
      <c r="K21" s="19">
        <f t="shared" si="5"/>
        <v>5000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11311.939999999999</v>
      </c>
      <c r="I23" s="31"/>
      <c r="J23" s="46"/>
      <c r="K23" s="48"/>
      <c r="L23" s="47">
        <f>SUM(L18:L22)+L17</f>
        <v>17251.16</v>
      </c>
      <c r="M23" s="31"/>
      <c r="N23" s="34">
        <f t="shared" ref="N23:N34" si="10">L23-H23</f>
        <v>5939.2200000000012</v>
      </c>
      <c r="O23" s="35">
        <f t="shared" ref="O23:O34" si="11">IF((H23)=0,"",(N23/H23))</f>
        <v>0.52503991357804247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5458.4999999999991</v>
      </c>
      <c r="H24" s="20">
        <f>G24*F24</f>
        <v>13682.276099999999</v>
      </c>
      <c r="I24" s="21"/>
      <c r="J24" s="140">
        <f>Rates!F26</f>
        <v>2.6970000000000001</v>
      </c>
      <c r="K24" s="52">
        <f>K9*(1+J37)</f>
        <v>5414.5</v>
      </c>
      <c r="L24" s="20">
        <f>K24*J24</f>
        <v>14602.906500000001</v>
      </c>
      <c r="M24" s="21"/>
      <c r="N24" s="23">
        <f t="shared" si="10"/>
        <v>920.63040000000183</v>
      </c>
      <c r="O24" s="24">
        <f t="shared" si="11"/>
        <v>6.7286348650719155E-2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5458.4999999999991</v>
      </c>
      <c r="H25" s="20">
        <f>G25*F25</f>
        <v>12438.283949999999</v>
      </c>
      <c r="I25" s="21"/>
      <c r="J25" s="140">
        <f>Rates!F27</f>
        <v>2.2827999999999999</v>
      </c>
      <c r="K25" s="52">
        <f>K24</f>
        <v>5414.5</v>
      </c>
      <c r="L25" s="20">
        <f>K25*J25</f>
        <v>12360.220600000001</v>
      </c>
      <c r="M25" s="21"/>
      <c r="N25" s="23">
        <f t="shared" si="10"/>
        <v>-78.063349999998536</v>
      </c>
      <c r="O25" s="24">
        <f t="shared" si="11"/>
        <v>-6.276054664276943E-3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37432.500049999995</v>
      </c>
      <c r="I26" s="55"/>
      <c r="J26" s="56"/>
      <c r="K26" s="57"/>
      <c r="L26" s="47">
        <f>SUM(L23:L25)</f>
        <v>44214.287100000001</v>
      </c>
      <c r="M26" s="55"/>
      <c r="N26" s="34">
        <f t="shared" si="10"/>
        <v>6781.7870500000063</v>
      </c>
      <c r="O26" s="35">
        <f t="shared" si="11"/>
        <v>0.18117376720607276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2729249.9999999995</v>
      </c>
      <c r="H27" s="59">
        <f t="shared" ref="H27:H30" si="12">G27*F27</f>
        <v>9279.4499999999971</v>
      </c>
      <c r="I27" s="21"/>
      <c r="J27" s="141">
        <f>Rates!F28</f>
        <v>3.3999999999999998E-3</v>
      </c>
      <c r="K27" s="52">
        <f>F9*(1+J37)</f>
        <v>2707250</v>
      </c>
      <c r="L27" s="59">
        <f t="shared" ref="L27:L30" si="13">K27*J27</f>
        <v>9204.65</v>
      </c>
      <c r="M27" s="21"/>
      <c r="N27" s="23">
        <f t="shared" si="10"/>
        <v>-74.799999999997453</v>
      </c>
      <c r="O27" s="60">
        <f t="shared" si="11"/>
        <v>-8.0608225703029251E-3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2729249.9999999995</v>
      </c>
      <c r="H28" s="59">
        <f t="shared" si="12"/>
        <v>1364.6249999999998</v>
      </c>
      <c r="I28" s="21"/>
      <c r="J28" s="141">
        <f>Rates!F29</f>
        <v>5.0000000000000001E-4</v>
      </c>
      <c r="K28" s="52">
        <f>K27</f>
        <v>2707250</v>
      </c>
      <c r="L28" s="59">
        <f t="shared" si="13"/>
        <v>1353.625</v>
      </c>
      <c r="M28" s="21"/>
      <c r="N28" s="23">
        <f t="shared" si="10"/>
        <v>-10.999999999999773</v>
      </c>
      <c r="O28" s="60">
        <f t="shared" si="11"/>
        <v>-8.060822570303031E-3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2729249.9999999995</v>
      </c>
      <c r="H30" s="59">
        <f t="shared" si="12"/>
        <v>300490.42499999993</v>
      </c>
      <c r="I30" s="21"/>
      <c r="J30" s="108">
        <f>Rates!F69</f>
        <v>0.1101</v>
      </c>
      <c r="K30" s="62">
        <f>K28</f>
        <v>2707250</v>
      </c>
      <c r="L30" s="59">
        <f t="shared" si="13"/>
        <v>298068.22500000003</v>
      </c>
      <c r="M30" s="21"/>
      <c r="N30" s="23">
        <f t="shared" si="10"/>
        <v>-2422.1999999998952</v>
      </c>
      <c r="O30" s="60">
        <f t="shared" si="11"/>
        <v>-8.0608225703028506E-3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348567.25004999992</v>
      </c>
      <c r="I32" s="79"/>
      <c r="J32" s="80"/>
      <c r="K32" s="80"/>
      <c r="L32" s="104">
        <f>SUM(L27:L30,L26)</f>
        <v>352841.03710000007</v>
      </c>
      <c r="M32" s="81"/>
      <c r="N32" s="82">
        <f t="shared" ref="N32" si="14">L32-H32</f>
        <v>4273.7870500001591</v>
      </c>
      <c r="O32" s="83">
        <f t="shared" ref="O32" si="15">IF((H32)=0,"",(N32/H32))</f>
        <v>1.2261011467334092E-2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45313.742506499992</v>
      </c>
      <c r="I33" s="88"/>
      <c r="J33" s="89">
        <v>0.13</v>
      </c>
      <c r="K33" s="88"/>
      <c r="L33" s="90">
        <f>L32*J33</f>
        <v>45869.334823000012</v>
      </c>
      <c r="M33" s="91"/>
      <c r="N33" s="92">
        <f t="shared" si="10"/>
        <v>555.59231650002039</v>
      </c>
      <c r="O33" s="93">
        <f t="shared" si="11"/>
        <v>1.2261011467334085E-2</v>
      </c>
      <c r="S33" s="63"/>
    </row>
    <row r="34" spans="1:19" s="105" customFormat="1" ht="15.75" thickBot="1" x14ac:dyDescent="0.3">
      <c r="B34" s="94" t="s">
        <v>75</v>
      </c>
      <c r="C34" s="122"/>
      <c r="D34" s="122"/>
      <c r="E34" s="122"/>
      <c r="F34" s="123"/>
      <c r="G34" s="124"/>
      <c r="H34" s="78">
        <f>H32+H33</f>
        <v>393880.9925564999</v>
      </c>
      <c r="I34" s="79"/>
      <c r="J34" s="79"/>
      <c r="K34" s="79"/>
      <c r="L34" s="125">
        <f>L32+L33</f>
        <v>398710.37192300009</v>
      </c>
      <c r="M34" s="81"/>
      <c r="N34" s="82">
        <f t="shared" si="10"/>
        <v>4829.3793665001867</v>
      </c>
      <c r="O34" s="83">
        <f t="shared" si="11"/>
        <v>1.2261011467334111E-2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prompt="Select Charge Unit - monthly, per kWh, per kW" sqref="D24:D25 D35 D27:D31 D18:D22 D14:D16" xr:uid="{00000000-0002-0000-0900-000000000000}">
      <formula1>"Monthly, per kWh, per kW"</formula1>
    </dataValidation>
    <dataValidation type="list" allowBlank="1" showInputMessage="1" showErrorMessage="1" sqref="E24:E25 E35 E27:E31 E18:E22 E14:E16" xr:uid="{00000000-0002-0000-0900-000001000000}">
      <formula1>#REF!</formula1>
    </dataValidation>
  </dataValidations>
  <pageMargins left="0.7" right="0.7" top="0.75" bottom="0.75" header="0.3" footer="0.3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00"/>
    <pageSetUpPr fitToPage="1"/>
  </sheetPr>
  <dimension ref="A1:S43"/>
  <sheetViews>
    <sheetView showGridLines="0" topLeftCell="A7" zoomScaleNormal="100" workbookViewId="0">
      <selection activeCell="J37" activeCellId="1" sqref="F37 J37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66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58.8</v>
      </c>
      <c r="K15" s="22">
        <v>1</v>
      </c>
      <c r="L15" s="20">
        <f>K15*J15</f>
        <v>58.8</v>
      </c>
      <c r="M15" s="21"/>
      <c r="N15" s="23">
        <f>L15-H15</f>
        <v>4.0499999999999972</v>
      </c>
      <c r="O15" s="24">
        <f>IF((H15)=0,"",(N15/H15))</f>
        <v>7.3972602739725973E-2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0.12540000000000001</v>
      </c>
      <c r="K16" s="19">
        <f>$F$10</f>
        <v>750</v>
      </c>
      <c r="L16" s="20">
        <f t="shared" ref="L16:L18" si="1">K16*J16</f>
        <v>94.050000000000011</v>
      </c>
      <c r="M16" s="21"/>
      <c r="N16" s="23">
        <f t="shared" ref="N16:N19" si="2">L16-H16</f>
        <v>-17.999999999999986</v>
      </c>
      <c r="O16" s="24">
        <f t="shared" ref="O16:O19" si="3">IF((H16)=0,"",(N16/H16))</f>
        <v>-0.16064257028112439</v>
      </c>
    </row>
    <row r="17" spans="2:19" x14ac:dyDescent="0.2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2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3.27E-2</v>
      </c>
      <c r="K18" s="19">
        <f t="shared" ref="K18" si="5">$F$10</f>
        <v>750</v>
      </c>
      <c r="L18" s="20">
        <f t="shared" si="1"/>
        <v>24.524999999999999</v>
      </c>
      <c r="M18" s="21"/>
      <c r="N18" s="23">
        <f t="shared" si="2"/>
        <v>2.9249999999999972</v>
      </c>
      <c r="O18" s="24">
        <f t="shared" si="3"/>
        <v>0.13541666666666652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177.17500000000004</v>
      </c>
      <c r="M19" s="31"/>
      <c r="N19" s="34">
        <f t="shared" si="2"/>
        <v>-11.224999999999966</v>
      </c>
      <c r="O19" s="35">
        <f t="shared" si="3"/>
        <v>-5.958067940551999E-2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Rates!D69</f>
        <v>0.1101</v>
      </c>
      <c r="G20" s="41">
        <f>$F$10*(1+$F$41)-$F$10</f>
        <v>68.774999999999864</v>
      </c>
      <c r="H20" s="20">
        <f>G20*F20</f>
        <v>7.5721274999999855</v>
      </c>
      <c r="I20" s="21"/>
      <c r="J20" s="140">
        <f>Rates!F69</f>
        <v>0.1101</v>
      </c>
      <c r="K20" s="41">
        <f>$F$10*(1+$J$41)-$F$10</f>
        <v>62.174999999999955</v>
      </c>
      <c r="L20" s="20">
        <f>K20*J20</f>
        <v>6.8454674999999954</v>
      </c>
      <c r="M20" s="21"/>
      <c r="N20" s="23">
        <f>L20-H20</f>
        <v>-0.72665999999999009</v>
      </c>
      <c r="O20" s="24">
        <f>IF((H20)=0,"",(N20/H20))</f>
        <v>-9.596510359869026E-2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750</v>
      </c>
      <c r="H21" s="20">
        <f t="shared" ref="H21" si="7">G21*F21</f>
        <v>-0.89999999999999991</v>
      </c>
      <c r="I21" s="37"/>
      <c r="J21" s="140">
        <f>Rates!F36</f>
        <v>1.1999999999999999E-3</v>
      </c>
      <c r="K21" s="19">
        <f t="shared" ref="K21:K22" si="8">$F$10</f>
        <v>750</v>
      </c>
      <c r="L21" s="20">
        <f t="shared" ref="L21" si="9">K21*J21</f>
        <v>0.89999999999999991</v>
      </c>
      <c r="M21" s="38"/>
      <c r="N21" s="23">
        <f t="shared" ref="N21" si="10">L21-H21</f>
        <v>1.7999999999999998</v>
      </c>
      <c r="O21" s="24">
        <f t="shared" ref="O21" si="11">IF((H21)=0,"",(N21/H21))</f>
        <v>-2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750</v>
      </c>
      <c r="H22" s="20">
        <f>G22*F22</f>
        <v>0</v>
      </c>
      <c r="I22" s="21"/>
      <c r="J22" s="140"/>
      <c r="K22" s="19">
        <f t="shared" si="8"/>
        <v>750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195.64212749999999</v>
      </c>
      <c r="I24" s="31"/>
      <c r="J24" s="46"/>
      <c r="K24" s="48"/>
      <c r="L24" s="47">
        <f>SUM(L20:L23)+L19</f>
        <v>185.49046750000002</v>
      </c>
      <c r="M24" s="31"/>
      <c r="N24" s="34">
        <f t="shared" ref="N24:N38" si="12">L24-H24</f>
        <v>-10.151659999999964</v>
      </c>
      <c r="O24" s="35">
        <f t="shared" ref="O24:O38" si="13">IF((H24)=0,"",(N24/H24))</f>
        <v>-5.1888926632123057E-2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818.77499999999986</v>
      </c>
      <c r="H25" s="20">
        <f>G25*F25</f>
        <v>5.4039149999999987</v>
      </c>
      <c r="I25" s="21"/>
      <c r="J25" s="140">
        <f>Rates!F40</f>
        <v>7.1000000000000004E-3</v>
      </c>
      <c r="K25" s="52">
        <f>F10*(1+J41)</f>
        <v>812.17499999999995</v>
      </c>
      <c r="L25" s="20">
        <f>K25*J25</f>
        <v>5.7664425000000001</v>
      </c>
      <c r="M25" s="21"/>
      <c r="N25" s="23">
        <f t="shared" si="12"/>
        <v>0.36252750000000145</v>
      </c>
      <c r="O25" s="24">
        <f t="shared" si="13"/>
        <v>6.708608481073472E-2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818.77499999999986</v>
      </c>
      <c r="H26" s="20">
        <f>G26*F26</f>
        <v>4.9126499999999993</v>
      </c>
      <c r="I26" s="21"/>
      <c r="J26" s="140">
        <f>Rates!F41</f>
        <v>6.0000000000000001E-3</v>
      </c>
      <c r="K26" s="52">
        <f>K25</f>
        <v>812.17499999999995</v>
      </c>
      <c r="L26" s="20">
        <f>K26*J26</f>
        <v>4.8730500000000001</v>
      </c>
      <c r="M26" s="21"/>
      <c r="N26" s="23">
        <f t="shared" si="12"/>
        <v>-3.9599999999999191E-2</v>
      </c>
      <c r="O26" s="24">
        <f t="shared" si="13"/>
        <v>-8.0608225703030327E-3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205.95869249999998</v>
      </c>
      <c r="I27" s="55"/>
      <c r="J27" s="56"/>
      <c r="K27" s="57"/>
      <c r="L27" s="47">
        <f>SUM(L24:L26)</f>
        <v>196.12996000000004</v>
      </c>
      <c r="M27" s="55"/>
      <c r="N27" s="34">
        <f t="shared" si="12"/>
        <v>-9.8287324999999441</v>
      </c>
      <c r="O27" s="35">
        <f t="shared" si="13"/>
        <v>-4.7721862965312549E-2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818.77499999999986</v>
      </c>
      <c r="H28" s="59">
        <f t="shared" ref="H28:H33" si="14">G28*F28</f>
        <v>2.7838349999999994</v>
      </c>
      <c r="I28" s="21"/>
      <c r="J28" s="141">
        <f>Rates!F42</f>
        <v>3.3999999999999998E-3</v>
      </c>
      <c r="K28" s="52">
        <f>K26</f>
        <v>812.17499999999995</v>
      </c>
      <c r="L28" s="59">
        <f t="shared" ref="L28:L33" si="15">K28*J28</f>
        <v>2.7613949999999998</v>
      </c>
      <c r="M28" s="21"/>
      <c r="N28" s="23">
        <f t="shared" si="12"/>
        <v>-2.2439999999999571E-2</v>
      </c>
      <c r="O28" s="60">
        <f t="shared" si="13"/>
        <v>-8.0608225703030448E-3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818.77499999999986</v>
      </c>
      <c r="H29" s="59">
        <f t="shared" si="14"/>
        <v>0.40938749999999996</v>
      </c>
      <c r="I29" s="21"/>
      <c r="J29" s="141">
        <f>Rates!F43</f>
        <v>5.0000000000000001E-4</v>
      </c>
      <c r="K29" s="52">
        <f>K26</f>
        <v>812.17499999999995</v>
      </c>
      <c r="L29" s="59">
        <f t="shared" si="15"/>
        <v>0.40608749999999999</v>
      </c>
      <c r="M29" s="21"/>
      <c r="N29" s="23">
        <f t="shared" si="12"/>
        <v>-3.2999999999999696E-3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0.10100000000000001</v>
      </c>
      <c r="G31" s="62">
        <f>0.65*$F$10</f>
        <v>487.5</v>
      </c>
      <c r="H31" s="59">
        <f t="shared" si="14"/>
        <v>49.237500000000004</v>
      </c>
      <c r="I31" s="21"/>
      <c r="J31" s="61">
        <f>Rates!F64</f>
        <v>0.10100000000000001</v>
      </c>
      <c r="K31" s="62">
        <f>G31</f>
        <v>487.5</v>
      </c>
      <c r="L31" s="59">
        <f t="shared" si="15"/>
        <v>49.237500000000004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0.14399999999999999</v>
      </c>
      <c r="G32" s="62">
        <f>0.17*$F$10</f>
        <v>127.50000000000001</v>
      </c>
      <c r="H32" s="59">
        <f t="shared" si="14"/>
        <v>18.36</v>
      </c>
      <c r="I32" s="21"/>
      <c r="J32" s="61">
        <f>Rates!F65</f>
        <v>0.14399999999999999</v>
      </c>
      <c r="K32" s="62">
        <f>G32</f>
        <v>127.50000000000001</v>
      </c>
      <c r="L32" s="59">
        <f t="shared" si="15"/>
        <v>18.36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0.20799999999999999</v>
      </c>
      <c r="G33" s="62">
        <f>0.18*$F$10</f>
        <v>135</v>
      </c>
      <c r="H33" s="59">
        <f t="shared" si="14"/>
        <v>28.08</v>
      </c>
      <c r="I33" s="21"/>
      <c r="J33" s="61">
        <f>Rates!F66</f>
        <v>0.20799999999999999</v>
      </c>
      <c r="K33" s="62">
        <f>G33</f>
        <v>135</v>
      </c>
      <c r="L33" s="59">
        <f t="shared" si="15"/>
        <v>28.08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305.07941499999998</v>
      </c>
      <c r="I35" s="79"/>
      <c r="J35" s="80"/>
      <c r="K35" s="80"/>
      <c r="L35" s="104">
        <f>SUM(L28:L33,L27)</f>
        <v>295.22494250000005</v>
      </c>
      <c r="M35" s="81"/>
      <c r="N35" s="82">
        <f t="shared" ref="N35" si="16">L35-H35</f>
        <v>-9.8544724999999289</v>
      </c>
      <c r="O35" s="83">
        <f t="shared" ref="O35" si="17">IF((H35)=0,"",(N35/H35))</f>
        <v>-3.2301335375249519E-2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39.660323949999999</v>
      </c>
      <c r="I36" s="88"/>
      <c r="J36" s="89">
        <v>0.13</v>
      </c>
      <c r="K36" s="88"/>
      <c r="L36" s="92">
        <f>L35*J36</f>
        <v>38.379242525000009</v>
      </c>
      <c r="M36" s="91"/>
      <c r="N36" s="92">
        <f t="shared" si="12"/>
        <v>-1.2810814249999893</v>
      </c>
      <c r="O36" s="93">
        <f t="shared" si="13"/>
        <v>-3.2301335375249485E-2</v>
      </c>
      <c r="S36" s="63"/>
    </row>
    <row r="37" spans="1:19" x14ac:dyDescent="0.25">
      <c r="B37" s="84" t="s">
        <v>82</v>
      </c>
      <c r="C37" s="16"/>
      <c r="D37" s="16"/>
      <c r="E37" s="16"/>
      <c r="F37" s="197">
        <v>0.318</v>
      </c>
      <c r="G37" s="86"/>
      <c r="H37" s="87">
        <f>H35*-F37</f>
        <v>-97.015253969999989</v>
      </c>
      <c r="I37" s="88"/>
      <c r="J37" s="198">
        <f>F37</f>
        <v>0.318</v>
      </c>
      <c r="K37" s="88"/>
      <c r="L37" s="92">
        <f>L35*-J37</f>
        <v>-93.881531715000023</v>
      </c>
      <c r="M37" s="91"/>
      <c r="N37" s="92">
        <f t="shared" si="12"/>
        <v>3.1337222549999666</v>
      </c>
      <c r="O37" s="93">
        <f t="shared" si="13"/>
        <v>-3.2301335375249408E-2</v>
      </c>
      <c r="S37" s="63"/>
    </row>
    <row r="38" spans="1:19" s="105" customFormat="1" ht="15.75" thickBot="1" x14ac:dyDescent="0.3">
      <c r="B38" s="94" t="s">
        <v>75</v>
      </c>
      <c r="C38" s="122"/>
      <c r="D38" s="122"/>
      <c r="E38" s="122"/>
      <c r="F38" s="123"/>
      <c r="G38" s="124"/>
      <c r="H38" s="129">
        <f>SUM(H35:H37)</f>
        <v>247.72448498</v>
      </c>
      <c r="I38" s="79"/>
      <c r="J38" s="79"/>
      <c r="K38" s="79"/>
      <c r="L38" s="136">
        <f>SUM(L35:L37)</f>
        <v>239.72265331000003</v>
      </c>
      <c r="M38" s="81"/>
      <c r="N38" s="82">
        <f t="shared" si="12"/>
        <v>-8.001831669999973</v>
      </c>
      <c r="O38" s="83">
        <f t="shared" si="13"/>
        <v>-3.2301335375249644E-2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disablePrompts="1" count="3">
    <dataValidation type="list" allowBlank="1" showInputMessage="1" showErrorMessage="1" sqref="E25:E26 E39 E28:E34 E15:E18 E20:E23" xr:uid="{00000000-0002-0000-0A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A00-000001000000}">
      <formula1>"Monthly, per kWh, per kW"</formula1>
    </dataValidation>
    <dataValidation type="list" allowBlank="1" showInputMessage="1" showErrorMessage="1" sqref="D8" xr:uid="{00000000-0002-0000-0A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00"/>
    <pageSetUpPr fitToPage="1"/>
  </sheetPr>
  <dimension ref="A1:S42"/>
  <sheetViews>
    <sheetView showGridLines="0" topLeftCell="A10" zoomScaleNormal="100" workbookViewId="0">
      <selection activeCell="J36" activeCellId="1" sqref="F36 J36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108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58.8</v>
      </c>
      <c r="K15" s="22">
        <v>1</v>
      </c>
      <c r="L15" s="20">
        <f>K15*J15</f>
        <v>58.8</v>
      </c>
      <c r="M15" s="21"/>
      <c r="N15" s="23">
        <f>L15-H15</f>
        <v>4.0499999999999972</v>
      </c>
      <c r="O15" s="24">
        <f>IF((H15)=0,"",(N15/H15))</f>
        <v>7.3972602739725973E-2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0.12540000000000001</v>
      </c>
      <c r="K16" s="19">
        <f>$F$10</f>
        <v>750</v>
      </c>
      <c r="L16" s="20">
        <f t="shared" ref="L16:L18" si="1">K16*J16</f>
        <v>94.050000000000011</v>
      </c>
      <c r="M16" s="21"/>
      <c r="N16" s="23">
        <f t="shared" ref="N16:N19" si="2">L16-H16</f>
        <v>-17.999999999999986</v>
      </c>
      <c r="O16" s="24">
        <f t="shared" ref="O16:O19" si="3">IF((H16)=0,"",(N16/H16))</f>
        <v>-0.16064257028112439</v>
      </c>
    </row>
    <row r="17" spans="2:19" x14ac:dyDescent="0.2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2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3.27E-2</v>
      </c>
      <c r="K18" s="19">
        <f t="shared" ref="K18" si="5">$F$10</f>
        <v>750</v>
      </c>
      <c r="L18" s="20">
        <f t="shared" si="1"/>
        <v>24.524999999999999</v>
      </c>
      <c r="M18" s="21"/>
      <c r="N18" s="23">
        <f t="shared" si="2"/>
        <v>2.9249999999999972</v>
      </c>
      <c r="O18" s="24">
        <f t="shared" si="3"/>
        <v>0.13541666666666652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177.17500000000004</v>
      </c>
      <c r="M19" s="31"/>
      <c r="N19" s="34">
        <f t="shared" si="2"/>
        <v>-11.224999999999966</v>
      </c>
      <c r="O19" s="35">
        <f t="shared" si="3"/>
        <v>-5.958067940551999E-2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0.12756999999999999</v>
      </c>
      <c r="G20" s="41">
        <f>$F$10*(1+$F$40)-$F$10</f>
        <v>68.774999999999864</v>
      </c>
      <c r="H20" s="20">
        <f>G20*F20</f>
        <v>8.7736267499999823</v>
      </c>
      <c r="I20" s="21"/>
      <c r="J20" s="140">
        <f>Rates!F67</f>
        <v>0.12756999999999999</v>
      </c>
      <c r="K20" s="41">
        <f>$F$10*(1+$J$40)-$F$10</f>
        <v>62.174999999999955</v>
      </c>
      <c r="L20" s="20">
        <f>K20*J20</f>
        <v>7.9316647499999933</v>
      </c>
      <c r="M20" s="21"/>
      <c r="N20" s="23">
        <f>L20-H20</f>
        <v>-0.841961999999989</v>
      </c>
      <c r="O20" s="24">
        <f>IF((H20)=0,"",(N20/H20))</f>
        <v>-9.5965103598690329E-2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3" si="6">$F$10</f>
        <v>750</v>
      </c>
      <c r="H21" s="20">
        <f t="shared" ref="H21" si="7">G21*F21</f>
        <v>-0.89999999999999991</v>
      </c>
      <c r="I21" s="37"/>
      <c r="J21" s="140">
        <f>Rates!F36</f>
        <v>1.1999999999999999E-3</v>
      </c>
      <c r="K21" s="19">
        <f t="shared" ref="K21:K23" si="8">$F$10</f>
        <v>750</v>
      </c>
      <c r="L21" s="20">
        <f t="shared" ref="L21" si="9">K21*J21</f>
        <v>0.89999999999999991</v>
      </c>
      <c r="M21" s="38"/>
      <c r="N21" s="23">
        <f t="shared" ref="N21" si="10">L21-H21</f>
        <v>1.7999999999999998</v>
      </c>
      <c r="O21" s="24">
        <f t="shared" ref="O21" si="11">IF((H21)=0,"",(N21/H21))</f>
        <v>-2</v>
      </c>
    </row>
    <row r="22" spans="2:19" x14ac:dyDescent="0.25">
      <c r="B22" s="135" t="str">
        <f>Rates!A37</f>
        <v>GA Rate Riders</v>
      </c>
      <c r="C22" s="16"/>
      <c r="D22" s="17" t="s">
        <v>55</v>
      </c>
      <c r="E22" s="18"/>
      <c r="F22" s="140">
        <f>Rates!D37</f>
        <v>-7.7999999999999996E-3</v>
      </c>
      <c r="G22" s="19">
        <f t="shared" si="6"/>
        <v>750</v>
      </c>
      <c r="H22" s="20">
        <f t="shared" ref="H22" si="12">G22*F22</f>
        <v>-5.85</v>
      </c>
      <c r="I22" s="138"/>
      <c r="J22" s="140">
        <f>Rates!F37</f>
        <v>-2.7000000000000001E-3</v>
      </c>
      <c r="K22" s="19">
        <f t="shared" si="8"/>
        <v>750</v>
      </c>
      <c r="L22" s="20">
        <f t="shared" ref="L22" si="13">K22*J22</f>
        <v>-2.0249999999999999</v>
      </c>
      <c r="M22" s="38"/>
      <c r="N22" s="23">
        <f t="shared" ref="N22" si="14">L22-H22</f>
        <v>3.8249999999999997</v>
      </c>
      <c r="O22" s="24">
        <f t="shared" ref="O22" si="15">IF((H22)=0,"",(N22/H22))</f>
        <v>-0.65384615384615385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Rates!D44</f>
        <v>0.56999999999999995</v>
      </c>
      <c r="G24" s="19">
        <v>1</v>
      </c>
      <c r="H24" s="20">
        <f>G24*F24</f>
        <v>0.56999999999999995</v>
      </c>
      <c r="I24" s="21"/>
      <c r="J24" s="139">
        <f>Rates!F44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190.99362674999998</v>
      </c>
      <c r="I25" s="31"/>
      <c r="J25" s="46"/>
      <c r="K25" s="48"/>
      <c r="L25" s="47">
        <f>SUM(L20:L24)+L19</f>
        <v>184.55166475000004</v>
      </c>
      <c r="M25" s="31"/>
      <c r="N25" s="34">
        <f t="shared" ref="N25:N37" si="16">L25-H25</f>
        <v>-6.4419619999999327</v>
      </c>
      <c r="O25" s="35">
        <f t="shared" ref="O25:O37" si="17">IF((H25)=0,"",(N25/H25))</f>
        <v>-3.3728675189942867E-2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Rates!D40</f>
        <v>6.6E-3</v>
      </c>
      <c r="G26" s="51">
        <f>F10*(1+F40)</f>
        <v>818.77499999999986</v>
      </c>
      <c r="H26" s="20">
        <f>G26*F26</f>
        <v>5.4039149999999987</v>
      </c>
      <c r="I26" s="21"/>
      <c r="J26" s="140">
        <f>Rates!F40</f>
        <v>7.1000000000000004E-3</v>
      </c>
      <c r="K26" s="52">
        <f>F10*(1+J40)</f>
        <v>812.17499999999995</v>
      </c>
      <c r="L26" s="20">
        <f>K26*J26</f>
        <v>5.7664425000000001</v>
      </c>
      <c r="M26" s="21"/>
      <c r="N26" s="23">
        <f t="shared" si="16"/>
        <v>0.36252750000000145</v>
      </c>
      <c r="O26" s="24">
        <f t="shared" si="17"/>
        <v>6.708608481073472E-2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Rates!D41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Rates!F41</f>
        <v>6.0000000000000001E-3</v>
      </c>
      <c r="K27" s="52">
        <f>K26</f>
        <v>812.17499999999995</v>
      </c>
      <c r="L27" s="20">
        <f>K27*J27</f>
        <v>4.8730500000000001</v>
      </c>
      <c r="M27" s="21"/>
      <c r="N27" s="23">
        <f t="shared" si="16"/>
        <v>-3.9599999999999191E-2</v>
      </c>
      <c r="O27" s="24">
        <f t="shared" si="17"/>
        <v>-8.0608225703030327E-3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201.31019175</v>
      </c>
      <c r="I28" s="55"/>
      <c r="J28" s="56"/>
      <c r="K28" s="57"/>
      <c r="L28" s="47">
        <f>SUM(L25:L27)</f>
        <v>195.19115725000006</v>
      </c>
      <c r="M28" s="55"/>
      <c r="N28" s="34">
        <f t="shared" si="16"/>
        <v>-6.1190344999999411</v>
      </c>
      <c r="O28" s="35">
        <f t="shared" si="17"/>
        <v>-3.0396049235296312E-2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Rates!D42</f>
        <v>3.3999999999999998E-3</v>
      </c>
      <c r="G29" s="51">
        <f>G27</f>
        <v>818.77499999999986</v>
      </c>
      <c r="H29" s="59">
        <f t="shared" ref="H29:H32" si="18">G29*F29</f>
        <v>2.7838349999999994</v>
      </c>
      <c r="I29" s="21"/>
      <c r="J29" s="141">
        <f>Rates!F42</f>
        <v>3.3999999999999998E-3</v>
      </c>
      <c r="K29" s="52">
        <f>K27</f>
        <v>812.17499999999995</v>
      </c>
      <c r="L29" s="59">
        <f t="shared" ref="L29:L32" si="19">K29*J29</f>
        <v>2.7613949999999998</v>
      </c>
      <c r="M29" s="21"/>
      <c r="N29" s="23">
        <f t="shared" si="16"/>
        <v>-2.2439999999999571E-2</v>
      </c>
      <c r="O29" s="60">
        <f t="shared" si="17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Rates!D43</f>
        <v>5.0000000000000001E-4</v>
      </c>
      <c r="G30" s="51">
        <f>G27</f>
        <v>818.77499999999986</v>
      </c>
      <c r="H30" s="59">
        <f t="shared" si="18"/>
        <v>0.40938749999999996</v>
      </c>
      <c r="I30" s="21"/>
      <c r="J30" s="141">
        <f>Rates!F43</f>
        <v>5.0000000000000001E-4</v>
      </c>
      <c r="K30" s="52">
        <f>K27</f>
        <v>812.17499999999995</v>
      </c>
      <c r="L30" s="59">
        <f t="shared" si="19"/>
        <v>0.40608749999999999</v>
      </c>
      <c r="M30" s="21"/>
      <c r="N30" s="23">
        <f t="shared" si="16"/>
        <v>-3.2999999999999696E-3</v>
      </c>
      <c r="O30" s="60">
        <f t="shared" si="17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Rates!D45</f>
        <v>0.25</v>
      </c>
      <c r="G31" s="19">
        <v>1</v>
      </c>
      <c r="H31" s="59">
        <f t="shared" si="18"/>
        <v>0.25</v>
      </c>
      <c r="I31" s="21"/>
      <c r="J31" s="141">
        <f>Rates!F45</f>
        <v>0.25</v>
      </c>
      <c r="K31" s="22">
        <v>1</v>
      </c>
      <c r="L31" s="59">
        <f t="shared" si="19"/>
        <v>0.25</v>
      </c>
      <c r="M31" s="21"/>
      <c r="N31" s="23">
        <f t="shared" si="16"/>
        <v>0</v>
      </c>
      <c r="O31" s="60">
        <f t="shared" si="17"/>
        <v>0</v>
      </c>
    </row>
    <row r="32" spans="2:19" ht="15.75" thickBot="1" x14ac:dyDescent="0.3">
      <c r="B32" s="39" t="s">
        <v>105</v>
      </c>
      <c r="C32" s="16"/>
      <c r="D32" s="17" t="s">
        <v>55</v>
      </c>
      <c r="E32" s="18"/>
      <c r="F32" s="61">
        <f>Rates!D69</f>
        <v>0.1101</v>
      </c>
      <c r="G32" s="62">
        <f>$F$10</f>
        <v>750</v>
      </c>
      <c r="H32" s="59">
        <f t="shared" si="18"/>
        <v>82.575000000000003</v>
      </c>
      <c r="I32" s="21"/>
      <c r="J32" s="61">
        <f>Rates!F69</f>
        <v>0.1101</v>
      </c>
      <c r="K32" s="62">
        <f>$F$10</f>
        <v>750</v>
      </c>
      <c r="L32" s="59">
        <f t="shared" si="19"/>
        <v>82.575000000000003</v>
      </c>
      <c r="M32" s="21"/>
      <c r="N32" s="23">
        <f t="shared" si="16"/>
        <v>0</v>
      </c>
      <c r="O32" s="60">
        <f t="shared" si="17"/>
        <v>0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287.32841425000004</v>
      </c>
      <c r="I34" s="79"/>
      <c r="J34" s="80"/>
      <c r="K34" s="80"/>
      <c r="L34" s="104">
        <f>SUM(L29:L32,L28)</f>
        <v>281.18363975000005</v>
      </c>
      <c r="M34" s="81"/>
      <c r="N34" s="82">
        <f t="shared" ref="N34" si="20">L34-H34</f>
        <v>-6.1447744999999827</v>
      </c>
      <c r="O34" s="83">
        <f t="shared" ref="O34" si="21">IF((H34)=0,"",(N34/H34))</f>
        <v>-2.1385892223849148E-2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37.352693852500003</v>
      </c>
      <c r="I35" s="88"/>
      <c r="J35" s="89">
        <v>0.13</v>
      </c>
      <c r="K35" s="88"/>
      <c r="L35" s="92">
        <f>L34*J35</f>
        <v>36.553873167500008</v>
      </c>
      <c r="M35" s="91"/>
      <c r="N35" s="92">
        <f t="shared" si="16"/>
        <v>-0.79882068499999548</v>
      </c>
      <c r="O35" s="93">
        <f t="shared" si="17"/>
        <v>-2.1385892223849089E-2</v>
      </c>
      <c r="S35" s="63"/>
    </row>
    <row r="36" spans="1:19" x14ac:dyDescent="0.25">
      <c r="B36" s="84" t="s">
        <v>82</v>
      </c>
      <c r="C36" s="16"/>
      <c r="D36" s="16"/>
      <c r="E36" s="16"/>
      <c r="F36" s="197">
        <v>0.318</v>
      </c>
      <c r="G36" s="86"/>
      <c r="H36" s="87">
        <f>H34*-F36</f>
        <v>-91.37043573150001</v>
      </c>
      <c r="I36" s="88"/>
      <c r="J36" s="198">
        <f>F36</f>
        <v>0.318</v>
      </c>
      <c r="K36" s="88"/>
      <c r="L36" s="92">
        <f>L34*-J36</f>
        <v>-89.41639744050002</v>
      </c>
      <c r="M36" s="91"/>
      <c r="N36" s="92">
        <f t="shared" si="16"/>
        <v>1.9540382909999892</v>
      </c>
      <c r="O36" s="93">
        <f t="shared" si="17"/>
        <v>-2.1385892223849092E-2</v>
      </c>
      <c r="S36" s="63"/>
    </row>
    <row r="37" spans="1:19" s="105" customFormat="1" ht="15.75" thickBot="1" x14ac:dyDescent="0.3">
      <c r="B37" s="94" t="s">
        <v>75</v>
      </c>
      <c r="C37" s="122"/>
      <c r="D37" s="122"/>
      <c r="E37" s="122"/>
      <c r="F37" s="123"/>
      <c r="G37" s="124"/>
      <c r="H37" s="129">
        <f>SUM(H34:H36)</f>
        <v>233.31067237100004</v>
      </c>
      <c r="I37" s="79"/>
      <c r="J37" s="79"/>
      <c r="K37" s="79"/>
      <c r="L37" s="136">
        <f>SUM(L34:L36)</f>
        <v>228.32111547700003</v>
      </c>
      <c r="M37" s="81"/>
      <c r="N37" s="82">
        <f t="shared" si="16"/>
        <v>-4.9895568940000032</v>
      </c>
      <c r="O37" s="83">
        <f t="shared" si="17"/>
        <v>-2.1385892223849221E-2</v>
      </c>
      <c r="S37" s="126"/>
    </row>
    <row r="38" spans="1:19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63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B00-000000000000}">
      <formula1>"TOU, non-TOU"</formula1>
    </dataValidation>
    <dataValidation type="list" allowBlank="1" showInputMessage="1" showErrorMessage="1" prompt="Select Charge Unit - monthly, per kWh, per kW" sqref="D26:D27 D38 D15:D18 D20:D24 D29:D33" xr:uid="{00000000-0002-0000-0B00-000001000000}">
      <formula1>"Monthly, per kWh, per kW"</formula1>
    </dataValidation>
    <dataValidation type="list" allowBlank="1" showInputMessage="1" showErrorMessage="1" sqref="E26:E27 E38 E15:E18 E20:E24 E29:E33" xr:uid="{00000000-0002-0000-0B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3300"/>
    <pageSetUpPr fitToPage="1"/>
  </sheetPr>
  <dimension ref="A1:S43"/>
  <sheetViews>
    <sheetView showGridLines="0" topLeftCell="A7" zoomScaleNormal="100" workbookViewId="0">
      <selection activeCell="J37" activeCellId="1" sqref="F37 J37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66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153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58.8</v>
      </c>
      <c r="K15" s="22">
        <v>1</v>
      </c>
      <c r="L15" s="20">
        <f>K15*J15</f>
        <v>58.8</v>
      </c>
      <c r="M15" s="21"/>
      <c r="N15" s="23">
        <f>L15-H15</f>
        <v>4.0499999999999972</v>
      </c>
      <c r="O15" s="24">
        <f>IF((H15)=0,"",(N15/H15))</f>
        <v>7.3972602739725973E-2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153</v>
      </c>
      <c r="H16" s="20">
        <f t="shared" ref="H16:H18" si="0">G16*F16</f>
        <v>22.8582</v>
      </c>
      <c r="I16" s="21"/>
      <c r="J16" s="140">
        <f>Rates!F35</f>
        <v>0.12540000000000001</v>
      </c>
      <c r="K16" s="19">
        <f>$F$10</f>
        <v>153</v>
      </c>
      <c r="L16" s="20">
        <f t="shared" ref="L16:L18" si="1">K16*J16</f>
        <v>19.186200000000003</v>
      </c>
      <c r="M16" s="21"/>
      <c r="N16" s="23">
        <f t="shared" ref="N16:N19" si="2">L16-H16</f>
        <v>-3.671999999999997</v>
      </c>
      <c r="O16" s="24">
        <f t="shared" ref="O16:O19" si="3">IF((H16)=0,"",(N16/H16))</f>
        <v>-0.16064257028112436</v>
      </c>
    </row>
    <row r="17" spans="2:19" x14ac:dyDescent="0.2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2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153</v>
      </c>
      <c r="H18" s="20">
        <f t="shared" si="0"/>
        <v>4.4064000000000005</v>
      </c>
      <c r="I18" s="21"/>
      <c r="J18" s="140">
        <f>Rates!F38+Rates!F39</f>
        <v>3.27E-2</v>
      </c>
      <c r="K18" s="19">
        <f t="shared" ref="K18" si="5">$F$10</f>
        <v>153</v>
      </c>
      <c r="L18" s="20">
        <f t="shared" si="1"/>
        <v>5.0030999999999999</v>
      </c>
      <c r="M18" s="21"/>
      <c r="N18" s="23">
        <f t="shared" si="2"/>
        <v>0.59669999999999934</v>
      </c>
      <c r="O18" s="24">
        <f t="shared" si="3"/>
        <v>0.13541666666666649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82.014600000000002</v>
      </c>
      <c r="I19" s="31"/>
      <c r="J19" s="32"/>
      <c r="K19" s="33"/>
      <c r="L19" s="30">
        <f>SUM(L15:L18)</f>
        <v>82.789299999999997</v>
      </c>
      <c r="M19" s="31"/>
      <c r="N19" s="34">
        <f t="shared" si="2"/>
        <v>0.77469999999999573</v>
      </c>
      <c r="O19" s="35">
        <f t="shared" si="3"/>
        <v>9.4458791483467055E-3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0.12756999999999999</v>
      </c>
      <c r="G20" s="41">
        <f>$F$10*(1+$F$41)-$F$10</f>
        <v>14.030099999999976</v>
      </c>
      <c r="H20" s="20">
        <f>G20*F20</f>
        <v>1.7898198569999968</v>
      </c>
      <c r="I20" s="21"/>
      <c r="J20" s="42">
        <f>Rates!F67</f>
        <v>0.12756999999999999</v>
      </c>
      <c r="K20" s="41">
        <f>$F$10*(1+$J$41)-$F$10</f>
        <v>12.683699999999988</v>
      </c>
      <c r="L20" s="20">
        <f>K20*J20</f>
        <v>1.6180596089999983</v>
      </c>
      <c r="M20" s="21"/>
      <c r="N20" s="23">
        <f>L20-H20</f>
        <v>-0.17176024799999845</v>
      </c>
      <c r="O20" s="24">
        <f>IF((H20)=0,"",(N20/H20))</f>
        <v>-9.596510359869069E-2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153</v>
      </c>
      <c r="H21" s="20">
        <f t="shared" ref="H21" si="7">G21*F21</f>
        <v>-0.18359999999999999</v>
      </c>
      <c r="I21" s="37"/>
      <c r="J21" s="140">
        <f>Rates!F36</f>
        <v>1.1999999999999999E-3</v>
      </c>
      <c r="K21" s="19">
        <f t="shared" ref="K21:K22" si="8">$F$10</f>
        <v>153</v>
      </c>
      <c r="L21" s="20">
        <f t="shared" ref="L21" si="9">K21*J21</f>
        <v>0.18359999999999999</v>
      </c>
      <c r="M21" s="38"/>
      <c r="N21" s="23">
        <f t="shared" ref="N21" si="10">L21-H21</f>
        <v>0.36719999999999997</v>
      </c>
      <c r="O21" s="24">
        <f t="shared" ref="O21" si="11">IF((H21)=0,"",(N21/H21))</f>
        <v>-2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153</v>
      </c>
      <c r="H22" s="20">
        <f>G22*F22</f>
        <v>0</v>
      </c>
      <c r="I22" s="21"/>
      <c r="J22" s="140"/>
      <c r="K22" s="19">
        <f t="shared" si="8"/>
        <v>153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84.190819856999994</v>
      </c>
      <c r="I24" s="31"/>
      <c r="J24" s="46"/>
      <c r="K24" s="48"/>
      <c r="L24" s="47">
        <f>SUM(L20:L23)+L19</f>
        <v>85.160959609000003</v>
      </c>
      <c r="M24" s="31"/>
      <c r="N24" s="34">
        <f t="shared" ref="N24:N38" si="12">L24-H24</f>
        <v>0.97013975200000857</v>
      </c>
      <c r="O24" s="35">
        <f t="shared" ref="O24:O38" si="13">IF((H24)=0,"",(N24/H24))</f>
        <v>1.1523106125439957E-2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167.03009999999998</v>
      </c>
      <c r="H25" s="20">
        <f>G25*F25</f>
        <v>1.1023986599999998</v>
      </c>
      <c r="I25" s="21"/>
      <c r="J25" s="140">
        <f>Rates!F40</f>
        <v>7.1000000000000004E-3</v>
      </c>
      <c r="K25" s="52">
        <f>F10*(1+J41)</f>
        <v>165.68369999999999</v>
      </c>
      <c r="L25" s="20">
        <f>K25*J25</f>
        <v>1.17635427</v>
      </c>
      <c r="M25" s="21"/>
      <c r="N25" s="23">
        <f t="shared" si="12"/>
        <v>7.3955610000000283E-2</v>
      </c>
      <c r="O25" s="24">
        <f t="shared" si="13"/>
        <v>6.7086084810734706E-2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167.03009999999998</v>
      </c>
      <c r="H26" s="20">
        <f>G26*F26</f>
        <v>1.0021806</v>
      </c>
      <c r="I26" s="21"/>
      <c r="J26" s="140">
        <f>Rates!F41</f>
        <v>6.0000000000000001E-3</v>
      </c>
      <c r="K26" s="52">
        <f>K25</f>
        <v>165.68369999999999</v>
      </c>
      <c r="L26" s="20">
        <f>K26*J26</f>
        <v>0.99410219999999994</v>
      </c>
      <c r="M26" s="21"/>
      <c r="N26" s="23">
        <f t="shared" si="12"/>
        <v>-8.0784000000000411E-3</v>
      </c>
      <c r="O26" s="24">
        <f t="shared" si="13"/>
        <v>-8.0608225703032374E-3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86.295399117000002</v>
      </c>
      <c r="I27" s="55"/>
      <c r="J27" s="56"/>
      <c r="K27" s="57"/>
      <c r="L27" s="47">
        <f>SUM(L24:L26)</f>
        <v>87.331416079000007</v>
      </c>
      <c r="M27" s="55"/>
      <c r="N27" s="34">
        <f t="shared" si="12"/>
        <v>1.036016962000005</v>
      </c>
      <c r="O27" s="35">
        <f t="shared" si="13"/>
        <v>1.2005471584821861E-2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167.03009999999998</v>
      </c>
      <c r="H28" s="59">
        <f t="shared" ref="H28:H33" si="14">G28*F28</f>
        <v>0.56790233999999984</v>
      </c>
      <c r="I28" s="21"/>
      <c r="J28" s="141">
        <f>Rates!F42</f>
        <v>3.3999999999999998E-3</v>
      </c>
      <c r="K28" s="52">
        <f>K26</f>
        <v>165.68369999999999</v>
      </c>
      <c r="L28" s="59">
        <f t="shared" ref="L28:L33" si="15">K28*J28</f>
        <v>0.56332457999999996</v>
      </c>
      <c r="M28" s="21"/>
      <c r="N28" s="23">
        <f t="shared" si="12"/>
        <v>-4.5777599999998753E-3</v>
      </c>
      <c r="O28" s="60">
        <f t="shared" si="13"/>
        <v>-8.0608225703029789E-3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167.03009999999998</v>
      </c>
      <c r="H29" s="59">
        <f t="shared" si="14"/>
        <v>8.3515049999999993E-2</v>
      </c>
      <c r="I29" s="21"/>
      <c r="J29" s="141">
        <f>Rates!F43</f>
        <v>5.0000000000000001E-4</v>
      </c>
      <c r="K29" s="52">
        <f>K26</f>
        <v>165.68369999999999</v>
      </c>
      <c r="L29" s="59">
        <f t="shared" si="15"/>
        <v>8.2841849999999995E-2</v>
      </c>
      <c r="M29" s="21"/>
      <c r="N29" s="23">
        <f t="shared" si="12"/>
        <v>-6.731999999999988E-4</v>
      </c>
      <c r="O29" s="60">
        <f t="shared" si="13"/>
        <v>-8.0608225703031836E-3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0.10100000000000001</v>
      </c>
      <c r="G31" s="62">
        <f>0.65*$F$10</f>
        <v>99.45</v>
      </c>
      <c r="H31" s="59">
        <f t="shared" si="14"/>
        <v>10.044450000000001</v>
      </c>
      <c r="I31" s="21"/>
      <c r="J31" s="61">
        <f>Rates!F64</f>
        <v>0.10100000000000001</v>
      </c>
      <c r="K31" s="62">
        <f>G31</f>
        <v>99.45</v>
      </c>
      <c r="L31" s="59">
        <f t="shared" si="15"/>
        <v>10.044450000000001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0.14399999999999999</v>
      </c>
      <c r="G32" s="62">
        <f>0.17*$F$10</f>
        <v>26.01</v>
      </c>
      <c r="H32" s="59">
        <f t="shared" si="14"/>
        <v>3.7454399999999999</v>
      </c>
      <c r="I32" s="21"/>
      <c r="J32" s="61">
        <f>Rates!F65</f>
        <v>0.14399999999999999</v>
      </c>
      <c r="K32" s="62">
        <f>G32</f>
        <v>26.01</v>
      </c>
      <c r="L32" s="59">
        <f t="shared" si="15"/>
        <v>3.7454399999999999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0.20799999999999999</v>
      </c>
      <c r="G33" s="62">
        <f>0.18*$F$10</f>
        <v>27.54</v>
      </c>
      <c r="H33" s="59">
        <f t="shared" si="14"/>
        <v>5.7283199999999992</v>
      </c>
      <c r="I33" s="21"/>
      <c r="J33" s="61">
        <f>Rates!F66</f>
        <v>0.20799999999999999</v>
      </c>
      <c r="K33" s="62">
        <f>G33</f>
        <v>27.54</v>
      </c>
      <c r="L33" s="59">
        <f t="shared" si="15"/>
        <v>5.7283199999999992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106.715026507</v>
      </c>
      <c r="I35" s="79"/>
      <c r="J35" s="80"/>
      <c r="K35" s="80"/>
      <c r="L35" s="104">
        <f>SUM(L28:L33,L27)</f>
        <v>107.74579250900001</v>
      </c>
      <c r="M35" s="81"/>
      <c r="N35" s="82">
        <f t="shared" ref="N35" si="16">L35-H35</f>
        <v>1.0307660020000071</v>
      </c>
      <c r="O35" s="83">
        <f t="shared" ref="O35" si="17">IF((H35)=0,"",(N35/H35))</f>
        <v>9.6590521104578803E-3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13.872953445910001</v>
      </c>
      <c r="I36" s="88"/>
      <c r="J36" s="89">
        <v>0.13</v>
      </c>
      <c r="K36" s="88"/>
      <c r="L36" s="92">
        <f>L35*J36</f>
        <v>14.006953026170002</v>
      </c>
      <c r="M36" s="91"/>
      <c r="N36" s="92">
        <f t="shared" si="12"/>
        <v>0.13399958026000114</v>
      </c>
      <c r="O36" s="93">
        <f t="shared" si="13"/>
        <v>9.6590521104578959E-3</v>
      </c>
      <c r="S36" s="63"/>
    </row>
    <row r="37" spans="1:19" x14ac:dyDescent="0.25">
      <c r="B37" s="84" t="s">
        <v>82</v>
      </c>
      <c r="C37" s="16"/>
      <c r="D37" s="16"/>
      <c r="E37" s="16"/>
      <c r="F37" s="197">
        <v>0.318</v>
      </c>
      <c r="G37" s="86"/>
      <c r="H37" s="87">
        <f>H35*-F37</f>
        <v>-33.935378429225999</v>
      </c>
      <c r="I37" s="88"/>
      <c r="J37" s="198">
        <f>F37</f>
        <v>0.318</v>
      </c>
      <c r="K37" s="88"/>
      <c r="L37" s="92">
        <f>L35*-J37</f>
        <v>-34.263162017862001</v>
      </c>
      <c r="M37" s="91"/>
      <c r="N37" s="92">
        <f t="shared" si="12"/>
        <v>-0.32778358863600232</v>
      </c>
      <c r="O37" s="93">
        <f t="shared" si="13"/>
        <v>9.6590521104578837E-3</v>
      </c>
      <c r="S37" s="63"/>
    </row>
    <row r="38" spans="1:19" s="105" customFormat="1" ht="15.75" thickBot="1" x14ac:dyDescent="0.3">
      <c r="B38" s="94" t="s">
        <v>75</v>
      </c>
      <c r="C38" s="122"/>
      <c r="D38" s="122"/>
      <c r="E38" s="122"/>
      <c r="F38" s="123"/>
      <c r="G38" s="124"/>
      <c r="H38" s="129">
        <f>SUM(H35:H37)</f>
        <v>86.652601523684012</v>
      </c>
      <c r="I38" s="79"/>
      <c r="J38" s="79"/>
      <c r="K38" s="79"/>
      <c r="L38" s="136">
        <f>SUM(L35:L37)</f>
        <v>87.48958351730802</v>
      </c>
      <c r="M38" s="81"/>
      <c r="N38" s="82">
        <f t="shared" si="12"/>
        <v>0.83698199362400771</v>
      </c>
      <c r="O38" s="83">
        <f t="shared" si="13"/>
        <v>9.6590521104579028E-3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C00-000000000000}">
      <formula1>"TOU, non-TOU"</formula1>
    </dataValidation>
    <dataValidation type="list" allowBlank="1" showInputMessage="1" showErrorMessage="1" prompt="Select Charge Unit - monthly, per kWh, per kW" sqref="D25:D26 D39 D28:D34 D15:D18 D20:D23" xr:uid="{00000000-0002-0000-0C00-000001000000}">
      <formula1>"Monthly, per kWh, per kW"</formula1>
    </dataValidation>
    <dataValidation type="list" allowBlank="1" showInputMessage="1" showErrorMessage="1" sqref="E25:E26 E39 E28:E34 E15:E18 E20:E23" xr:uid="{00000000-0002-0000-0C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00"/>
    <pageSetUpPr fitToPage="1"/>
  </sheetPr>
  <dimension ref="A1:S43"/>
  <sheetViews>
    <sheetView showGridLines="0" topLeftCell="A7" zoomScaleNormal="100" workbookViewId="0">
      <selection activeCell="J37" activeCellId="1" sqref="F37 J37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66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4" t="s">
        <v>7</v>
      </c>
      <c r="G12" s="225"/>
      <c r="H12" s="226"/>
      <c r="J12" s="224" t="s">
        <v>8</v>
      </c>
      <c r="K12" s="225"/>
      <c r="L12" s="226"/>
      <c r="N12" s="224" t="s">
        <v>9</v>
      </c>
      <c r="O12" s="226"/>
    </row>
    <row r="13" spans="2:16" x14ac:dyDescent="0.25">
      <c r="B13" s="6"/>
      <c r="D13" s="216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8" t="s">
        <v>14</v>
      </c>
      <c r="O13" s="220" t="s">
        <v>15</v>
      </c>
    </row>
    <row r="14" spans="2:16" x14ac:dyDescent="0.25">
      <c r="B14" s="6"/>
      <c r="D14" s="217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9"/>
      <c r="O14" s="221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58.8</v>
      </c>
      <c r="K15" s="22">
        <v>1</v>
      </c>
      <c r="L15" s="20">
        <f>K15*J15</f>
        <v>58.8</v>
      </c>
      <c r="M15" s="21"/>
      <c r="N15" s="23">
        <f>L15-H15</f>
        <v>4.0499999999999972</v>
      </c>
      <c r="O15" s="24">
        <f>IF((H15)=0,"",(N15/H15))</f>
        <v>7.3972602739725973E-2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50</v>
      </c>
      <c r="H16" s="20">
        <f t="shared" ref="H16:H18" si="0">G16*F16</f>
        <v>7.4700000000000006</v>
      </c>
      <c r="I16" s="21"/>
      <c r="J16" s="140">
        <f>Rates!F35</f>
        <v>0.12540000000000001</v>
      </c>
      <c r="K16" s="19">
        <f>$F$10</f>
        <v>50</v>
      </c>
      <c r="L16" s="20">
        <f t="shared" ref="L16:L18" si="1">K16*J16</f>
        <v>6.2700000000000005</v>
      </c>
      <c r="M16" s="21"/>
      <c r="N16" s="23">
        <f t="shared" ref="N16:N19" si="2">L16-H16</f>
        <v>-1.2000000000000002</v>
      </c>
      <c r="O16" s="24">
        <f t="shared" ref="O16:O19" si="3">IF((H16)=0,"",(N16/H16))</f>
        <v>-0.1606425702811245</v>
      </c>
    </row>
    <row r="17" spans="2:19" x14ac:dyDescent="0.2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2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50</v>
      </c>
      <c r="H18" s="20">
        <f t="shared" si="0"/>
        <v>1.4400000000000002</v>
      </c>
      <c r="I18" s="21"/>
      <c r="J18" s="140">
        <f>Rates!F38+Rates!F39</f>
        <v>3.27E-2</v>
      </c>
      <c r="K18" s="19">
        <f t="shared" ref="K18" si="5">$F$10</f>
        <v>50</v>
      </c>
      <c r="L18" s="20">
        <f t="shared" si="1"/>
        <v>1.635</v>
      </c>
      <c r="M18" s="21"/>
      <c r="N18" s="23">
        <f t="shared" si="2"/>
        <v>0.19499999999999984</v>
      </c>
      <c r="O18" s="24">
        <f t="shared" si="3"/>
        <v>0.13541666666666655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63.66</v>
      </c>
      <c r="I19" s="31"/>
      <c r="J19" s="32"/>
      <c r="K19" s="33"/>
      <c r="L19" s="30">
        <f>SUM(L15:L18)</f>
        <v>66.504999999999995</v>
      </c>
      <c r="M19" s="31"/>
      <c r="N19" s="34">
        <f t="shared" si="2"/>
        <v>2.8449999999999989</v>
      </c>
      <c r="O19" s="35">
        <f t="shared" si="3"/>
        <v>4.4690543512409663E-2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0.12756999999999999</v>
      </c>
      <c r="G20" s="41">
        <f>$F$10*(1+$F$41)-$F$10</f>
        <v>4.5849999999999937</v>
      </c>
      <c r="H20" s="20">
        <f>G20*F20</f>
        <v>0.58490844999999914</v>
      </c>
      <c r="I20" s="21"/>
      <c r="J20" s="140">
        <f>Rates!F67</f>
        <v>0.12756999999999999</v>
      </c>
      <c r="K20" s="41">
        <f>$F$10*(1+$J$41)-$F$10</f>
        <v>4.144999999999996</v>
      </c>
      <c r="L20" s="20">
        <f>K20*J20</f>
        <v>0.52877764999999943</v>
      </c>
      <c r="M20" s="21"/>
      <c r="N20" s="23">
        <f>L20-H20</f>
        <v>-5.6130799999999703E-2</v>
      </c>
      <c r="O20" s="24">
        <f>IF((H20)=0,"",(N20/H20))</f>
        <v>-9.5965103598691023E-2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50</v>
      </c>
      <c r="H21" s="20">
        <f t="shared" ref="H21" si="7">G21*F21</f>
        <v>-0.06</v>
      </c>
      <c r="I21" s="37"/>
      <c r="J21" s="140">
        <f>Rates!F36</f>
        <v>1.1999999999999999E-3</v>
      </c>
      <c r="K21" s="19">
        <f t="shared" ref="K21:K22" si="8">$F$10</f>
        <v>50</v>
      </c>
      <c r="L21" s="20">
        <f t="shared" ref="L21" si="9">K21*J21</f>
        <v>0.06</v>
      </c>
      <c r="M21" s="38"/>
      <c r="N21" s="23">
        <f t="shared" ref="N21" si="10">L21-H21</f>
        <v>0.12</v>
      </c>
      <c r="O21" s="24">
        <f t="shared" ref="O21" si="11">IF((H21)=0,"",(N21/H21))</f>
        <v>-2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50</v>
      </c>
      <c r="H22" s="20">
        <f>G22*F22</f>
        <v>0</v>
      </c>
      <c r="I22" s="21"/>
      <c r="J22" s="140"/>
      <c r="K22" s="19">
        <f t="shared" si="8"/>
        <v>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64.754908450000002</v>
      </c>
      <c r="I24" s="31"/>
      <c r="J24" s="46"/>
      <c r="K24" s="48"/>
      <c r="L24" s="47">
        <f>SUM(L20:L23)+L19</f>
        <v>67.66377765</v>
      </c>
      <c r="M24" s="31"/>
      <c r="N24" s="34">
        <f t="shared" ref="N24:N38" si="12">L24-H24</f>
        <v>2.908869199999998</v>
      </c>
      <c r="O24" s="35">
        <f t="shared" ref="O24:O38" si="13">IF((H24)=0,"",(N24/H24))</f>
        <v>4.4921215543777024E-2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54.584999999999994</v>
      </c>
      <c r="H25" s="20">
        <f>G25*F25</f>
        <v>0.36026099999999994</v>
      </c>
      <c r="I25" s="21"/>
      <c r="J25" s="140">
        <f>Rates!F40</f>
        <v>7.1000000000000004E-3</v>
      </c>
      <c r="K25" s="52">
        <f>F10*(1+J41)</f>
        <v>54.144999999999996</v>
      </c>
      <c r="L25" s="20">
        <f>K25*J25</f>
        <v>0.38442949999999998</v>
      </c>
      <c r="M25" s="21"/>
      <c r="N25" s="23">
        <f t="shared" si="12"/>
        <v>2.4168500000000037E-2</v>
      </c>
      <c r="O25" s="24">
        <f t="shared" si="13"/>
        <v>6.7086084810734553E-2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54.584999999999994</v>
      </c>
      <c r="H26" s="20">
        <f>G26*F26</f>
        <v>0.32750999999999997</v>
      </c>
      <c r="I26" s="21"/>
      <c r="J26" s="140">
        <f>Rates!F41</f>
        <v>6.0000000000000001E-3</v>
      </c>
      <c r="K26" s="52">
        <f>K25</f>
        <v>54.144999999999996</v>
      </c>
      <c r="L26" s="20">
        <f>K26*J26</f>
        <v>0.32486999999999999</v>
      </c>
      <c r="M26" s="21"/>
      <c r="N26" s="23">
        <f t="shared" si="12"/>
        <v>-2.6399999999999757E-3</v>
      </c>
      <c r="O26" s="24">
        <f t="shared" si="13"/>
        <v>-8.0608225703031229E-3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65.44267945</v>
      </c>
      <c r="I27" s="55"/>
      <c r="J27" s="56"/>
      <c r="K27" s="57"/>
      <c r="L27" s="47">
        <f>SUM(L24:L26)</f>
        <v>68.37307715</v>
      </c>
      <c r="M27" s="55"/>
      <c r="N27" s="34">
        <f t="shared" si="12"/>
        <v>2.9303977000000003</v>
      </c>
      <c r="O27" s="35">
        <f t="shared" si="13"/>
        <v>4.4778082508661714E-2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54.584999999999994</v>
      </c>
      <c r="H28" s="59">
        <f t="shared" ref="H28:H33" si="14">G28*F28</f>
        <v>0.18558899999999998</v>
      </c>
      <c r="I28" s="21"/>
      <c r="J28" s="141">
        <f>Rates!F42</f>
        <v>3.3999999999999998E-3</v>
      </c>
      <c r="K28" s="52">
        <f>K26</f>
        <v>54.144999999999996</v>
      </c>
      <c r="L28" s="59">
        <f t="shared" ref="L28:L33" si="15">K28*J28</f>
        <v>0.18409299999999998</v>
      </c>
      <c r="M28" s="21"/>
      <c r="N28" s="23">
        <f t="shared" si="12"/>
        <v>-1.4959999999999973E-3</v>
      </c>
      <c r="O28" s="60">
        <f t="shared" si="13"/>
        <v>-8.0608225703031836E-3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54.584999999999994</v>
      </c>
      <c r="H29" s="59">
        <f t="shared" si="14"/>
        <v>2.7292499999999997E-2</v>
      </c>
      <c r="I29" s="21"/>
      <c r="J29" s="141">
        <f>Rates!F43</f>
        <v>5.0000000000000001E-4</v>
      </c>
      <c r="K29" s="52">
        <f>K26</f>
        <v>54.144999999999996</v>
      </c>
      <c r="L29" s="59">
        <f t="shared" si="15"/>
        <v>2.7072499999999999E-2</v>
      </c>
      <c r="M29" s="21"/>
      <c r="N29" s="23">
        <f t="shared" si="12"/>
        <v>-2.1999999999999797E-4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0.10100000000000001</v>
      </c>
      <c r="G31" s="62">
        <f>0.65*$F$10</f>
        <v>32.5</v>
      </c>
      <c r="H31" s="59">
        <f t="shared" si="14"/>
        <v>3.2825000000000002</v>
      </c>
      <c r="I31" s="21"/>
      <c r="J31" s="61">
        <f>Rates!F64</f>
        <v>0.10100000000000001</v>
      </c>
      <c r="K31" s="62">
        <f>G31</f>
        <v>32.5</v>
      </c>
      <c r="L31" s="59">
        <f t="shared" si="15"/>
        <v>3.2825000000000002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0.14399999999999999</v>
      </c>
      <c r="G32" s="62">
        <f>0.17*$F$10</f>
        <v>8.5</v>
      </c>
      <c r="H32" s="59">
        <f t="shared" si="14"/>
        <v>1.224</v>
      </c>
      <c r="I32" s="21"/>
      <c r="J32" s="61">
        <f>Rates!F65</f>
        <v>0.14399999999999999</v>
      </c>
      <c r="K32" s="62">
        <f>G32</f>
        <v>8.5</v>
      </c>
      <c r="L32" s="59">
        <f t="shared" si="15"/>
        <v>1.224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0.20799999999999999</v>
      </c>
      <c r="G33" s="62">
        <f>0.18*$F$10</f>
        <v>9</v>
      </c>
      <c r="H33" s="59">
        <f t="shared" si="14"/>
        <v>1.8719999999999999</v>
      </c>
      <c r="I33" s="21"/>
      <c r="J33" s="61">
        <f>Rates!F66</f>
        <v>0.20799999999999999</v>
      </c>
      <c r="K33" s="62">
        <f>G33</f>
        <v>9</v>
      </c>
      <c r="L33" s="59">
        <f t="shared" si="15"/>
        <v>1.8719999999999999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72.284060949999997</v>
      </c>
      <c r="I35" s="79"/>
      <c r="J35" s="80"/>
      <c r="K35" s="80"/>
      <c r="L35" s="104">
        <f>SUM(L28:L33,L27)</f>
        <v>75.212742649999996</v>
      </c>
      <c r="M35" s="81"/>
      <c r="N35" s="82">
        <f t="shared" ref="N35" si="16">L35-H35</f>
        <v>2.9286816999999985</v>
      </c>
      <c r="O35" s="83">
        <f t="shared" ref="O35" si="17">IF((H35)=0,"",(N35/H35))</f>
        <v>4.0516286184112051E-2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9.3969279234999998</v>
      </c>
      <c r="I36" s="88"/>
      <c r="J36" s="89">
        <v>0.13</v>
      </c>
      <c r="K36" s="88"/>
      <c r="L36" s="92">
        <f>L35*J36</f>
        <v>9.7776565444999992</v>
      </c>
      <c r="M36" s="91"/>
      <c r="N36" s="92">
        <f t="shared" si="12"/>
        <v>0.38072862099999938</v>
      </c>
      <c r="O36" s="93">
        <f t="shared" si="13"/>
        <v>4.0516286184112009E-2</v>
      </c>
      <c r="S36" s="63"/>
    </row>
    <row r="37" spans="1:19" x14ac:dyDescent="0.25">
      <c r="B37" s="84" t="s">
        <v>82</v>
      </c>
      <c r="C37" s="16"/>
      <c r="D37" s="16"/>
      <c r="E37" s="16"/>
      <c r="F37" s="197">
        <v>0.318</v>
      </c>
      <c r="G37" s="86"/>
      <c r="H37" s="87">
        <f>H35*-F37</f>
        <v>-22.986331382099998</v>
      </c>
      <c r="I37" s="88"/>
      <c r="J37" s="198">
        <f>F37</f>
        <v>0.318</v>
      </c>
      <c r="K37" s="88"/>
      <c r="L37" s="92">
        <f>L35*-J37</f>
        <v>-23.917652162699998</v>
      </c>
      <c r="M37" s="91"/>
      <c r="N37" s="92">
        <f t="shared" si="12"/>
        <v>-0.93132078060000012</v>
      </c>
      <c r="O37" s="93">
        <f t="shared" si="13"/>
        <v>4.0516286184112085E-2</v>
      </c>
      <c r="S37" s="63"/>
    </row>
    <row r="38" spans="1:19" s="105" customFormat="1" ht="15.75" thickBot="1" x14ac:dyDescent="0.3">
      <c r="B38" s="94" t="s">
        <v>75</v>
      </c>
      <c r="C38" s="122"/>
      <c r="D38" s="122"/>
      <c r="E38" s="122"/>
      <c r="F38" s="123"/>
      <c r="G38" s="124"/>
      <c r="H38" s="129">
        <f>SUM(H35:H37)</f>
        <v>58.694657491400001</v>
      </c>
      <c r="I38" s="79"/>
      <c r="J38" s="79"/>
      <c r="K38" s="79"/>
      <c r="L38" s="136">
        <f>SUM(L35:L37)</f>
        <v>61.072747031800006</v>
      </c>
      <c r="M38" s="81"/>
      <c r="N38" s="82">
        <f t="shared" si="12"/>
        <v>2.3780895404000049</v>
      </c>
      <c r="O38" s="83">
        <f t="shared" si="13"/>
        <v>4.0516286184112155E-2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E25:E26 E39 E28:E34 E15:E18 E20:E23" xr:uid="{00000000-0002-0000-0D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D00-000001000000}">
      <formula1>"Monthly, per kWh, per kW"</formula1>
    </dataValidation>
    <dataValidation type="list" allowBlank="1" showInputMessage="1" showErrorMessage="1" sqref="D8" xr:uid="{00000000-0002-0000-0D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  <pageSetUpPr fitToPage="1"/>
  </sheetPr>
  <dimension ref="A1:S40"/>
  <sheetViews>
    <sheetView showGridLines="0" zoomScaleNormal="100" workbookViewId="0">
      <selection activeCell="S30" sqref="S30"/>
    </sheetView>
  </sheetViews>
  <sheetFormatPr defaultColWidth="9.140625" defaultRowHeight="15" x14ac:dyDescent="0.25"/>
  <cols>
    <col min="1" max="1" width="2.140625" style="1" customWidth="1"/>
    <col min="2" max="2" width="40.71093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/>
    </row>
    <row r="3" spans="2:16" ht="18.75" customHeight="1" x14ac:dyDescent="0.25">
      <c r="B3" s="222" t="s">
        <v>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3" t="s">
        <v>62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3228.3580670422507</v>
      </c>
      <c r="G9" s="7" t="s">
        <v>6</v>
      </c>
      <c r="I9" s="227" t="s">
        <v>57</v>
      </c>
      <c r="J9" s="227"/>
      <c r="K9" s="8">
        <v>8.9700106739245076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4" t="s">
        <v>7</v>
      </c>
      <c r="G11" s="225"/>
      <c r="H11" s="226"/>
      <c r="J11" s="224" t="s">
        <v>8</v>
      </c>
      <c r="K11" s="225"/>
      <c r="L11" s="226"/>
      <c r="N11" s="224" t="s">
        <v>9</v>
      </c>
      <c r="O11" s="226"/>
    </row>
    <row r="12" spans="2:16" x14ac:dyDescent="0.25">
      <c r="B12" s="6"/>
      <c r="D12" s="216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8" t="s">
        <v>14</v>
      </c>
      <c r="O12" s="220" t="s">
        <v>15</v>
      </c>
    </row>
    <row r="13" spans="2:16" x14ac:dyDescent="0.25">
      <c r="B13" s="6"/>
      <c r="D13" s="217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9"/>
      <c r="O13" s="221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Rates!D48</f>
        <v>2.0499999999999998</v>
      </c>
      <c r="G14" s="19">
        <v>75</v>
      </c>
      <c r="H14" s="20">
        <f>G14*F14</f>
        <v>153.75</v>
      </c>
      <c r="I14" s="21"/>
      <c r="J14" s="140">
        <f>Rates!F48</f>
        <v>1.86</v>
      </c>
      <c r="K14" s="22">
        <f>G14</f>
        <v>75</v>
      </c>
      <c r="L14" s="20">
        <f>K14*J14</f>
        <v>139.5</v>
      </c>
      <c r="M14" s="21"/>
      <c r="N14" s="23">
        <f>L14-H14</f>
        <v>-14.25</v>
      </c>
      <c r="O14" s="24">
        <f>IF((H14)=0,"",(N14/H14))</f>
        <v>-9.2682926829268292E-2</v>
      </c>
    </row>
    <row r="15" spans="2:16" x14ac:dyDescent="0.25">
      <c r="B15" s="16" t="s">
        <v>18</v>
      </c>
      <c r="C15" s="16"/>
      <c r="D15" s="17" t="s">
        <v>55</v>
      </c>
      <c r="E15" s="18"/>
      <c r="F15" s="139">
        <f>Rates!D49</f>
        <v>0.33100000000000002</v>
      </c>
      <c r="G15" s="106">
        <f>$F$9</f>
        <v>3228.3580670422507</v>
      </c>
      <c r="H15" s="20">
        <f t="shared" ref="H15:H16" si="0">G15*F15</f>
        <v>1068.5865201909851</v>
      </c>
      <c r="I15" s="21"/>
      <c r="J15" s="140">
        <f>Rates!F49</f>
        <v>0.2999</v>
      </c>
      <c r="K15" s="106">
        <f>$F$9</f>
        <v>3228.3580670422507</v>
      </c>
      <c r="L15" s="20">
        <f t="shared" ref="L15:L16" si="1">K15*J15</f>
        <v>968.18458430597093</v>
      </c>
      <c r="M15" s="21"/>
      <c r="N15" s="23">
        <f t="shared" ref="N15:N17" si="2">L15-H15</f>
        <v>-100.40193588501415</v>
      </c>
      <c r="O15" s="24">
        <f t="shared" ref="O15:O17" si="3">IF((H15)=0,"",(N15/H15))</f>
        <v>-9.3957703927492586E-2</v>
      </c>
    </row>
    <row r="16" spans="2:16" x14ac:dyDescent="0.25">
      <c r="B16" s="134" t="s">
        <v>100</v>
      </c>
      <c r="C16" s="16"/>
      <c r="D16" s="49" t="s">
        <v>55</v>
      </c>
      <c r="E16" s="18"/>
      <c r="F16" s="140">
        <f>Rates!D52+Rates!D53</f>
        <v>-1.9E-3</v>
      </c>
      <c r="G16" s="106">
        <f>$F$9</f>
        <v>3228.3580670422507</v>
      </c>
      <c r="H16" s="20">
        <f t="shared" si="0"/>
        <v>-6.1338803273802762</v>
      </c>
      <c r="I16" s="21"/>
      <c r="J16" s="140">
        <f>Rates!F52+Rates!F53</f>
        <v>5.33E-2</v>
      </c>
      <c r="K16" s="106">
        <f>$F$9</f>
        <v>3228.3580670422507</v>
      </c>
      <c r="L16" s="20">
        <f t="shared" si="1"/>
        <v>172.07148497335197</v>
      </c>
      <c r="M16" s="21"/>
      <c r="N16" s="23">
        <f t="shared" si="2"/>
        <v>178.20536530073224</v>
      </c>
      <c r="O16" s="24">
        <f t="shared" si="3"/>
        <v>-29.05263157894737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1216.2026398636049</v>
      </c>
      <c r="I17" s="31"/>
      <c r="J17" s="32"/>
      <c r="K17" s="33"/>
      <c r="L17" s="30">
        <f>SUM(L14:L16)</f>
        <v>1279.7560692793229</v>
      </c>
      <c r="M17" s="31"/>
      <c r="N17" s="34">
        <f t="shared" si="2"/>
        <v>63.553429415718028</v>
      </c>
      <c r="O17" s="35">
        <f t="shared" si="3"/>
        <v>5.2255625282021621E-2</v>
      </c>
    </row>
    <row r="18" spans="2:19" x14ac:dyDescent="0.25">
      <c r="B18" s="39" t="s">
        <v>21</v>
      </c>
      <c r="C18" s="16"/>
      <c r="D18" s="17" t="s">
        <v>55</v>
      </c>
      <c r="E18" s="18"/>
      <c r="F18" s="143">
        <f>Rates!D69</f>
        <v>0.1101</v>
      </c>
      <c r="G18" s="41">
        <f>$F$9*(1+$F$38)-$F$9</f>
        <v>296.04043474777382</v>
      </c>
      <c r="H18" s="20">
        <f>G18*F18</f>
        <v>32.594051865729895</v>
      </c>
      <c r="I18" s="21"/>
      <c r="J18" s="142">
        <f>Rates!F69</f>
        <v>0.1101</v>
      </c>
      <c r="K18" s="41">
        <f>$F$9*(1+$J$38)-$F$9</f>
        <v>267.63088375780262</v>
      </c>
      <c r="L18" s="20">
        <f>K18*J18</f>
        <v>29.466160301734071</v>
      </c>
      <c r="M18" s="21"/>
      <c r="N18" s="23">
        <f>L18-H18</f>
        <v>-3.1278915639958242</v>
      </c>
      <c r="O18" s="24">
        <f>IF((H18)=0,"",(N18/H18))</f>
        <v>-9.5965103598689386E-2</v>
      </c>
    </row>
    <row r="19" spans="2:19" ht="25.5" x14ac:dyDescent="0.25">
      <c r="B19" s="135" t="str">
        <f>Rates!A50</f>
        <v>Total Deferral/Variance Account Rate Riders (Group 1, excl GA)</v>
      </c>
      <c r="C19" s="16"/>
      <c r="D19" s="17" t="s">
        <v>55</v>
      </c>
      <c r="E19" s="18"/>
      <c r="F19" s="139">
        <f>Rates!D50</f>
        <v>-1.1000000000000001E-3</v>
      </c>
      <c r="G19" s="106">
        <f>F9</f>
        <v>3228.3580670422507</v>
      </c>
      <c r="H19" s="20">
        <f t="shared" ref="H19:H20" si="4">G19*F19</f>
        <v>-3.5511938737464761</v>
      </c>
      <c r="I19" s="37"/>
      <c r="J19" s="140">
        <f>Rates!F50</f>
        <v>-5.0000000000000001E-4</v>
      </c>
      <c r="K19" s="106">
        <f>F9</f>
        <v>3228.3580670422507</v>
      </c>
      <c r="L19" s="20">
        <f t="shared" ref="L19:L20" si="5">K19*J19</f>
        <v>-1.6141790335211255</v>
      </c>
      <c r="M19" s="38"/>
      <c r="N19" s="23">
        <f t="shared" ref="N19:N20" si="6">L19-H19</f>
        <v>1.9370148402253506</v>
      </c>
      <c r="O19" s="24">
        <f t="shared" ref="O19:O20" si="7">IF((H19)=0,"",(N19/H19))</f>
        <v>-0.54545454545454541</v>
      </c>
    </row>
    <row r="20" spans="2:19" x14ac:dyDescent="0.25">
      <c r="B20" s="135" t="str">
        <f>Rates!A51</f>
        <v>GA Rate Riders</v>
      </c>
      <c r="C20" s="16"/>
      <c r="D20" s="17" t="s">
        <v>55</v>
      </c>
      <c r="E20" s="18"/>
      <c r="F20" s="139">
        <f>Rates!D51</f>
        <v>-7.7999999999999996E-3</v>
      </c>
      <c r="G20" s="106">
        <f>F9</f>
        <v>3228.3580670422507</v>
      </c>
      <c r="H20" s="20">
        <f t="shared" si="4"/>
        <v>-25.181192922929554</v>
      </c>
      <c r="I20" s="37"/>
      <c r="J20" s="140">
        <f>Rates!F51</f>
        <v>-2.7000000000000001E-3</v>
      </c>
      <c r="K20" s="106">
        <f>F9</f>
        <v>3228.3580670422507</v>
      </c>
      <c r="L20" s="20">
        <f t="shared" si="5"/>
        <v>-8.7165667810140768</v>
      </c>
      <c r="M20" s="38"/>
      <c r="N20" s="23">
        <f t="shared" si="6"/>
        <v>16.464626141915478</v>
      </c>
      <c r="O20" s="24">
        <f t="shared" si="7"/>
        <v>-0.65384615384615385</v>
      </c>
    </row>
    <row r="21" spans="2:19" x14ac:dyDescent="0.25">
      <c r="B21" s="39" t="s">
        <v>20</v>
      </c>
      <c r="C21" s="16"/>
      <c r="D21" s="17"/>
      <c r="E21" s="18"/>
      <c r="F21" s="139"/>
      <c r="G21" s="19"/>
      <c r="H21" s="20">
        <f>G21*F21</f>
        <v>0</v>
      </c>
      <c r="I21" s="21"/>
      <c r="J21" s="140"/>
      <c r="K21" s="19"/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1220.0643049326588</v>
      </c>
      <c r="I23" s="31"/>
      <c r="J23" s="46"/>
      <c r="K23" s="48"/>
      <c r="L23" s="47">
        <f>SUM(L18:L22)+L17</f>
        <v>1298.8914837665218</v>
      </c>
      <c r="M23" s="31"/>
      <c r="N23" s="34">
        <f t="shared" ref="N23:N35" si="8">L23-H23</f>
        <v>78.827178833862945</v>
      </c>
      <c r="O23" s="35">
        <f t="shared" ref="O23:O35" si="9">IF((H23)=0,"",(N23/H23))</f>
        <v>6.4609036191919239E-2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Rates!D54</f>
        <v>1.8149999999999999</v>
      </c>
      <c r="G24" s="51">
        <f>K9*(1+F38)</f>
        <v>9.7925606527233846</v>
      </c>
      <c r="H24" s="20">
        <f>G24*F24</f>
        <v>17.773497584692944</v>
      </c>
      <c r="I24" s="21"/>
      <c r="J24" s="140">
        <f>Rates!F54</f>
        <v>1.9529000000000001</v>
      </c>
      <c r="K24" s="52">
        <f>K9*(1+J38)</f>
        <v>9.7136245587928496</v>
      </c>
      <c r="L24" s="20">
        <f>K24*J24</f>
        <v>18.969737400866556</v>
      </c>
      <c r="M24" s="21"/>
      <c r="N24" s="23">
        <f t="shared" si="8"/>
        <v>1.1962398161736125</v>
      </c>
      <c r="O24" s="24">
        <f t="shared" si="9"/>
        <v>6.7304693995842962E-2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Rates!D55</f>
        <v>1.6437999999999999</v>
      </c>
      <c r="G25" s="51">
        <f>G24</f>
        <v>9.7925606527233846</v>
      </c>
      <c r="H25" s="20">
        <f>G25*F25</f>
        <v>16.097011200946699</v>
      </c>
      <c r="I25" s="21"/>
      <c r="J25" s="140">
        <f>Rates!F55</f>
        <v>1.6468</v>
      </c>
      <c r="K25" s="52">
        <f>K24</f>
        <v>9.7136245587928496</v>
      </c>
      <c r="L25" s="20">
        <f>K25*J25</f>
        <v>15.996396923420065</v>
      </c>
      <c r="M25" s="21"/>
      <c r="N25" s="23">
        <f t="shared" si="8"/>
        <v>-0.10061427752663477</v>
      </c>
      <c r="O25" s="24">
        <f t="shared" si="9"/>
        <v>-6.250494347715769E-3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1253.9348137182985</v>
      </c>
      <c r="I26" s="55"/>
      <c r="J26" s="56"/>
      <c r="K26" s="57"/>
      <c r="L26" s="47">
        <f>SUM(L23:L25)</f>
        <v>1333.8576180908083</v>
      </c>
      <c r="M26" s="55"/>
      <c r="N26" s="34">
        <f t="shared" si="8"/>
        <v>79.922804372509745</v>
      </c>
      <c r="O26" s="35">
        <f t="shared" si="9"/>
        <v>6.3737607009661287E-2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Rates!D56</f>
        <v>3.3999999999999998E-3</v>
      </c>
      <c r="G27" s="51">
        <f>F9*(1+F38)</f>
        <v>3524.3985017900245</v>
      </c>
      <c r="H27" s="59">
        <f t="shared" ref="H27:H30" si="10">G27*F27</f>
        <v>11.982954906086082</v>
      </c>
      <c r="I27" s="21"/>
      <c r="J27" s="141">
        <f>Rates!F56</f>
        <v>3.3999999999999998E-3</v>
      </c>
      <c r="K27" s="52">
        <f>F9*(1+J38)</f>
        <v>3495.9889508000533</v>
      </c>
      <c r="L27" s="59">
        <f t="shared" ref="L27:L30" si="11">K27*J27</f>
        <v>11.88636243272018</v>
      </c>
      <c r="M27" s="21"/>
      <c r="N27" s="23">
        <f t="shared" si="8"/>
        <v>-9.6592473365902265E-2</v>
      </c>
      <c r="O27" s="60">
        <f t="shared" si="9"/>
        <v>-8.0608225703030431E-3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Rates!D57</f>
        <v>5.0000000000000001E-4</v>
      </c>
      <c r="G28" s="51">
        <f>G27</f>
        <v>3524.3985017900245</v>
      </c>
      <c r="H28" s="59">
        <f t="shared" si="10"/>
        <v>1.7621992508950124</v>
      </c>
      <c r="I28" s="21"/>
      <c r="J28" s="141">
        <f>Rates!F57</f>
        <v>5.0000000000000001E-4</v>
      </c>
      <c r="K28" s="52">
        <f>K27</f>
        <v>3495.9889508000533</v>
      </c>
      <c r="L28" s="59">
        <f t="shared" si="11"/>
        <v>1.7479944754000267</v>
      </c>
      <c r="M28" s="21"/>
      <c r="N28" s="23">
        <f t="shared" si="8"/>
        <v>-1.4204775494985666E-2</v>
      </c>
      <c r="O28" s="60">
        <f t="shared" si="9"/>
        <v>-8.0608225703030639E-3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Rates!D58</f>
        <v>0.25</v>
      </c>
      <c r="G29" s="19">
        <v>1</v>
      </c>
      <c r="H29" s="59">
        <f t="shared" si="10"/>
        <v>0.25</v>
      </c>
      <c r="I29" s="21"/>
      <c r="J29" s="141">
        <f>Rates!F58</f>
        <v>0.25</v>
      </c>
      <c r="K29" s="22">
        <v>1</v>
      </c>
      <c r="L29" s="59">
        <f t="shared" si="11"/>
        <v>0.25</v>
      </c>
      <c r="M29" s="21"/>
      <c r="N29" s="23">
        <f t="shared" si="8"/>
        <v>0</v>
      </c>
      <c r="O29" s="60">
        <f t="shared" si="9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61">
        <f>Rates!D69</f>
        <v>0.1101</v>
      </c>
      <c r="G30" s="62">
        <f>$F$9</f>
        <v>3228.3580670422507</v>
      </c>
      <c r="H30" s="59">
        <f t="shared" si="10"/>
        <v>355.44222318135184</v>
      </c>
      <c r="I30" s="21"/>
      <c r="J30" s="61">
        <f>Rates!F69</f>
        <v>0.1101</v>
      </c>
      <c r="K30" s="62">
        <f>F9</f>
        <v>3228.3580670422507</v>
      </c>
      <c r="L30" s="59">
        <f t="shared" si="11"/>
        <v>355.44222318135184</v>
      </c>
      <c r="M30" s="21"/>
      <c r="N30" s="23">
        <f t="shared" si="8"/>
        <v>0</v>
      </c>
      <c r="O30" s="60">
        <f t="shared" si="9"/>
        <v>0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1623.3721910566314</v>
      </c>
      <c r="I32" s="79"/>
      <c r="J32" s="80"/>
      <c r="K32" s="80"/>
      <c r="L32" s="104">
        <f>SUM(L27:L30,L26)</f>
        <v>1703.1841981802804</v>
      </c>
      <c r="M32" s="81"/>
      <c r="N32" s="82">
        <f t="shared" ref="N32" si="12">L32-H32</f>
        <v>79.812007123648982</v>
      </c>
      <c r="O32" s="83">
        <f t="shared" ref="O32" si="13">IF((H32)=0,"",(N32/H32))</f>
        <v>4.9164330621987808E-2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211.03838483736209</v>
      </c>
      <c r="I33" s="88"/>
      <c r="J33" s="89">
        <v>0.13</v>
      </c>
      <c r="K33" s="88"/>
      <c r="L33" s="92">
        <f>L32*J33</f>
        <v>221.41394576343646</v>
      </c>
      <c r="M33" s="91"/>
      <c r="N33" s="92">
        <f t="shared" si="8"/>
        <v>10.375560926074371</v>
      </c>
      <c r="O33" s="93">
        <f t="shared" si="9"/>
        <v>4.9164330621987822E-2</v>
      </c>
      <c r="S33" s="63"/>
    </row>
    <row r="34" spans="1:19" x14ac:dyDescent="0.25">
      <c r="B34" s="84" t="s">
        <v>82</v>
      </c>
      <c r="C34" s="16"/>
      <c r="D34" s="16"/>
      <c r="E34" s="16"/>
      <c r="F34" s="197">
        <v>0.318</v>
      </c>
      <c r="G34" s="86"/>
      <c r="H34" s="87">
        <f>H32*-F34</f>
        <v>-516.23235675600881</v>
      </c>
      <c r="I34" s="88"/>
      <c r="J34" s="198">
        <f>F34</f>
        <v>0.318</v>
      </c>
      <c r="K34" s="88"/>
      <c r="L34" s="92">
        <f>L32*-J34</f>
        <v>-541.61257502132923</v>
      </c>
      <c r="M34" s="91"/>
      <c r="N34" s="92">
        <f t="shared" ref="N34" si="14">L34-H34</f>
        <v>-25.380218265320423</v>
      </c>
      <c r="O34" s="93">
        <f t="shared" ref="O34" si="15">IF((H34)=0,"",(N34/H34))</f>
        <v>4.9164330621987891E-2</v>
      </c>
      <c r="S34" s="63"/>
    </row>
    <row r="35" spans="1:19" s="105" customFormat="1" ht="15.75" thickBot="1" x14ac:dyDescent="0.3">
      <c r="B35" s="94" t="s">
        <v>75</v>
      </c>
      <c r="C35" s="122"/>
      <c r="D35" s="122"/>
      <c r="E35" s="122"/>
      <c r="F35" s="123"/>
      <c r="G35" s="124"/>
      <c r="H35" s="129">
        <f>SUM(H32:H34)</f>
        <v>1318.1782191379848</v>
      </c>
      <c r="I35" s="79"/>
      <c r="J35" s="79"/>
      <c r="K35" s="79"/>
      <c r="L35" s="136">
        <f>SUM(L32:L34)</f>
        <v>1382.9855689223878</v>
      </c>
      <c r="M35" s="81"/>
      <c r="N35" s="82">
        <f t="shared" si="8"/>
        <v>64.807349784402959</v>
      </c>
      <c r="O35" s="83">
        <f t="shared" si="9"/>
        <v>4.9164330621987794E-2</v>
      </c>
      <c r="S35" s="126"/>
    </row>
    <row r="36" spans="1:19" s="64" customFormat="1" ht="15.75" thickBot="1" x14ac:dyDescent="0.25">
      <c r="B36" s="95"/>
      <c r="C36" s="96"/>
      <c r="D36" s="97"/>
      <c r="E36" s="96"/>
      <c r="F36" s="68"/>
      <c r="G36" s="98"/>
      <c r="H36" s="70"/>
      <c r="I36" s="99"/>
      <c r="J36" s="68"/>
      <c r="K36" s="100"/>
      <c r="L36" s="70"/>
      <c r="M36" s="99"/>
      <c r="N36" s="101"/>
      <c r="O36" s="74"/>
    </row>
    <row r="37" spans="1:19" x14ac:dyDescent="0.25">
      <c r="L37" s="63"/>
    </row>
    <row r="38" spans="1:19" x14ac:dyDescent="0.25">
      <c r="B38" s="7" t="s">
        <v>35</v>
      </c>
      <c r="F38" s="102">
        <f>Rates!D61</f>
        <v>9.1700000000000004E-2</v>
      </c>
      <c r="J38" s="102">
        <f>Rates!F61</f>
        <v>8.2899999999999974E-2</v>
      </c>
    </row>
    <row r="40" spans="1:19" x14ac:dyDescent="0.25">
      <c r="A40" s="103"/>
      <c r="B40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disablePrompts="1" count="2">
    <dataValidation type="list" allowBlank="1" showInputMessage="1" showErrorMessage="1" prompt="Select Charge Unit - monthly, per kWh, per kW" sqref="D24:D25 D36 D14:D16 D27:D31 D18:D22" xr:uid="{00000000-0002-0000-0E00-000000000000}">
      <formula1>"Monthly, per kWh, per kW"</formula1>
    </dataValidation>
    <dataValidation type="list" allowBlank="1" showInputMessage="1" showErrorMessage="1" sqref="E24:E25 E36 E14:E16 E27:E31 E18:E22" xr:uid="{00000000-0002-0000-0E00-000001000000}">
      <formula1>#REF!</formula1>
    </dataValidation>
  </dataValidation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Cover</vt:lpstr>
      <vt:lpstr>Rates</vt:lpstr>
      <vt:lpstr>Summary</vt:lpstr>
      <vt:lpstr>Residential_R1RPP_750</vt:lpstr>
      <vt:lpstr>Residential_R1RET_750</vt:lpstr>
      <vt:lpstr>Residential_R1RPP_10th_PCT</vt:lpstr>
      <vt:lpstr>Residential_R1GSRPP_2000</vt:lpstr>
      <vt:lpstr>Residential_R1GSRET_2000</vt:lpstr>
      <vt:lpstr>Residential - R2</vt:lpstr>
      <vt:lpstr>Residential - R2 Large</vt:lpstr>
      <vt:lpstr>Seasonal_RPP_750</vt:lpstr>
      <vt:lpstr>Seasonal_RET_750</vt:lpstr>
      <vt:lpstr>Seasonal_RPP_AVG</vt:lpstr>
      <vt:lpstr>Seasonal_RPP_10th_PCT</vt:lpstr>
      <vt:lpstr>Street Lighting Non-RPP</vt:lpstr>
      <vt:lpstr>'Residential - R2'!Print_Area</vt:lpstr>
      <vt:lpstr>'Residential - R2 Large'!Print_Area</vt:lpstr>
      <vt:lpstr>Residential_R1GSRET_2000!Print_Area</vt:lpstr>
      <vt:lpstr>Residential_R1GSRPP_2000!Print_Area</vt:lpstr>
      <vt:lpstr>Residential_R1RET_750!Print_Area</vt:lpstr>
      <vt:lpstr>Residential_R1RPP_10th_PCT!Print_Area</vt:lpstr>
      <vt:lpstr>Residential_R1RPP_750!Print_Area</vt:lpstr>
      <vt:lpstr>Seasonal_RET_750!Print_Area</vt:lpstr>
      <vt:lpstr>Seasonal_RPP_10th_PCT!Print_Area</vt:lpstr>
      <vt:lpstr>Seasonal_RPP_750!Print_Area</vt:lpstr>
      <vt:lpstr>Seasonal_RPP_AVG!Print_Area</vt:lpstr>
      <vt:lpstr>'Street Lighting Non-RPP'!Print_Area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Beharriell, Greg</cp:lastModifiedBy>
  <cp:lastPrinted>2019-05-13T18:02:02Z</cp:lastPrinted>
  <dcterms:created xsi:type="dcterms:W3CDTF">2014-04-09T13:49:52Z</dcterms:created>
  <dcterms:modified xsi:type="dcterms:W3CDTF">2019-11-05T15:09:04Z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